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2.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Ex4.xml" ContentType="application/vnd.ms-office.chartex+xml"/>
  <Override PartName="/xl/charts/style6.xml" ContentType="application/vnd.ms-office.chartstyle+xml"/>
  <Override PartName="/xl/charts/colors6.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ml.chartshapes+xml"/>
  <Override PartName="/xl/charts/chart5.xml" ContentType="application/vnd.openxmlformats-officedocument.drawingml.chart+xml"/>
  <Override PartName="/xl/drawings/drawing4.xml" ContentType="application/vnd.openxmlformats-officedocument.drawingml.chartshapes+xml"/>
  <Override PartName="/xl/charts/chart6.xml" ContentType="application/vnd.openxmlformats-officedocument.drawingml.chart+xml"/>
  <Override PartName="/xl/drawings/drawing5.xml" ContentType="application/vnd.openxmlformats-officedocument.drawingml.chartshapes+xml"/>
  <Override PartName="/xl/charts/chart7.xml" ContentType="application/vnd.openxmlformats-officedocument.drawingml.chart+xml"/>
  <Override PartName="/xl/drawings/drawing6.xml" ContentType="application/vnd.openxmlformats-officedocument.drawingml.chartshapes+xml"/>
  <Override PartName="/xl/charts/chart8.xml" ContentType="application/vnd.openxmlformats-officedocument.drawingml.chart+xml"/>
  <Override PartName="/xl/drawings/drawing7.xml" ContentType="application/vnd.openxmlformats-officedocument.drawingml.chartshapes+xml"/>
  <Override PartName="/xl/charts/chart9.xml" ContentType="application/vnd.openxmlformats-officedocument.drawingml.chart+xml"/>
  <Override PartName="/xl/drawings/drawing8.xml" ContentType="application/vnd.openxmlformats-officedocument.drawingml.chartshapes+xml"/>
  <Override PartName="/xl/charts/chart10.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charts/style9.xml" ContentType="application/vnd.ms-office.chartstyle+xml"/>
  <Override PartName="/xl/charts/colors9.xml" ContentType="application/vnd.ms-office.chartcolorstyle+xml"/>
  <Override PartName="/xl/charts/chart15.xml" ContentType="application/vnd.openxmlformats-officedocument.drawingml.chart+xml"/>
  <Override PartName="/xl/charts/style10.xml" ContentType="application/vnd.ms-office.chartstyle+xml"/>
  <Override PartName="/xl/charts/colors10.xml" ContentType="application/vnd.ms-office.chartcolorstyle+xml"/>
  <Override PartName="/xl/charts/chart16.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harts/chart17.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charts/chart18.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ml.chartshapes+xml"/>
  <Override PartName="/xl/charts/chart19.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charts/chart20.xml" ContentType="application/vnd.openxmlformats-officedocument.drawingml.chart+xml"/>
  <Override PartName="/xl/charts/style15.xml" ContentType="application/vnd.ms-office.chartstyle+xml"/>
  <Override PartName="/xl/charts/colors15.xml" ContentType="application/vnd.ms-office.chartcolorstyle+xml"/>
  <Override PartName="/xl/charts/chart21.xml" ContentType="application/vnd.openxmlformats-officedocument.drawingml.chart+xml"/>
  <Override PartName="/xl/charts/style16.xml" ContentType="application/vnd.ms-office.chartstyle+xml"/>
  <Override PartName="/xl/charts/colors16.xml" ContentType="application/vnd.ms-office.chartcolorstyle+xml"/>
  <Override PartName="/xl/charts/chart22.xml" ContentType="application/vnd.openxmlformats-officedocument.drawingml.chart+xml"/>
  <Override PartName="/xl/charts/style17.xml" ContentType="application/vnd.ms-office.chartstyle+xml"/>
  <Override PartName="/xl/charts/colors17.xml" ContentType="application/vnd.ms-office.chartcolorstyle+xml"/>
  <Override PartName="/xl/charts/chart23.xml" ContentType="application/vnd.openxmlformats-officedocument.drawingml.chart+xml"/>
  <Override PartName="/xl/charts/style18.xml" ContentType="application/vnd.ms-office.chartstyle+xml"/>
  <Override PartName="/xl/charts/colors18.xml" ContentType="application/vnd.ms-office.chartcolorstyle+xml"/>
  <Override PartName="/xl/charts/chart24.xml" ContentType="application/vnd.openxmlformats-officedocument.drawingml.chart+xml"/>
  <Override PartName="/xl/charts/style19.xml" ContentType="application/vnd.ms-office.chartstyle+xml"/>
  <Override PartName="/xl/charts/colors19.xml" ContentType="application/vnd.ms-office.chartcolorstyle+xml"/>
  <Override PartName="/xl/charts/chart25.xml" ContentType="application/vnd.openxmlformats-officedocument.drawingml.chart+xml"/>
  <Override PartName="/xl/charts/style20.xml" ContentType="application/vnd.ms-office.chartstyle+xml"/>
  <Override PartName="/xl/charts/colors20.xml" ContentType="application/vnd.ms-office.chartcolorstyle+xml"/>
  <Override PartName="/xl/charts/chart26.xml" ContentType="application/vnd.openxmlformats-officedocument.drawingml.chart+xml"/>
  <Override PartName="/xl/charts/style21.xml" ContentType="application/vnd.ms-office.chartstyle+xml"/>
  <Override PartName="/xl/charts/colors21.xml" ContentType="application/vnd.ms-office.chartcolorstyle+xml"/>
  <Override PartName="/xl/charts/chart27.xml" ContentType="application/vnd.openxmlformats-officedocument.drawingml.chart+xml"/>
  <Override PartName="/xl/charts/style22.xml" ContentType="application/vnd.ms-office.chartstyle+xml"/>
  <Override PartName="/xl/charts/colors22.xml" ContentType="application/vnd.ms-office.chartcolorstyle+xml"/>
  <Override PartName="/xl/charts/chart28.xml" ContentType="application/vnd.openxmlformats-officedocument.drawingml.chart+xml"/>
  <Override PartName="/xl/charts/style23.xml" ContentType="application/vnd.ms-office.chartstyle+xml"/>
  <Override PartName="/xl/charts/colors23.xml" ContentType="application/vnd.ms-office.chartcolorstyle+xml"/>
  <Override PartName="/xl/charts/chart29.xml" ContentType="application/vnd.openxmlformats-officedocument.drawingml.chart+xml"/>
  <Override PartName="/xl/charts/style24.xml" ContentType="application/vnd.ms-office.chartstyle+xml"/>
  <Override PartName="/xl/charts/colors24.xml" ContentType="application/vnd.ms-office.chartcolorstyle+xml"/>
  <Override PartName="/xl/charts/chart30.xml" ContentType="application/vnd.openxmlformats-officedocument.drawingml.chart+xml"/>
  <Override PartName="/xl/charts/style25.xml" ContentType="application/vnd.ms-office.chartstyle+xml"/>
  <Override PartName="/xl/charts/colors25.xml" ContentType="application/vnd.ms-office.chartcolorstyle+xml"/>
  <Override PartName="/xl/charts/chart31.xml" ContentType="application/vnd.openxmlformats-officedocument.drawingml.chart+xml"/>
  <Override PartName="/xl/charts/style26.xml" ContentType="application/vnd.ms-office.chartstyle+xml"/>
  <Override PartName="/xl/charts/colors26.xml" ContentType="application/vnd.ms-office.chartcolorstyle+xml"/>
  <Override PartName="/xl/charts/chart32.xml" ContentType="application/vnd.openxmlformats-officedocument.drawingml.chart+xml"/>
  <Override PartName="/xl/charts/style27.xml" ContentType="application/vnd.ms-office.chartstyle+xml"/>
  <Override PartName="/xl/charts/colors27.xml" ContentType="application/vnd.ms-office.chartcolorstyle+xml"/>
  <Override PartName="/xl/charts/chart33.xml" ContentType="application/vnd.openxmlformats-officedocument.drawingml.chart+xml"/>
  <Override PartName="/xl/charts/style28.xml" ContentType="application/vnd.ms-office.chartstyle+xml"/>
  <Override PartName="/xl/charts/colors28.xml" ContentType="application/vnd.ms-office.chartcolorstyle+xml"/>
  <Override PartName="/xl/charts/chart34.xml" ContentType="application/vnd.openxmlformats-officedocument.drawingml.chart+xml"/>
  <Override PartName="/xl/charts/style29.xml" ContentType="application/vnd.ms-office.chartstyle+xml"/>
  <Override PartName="/xl/charts/colors29.xml" ContentType="application/vnd.ms-office.chartcolorstyle+xml"/>
  <Override PartName="/xl/charts/chart35.xml" ContentType="application/vnd.openxmlformats-officedocument.drawingml.chart+xml"/>
  <Override PartName="/xl/charts/style30.xml" ContentType="application/vnd.ms-office.chartstyle+xml"/>
  <Override PartName="/xl/charts/colors30.xml" ContentType="application/vnd.ms-office.chartcolorstyle+xml"/>
  <Override PartName="/xl/charts/chart36.xml" ContentType="application/vnd.openxmlformats-officedocument.drawingml.chart+xml"/>
  <Override PartName="/xl/charts/style31.xml" ContentType="application/vnd.ms-office.chartstyle+xml"/>
  <Override PartName="/xl/charts/colors31.xml" ContentType="application/vnd.ms-office.chartcolorstyle+xml"/>
  <Override PartName="/xl/charts/chart37.xml" ContentType="application/vnd.openxmlformats-officedocument.drawingml.chart+xml"/>
  <Override PartName="/xl/charts/style32.xml" ContentType="application/vnd.ms-office.chartstyle+xml"/>
  <Override PartName="/xl/charts/colors32.xml" ContentType="application/vnd.ms-office.chartcolorstyle+xml"/>
  <Override PartName="/xl/charts/chart38.xml" ContentType="application/vnd.openxmlformats-officedocument.drawingml.chart+xml"/>
  <Override PartName="/xl/charts/style33.xml" ContentType="application/vnd.ms-office.chartstyle+xml"/>
  <Override PartName="/xl/charts/colors33.xml" ContentType="application/vnd.ms-office.chartcolorstyle+xml"/>
  <Override PartName="/xl/charts/chart39.xml" ContentType="application/vnd.openxmlformats-officedocument.drawingml.chart+xml"/>
  <Override PartName="/xl/charts/style34.xml" ContentType="application/vnd.ms-office.chartstyle+xml"/>
  <Override PartName="/xl/charts/colors34.xml" ContentType="application/vnd.ms-office.chartcolorstyle+xml"/>
  <Override PartName="/xl/charts/chart40.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7.xml" ContentType="application/vnd.openxmlformats-officedocument.drawingml.chartshapes+xml"/>
  <Override PartName="/xl/charts/chart41.xml" ContentType="application/vnd.openxmlformats-officedocument.drawingml.chart+xml"/>
  <Override PartName="/xl/charts/style36.xml" ContentType="application/vnd.ms-office.chartstyle+xml"/>
  <Override PartName="/xl/charts/colors36.xml" ContentType="application/vnd.ms-office.chartcolorstyle+xml"/>
  <Override PartName="/xl/charts/chart42.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2.xml" ContentType="application/vnd.openxmlformats-officedocument.themeOverride+xml"/>
  <Override PartName="/xl/charts/chart43.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3.xml" ContentType="application/vnd.openxmlformats-officedocument.themeOverride+xml"/>
  <Override PartName="/xl/drawings/drawing18.xml" ContentType="application/vnd.openxmlformats-officedocument.drawingml.chartshapes+xml"/>
  <Override PartName="/xl/charts/chart44.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19.xml" ContentType="application/vnd.openxmlformats-officedocument.drawingml.chartshapes+xml"/>
  <Override PartName="/xl/charts/chart45.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0.xml" ContentType="application/vnd.openxmlformats-officedocument.drawingml.chartshapes+xml"/>
  <Override PartName="/xl/charts/chart46.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21.xml" ContentType="application/vnd.openxmlformats-officedocument.drawingml.chartshapes+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2.xml" ContentType="application/vnd.openxmlformats-officedocument.drawing+xml"/>
  <Override PartName="/xl/charts/chart47.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3.xml" ContentType="application/vnd.openxmlformats-officedocument.drawingml.chartshapes+xml"/>
  <Override PartName="/xl/charts/chart48.xml" ContentType="application/vnd.openxmlformats-officedocument.drawingml.chart+xml"/>
  <Override PartName="/xl/charts/style43.xml" ContentType="application/vnd.ms-office.chartstyle+xml"/>
  <Override PartName="/xl/charts/colors43.xml" ContentType="application/vnd.ms-office.chartcolorstyle+xml"/>
  <Override PartName="/xl/charts/chart49.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4.xml" ContentType="application/vnd.openxmlformats-officedocument.drawingml.chartshapes+xml"/>
  <Override PartName="/xl/charts/chart50.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25.xml" ContentType="application/vnd.openxmlformats-officedocument.drawingml.chartshapes+xml"/>
  <Override PartName="/xl/charts/chart51.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6.xml" ContentType="application/vnd.openxmlformats-officedocument.drawingml.chartshapes+xml"/>
  <Override PartName="/xl/drawings/drawing27.xml" ContentType="application/vnd.openxmlformats-officedocument.drawing+xml"/>
  <Override PartName="/xl/charts/chart52.xml" ContentType="application/vnd.openxmlformats-officedocument.drawingml.chart+xml"/>
  <Override PartName="/xl/charts/style47.xml" ContentType="application/vnd.ms-office.chartstyle+xml"/>
  <Override PartName="/xl/charts/colors47.xml" ContentType="application/vnd.ms-office.chartcolorstyle+xml"/>
  <Override PartName="/xl/charts/chart53.xml" ContentType="application/vnd.openxmlformats-officedocument.drawingml.chart+xml"/>
  <Override PartName="/xl/charts/style48.xml" ContentType="application/vnd.ms-office.chartstyle+xml"/>
  <Override PartName="/xl/charts/colors48.xml" ContentType="application/vnd.ms-office.chartcolorstyle+xml"/>
  <Override PartName="/xl/charts/chart54.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28.xml" ContentType="application/vnd.openxmlformats-officedocument.drawingml.chartshapes+xml"/>
  <Override PartName="/xl/drawings/drawing29.xml" ContentType="application/vnd.openxmlformats-officedocument.drawing+xml"/>
  <Override PartName="/xl/drawings/drawing30.xml" ContentType="application/vnd.openxmlformats-officedocument.drawing+xml"/>
  <Override PartName="/xl/charts/chart55.xml" ContentType="application/vnd.openxmlformats-officedocument.drawingml.chart+xml"/>
  <Override PartName="/xl/charts/style50.xml" ContentType="application/vnd.ms-office.chartstyle+xml"/>
  <Override PartName="/xl/charts/colors50.xml" ContentType="application/vnd.ms-office.chartcolorstyle+xml"/>
  <Override PartName="/xl/charts/chart56.xml" ContentType="application/vnd.openxmlformats-officedocument.drawingml.chart+xml"/>
  <Override PartName="/xl/charts/style51.xml" ContentType="application/vnd.ms-office.chartstyle+xml"/>
  <Override PartName="/xl/charts/colors51.xml" ContentType="application/vnd.ms-office.chartcolorstyle+xml"/>
  <Override PartName="/xl/charts/chart57.xml" ContentType="application/vnd.openxmlformats-officedocument.drawingml.chart+xml"/>
  <Override PartName="/xl/charts/style52.xml" ContentType="application/vnd.ms-office.chartstyle+xml"/>
  <Override PartName="/xl/charts/colors52.xml" ContentType="application/vnd.ms-office.chartcolorstyle+xml"/>
  <Override PartName="/xl/charts/chart58.xml" ContentType="application/vnd.openxmlformats-officedocument.drawingml.chart+xml"/>
  <Override PartName="/xl/charts/style53.xml" ContentType="application/vnd.ms-office.chartstyle+xml"/>
  <Override PartName="/xl/charts/colors53.xml" ContentType="application/vnd.ms-office.chartcolorstyle+xml"/>
  <Override PartName="/xl/charts/chart59.xml" ContentType="application/vnd.openxmlformats-officedocument.drawingml.chart+xml"/>
  <Override PartName="/xl/charts/style54.xml" ContentType="application/vnd.ms-office.chartstyle+xml"/>
  <Override PartName="/xl/charts/colors54.xml" ContentType="application/vnd.ms-office.chartcolorstyle+xml"/>
  <Override PartName="/xl/charts/chart60.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56.xml" ContentType="application/vnd.ms-office.chartstyle+xml"/>
  <Override PartName="/xl/charts/colors56.xml" ContentType="application/vnd.ms-office.chartcolorstyle+xml"/>
  <Override PartName="/xl/charts/chart62.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32.xml" ContentType="application/vnd.openxmlformats-officedocument.drawing+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3.xml" ContentType="application/vnd.openxmlformats-officedocument.drawing+xml"/>
  <Override PartName="/xl/drawings/drawing34.xml" ContentType="application/vnd.openxmlformats-officedocument.drawing+xml"/>
  <Override PartName="/xl/charts/chart63.xml" ContentType="application/vnd.openxmlformats-officedocument.drawingml.chart+xml"/>
  <Override PartName="/xl/charts/style58.xml" ContentType="application/vnd.ms-office.chartstyle+xml"/>
  <Override PartName="/xl/charts/colors5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updateLinks="never" hidePivotFieldList="1"/>
  <mc:AlternateContent xmlns:mc="http://schemas.openxmlformats.org/markup-compatibility/2006">
    <mc:Choice Requires="x15">
      <x15ac:absPath xmlns:x15ac="http://schemas.microsoft.com/office/spreadsheetml/2010/11/ac" url="https://idbg.sharepoint.com/sites/SCLSCL_PaperdepobrezaLAC/Shared Documents/General/2. Data/2.2 Poverty Estimates/"/>
    </mc:Choice>
  </mc:AlternateContent>
  <xr:revisionPtr revIDLastSave="8" documentId="13_ncr:1_{660E6805-A741-4B9C-8760-BD35410D0882}" xr6:coauthVersionLast="47" xr6:coauthVersionMax="47" xr10:uidLastSave="{44B7A33F-268E-4C59-9F9E-E91265008992}"/>
  <bookViews>
    <workbookView minimized="1" xWindow="3890" yWindow="1790" windowWidth="14400" windowHeight="7270" tabRatio="886" activeTab="5" xr2:uid="{00000000-000D-0000-FFFF-FFFF00000000}"/>
  </bookViews>
  <sheets>
    <sheet name="POP" sheetId="23" r:id="rId1"/>
    <sheet name="Groups&amp;Population" sheetId="9" r:id="rId2"/>
    <sheet name="WB_poverty" sheetId="10" r:id="rId3"/>
    <sheet name="HighIncome_oecd" sheetId="16" r:id="rId4"/>
    <sheet name="Fact1_data" sheetId="2" r:id="rId5"/>
    <sheet name="Fact1_2" sheetId="4" r:id="rId6"/>
    <sheet name="1bAnexo" sheetId="15" state="hidden" r:id="rId7"/>
    <sheet name="Fact2" sheetId="37" r:id="rId8"/>
    <sheet name="Fact3_data" sheetId="29" r:id="rId9"/>
    <sheet name="Fact3a" sheetId="42" r:id="rId10"/>
    <sheet name="Fact3a_conteo" sheetId="49" r:id="rId11"/>
    <sheet name="Fact3b_conteo" sheetId="50" r:id="rId12"/>
    <sheet name="Fact3b" sheetId="30" r:id="rId13"/>
    <sheet name="afro" sheetId="55" r:id="rId14"/>
    <sheet name="indi" sheetId="56" r:id="rId15"/>
    <sheet name="Fact4" sheetId="36" r:id="rId16"/>
    <sheet name="Fact5" sheetId="24" r:id="rId17"/>
    <sheet name="fact6a" sheetId="41" r:id="rId18"/>
    <sheet name="Fact6init" sheetId="34" state="hidden" r:id="rId19"/>
    <sheet name="agecom" sheetId="33" state="hidden" r:id="rId20"/>
    <sheet name="Fact5_predicextreme" sheetId="25" state="hidden" r:id="rId21"/>
    <sheet name="Fact5_predicmoderate" sheetId="27" state="hidden" r:id="rId22"/>
    <sheet name="Fact5_predicpoor_under5" sheetId="26" state="hidden" r:id="rId23"/>
    <sheet name="Fact6b" sheetId="53" r:id="rId24"/>
    <sheet name="Fact6bh" sheetId="43" r:id="rId25"/>
    <sheet name="Fact7" sheetId="47" r:id="rId26"/>
    <sheet name="Fact7zona" sheetId="48" r:id="rId27"/>
    <sheet name="Fact7zona_conteo" sheetId="51" r:id="rId28"/>
    <sheet name="Fact7anexo" sheetId="28" r:id="rId29"/>
    <sheet name="Sheet5" sheetId="22" state="hidden" r:id="rId30"/>
    <sheet name="Sheet4" sheetId="12" state="hidden" r:id="rId31"/>
    <sheet name="miembros" sheetId="5" state="hidden" r:id="rId32"/>
    <sheet name="otros" sheetId="8" state="hidden" r:id="rId33"/>
    <sheet name="Fact8" sheetId="38" r:id="rId34"/>
    <sheet name="Fact9" sheetId="39" r:id="rId35"/>
    <sheet name="Fact10 " sheetId="40" r:id="rId36"/>
    <sheet name="Age_comp" sheetId="31" r:id="rId37"/>
    <sheet name="Fact3b1" sheetId="54" r:id="rId38"/>
  </sheets>
  <externalReferences>
    <externalReference r:id="rId39"/>
  </externalReferences>
  <definedNames>
    <definedName name="_xlnm._FilterDatabase" localSheetId="19" hidden="1">agecom!$B$1:$R$53</definedName>
    <definedName name="_xlnm._FilterDatabase" localSheetId="7" hidden="1">Fact2!$B$3:$I$3</definedName>
    <definedName name="_xlnm._FilterDatabase" localSheetId="8" hidden="1">Fact3_data!$B$1:$M$886</definedName>
    <definedName name="_xlnm._FilterDatabase" localSheetId="11" hidden="1">Fact3b_conteo!$A$1:$H$93</definedName>
    <definedName name="_xlnm._FilterDatabase" localSheetId="17" hidden="1">fact6a!$B$2:$O$2</definedName>
    <definedName name="_xlnm._FilterDatabase" localSheetId="18" hidden="1">Fact6init!$B$1:$L$57</definedName>
    <definedName name="_xlnm._FilterDatabase" localSheetId="33" hidden="1">Fact8!$A$3:$J$3</definedName>
    <definedName name="_xlnm._FilterDatabase" localSheetId="1" hidden="1">'Groups&amp;Population'!$B$4:$J$271</definedName>
    <definedName name="_xlchart.v1.12" hidden="1">'1bAnexo'!$L$4:$L$17</definedName>
    <definedName name="_xlchart.v1.13" hidden="1">'1bAnexo'!$M$4:$M$17</definedName>
    <definedName name="_xlchart.v5.0" hidden="1">'[1]LGTBQ+'!$G$18</definedName>
    <definedName name="_xlchart.v5.1" hidden="1">Fact1_2!$E$22</definedName>
    <definedName name="_xlchart.v5.10" hidden="1">Fact1_2!$E$24:$E$65</definedName>
    <definedName name="_xlchart.v5.11" hidden="1">Fact1_2!$K$24:$K$42</definedName>
    <definedName name="_xlchart.v5.14" hidden="1">'[1]LGTBQ+'!$G$18</definedName>
    <definedName name="_xlchart.v5.15" hidden="1">Fact1_2!$E$22</definedName>
    <definedName name="_xlchart.v5.16" hidden="1">Fact1_2!$E$24:$E$65</definedName>
    <definedName name="_xlchart.v5.17" hidden="1">Fact1_2!$I$24:$I$42</definedName>
    <definedName name="_xlchart.v5.2" hidden="1">Fact1_2!$E$24:$E$65</definedName>
    <definedName name="_xlchart.v5.3" hidden="1">Fact1_2!$I$24:$I$42</definedName>
    <definedName name="_xlchart.v5.4" hidden="1">'[1]LGTBQ+'!$G$18</definedName>
    <definedName name="_xlchart.v5.5" hidden="1">Fact1_2!$E$22</definedName>
    <definedName name="_xlchart.v5.6" hidden="1">Fact1_2!$E$24:$E$65</definedName>
    <definedName name="_xlchart.v5.7" hidden="1">Fact1_2!$J$24:$J$42</definedName>
    <definedName name="_xlchart.v5.8" hidden="1">'[1]LGTBQ+'!$G$18</definedName>
    <definedName name="_xlchart.v5.9" hidden="1">Fact1_2!$E$22</definedName>
    <definedName name="afro">Fact3a!$U$5:$Y$26</definedName>
    <definedName name="age0_15">Fact3a!$K$5:$P$24</definedName>
    <definedName name="age65_mas">Fact3a!$P$5:$T$23</definedName>
    <definedName name="dis">Fact3a!$Z$5:$AD$26</definedName>
    <definedName name="Groups_population">'Groups&amp;Population'!$B$4:$J$273</definedName>
    <definedName name="impu_extrema">Fact5_predicextreme!$A$1:$W$27</definedName>
    <definedName name="impu_moderada">Fact5_predicmoderate!$A$1:$W$27</definedName>
    <definedName name="impu_total">Fact5_predicpoor_under5!$A$1:$W$29</definedName>
    <definedName name="indi">Fact3a!$AE$5:$AJ$27</definedName>
    <definedName name="migrante">Fact3a!$A$5:$E$24</definedName>
    <definedName name="women">Fact3a!$F$5:$J$24</definedName>
  </definedNames>
  <calcPr calcId="191029"/>
  <pivotCaches>
    <pivotCache cacheId="5" r:id="rId40"/>
    <pivotCache cacheId="6" r:id="rId41"/>
    <pivotCache cacheId="7" r:id="rId42"/>
    <pivotCache cacheId="8" r:id="rId4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E6" i="41" l="1"/>
  <c r="BF6" i="41"/>
  <c r="AV34" i="41"/>
  <c r="AO24" i="42"/>
  <c r="AM33" i="42"/>
  <c r="AM34" i="42"/>
  <c r="AX34" i="42" s="1"/>
  <c r="AN34" i="42"/>
  <c r="AY34" i="42" s="1"/>
  <c r="AR34" i="42"/>
  <c r="AN35" i="42"/>
  <c r="AY35" i="42" s="1"/>
  <c r="AO35" i="42"/>
  <c r="AQ35" i="42"/>
  <c r="AO36" i="42"/>
  <c r="AP36" i="42"/>
  <c r="AQ37" i="42"/>
  <c r="AS37" i="42"/>
  <c r="AQ38" i="42"/>
  <c r="AR38" i="42"/>
  <c r="AS38" i="42"/>
  <c r="AR39" i="42"/>
  <c r="BC39" i="42" s="1"/>
  <c r="AS39" i="42"/>
  <c r="AM40" i="42"/>
  <c r="AR40" i="42"/>
  <c r="AS40" i="42"/>
  <c r="BD40" i="42" s="1"/>
  <c r="AM41" i="42"/>
  <c r="AQ41" i="42"/>
  <c r="AR41" i="42"/>
  <c r="AS41" i="42"/>
  <c r="AM42" i="42"/>
  <c r="AN42" i="42"/>
  <c r="AR42" i="42"/>
  <c r="AM43" i="42"/>
  <c r="AN43" i="42"/>
  <c r="AY43" i="42" s="1"/>
  <c r="AO43" i="42"/>
  <c r="AZ43" i="42" s="1"/>
  <c r="AQ43" i="42"/>
  <c r="AO44" i="42"/>
  <c r="AP44" i="42"/>
  <c r="BA44" i="42" s="1"/>
  <c r="AQ46" i="42"/>
  <c r="AR46" i="42"/>
  <c r="AS46" i="42"/>
  <c r="AM47" i="42"/>
  <c r="AQ47" i="42"/>
  <c r="AR47" i="42"/>
  <c r="BC47" i="42" s="1"/>
  <c r="AS47" i="42"/>
  <c r="BD47" i="42" s="1"/>
  <c r="AM48" i="42"/>
  <c r="AR48" i="42"/>
  <c r="AS48" i="42"/>
  <c r="BD48" i="42" s="1"/>
  <c r="AM49" i="42"/>
  <c r="AX49" i="42" s="1"/>
  <c r="AQ49" i="42"/>
  <c r="AR49" i="42"/>
  <c r="AS49" i="42"/>
  <c r="AS32" i="42"/>
  <c r="BD32" i="42" s="1"/>
  <c r="AR32" i="42"/>
  <c r="AQ32" i="42"/>
  <c r="AM8" i="42"/>
  <c r="AM9" i="42"/>
  <c r="AX9" i="42" s="1"/>
  <c r="AM10" i="42"/>
  <c r="AM11" i="42"/>
  <c r="AM12" i="42"/>
  <c r="AM13" i="42"/>
  <c r="AM14" i="42"/>
  <c r="AM15" i="42"/>
  <c r="AM16" i="42"/>
  <c r="AM17" i="42"/>
  <c r="AM18" i="42"/>
  <c r="AX18" i="42" s="1"/>
  <c r="AM19" i="42"/>
  <c r="AM20" i="42"/>
  <c r="AM21" i="42"/>
  <c r="AM22" i="42"/>
  <c r="AM23" i="42"/>
  <c r="AM24" i="42"/>
  <c r="AN8" i="42"/>
  <c r="AY8" i="42" s="1"/>
  <c r="AO8" i="42"/>
  <c r="AZ8" i="42" s="1"/>
  <c r="AP8" i="42"/>
  <c r="BA8" i="42" s="1"/>
  <c r="AQ8" i="42"/>
  <c r="AR8" i="42"/>
  <c r="BC8" i="42" s="1"/>
  <c r="AS8" i="42"/>
  <c r="BD8" i="42" s="1"/>
  <c r="AN9" i="42"/>
  <c r="AO9" i="42"/>
  <c r="AP9" i="42"/>
  <c r="BA9" i="42" s="1"/>
  <c r="AQ9" i="42"/>
  <c r="BB9" i="42" s="1"/>
  <c r="AR9" i="42"/>
  <c r="AS9" i="42"/>
  <c r="AN10" i="42"/>
  <c r="AO10" i="42"/>
  <c r="AP10" i="42"/>
  <c r="AQ10" i="42"/>
  <c r="AR10" i="42"/>
  <c r="AS10" i="42"/>
  <c r="BD10" i="42" s="1"/>
  <c r="AN11" i="42"/>
  <c r="AO11" i="42"/>
  <c r="AP11" i="42"/>
  <c r="AQ11" i="42"/>
  <c r="AR11" i="42"/>
  <c r="AS11" i="42"/>
  <c r="AN12" i="42"/>
  <c r="AO12" i="42"/>
  <c r="AP12" i="42"/>
  <c r="AQ12" i="42"/>
  <c r="AR12" i="42"/>
  <c r="AS12" i="42"/>
  <c r="AN13" i="42"/>
  <c r="AO13" i="42"/>
  <c r="AP13" i="42"/>
  <c r="AQ13" i="42"/>
  <c r="BB13" i="42" s="1"/>
  <c r="AR13" i="42"/>
  <c r="AS13" i="42"/>
  <c r="AN14" i="42"/>
  <c r="AO14" i="42"/>
  <c r="AP14" i="42"/>
  <c r="AQ14" i="42"/>
  <c r="AR14" i="42"/>
  <c r="AS14" i="42"/>
  <c r="BD14" i="42" s="1"/>
  <c r="AN15" i="42"/>
  <c r="AO15" i="42"/>
  <c r="AP15" i="42"/>
  <c r="AQ15" i="42"/>
  <c r="AR15" i="42"/>
  <c r="AS15" i="42"/>
  <c r="AN16" i="42"/>
  <c r="AO16" i="42"/>
  <c r="AP16" i="42"/>
  <c r="AQ16" i="42"/>
  <c r="AR16" i="42"/>
  <c r="AS16" i="42"/>
  <c r="AN17" i="42"/>
  <c r="AO17" i="42"/>
  <c r="AP17" i="42"/>
  <c r="AQ17" i="42"/>
  <c r="AR17" i="42"/>
  <c r="AS17" i="42"/>
  <c r="AN18" i="42"/>
  <c r="AO18" i="42"/>
  <c r="AP18" i="42"/>
  <c r="AQ18" i="42"/>
  <c r="AR18" i="42"/>
  <c r="AS18" i="42"/>
  <c r="AN19" i="42"/>
  <c r="AO19" i="42"/>
  <c r="AP19" i="42"/>
  <c r="AQ19" i="42"/>
  <c r="AR19" i="42"/>
  <c r="AS19" i="42"/>
  <c r="AN20" i="42"/>
  <c r="AO20" i="42"/>
  <c r="AP20" i="42"/>
  <c r="AQ20" i="42"/>
  <c r="AR20" i="42"/>
  <c r="AS20" i="42"/>
  <c r="AN21" i="42"/>
  <c r="AO21" i="42"/>
  <c r="AP21" i="42"/>
  <c r="AQ21" i="42"/>
  <c r="BB21" i="42" s="1"/>
  <c r="AR21" i="42"/>
  <c r="AS21" i="42"/>
  <c r="AN22" i="42"/>
  <c r="AO22" i="42"/>
  <c r="AP22" i="42"/>
  <c r="AQ22" i="42"/>
  <c r="AR22" i="42"/>
  <c r="BC22" i="42" s="1"/>
  <c r="AS22" i="42"/>
  <c r="BD22" i="42" s="1"/>
  <c r="AN23" i="42"/>
  <c r="AO23" i="42"/>
  <c r="AP23" i="42"/>
  <c r="AQ23" i="42"/>
  <c r="AR23" i="42"/>
  <c r="AS23" i="42"/>
  <c r="AN24" i="42"/>
  <c r="AP24" i="42"/>
  <c r="AQ24" i="42"/>
  <c r="AR24" i="42"/>
  <c r="AS24" i="42"/>
  <c r="AS7" i="42"/>
  <c r="AR7" i="42"/>
  <c r="AQ7" i="42"/>
  <c r="AP7" i="42"/>
  <c r="BA7" i="42" s="1"/>
  <c r="AO7" i="42"/>
  <c r="AZ7" i="42" s="1"/>
  <c r="AN7" i="42"/>
  <c r="AM7" i="42"/>
  <c r="BC14" i="42"/>
  <c r="BD9" i="42"/>
  <c r="BC24" i="42"/>
  <c r="BC13" i="42"/>
  <c r="BC21" i="42"/>
  <c r="AY31" i="42"/>
  <c r="AZ31" i="42"/>
  <c r="BA31" i="42"/>
  <c r="BB31" i="42"/>
  <c r="BC31" i="42"/>
  <c r="AX31" i="42"/>
  <c r="AU33" i="42"/>
  <c r="AU34" i="42"/>
  <c r="AU35" i="42"/>
  <c r="AU36" i="42"/>
  <c r="AU37" i="42"/>
  <c r="AU38" i="42"/>
  <c r="BD38" i="42" s="1"/>
  <c r="AU39" i="42"/>
  <c r="AU40" i="42"/>
  <c r="AU41" i="42"/>
  <c r="AU42" i="42"/>
  <c r="AU43" i="42"/>
  <c r="AU44" i="42"/>
  <c r="AU45" i="42"/>
  <c r="AU46" i="42"/>
  <c r="BD46" i="42" s="1"/>
  <c r="AU47" i="42"/>
  <c r="AU48" i="42"/>
  <c r="AU49" i="42"/>
  <c r="AU32" i="42"/>
  <c r="AU8" i="42"/>
  <c r="AU9" i="42"/>
  <c r="AU10" i="42"/>
  <c r="AU11" i="42"/>
  <c r="AU12" i="42"/>
  <c r="BB12" i="42" s="1"/>
  <c r="AU13" i="42"/>
  <c r="BD13" i="42" s="1"/>
  <c r="AU14" i="42"/>
  <c r="AU15" i="42"/>
  <c r="AU16" i="42"/>
  <c r="BB16" i="42" s="1"/>
  <c r="AU17" i="42"/>
  <c r="BC17" i="42" s="1"/>
  <c r="AU18" i="42"/>
  <c r="AU19" i="42"/>
  <c r="AU20" i="42"/>
  <c r="AX20" i="42" s="1"/>
  <c r="AU21" i="42"/>
  <c r="AU22" i="42"/>
  <c r="AU23" i="42"/>
  <c r="BB23" i="42" s="1"/>
  <c r="AU24" i="42"/>
  <c r="AX24" i="42" s="1"/>
  <c r="AU7" i="42"/>
  <c r="BC40" i="42"/>
  <c r="BC41" i="42"/>
  <c r="BD41" i="42"/>
  <c r="AY42" i="42"/>
  <c r="BC42" i="42"/>
  <c r="BB43" i="42"/>
  <c r="BC46" i="42"/>
  <c r="BB47" i="42"/>
  <c r="BC48" i="42"/>
  <c r="BC49" i="42"/>
  <c r="BD49" i="42"/>
  <c r="AX40" i="42"/>
  <c r="AX42" i="42"/>
  <c r="AX43" i="42"/>
  <c r="AX47" i="42"/>
  <c r="AX48" i="42"/>
  <c r="AN30" i="42"/>
  <c r="AN33" i="42" s="1"/>
  <c r="AY33" i="42" s="1"/>
  <c r="AO30" i="42"/>
  <c r="AP30" i="42"/>
  <c r="AP33" i="42" s="1"/>
  <c r="AQ30" i="42"/>
  <c r="BB37" i="42" s="1"/>
  <c r="AR30" i="42"/>
  <c r="AR36" i="42" s="1"/>
  <c r="AS30" i="42"/>
  <c r="AS36" i="42" s="1"/>
  <c r="BD36" i="42" s="1"/>
  <c r="AM30" i="42"/>
  <c r="AM37" i="42" s="1"/>
  <c r="AS31" i="42"/>
  <c r="BD31" i="42" s="1"/>
  <c r="AS6" i="42"/>
  <c r="BD20" i="42" l="1"/>
  <c r="BB7" i="42"/>
  <c r="BD23" i="42"/>
  <c r="BB22" i="42"/>
  <c r="BB14" i="42"/>
  <c r="BB10" i="42"/>
  <c r="AZ9" i="42"/>
  <c r="AP46" i="42"/>
  <c r="AO45" i="42"/>
  <c r="AZ45" i="42" s="1"/>
  <c r="AN44" i="42"/>
  <c r="AY44" i="42" s="1"/>
  <c r="AQ39" i="42"/>
  <c r="BB39" i="42" s="1"/>
  <c r="AP38" i="42"/>
  <c r="BA38" i="42" s="1"/>
  <c r="AO37" i="42"/>
  <c r="AZ37" i="42" s="1"/>
  <c r="AN36" i="42"/>
  <c r="AY36" i="42" s="1"/>
  <c r="AM35" i="42"/>
  <c r="AX35" i="42" s="1"/>
  <c r="AS33" i="42"/>
  <c r="BD16" i="42"/>
  <c r="BB20" i="42"/>
  <c r="BC12" i="42"/>
  <c r="AX13" i="42"/>
  <c r="BC7" i="42"/>
  <c r="BC23" i="42"/>
  <c r="BC15" i="42"/>
  <c r="BC11" i="42"/>
  <c r="AY9" i="42"/>
  <c r="AX23" i="42"/>
  <c r="AM32" i="42"/>
  <c r="AX32" i="42" s="1"/>
  <c r="AQ48" i="42"/>
  <c r="BB48" i="42" s="1"/>
  <c r="AP47" i="42"/>
  <c r="BA47" i="42" s="1"/>
  <c r="AO46" i="42"/>
  <c r="AN45" i="42"/>
  <c r="AY45" i="42" s="1"/>
  <c r="AM44" i="42"/>
  <c r="AX44" i="42" s="1"/>
  <c r="AS42" i="42"/>
  <c r="BD42" i="42" s="1"/>
  <c r="AQ40" i="42"/>
  <c r="BB40" i="42" s="1"/>
  <c r="AP39" i="42"/>
  <c r="AO38" i="42"/>
  <c r="AN37" i="42"/>
  <c r="AY37" i="42" s="1"/>
  <c r="AM36" i="42"/>
  <c r="AS34" i="42"/>
  <c r="BD34" i="42" s="1"/>
  <c r="AR33" i="42"/>
  <c r="BC33" i="42" s="1"/>
  <c r="BC16" i="42"/>
  <c r="BD24" i="42"/>
  <c r="AX7" i="42"/>
  <c r="BD7" i="42"/>
  <c r="AX22" i="42"/>
  <c r="AN32" i="42"/>
  <c r="AY32" i="42" s="1"/>
  <c r="AP48" i="42"/>
  <c r="BA48" i="42" s="1"/>
  <c r="AO47" i="42"/>
  <c r="AZ47" i="42" s="1"/>
  <c r="AN46" i="42"/>
  <c r="AY46" i="42" s="1"/>
  <c r="AM45" i="42"/>
  <c r="AS43" i="42"/>
  <c r="BD43" i="42" s="1"/>
  <c r="AP40" i="42"/>
  <c r="BA40" i="42" s="1"/>
  <c r="AO39" i="42"/>
  <c r="AN38" i="42"/>
  <c r="AY38" i="42" s="1"/>
  <c r="AS35" i="42"/>
  <c r="BD35" i="42" s="1"/>
  <c r="AQ33" i="42"/>
  <c r="AX36" i="42"/>
  <c r="AO32" i="42"/>
  <c r="AP49" i="42"/>
  <c r="AO48" i="42"/>
  <c r="AZ48" i="42" s="1"/>
  <c r="AN47" i="42"/>
  <c r="AY47" i="42" s="1"/>
  <c r="AM46" i="42"/>
  <c r="AX46" i="42" s="1"/>
  <c r="AS44" i="42"/>
  <c r="AR43" i="42"/>
  <c r="BC43" i="42" s="1"/>
  <c r="AQ42" i="42"/>
  <c r="BB42" i="42" s="1"/>
  <c r="AP41" i="42"/>
  <c r="BA41" i="42" s="1"/>
  <c r="AO40" i="42"/>
  <c r="AZ40" i="42" s="1"/>
  <c r="AN39" i="42"/>
  <c r="AY39" i="42" s="1"/>
  <c r="AM38" i="42"/>
  <c r="AR35" i="42"/>
  <c r="AQ34" i="42"/>
  <c r="AQ45" i="42"/>
  <c r="BB45" i="42" s="1"/>
  <c r="AP45" i="42"/>
  <c r="BA45" i="42" s="1"/>
  <c r="AP37" i="42"/>
  <c r="BD33" i="42"/>
  <c r="BD12" i="42"/>
  <c r="BD21" i="42"/>
  <c r="AP32" i="42"/>
  <c r="BA32" i="42" s="1"/>
  <c r="AO49" i="42"/>
  <c r="AZ49" i="42" s="1"/>
  <c r="AN48" i="42"/>
  <c r="AY48" i="42" s="1"/>
  <c r="AS45" i="42"/>
  <c r="BD45" i="42" s="1"/>
  <c r="AR44" i="42"/>
  <c r="AP42" i="42"/>
  <c r="BA42" i="42" s="1"/>
  <c r="AO41" i="42"/>
  <c r="AZ41" i="42" s="1"/>
  <c r="AN40" i="42"/>
  <c r="AY40" i="42" s="1"/>
  <c r="AM39" i="42"/>
  <c r="AP34" i="42"/>
  <c r="BA34" i="42" s="1"/>
  <c r="AO33" i="42"/>
  <c r="AZ33" i="42" s="1"/>
  <c r="BC35" i="42"/>
  <c r="AY7" i="42"/>
  <c r="BB24" i="42"/>
  <c r="BB32" i="42"/>
  <c r="AN49" i="42"/>
  <c r="AY49" i="42" s="1"/>
  <c r="AR45" i="42"/>
  <c r="BC45" i="42" s="1"/>
  <c r="AQ44" i="42"/>
  <c r="BB44" i="42" s="1"/>
  <c r="AP43" i="42"/>
  <c r="BA43" i="42" s="1"/>
  <c r="AO42" i="42"/>
  <c r="AZ42" i="42" s="1"/>
  <c r="AN41" i="42"/>
  <c r="AY41" i="42" s="1"/>
  <c r="AR37" i="42"/>
  <c r="BC37" i="42" s="1"/>
  <c r="AQ36" i="42"/>
  <c r="BB36" i="42" s="1"/>
  <c r="AP35" i="42"/>
  <c r="BA35" i="42" s="1"/>
  <c r="AO34" i="42"/>
  <c r="AX15" i="42"/>
  <c r="BC10" i="42"/>
  <c r="BD15" i="42"/>
  <c r="BC18" i="42"/>
  <c r="BC20" i="42"/>
  <c r="BA10" i="42"/>
  <c r="AX17" i="42"/>
  <c r="BB19" i="42"/>
  <c r="BB17" i="42"/>
  <c r="AY11" i="42"/>
  <c r="AX10" i="42"/>
  <c r="BD11" i="42"/>
  <c r="BC19" i="42"/>
  <c r="BD18" i="42"/>
  <c r="BB11" i="42"/>
  <c r="AX11" i="42"/>
  <c r="BC9" i="42"/>
  <c r="BB18" i="42"/>
  <c r="BB15" i="42"/>
  <c r="BD44" i="42"/>
  <c r="BD37" i="42"/>
  <c r="BD39" i="42"/>
  <c r="BC32" i="42"/>
  <c r="BC34" i="42"/>
  <c r="BC38" i="42"/>
  <c r="BC36" i="42"/>
  <c r="BC44" i="42"/>
  <c r="BB49" i="42"/>
  <c r="BB35" i="42"/>
  <c r="BB46" i="42"/>
  <c r="BB41" i="42"/>
  <c r="BB38" i="42"/>
  <c r="BB34" i="42"/>
  <c r="BA49" i="42"/>
  <c r="BA33" i="42"/>
  <c r="BA36" i="42"/>
  <c r="BA46" i="42"/>
  <c r="BA39" i="42"/>
  <c r="BA37" i="42"/>
  <c r="AZ46" i="42"/>
  <c r="AZ38" i="42"/>
  <c r="AZ34" i="42"/>
  <c r="AZ39" i="42"/>
  <c r="AZ35" i="42"/>
  <c r="AZ44" i="42"/>
  <c r="AZ36" i="42"/>
  <c r="AZ32" i="42"/>
  <c r="AX39" i="42"/>
  <c r="AX41" i="42"/>
  <c r="AX38" i="42"/>
  <c r="AX45" i="42"/>
  <c r="AX37" i="42"/>
  <c r="F29" i="42"/>
  <c r="F42" i="42"/>
  <c r="F43" i="42"/>
  <c r="F45" i="42"/>
  <c r="F47" i="42"/>
  <c r="F66" i="42"/>
  <c r="F67" i="42"/>
  <c r="F68" i="42"/>
  <c r="F69" i="42"/>
  <c r="F70" i="42"/>
  <c r="F89" i="42"/>
  <c r="J12" i="54"/>
  <c r="J11" i="54"/>
  <c r="J10" i="54"/>
  <c r="J9" i="54"/>
  <c r="J8" i="54"/>
  <c r="J7" i="54"/>
  <c r="J6" i="54"/>
  <c r="J5" i="54"/>
  <c r="J4" i="54"/>
  <c r="J3" i="54"/>
  <c r="K2" i="54"/>
  <c r="J2" i="54"/>
  <c r="X37" i="31"/>
  <c r="W37" i="31"/>
  <c r="V37" i="31"/>
  <c r="U37" i="31"/>
  <c r="T37" i="31"/>
  <c r="S37" i="31"/>
  <c r="R37" i="31"/>
  <c r="X36" i="31"/>
  <c r="W36" i="31"/>
  <c r="V36" i="31"/>
  <c r="U36" i="31"/>
  <c r="T36" i="31"/>
  <c r="S36" i="31"/>
  <c r="R36" i="31"/>
  <c r="X35" i="31"/>
  <c r="W35" i="31"/>
  <c r="V35" i="31"/>
  <c r="U35" i="31"/>
  <c r="T35" i="31"/>
  <c r="S35" i="31"/>
  <c r="R35" i="31"/>
  <c r="X34" i="31"/>
  <c r="W34" i="31"/>
  <c r="V34" i="31"/>
  <c r="U34" i="31"/>
  <c r="T34" i="31"/>
  <c r="S34" i="31"/>
  <c r="R34" i="31"/>
  <c r="X33" i="31"/>
  <c r="W33" i="31"/>
  <c r="V33" i="31"/>
  <c r="U33" i="31"/>
  <c r="T33" i="31"/>
  <c r="S33" i="31"/>
  <c r="R33" i="31"/>
  <c r="X32" i="31"/>
  <c r="W32" i="31"/>
  <c r="V32" i="31"/>
  <c r="U32" i="31"/>
  <c r="T32" i="31"/>
  <c r="S32" i="31"/>
  <c r="R32" i="31"/>
  <c r="X31" i="31"/>
  <c r="W31" i="31"/>
  <c r="V31" i="31"/>
  <c r="U31" i="31"/>
  <c r="T31" i="31"/>
  <c r="S31" i="31"/>
  <c r="R31" i="31"/>
  <c r="X30" i="31"/>
  <c r="W30" i="31"/>
  <c r="V30" i="31"/>
  <c r="U30" i="31"/>
  <c r="T30" i="31"/>
  <c r="S30" i="31"/>
  <c r="R30" i="31"/>
  <c r="X29" i="31"/>
  <c r="W29" i="31"/>
  <c r="V29" i="31"/>
  <c r="U29" i="31"/>
  <c r="T29" i="31"/>
  <c r="S29" i="31"/>
  <c r="R29" i="31"/>
  <c r="X28" i="31"/>
  <c r="W28" i="31"/>
  <c r="V28" i="31"/>
  <c r="U28" i="31"/>
  <c r="T28" i="31"/>
  <c r="S28" i="31"/>
  <c r="R28" i="31"/>
  <c r="X27" i="31"/>
  <c r="W27" i="31"/>
  <c r="V27" i="31"/>
  <c r="U27" i="31"/>
  <c r="T27" i="31"/>
  <c r="S27" i="31"/>
  <c r="R27" i="31"/>
  <c r="X26" i="31"/>
  <c r="W26" i="31"/>
  <c r="V26" i="31"/>
  <c r="U26" i="31"/>
  <c r="T26" i="31"/>
  <c r="S26" i="31"/>
  <c r="R26" i="31"/>
  <c r="X25" i="31"/>
  <c r="W25" i="31"/>
  <c r="V25" i="31"/>
  <c r="U25" i="31"/>
  <c r="T25" i="31"/>
  <c r="S25" i="31"/>
  <c r="R25" i="31"/>
  <c r="X24" i="31"/>
  <c r="W24" i="31"/>
  <c r="V24" i="31"/>
  <c r="U24" i="31"/>
  <c r="T24" i="31"/>
  <c r="S24" i="31"/>
  <c r="R24" i="31"/>
  <c r="X23" i="31"/>
  <c r="W23" i="31"/>
  <c r="V23" i="31"/>
  <c r="U23" i="31"/>
  <c r="T23" i="31"/>
  <c r="S23" i="31"/>
  <c r="R23" i="31"/>
  <c r="X22" i="31"/>
  <c r="W22" i="31"/>
  <c r="V22" i="31"/>
  <c r="U22" i="31"/>
  <c r="T22" i="31"/>
  <c r="S22" i="31"/>
  <c r="R22" i="31"/>
  <c r="X21" i="31"/>
  <c r="W21" i="31"/>
  <c r="V21" i="31"/>
  <c r="U21" i="31"/>
  <c r="T21" i="31"/>
  <c r="S21" i="31"/>
  <c r="R21" i="31"/>
  <c r="X20" i="31"/>
  <c r="W20" i="31"/>
  <c r="V20" i="31"/>
  <c r="U20" i="31"/>
  <c r="T20" i="31"/>
  <c r="S20" i="31"/>
  <c r="R20" i="31"/>
  <c r="J14" i="31"/>
  <c r="I14" i="31"/>
  <c r="H14" i="31"/>
  <c r="J13" i="31"/>
  <c r="I13" i="31"/>
  <c r="H13" i="31"/>
  <c r="J12" i="31"/>
  <c r="I12" i="31"/>
  <c r="H12" i="31"/>
  <c r="J11" i="31"/>
  <c r="I11" i="31"/>
  <c r="H11" i="31"/>
  <c r="J10" i="31"/>
  <c r="I10" i="31"/>
  <c r="H10" i="31"/>
  <c r="J9" i="31"/>
  <c r="I9" i="31"/>
  <c r="H9" i="31"/>
  <c r="J8" i="31"/>
  <c r="I8" i="31"/>
  <c r="H8" i="31"/>
  <c r="D21" i="39"/>
  <c r="C21" i="39"/>
  <c r="B21" i="39"/>
  <c r="G21" i="38"/>
  <c r="F21" i="38"/>
  <c r="E21" i="38"/>
  <c r="D21" i="38"/>
  <c r="C21" i="38"/>
  <c r="B21" i="38"/>
  <c r="V90" i="22"/>
  <c r="U90" i="22"/>
  <c r="T90" i="22"/>
  <c r="S90" i="22"/>
  <c r="R90" i="22"/>
  <c r="Q90" i="22"/>
  <c r="P90" i="22"/>
  <c r="O90" i="22"/>
  <c r="N90" i="22"/>
  <c r="M90" i="22"/>
  <c r="L90" i="22"/>
  <c r="K90" i="22"/>
  <c r="J90" i="22"/>
  <c r="I90" i="22"/>
  <c r="H90" i="22"/>
  <c r="G90" i="22"/>
  <c r="F90" i="22"/>
  <c r="E90" i="22"/>
  <c r="D90" i="22"/>
  <c r="C90" i="22"/>
  <c r="B90" i="22"/>
  <c r="V89" i="22"/>
  <c r="U89" i="22"/>
  <c r="T89" i="22"/>
  <c r="S89" i="22"/>
  <c r="R89" i="22"/>
  <c r="Q89" i="22"/>
  <c r="P89" i="22"/>
  <c r="O89" i="22"/>
  <c r="N89" i="22"/>
  <c r="M89" i="22"/>
  <c r="L89" i="22"/>
  <c r="K89" i="22"/>
  <c r="J89" i="22"/>
  <c r="I89" i="22"/>
  <c r="H89" i="22"/>
  <c r="G89" i="22"/>
  <c r="F89" i="22"/>
  <c r="E89" i="22"/>
  <c r="D89" i="22"/>
  <c r="C89" i="22"/>
  <c r="B89" i="22"/>
  <c r="V88" i="22"/>
  <c r="U88" i="22"/>
  <c r="T88" i="22"/>
  <c r="S88" i="22"/>
  <c r="R88" i="22"/>
  <c r="Q88" i="22"/>
  <c r="P88" i="22"/>
  <c r="O88" i="22"/>
  <c r="N88" i="22"/>
  <c r="M88" i="22"/>
  <c r="L88" i="22"/>
  <c r="K88" i="22"/>
  <c r="J88" i="22"/>
  <c r="I88" i="22"/>
  <c r="H88" i="22"/>
  <c r="G88" i="22"/>
  <c r="F88" i="22"/>
  <c r="E88" i="22"/>
  <c r="D88" i="22"/>
  <c r="C88" i="22"/>
  <c r="B88" i="22"/>
  <c r="V87" i="22"/>
  <c r="U87" i="22"/>
  <c r="T87" i="22"/>
  <c r="S87" i="22"/>
  <c r="R87" i="22"/>
  <c r="Q87" i="22"/>
  <c r="P87" i="22"/>
  <c r="O87" i="22"/>
  <c r="N87" i="22"/>
  <c r="M87" i="22"/>
  <c r="L87" i="22"/>
  <c r="K87" i="22"/>
  <c r="J87" i="22"/>
  <c r="I87" i="22"/>
  <c r="H87" i="22"/>
  <c r="G87" i="22"/>
  <c r="F87" i="22"/>
  <c r="E87" i="22"/>
  <c r="D87" i="22"/>
  <c r="C87" i="22"/>
  <c r="B87" i="22"/>
  <c r="V86" i="22"/>
  <c r="U86" i="22"/>
  <c r="T86" i="22"/>
  <c r="S86" i="22"/>
  <c r="R86" i="22"/>
  <c r="Q86" i="22"/>
  <c r="P86" i="22"/>
  <c r="O86" i="22"/>
  <c r="N86" i="22"/>
  <c r="M86" i="22"/>
  <c r="L86" i="22"/>
  <c r="K86" i="22"/>
  <c r="J86" i="22"/>
  <c r="I86" i="22"/>
  <c r="H86" i="22"/>
  <c r="G86" i="22"/>
  <c r="F86" i="22"/>
  <c r="E86" i="22"/>
  <c r="D86" i="22"/>
  <c r="C86" i="22"/>
  <c r="B86" i="22"/>
  <c r="V85" i="22"/>
  <c r="U85" i="22"/>
  <c r="T85" i="22"/>
  <c r="S85" i="22"/>
  <c r="R85" i="22"/>
  <c r="Q85" i="22"/>
  <c r="P85" i="22"/>
  <c r="O85" i="22"/>
  <c r="N85" i="22"/>
  <c r="M85" i="22"/>
  <c r="L85" i="22"/>
  <c r="K85" i="22"/>
  <c r="J85" i="22"/>
  <c r="I85" i="22"/>
  <c r="H85" i="22"/>
  <c r="G85" i="22"/>
  <c r="F85" i="22"/>
  <c r="E85" i="22"/>
  <c r="D85" i="22"/>
  <c r="C85" i="22"/>
  <c r="B85" i="22"/>
  <c r="V84" i="22"/>
  <c r="U84" i="22"/>
  <c r="T84" i="22"/>
  <c r="S84" i="22"/>
  <c r="R84" i="22"/>
  <c r="Q84" i="22"/>
  <c r="P84" i="22"/>
  <c r="O84" i="22"/>
  <c r="N84" i="22"/>
  <c r="M84" i="22"/>
  <c r="L84" i="22"/>
  <c r="K84" i="22"/>
  <c r="J84" i="22"/>
  <c r="I84" i="22"/>
  <c r="H84" i="22"/>
  <c r="G84" i="22"/>
  <c r="F84" i="22"/>
  <c r="E84" i="22"/>
  <c r="D84" i="22"/>
  <c r="C84" i="22"/>
  <c r="B84" i="22"/>
  <c r="V83" i="22"/>
  <c r="U83" i="22"/>
  <c r="T83" i="22"/>
  <c r="S83" i="22"/>
  <c r="R83" i="22"/>
  <c r="Q83" i="22"/>
  <c r="P83" i="22"/>
  <c r="O83" i="22"/>
  <c r="N83" i="22"/>
  <c r="M83" i="22"/>
  <c r="L83" i="22"/>
  <c r="K83" i="22"/>
  <c r="J83" i="22"/>
  <c r="I83" i="22"/>
  <c r="H83" i="22"/>
  <c r="G83" i="22"/>
  <c r="F83" i="22"/>
  <c r="E83" i="22"/>
  <c r="D83" i="22"/>
  <c r="C83" i="22"/>
  <c r="B83" i="22"/>
  <c r="V81" i="22"/>
  <c r="U81" i="22"/>
  <c r="T81" i="22"/>
  <c r="S81" i="22"/>
  <c r="R81" i="22"/>
  <c r="Q81" i="22"/>
  <c r="P81" i="22"/>
  <c r="O81" i="22"/>
  <c r="N81" i="22"/>
  <c r="M81" i="22"/>
  <c r="L81" i="22"/>
  <c r="K81" i="22"/>
  <c r="J81" i="22"/>
  <c r="I81" i="22"/>
  <c r="H81" i="22"/>
  <c r="G81" i="22"/>
  <c r="F81" i="22"/>
  <c r="E81" i="22"/>
  <c r="D81" i="22"/>
  <c r="C81" i="22"/>
  <c r="B81" i="22"/>
  <c r="V80" i="22"/>
  <c r="U80" i="22"/>
  <c r="T80" i="22"/>
  <c r="S80" i="22"/>
  <c r="R80" i="22"/>
  <c r="Q80" i="22"/>
  <c r="P80" i="22"/>
  <c r="O80" i="22"/>
  <c r="N80" i="22"/>
  <c r="M80" i="22"/>
  <c r="L80" i="22"/>
  <c r="K80" i="22"/>
  <c r="J80" i="22"/>
  <c r="I80" i="22"/>
  <c r="H80" i="22"/>
  <c r="G80" i="22"/>
  <c r="F80" i="22"/>
  <c r="E80" i="22"/>
  <c r="D80" i="22"/>
  <c r="C80" i="22"/>
  <c r="B80" i="22"/>
  <c r="V79" i="22"/>
  <c r="U79" i="22"/>
  <c r="T79" i="22"/>
  <c r="S79" i="22"/>
  <c r="R79" i="22"/>
  <c r="Q79" i="22"/>
  <c r="P79" i="22"/>
  <c r="O79" i="22"/>
  <c r="N79" i="22"/>
  <c r="M79" i="22"/>
  <c r="L79" i="22"/>
  <c r="K79" i="22"/>
  <c r="J79" i="22"/>
  <c r="I79" i="22"/>
  <c r="H79" i="22"/>
  <c r="G79" i="22"/>
  <c r="F79" i="22"/>
  <c r="E79" i="22"/>
  <c r="D79" i="22"/>
  <c r="C79" i="22"/>
  <c r="B79" i="22"/>
  <c r="V78" i="22"/>
  <c r="U78" i="22"/>
  <c r="T78" i="22"/>
  <c r="S78" i="22"/>
  <c r="R78" i="22"/>
  <c r="Q78" i="22"/>
  <c r="P78" i="22"/>
  <c r="O78" i="22"/>
  <c r="N78" i="22"/>
  <c r="M78" i="22"/>
  <c r="L78" i="22"/>
  <c r="K78" i="22"/>
  <c r="J78" i="22"/>
  <c r="I78" i="22"/>
  <c r="H78" i="22"/>
  <c r="G78" i="22"/>
  <c r="F78" i="22"/>
  <c r="E78" i="22"/>
  <c r="D78" i="22"/>
  <c r="C78" i="22"/>
  <c r="B78" i="22"/>
  <c r="V77" i="22"/>
  <c r="U77" i="22"/>
  <c r="T77" i="22"/>
  <c r="S77" i="22"/>
  <c r="R77" i="22"/>
  <c r="Q77" i="22"/>
  <c r="P77" i="22"/>
  <c r="O77" i="22"/>
  <c r="N77" i="22"/>
  <c r="M77" i="22"/>
  <c r="L77" i="22"/>
  <c r="K77" i="22"/>
  <c r="J77" i="22"/>
  <c r="I77" i="22"/>
  <c r="H77" i="22"/>
  <c r="G77" i="22"/>
  <c r="F77" i="22"/>
  <c r="E77" i="22"/>
  <c r="D77" i="22"/>
  <c r="C77" i="22"/>
  <c r="B77" i="22"/>
  <c r="V76" i="22"/>
  <c r="U76" i="22"/>
  <c r="T76" i="22"/>
  <c r="S76" i="22"/>
  <c r="R76" i="22"/>
  <c r="Q76" i="22"/>
  <c r="P76" i="22"/>
  <c r="O76" i="22"/>
  <c r="N76" i="22"/>
  <c r="M76" i="22"/>
  <c r="L76" i="22"/>
  <c r="K76" i="22"/>
  <c r="J76" i="22"/>
  <c r="I76" i="22"/>
  <c r="H76" i="22"/>
  <c r="G76" i="22"/>
  <c r="F76" i="22"/>
  <c r="E76" i="22"/>
  <c r="D76" i="22"/>
  <c r="C76" i="22"/>
  <c r="B76" i="22"/>
  <c r="V75" i="22"/>
  <c r="U75" i="22"/>
  <c r="T75" i="22"/>
  <c r="S75" i="22"/>
  <c r="R75" i="22"/>
  <c r="Q75" i="22"/>
  <c r="P75" i="22"/>
  <c r="O75" i="22"/>
  <c r="N75" i="22"/>
  <c r="M75" i="22"/>
  <c r="L75" i="22"/>
  <c r="K75" i="22"/>
  <c r="J75" i="22"/>
  <c r="I75" i="22"/>
  <c r="H75" i="22"/>
  <c r="G75" i="22"/>
  <c r="F75" i="22"/>
  <c r="E75" i="22"/>
  <c r="D75" i="22"/>
  <c r="C75" i="22"/>
  <c r="B75" i="22"/>
  <c r="V74" i="22"/>
  <c r="U74" i="22"/>
  <c r="T74" i="22"/>
  <c r="S74" i="22"/>
  <c r="R74" i="22"/>
  <c r="Q74" i="22"/>
  <c r="P74" i="22"/>
  <c r="O74" i="22"/>
  <c r="N74" i="22"/>
  <c r="M74" i="22"/>
  <c r="L74" i="22"/>
  <c r="K74" i="22"/>
  <c r="J74" i="22"/>
  <c r="I74" i="22"/>
  <c r="H74" i="22"/>
  <c r="G74" i="22"/>
  <c r="F74" i="22"/>
  <c r="E74" i="22"/>
  <c r="D74" i="22"/>
  <c r="C74" i="22"/>
  <c r="B74" i="22"/>
  <c r="V73" i="22"/>
  <c r="U73" i="22"/>
  <c r="T73" i="22"/>
  <c r="S73" i="22"/>
  <c r="R73" i="22"/>
  <c r="Q73" i="22"/>
  <c r="P73" i="22"/>
  <c r="O73" i="22"/>
  <c r="N73" i="22"/>
  <c r="M73" i="22"/>
  <c r="L73" i="22"/>
  <c r="K73" i="22"/>
  <c r="J73" i="22"/>
  <c r="I73" i="22"/>
  <c r="H73" i="22"/>
  <c r="G73" i="22"/>
  <c r="F73" i="22"/>
  <c r="E73" i="22"/>
  <c r="D73" i="22"/>
  <c r="C73" i="22"/>
  <c r="B73" i="22"/>
  <c r="V72" i="22"/>
  <c r="U72" i="22"/>
  <c r="T72" i="22"/>
  <c r="S72" i="22"/>
  <c r="R72" i="22"/>
  <c r="Q72" i="22"/>
  <c r="P72" i="22"/>
  <c r="O72" i="22"/>
  <c r="N72" i="22"/>
  <c r="M72" i="22"/>
  <c r="L72" i="22"/>
  <c r="K72" i="22"/>
  <c r="J72" i="22"/>
  <c r="I72" i="22"/>
  <c r="H72" i="22"/>
  <c r="G72" i="22"/>
  <c r="F72" i="22"/>
  <c r="E72" i="22"/>
  <c r="D72" i="22"/>
  <c r="C72" i="22"/>
  <c r="B72" i="22"/>
  <c r="V71" i="22"/>
  <c r="U71" i="22"/>
  <c r="T71" i="22"/>
  <c r="S71" i="22"/>
  <c r="R71" i="22"/>
  <c r="Q71" i="22"/>
  <c r="P71" i="22"/>
  <c r="O71" i="22"/>
  <c r="N71" i="22"/>
  <c r="M71" i="22"/>
  <c r="L71" i="22"/>
  <c r="K71" i="22"/>
  <c r="J71" i="22"/>
  <c r="I71" i="22"/>
  <c r="H71" i="22"/>
  <c r="G71" i="22"/>
  <c r="F71" i="22"/>
  <c r="E71" i="22"/>
  <c r="D71" i="22"/>
  <c r="C71" i="22"/>
  <c r="B71" i="22"/>
  <c r="V70" i="22"/>
  <c r="U70" i="22"/>
  <c r="T70" i="22"/>
  <c r="S70" i="22"/>
  <c r="R70" i="22"/>
  <c r="Q70" i="22"/>
  <c r="P70" i="22"/>
  <c r="O70" i="22"/>
  <c r="N70" i="22"/>
  <c r="M70" i="22"/>
  <c r="L70" i="22"/>
  <c r="K70" i="22"/>
  <c r="J70" i="22"/>
  <c r="I70" i="22"/>
  <c r="H70" i="22"/>
  <c r="G70" i="22"/>
  <c r="F70" i="22"/>
  <c r="E70" i="22"/>
  <c r="D70" i="22"/>
  <c r="C70" i="22"/>
  <c r="B70" i="22"/>
  <c r="V69" i="22"/>
  <c r="U69" i="22"/>
  <c r="T69" i="22"/>
  <c r="S69" i="22"/>
  <c r="R69" i="22"/>
  <c r="Q69" i="22"/>
  <c r="P69" i="22"/>
  <c r="O69" i="22"/>
  <c r="N69" i="22"/>
  <c r="M69" i="22"/>
  <c r="L69" i="22"/>
  <c r="K69" i="22"/>
  <c r="J69" i="22"/>
  <c r="I69" i="22"/>
  <c r="H69" i="22"/>
  <c r="G69" i="22"/>
  <c r="F69" i="22"/>
  <c r="E69" i="22"/>
  <c r="D69" i="22"/>
  <c r="C69" i="22"/>
  <c r="B69" i="22"/>
  <c r="V68" i="22"/>
  <c r="U68" i="22"/>
  <c r="T68" i="22"/>
  <c r="S68" i="22"/>
  <c r="R68" i="22"/>
  <c r="Q68" i="22"/>
  <c r="P68" i="22"/>
  <c r="O68" i="22"/>
  <c r="N68" i="22"/>
  <c r="M68" i="22"/>
  <c r="L68" i="22"/>
  <c r="K68" i="22"/>
  <c r="J68" i="22"/>
  <c r="I68" i="22"/>
  <c r="H68" i="22"/>
  <c r="G68" i="22"/>
  <c r="F68" i="22"/>
  <c r="E68" i="22"/>
  <c r="D68" i="22"/>
  <c r="C68" i="22"/>
  <c r="B68" i="22"/>
  <c r="V67" i="22"/>
  <c r="U67" i="22"/>
  <c r="T67" i="22"/>
  <c r="S67" i="22"/>
  <c r="R67" i="22"/>
  <c r="Q67" i="22"/>
  <c r="P67" i="22"/>
  <c r="O67" i="22"/>
  <c r="N67" i="22"/>
  <c r="M67" i="22"/>
  <c r="L67" i="22"/>
  <c r="K67" i="22"/>
  <c r="J67" i="22"/>
  <c r="I67" i="22"/>
  <c r="H67" i="22"/>
  <c r="G67" i="22"/>
  <c r="F67" i="22"/>
  <c r="E67" i="22"/>
  <c r="D67" i="22"/>
  <c r="C67" i="22"/>
  <c r="B67" i="22"/>
  <c r="V66" i="22"/>
  <c r="U66" i="22"/>
  <c r="T66" i="22"/>
  <c r="S66" i="22"/>
  <c r="R66" i="22"/>
  <c r="Q66" i="22"/>
  <c r="P66" i="22"/>
  <c r="O66" i="22"/>
  <c r="N66" i="22"/>
  <c r="M66" i="22"/>
  <c r="L66" i="22"/>
  <c r="K66" i="22"/>
  <c r="J66" i="22"/>
  <c r="I66" i="22"/>
  <c r="H66" i="22"/>
  <c r="G66" i="22"/>
  <c r="F66" i="22"/>
  <c r="E66" i="22"/>
  <c r="D66" i="22"/>
  <c r="C66" i="22"/>
  <c r="B66" i="22"/>
  <c r="V65" i="22"/>
  <c r="U65" i="22"/>
  <c r="T65" i="22"/>
  <c r="S65" i="22"/>
  <c r="R65" i="22"/>
  <c r="Q65" i="22"/>
  <c r="P65" i="22"/>
  <c r="O65" i="22"/>
  <c r="N65" i="22"/>
  <c r="M65" i="22"/>
  <c r="L65" i="22"/>
  <c r="K65" i="22"/>
  <c r="J65" i="22"/>
  <c r="I65" i="22"/>
  <c r="H65" i="22"/>
  <c r="G65" i="22"/>
  <c r="F65" i="22"/>
  <c r="E65" i="22"/>
  <c r="D65" i="22"/>
  <c r="C65" i="22"/>
  <c r="B65" i="22"/>
  <c r="U223" i="28"/>
  <c r="T223" i="28"/>
  <c r="S223" i="28"/>
  <c r="R223" i="28"/>
  <c r="Q223" i="28"/>
  <c r="P223" i="28"/>
  <c r="U222" i="28"/>
  <c r="T222" i="28"/>
  <c r="S222" i="28"/>
  <c r="R222" i="28"/>
  <c r="Q222" i="28"/>
  <c r="P222" i="28"/>
  <c r="U221" i="28"/>
  <c r="T221" i="28"/>
  <c r="S221" i="28"/>
  <c r="R221" i="28"/>
  <c r="Q221" i="28"/>
  <c r="P221" i="28"/>
  <c r="U220" i="28"/>
  <c r="T220" i="28"/>
  <c r="S220" i="28"/>
  <c r="R220" i="28"/>
  <c r="Q220" i="28"/>
  <c r="P220" i="28"/>
  <c r="U219" i="28"/>
  <c r="T219" i="28"/>
  <c r="S219" i="28"/>
  <c r="R219" i="28"/>
  <c r="Q219" i="28"/>
  <c r="P219" i="28"/>
  <c r="U218" i="28"/>
  <c r="T218" i="28"/>
  <c r="S218" i="28"/>
  <c r="R218" i="28"/>
  <c r="Q218" i="28"/>
  <c r="P218" i="28"/>
  <c r="U217" i="28"/>
  <c r="T217" i="28"/>
  <c r="S217" i="28"/>
  <c r="R217" i="28"/>
  <c r="Q217" i="28"/>
  <c r="P217" i="28"/>
  <c r="U216" i="28"/>
  <c r="T216" i="28"/>
  <c r="S216" i="28"/>
  <c r="R216" i="28"/>
  <c r="Q216" i="28"/>
  <c r="P216" i="28"/>
  <c r="U215" i="28"/>
  <c r="T215" i="28"/>
  <c r="S215" i="28"/>
  <c r="R215" i="28"/>
  <c r="Q215" i="28"/>
  <c r="P215" i="28"/>
  <c r="U214" i="28"/>
  <c r="T214" i="28"/>
  <c r="S214" i="28"/>
  <c r="R214" i="28"/>
  <c r="Q214" i="28"/>
  <c r="P214" i="28"/>
  <c r="U213" i="28"/>
  <c r="U224" i="28" s="1"/>
  <c r="T213" i="28"/>
  <c r="T224" i="28" s="1"/>
  <c r="S213" i="28"/>
  <c r="S224" i="28" s="1"/>
  <c r="R213" i="28"/>
  <c r="R224" i="28" s="1"/>
  <c r="Q213" i="28"/>
  <c r="P213" i="28"/>
  <c r="M212" i="28"/>
  <c r="P211" i="28"/>
  <c r="M211" i="28"/>
  <c r="M210" i="28"/>
  <c r="M209" i="28"/>
  <c r="M207" i="28"/>
  <c r="U206" i="28"/>
  <c r="T206" i="28"/>
  <c r="S206" i="28"/>
  <c r="R206" i="28"/>
  <c r="Q206" i="28"/>
  <c r="P206" i="28"/>
  <c r="U205" i="28"/>
  <c r="T205" i="28"/>
  <c r="S205" i="28"/>
  <c r="R205" i="28"/>
  <c r="Q205" i="28"/>
  <c r="P205" i="28"/>
  <c r="U204" i="28"/>
  <c r="T204" i="28"/>
  <c r="S204" i="28"/>
  <c r="R204" i="28"/>
  <c r="Q204" i="28"/>
  <c r="P204" i="28"/>
  <c r="U203" i="28"/>
  <c r="T203" i="28"/>
  <c r="S203" i="28"/>
  <c r="R203" i="28"/>
  <c r="Q203" i="28"/>
  <c r="P203" i="28"/>
  <c r="U202" i="28"/>
  <c r="T202" i="28"/>
  <c r="S202" i="28"/>
  <c r="R202" i="28"/>
  <c r="Q202" i="28"/>
  <c r="P202" i="28"/>
  <c r="U201" i="28"/>
  <c r="T201" i="28"/>
  <c r="S201" i="28"/>
  <c r="R201" i="28"/>
  <c r="Q201" i="28"/>
  <c r="P201" i="28"/>
  <c r="U200" i="28"/>
  <c r="T200" i="28"/>
  <c r="S200" i="28"/>
  <c r="R200" i="28"/>
  <c r="Q200" i="28"/>
  <c r="P200" i="28"/>
  <c r="U199" i="28"/>
  <c r="T199" i="28"/>
  <c r="S199" i="28"/>
  <c r="R199" i="28"/>
  <c r="Q199" i="28"/>
  <c r="P199" i="28"/>
  <c r="U198" i="28"/>
  <c r="T198" i="28"/>
  <c r="S198" i="28"/>
  <c r="R198" i="28"/>
  <c r="Q198" i="28"/>
  <c r="P198" i="28"/>
  <c r="U197" i="28"/>
  <c r="T197" i="28"/>
  <c r="S197" i="28"/>
  <c r="R197" i="28"/>
  <c r="Q197" i="28"/>
  <c r="P197" i="28"/>
  <c r="U196" i="28"/>
  <c r="T196" i="28"/>
  <c r="S196" i="28"/>
  <c r="R196" i="28"/>
  <c r="Q196" i="28"/>
  <c r="P196" i="28"/>
  <c r="U195" i="28"/>
  <c r="T195" i="28"/>
  <c r="S195" i="28"/>
  <c r="R195" i="28"/>
  <c r="Q195" i="28"/>
  <c r="P195" i="28"/>
  <c r="U194" i="28"/>
  <c r="T194" i="28"/>
  <c r="S194" i="28"/>
  <c r="R194" i="28"/>
  <c r="Q194" i="28"/>
  <c r="P194" i="28"/>
  <c r="U193" i="28"/>
  <c r="U207" i="28" s="1"/>
  <c r="T193" i="28"/>
  <c r="T207" i="28" s="1"/>
  <c r="S193" i="28"/>
  <c r="S207" i="28" s="1"/>
  <c r="R193" i="28"/>
  <c r="R207" i="28" s="1"/>
  <c r="Q193" i="28"/>
  <c r="P193" i="28"/>
  <c r="U192" i="28"/>
  <c r="T192" i="28"/>
  <c r="S192" i="28"/>
  <c r="R192" i="28"/>
  <c r="Q192" i="28"/>
  <c r="P192" i="28"/>
  <c r="U191" i="28"/>
  <c r="T191" i="28"/>
  <c r="S191" i="28"/>
  <c r="R191" i="28"/>
  <c r="Q191" i="28"/>
  <c r="P191" i="28"/>
  <c r="U190" i="28"/>
  <c r="T190" i="28"/>
  <c r="S190" i="28"/>
  <c r="R190" i="28"/>
  <c r="Q190" i="28"/>
  <c r="P190" i="28"/>
  <c r="M189" i="28"/>
  <c r="P188" i="28"/>
  <c r="M188" i="28"/>
  <c r="M187" i="28"/>
  <c r="M186" i="28"/>
  <c r="M184" i="28"/>
  <c r="U183" i="28"/>
  <c r="T183" i="28"/>
  <c r="S183" i="28"/>
  <c r="R183" i="28"/>
  <c r="Q183" i="28"/>
  <c r="P183" i="28"/>
  <c r="U182" i="28"/>
  <c r="T182" i="28"/>
  <c r="S182" i="28"/>
  <c r="R182" i="28"/>
  <c r="Q182" i="28"/>
  <c r="P182" i="28"/>
  <c r="U181" i="28"/>
  <c r="T181" i="28"/>
  <c r="S181" i="28"/>
  <c r="R181" i="28"/>
  <c r="Q181" i="28"/>
  <c r="P181" i="28"/>
  <c r="U180" i="28"/>
  <c r="T180" i="28"/>
  <c r="S180" i="28"/>
  <c r="R180" i="28"/>
  <c r="Q180" i="28"/>
  <c r="P180" i="28"/>
  <c r="U179" i="28"/>
  <c r="T179" i="28"/>
  <c r="S179" i="28"/>
  <c r="R179" i="28"/>
  <c r="Q179" i="28"/>
  <c r="P179" i="28"/>
  <c r="U178" i="28"/>
  <c r="T178" i="28"/>
  <c r="S178" i="28"/>
  <c r="R178" i="28"/>
  <c r="Q178" i="28"/>
  <c r="P178" i="28"/>
  <c r="U177" i="28"/>
  <c r="T177" i="28"/>
  <c r="S177" i="28"/>
  <c r="R177" i="28"/>
  <c r="Q177" i="28"/>
  <c r="P177" i="28"/>
  <c r="U176" i="28"/>
  <c r="T176" i="28"/>
  <c r="S176" i="28"/>
  <c r="R176" i="28"/>
  <c r="Q176" i="28"/>
  <c r="P176" i="28"/>
  <c r="U175" i="28"/>
  <c r="T175" i="28"/>
  <c r="S175" i="28"/>
  <c r="R175" i="28"/>
  <c r="Q175" i="28"/>
  <c r="P175" i="28"/>
  <c r="U174" i="28"/>
  <c r="T174" i="28"/>
  <c r="S174" i="28"/>
  <c r="R174" i="28"/>
  <c r="Q174" i="28"/>
  <c r="P174" i="28"/>
  <c r="U173" i="28"/>
  <c r="T173" i="28"/>
  <c r="S173" i="28"/>
  <c r="R173" i="28"/>
  <c r="Q173" i="28"/>
  <c r="P173" i="28"/>
  <c r="U172" i="28"/>
  <c r="T172" i="28"/>
  <c r="S172" i="28"/>
  <c r="R172" i="28"/>
  <c r="Q172" i="28"/>
  <c r="P172" i="28"/>
  <c r="U171" i="28"/>
  <c r="T171" i="28"/>
  <c r="S171" i="28"/>
  <c r="R171" i="28"/>
  <c r="Q171" i="28"/>
  <c r="P171" i="28"/>
  <c r="U170" i="28"/>
  <c r="U184" i="28" s="1"/>
  <c r="T170" i="28"/>
  <c r="T184" i="28" s="1"/>
  <c r="S170" i="28"/>
  <c r="S184" i="28" s="1"/>
  <c r="R170" i="28"/>
  <c r="R184" i="28" s="1"/>
  <c r="Q170" i="28"/>
  <c r="P170" i="28"/>
  <c r="U169" i="28"/>
  <c r="T169" i="28"/>
  <c r="S169" i="28"/>
  <c r="R169" i="28"/>
  <c r="Q169" i="28"/>
  <c r="P169" i="28"/>
  <c r="U168" i="28"/>
  <c r="T168" i="28"/>
  <c r="S168" i="28"/>
  <c r="R168" i="28"/>
  <c r="Q168" i="28"/>
  <c r="P168" i="28"/>
  <c r="U167" i="28"/>
  <c r="T167" i="28"/>
  <c r="S167" i="28"/>
  <c r="R167" i="28"/>
  <c r="Q167" i="28"/>
  <c r="P167" i="28"/>
  <c r="M166" i="28"/>
  <c r="P165" i="28"/>
  <c r="M165" i="28"/>
  <c r="M164" i="28"/>
  <c r="M163" i="28"/>
  <c r="M161" i="28"/>
  <c r="R160" i="28"/>
  <c r="M160" i="28"/>
  <c r="U159" i="28"/>
  <c r="T159" i="28"/>
  <c r="S159" i="28"/>
  <c r="R159" i="28"/>
  <c r="Q159" i="28"/>
  <c r="P159" i="28"/>
  <c r="U158" i="28"/>
  <c r="T158" i="28"/>
  <c r="S158" i="28"/>
  <c r="R158" i="28"/>
  <c r="Q158" i="28"/>
  <c r="P158" i="28"/>
  <c r="U157" i="28"/>
  <c r="T157" i="28"/>
  <c r="S157" i="28"/>
  <c r="R157" i="28"/>
  <c r="Q157" i="28"/>
  <c r="P157" i="28"/>
  <c r="U156" i="28"/>
  <c r="T156" i="28"/>
  <c r="S156" i="28"/>
  <c r="R156" i="28"/>
  <c r="Q156" i="28"/>
  <c r="P156" i="28"/>
  <c r="U155" i="28"/>
  <c r="T155" i="28"/>
  <c r="S155" i="28"/>
  <c r="R155" i="28"/>
  <c r="Q155" i="28"/>
  <c r="P155" i="28"/>
  <c r="U154" i="28"/>
  <c r="T154" i="28"/>
  <c r="S154" i="28"/>
  <c r="R154" i="28"/>
  <c r="Q154" i="28"/>
  <c r="P154" i="28"/>
  <c r="U153" i="28"/>
  <c r="T153" i="28"/>
  <c r="S153" i="28"/>
  <c r="R153" i="28"/>
  <c r="Q153" i="28"/>
  <c r="P153" i="28"/>
  <c r="U152" i="28"/>
  <c r="T152" i="28"/>
  <c r="S152" i="28"/>
  <c r="R152" i="28"/>
  <c r="Q152" i="28"/>
  <c r="P152" i="28"/>
  <c r="U151" i="28"/>
  <c r="T151" i="28"/>
  <c r="S151" i="28"/>
  <c r="R151" i="28"/>
  <c r="Q151" i="28"/>
  <c r="P151" i="28"/>
  <c r="U150" i="28"/>
  <c r="T150" i="28"/>
  <c r="S150" i="28"/>
  <c r="R150" i="28"/>
  <c r="Q150" i="28"/>
  <c r="P150" i="28"/>
  <c r="U149" i="28"/>
  <c r="T149" i="28"/>
  <c r="S149" i="28"/>
  <c r="R149" i="28"/>
  <c r="Q149" i="28"/>
  <c r="P149" i="28"/>
  <c r="U148" i="28"/>
  <c r="T148" i="28"/>
  <c r="S148" i="28"/>
  <c r="R148" i="28"/>
  <c r="Q148" i="28"/>
  <c r="P148" i="28"/>
  <c r="U147" i="28"/>
  <c r="T147" i="28"/>
  <c r="S147" i="28"/>
  <c r="R147" i="28"/>
  <c r="Q147" i="28"/>
  <c r="P147" i="28"/>
  <c r="U146" i="28"/>
  <c r="U160" i="28" s="1"/>
  <c r="T146" i="28"/>
  <c r="T160" i="28" s="1"/>
  <c r="S146" i="28"/>
  <c r="S160" i="28" s="1"/>
  <c r="R146" i="28"/>
  <c r="Q146" i="28"/>
  <c r="P146" i="28"/>
  <c r="U145" i="28"/>
  <c r="T145" i="28"/>
  <c r="S145" i="28"/>
  <c r="R145" i="28"/>
  <c r="Q145" i="28"/>
  <c r="P145" i="28"/>
  <c r="U144" i="28"/>
  <c r="T144" i="28"/>
  <c r="S144" i="28"/>
  <c r="R144" i="28"/>
  <c r="Q144" i="28"/>
  <c r="P144" i="28"/>
  <c r="M143" i="28"/>
  <c r="P142" i="28"/>
  <c r="M142" i="28"/>
  <c r="M141" i="28"/>
  <c r="M140" i="28"/>
  <c r="M138" i="28"/>
  <c r="U137" i="28"/>
  <c r="M137" i="28"/>
  <c r="U136" i="28"/>
  <c r="T136" i="28"/>
  <c r="S136" i="28"/>
  <c r="R136" i="28"/>
  <c r="Q136" i="28"/>
  <c r="P136" i="28"/>
  <c r="U135" i="28"/>
  <c r="T135" i="28"/>
  <c r="S135" i="28"/>
  <c r="R135" i="28"/>
  <c r="Q135" i="28"/>
  <c r="P135" i="28"/>
  <c r="U134" i="28"/>
  <c r="T134" i="28"/>
  <c r="S134" i="28"/>
  <c r="R134" i="28"/>
  <c r="Q134" i="28"/>
  <c r="P134" i="28"/>
  <c r="U133" i="28"/>
  <c r="T133" i="28"/>
  <c r="S133" i="28"/>
  <c r="R133" i="28"/>
  <c r="Q133" i="28"/>
  <c r="P133" i="28"/>
  <c r="U132" i="28"/>
  <c r="T132" i="28"/>
  <c r="S132" i="28"/>
  <c r="R132" i="28"/>
  <c r="Q132" i="28"/>
  <c r="P132" i="28"/>
  <c r="U131" i="28"/>
  <c r="T131" i="28"/>
  <c r="S131" i="28"/>
  <c r="R131" i="28"/>
  <c r="Q131" i="28"/>
  <c r="P131" i="28"/>
  <c r="U130" i="28"/>
  <c r="T130" i="28"/>
  <c r="S130" i="28"/>
  <c r="R130" i="28"/>
  <c r="Q130" i="28"/>
  <c r="P130" i="28"/>
  <c r="U129" i="28"/>
  <c r="T129" i="28"/>
  <c r="S129" i="28"/>
  <c r="R129" i="28"/>
  <c r="Q129" i="28"/>
  <c r="P129" i="28"/>
  <c r="U128" i="28"/>
  <c r="T128" i="28"/>
  <c r="S128" i="28"/>
  <c r="R128" i="28"/>
  <c r="Q128" i="28"/>
  <c r="P128" i="28"/>
  <c r="U127" i="28"/>
  <c r="T127" i="28"/>
  <c r="S127" i="28"/>
  <c r="R127" i="28"/>
  <c r="Q127" i="28"/>
  <c r="P127" i="28"/>
  <c r="U126" i="28"/>
  <c r="T126" i="28"/>
  <c r="S126" i="28"/>
  <c r="S137" i="28" s="1"/>
  <c r="R126" i="28"/>
  <c r="Q126" i="28"/>
  <c r="P126" i="28"/>
  <c r="U125" i="28"/>
  <c r="T125" i="28"/>
  <c r="T137" i="28" s="1"/>
  <c r="S125" i="28"/>
  <c r="R125" i="28"/>
  <c r="Q125" i="28"/>
  <c r="P125" i="28"/>
  <c r="U124" i="28"/>
  <c r="T124" i="28"/>
  <c r="S124" i="28"/>
  <c r="R124" i="28"/>
  <c r="R137" i="28" s="1"/>
  <c r="Q124" i="28"/>
  <c r="P124" i="28"/>
  <c r="U123" i="28"/>
  <c r="T123" i="28"/>
  <c r="S123" i="28"/>
  <c r="R123" i="28"/>
  <c r="Q123" i="28"/>
  <c r="P123" i="28"/>
  <c r="U122" i="28"/>
  <c r="T122" i="28"/>
  <c r="S122" i="28"/>
  <c r="R122" i="28"/>
  <c r="Q122" i="28"/>
  <c r="P122" i="28"/>
  <c r="U121" i="28"/>
  <c r="T121" i="28"/>
  <c r="S121" i="28"/>
  <c r="R121" i="28"/>
  <c r="Q121" i="28"/>
  <c r="P121" i="28"/>
  <c r="M120" i="28"/>
  <c r="P119" i="28"/>
  <c r="M119" i="28"/>
  <c r="M118" i="28"/>
  <c r="M117" i="28"/>
  <c r="M115" i="28"/>
  <c r="M114" i="28"/>
  <c r="U113" i="28"/>
  <c r="T113" i="28"/>
  <c r="S113" i="28"/>
  <c r="R113" i="28"/>
  <c r="Q113" i="28"/>
  <c r="P113" i="28"/>
  <c r="U112" i="28"/>
  <c r="T112" i="28"/>
  <c r="S112" i="28"/>
  <c r="R112" i="28"/>
  <c r="Q112" i="28"/>
  <c r="P112" i="28"/>
  <c r="U111" i="28"/>
  <c r="T111" i="28"/>
  <c r="S111" i="28"/>
  <c r="R111" i="28"/>
  <c r="Q111" i="28"/>
  <c r="P111" i="28"/>
  <c r="U110" i="28"/>
  <c r="T110" i="28"/>
  <c r="S110" i="28"/>
  <c r="R110" i="28"/>
  <c r="Q110" i="28"/>
  <c r="P110" i="28"/>
  <c r="U109" i="28"/>
  <c r="T109" i="28"/>
  <c r="S109" i="28"/>
  <c r="R109" i="28"/>
  <c r="Q109" i="28"/>
  <c r="P109" i="28"/>
  <c r="U108" i="28"/>
  <c r="T108" i="28"/>
  <c r="S108" i="28"/>
  <c r="R108" i="28"/>
  <c r="Q108" i="28"/>
  <c r="P108" i="28"/>
  <c r="U107" i="28"/>
  <c r="T107" i="28"/>
  <c r="S107" i="28"/>
  <c r="R107" i="28"/>
  <c r="Q107" i="28"/>
  <c r="P107" i="28"/>
  <c r="U106" i="28"/>
  <c r="T106" i="28"/>
  <c r="S106" i="28"/>
  <c r="R106" i="28"/>
  <c r="Q106" i="28"/>
  <c r="P106" i="28"/>
  <c r="U105" i="28"/>
  <c r="T105" i="28"/>
  <c r="S105" i="28"/>
  <c r="R105" i="28"/>
  <c r="Q105" i="28"/>
  <c r="P105" i="28"/>
  <c r="U104" i="28"/>
  <c r="T104" i="28"/>
  <c r="S104" i="28"/>
  <c r="R104" i="28"/>
  <c r="Q104" i="28"/>
  <c r="P104" i="28"/>
  <c r="U103" i="28"/>
  <c r="T103" i="28"/>
  <c r="S103" i="28"/>
  <c r="R103" i="28"/>
  <c r="Q103" i="28"/>
  <c r="P103" i="28"/>
  <c r="U102" i="28"/>
  <c r="T102" i="28"/>
  <c r="S102" i="28"/>
  <c r="R102" i="28"/>
  <c r="Q102" i="28"/>
  <c r="P102" i="28"/>
  <c r="U101" i="28"/>
  <c r="U114" i="28" s="1"/>
  <c r="T101" i="28"/>
  <c r="S101" i="28"/>
  <c r="R101" i="28"/>
  <c r="Q101" i="28"/>
  <c r="P101" i="28"/>
  <c r="U100" i="28"/>
  <c r="T100" i="28"/>
  <c r="T114" i="28" s="1"/>
  <c r="S100" i="28"/>
  <c r="S114" i="28" s="1"/>
  <c r="R100" i="28"/>
  <c r="R114" i="28" s="1"/>
  <c r="Q100" i="28"/>
  <c r="P100" i="28"/>
  <c r="U99" i="28"/>
  <c r="T99" i="28"/>
  <c r="S99" i="28"/>
  <c r="R99" i="28"/>
  <c r="Q99" i="28"/>
  <c r="P99" i="28"/>
  <c r="U98" i="28"/>
  <c r="T98" i="28"/>
  <c r="S98" i="28"/>
  <c r="R98" i="28"/>
  <c r="Q98" i="28"/>
  <c r="P98" i="28"/>
  <c r="M97" i="28"/>
  <c r="P96" i="28"/>
  <c r="M96" i="28"/>
  <c r="M95" i="28"/>
  <c r="M94" i="28"/>
  <c r="M92" i="28"/>
  <c r="S91" i="28"/>
  <c r="M91" i="28"/>
  <c r="U90" i="28"/>
  <c r="T90" i="28"/>
  <c r="S90" i="28"/>
  <c r="R90" i="28"/>
  <c r="Q90" i="28"/>
  <c r="P90" i="28"/>
  <c r="U89" i="28"/>
  <c r="T89" i="28"/>
  <c r="S89" i="28"/>
  <c r="R89" i="28"/>
  <c r="Q89" i="28"/>
  <c r="P89" i="28"/>
  <c r="U88" i="28"/>
  <c r="T88" i="28"/>
  <c r="S88" i="28"/>
  <c r="R88" i="28"/>
  <c r="Q88" i="28"/>
  <c r="P88" i="28"/>
  <c r="U87" i="28"/>
  <c r="T87" i="28"/>
  <c r="S87" i="28"/>
  <c r="R87" i="28"/>
  <c r="Q87" i="28"/>
  <c r="P87" i="28"/>
  <c r="U86" i="28"/>
  <c r="T86" i="28"/>
  <c r="S86" i="28"/>
  <c r="R86" i="28"/>
  <c r="Q86" i="28"/>
  <c r="P86" i="28"/>
  <c r="U85" i="28"/>
  <c r="T85" i="28"/>
  <c r="S85" i="28"/>
  <c r="R85" i="28"/>
  <c r="Q85" i="28"/>
  <c r="P85" i="28"/>
  <c r="U84" i="28"/>
  <c r="T84" i="28"/>
  <c r="S84" i="28"/>
  <c r="R84" i="28"/>
  <c r="Q84" i="28"/>
  <c r="P84" i="28"/>
  <c r="U83" i="28"/>
  <c r="T83" i="28"/>
  <c r="S83" i="28"/>
  <c r="R83" i="28"/>
  <c r="Q83" i="28"/>
  <c r="P83" i="28"/>
  <c r="U82" i="28"/>
  <c r="T82" i="28"/>
  <c r="S82" i="28"/>
  <c r="R82" i="28"/>
  <c r="Q82" i="28"/>
  <c r="P82" i="28"/>
  <c r="U81" i="28"/>
  <c r="T81" i="28"/>
  <c r="S81" i="28"/>
  <c r="R81" i="28"/>
  <c r="Q81" i="28"/>
  <c r="P81" i="28"/>
  <c r="U80" i="28"/>
  <c r="T80" i="28"/>
  <c r="S80" i="28"/>
  <c r="R80" i="28"/>
  <c r="Q80" i="28"/>
  <c r="P80" i="28"/>
  <c r="U79" i="28"/>
  <c r="T79" i="28"/>
  <c r="S79" i="28"/>
  <c r="R79" i="28"/>
  <c r="Q79" i="28"/>
  <c r="P79" i="28"/>
  <c r="U78" i="28"/>
  <c r="T78" i="28"/>
  <c r="S78" i="28"/>
  <c r="R78" i="28"/>
  <c r="R91" i="28" s="1"/>
  <c r="Q78" i="28"/>
  <c r="P78" i="28"/>
  <c r="U77" i="28"/>
  <c r="U91" i="28" s="1"/>
  <c r="T77" i="28"/>
  <c r="T91" i="28" s="1"/>
  <c r="S77" i="28"/>
  <c r="R77" i="28"/>
  <c r="Q77" i="28"/>
  <c r="P77" i="28"/>
  <c r="U76" i="28"/>
  <c r="T76" i="28"/>
  <c r="S76" i="28"/>
  <c r="R76" i="28"/>
  <c r="Q76" i="28"/>
  <c r="P76" i="28"/>
  <c r="U75" i="28"/>
  <c r="T75" i="28"/>
  <c r="S75" i="28"/>
  <c r="R75" i="28"/>
  <c r="Q75" i="28"/>
  <c r="P75" i="28"/>
  <c r="M74" i="28"/>
  <c r="P73" i="28"/>
  <c r="M73" i="28"/>
  <c r="M72" i="28"/>
  <c r="M71" i="28"/>
  <c r="M69" i="28"/>
  <c r="M68" i="28"/>
  <c r="M67" i="28"/>
  <c r="U65" i="28"/>
  <c r="T65" i="28"/>
  <c r="S65" i="28"/>
  <c r="R65" i="28"/>
  <c r="Q65" i="28"/>
  <c r="P65" i="28"/>
  <c r="U64" i="28"/>
  <c r="T64" i="28"/>
  <c r="S64" i="28"/>
  <c r="R64" i="28"/>
  <c r="Q64" i="28"/>
  <c r="P64" i="28"/>
  <c r="U63" i="28"/>
  <c r="T63" i="28"/>
  <c r="S63" i="28"/>
  <c r="R63" i="28"/>
  <c r="Q63" i="28"/>
  <c r="P63" i="28"/>
  <c r="U62" i="28"/>
  <c r="T62" i="28"/>
  <c r="S62" i="28"/>
  <c r="R62" i="28"/>
  <c r="Q62" i="28"/>
  <c r="P62" i="28"/>
  <c r="U61" i="28"/>
  <c r="T61" i="28"/>
  <c r="S61" i="28"/>
  <c r="R61" i="28"/>
  <c r="Q61" i="28"/>
  <c r="P61" i="28"/>
  <c r="U60" i="28"/>
  <c r="T60" i="28"/>
  <c r="S60" i="28"/>
  <c r="R60" i="28"/>
  <c r="Q60" i="28"/>
  <c r="P60" i="28"/>
  <c r="U59" i="28"/>
  <c r="T59" i="28"/>
  <c r="S59" i="28"/>
  <c r="R59" i="28"/>
  <c r="Q59" i="28"/>
  <c r="P59" i="28"/>
  <c r="U58" i="28"/>
  <c r="T58" i="28"/>
  <c r="S58" i="28"/>
  <c r="R58" i="28"/>
  <c r="Q58" i="28"/>
  <c r="P58" i="28"/>
  <c r="U57" i="28"/>
  <c r="T57" i="28"/>
  <c r="S57" i="28"/>
  <c r="R57" i="28"/>
  <c r="Q57" i="28"/>
  <c r="P57" i="28"/>
  <c r="U56" i="28"/>
  <c r="T56" i="28"/>
  <c r="S56" i="28"/>
  <c r="R56" i="28"/>
  <c r="Q56" i="28"/>
  <c r="P56" i="28"/>
  <c r="U55" i="28"/>
  <c r="U66" i="28" s="1"/>
  <c r="T55" i="28"/>
  <c r="S55" i="28"/>
  <c r="R55" i="28"/>
  <c r="Q55" i="28"/>
  <c r="P55" i="28"/>
  <c r="U54" i="28"/>
  <c r="T54" i="28"/>
  <c r="S54" i="28"/>
  <c r="R54" i="28"/>
  <c r="Q54" i="28"/>
  <c r="P54" i="28"/>
  <c r="U53" i="28"/>
  <c r="T53" i="28"/>
  <c r="S53" i="28"/>
  <c r="R53" i="28"/>
  <c r="Q53" i="28"/>
  <c r="P53" i="28"/>
  <c r="U52" i="28"/>
  <c r="T52" i="28"/>
  <c r="T66" i="28" s="1"/>
  <c r="S52" i="28"/>
  <c r="S66" i="28" s="1"/>
  <c r="R52" i="28"/>
  <c r="R66" i="28" s="1"/>
  <c r="Q52" i="28"/>
  <c r="P52" i="28"/>
  <c r="M51" i="28"/>
  <c r="P50" i="28"/>
  <c r="M50" i="28"/>
  <c r="M49" i="28"/>
  <c r="M48" i="28"/>
  <c r="M46" i="28"/>
  <c r="U43" i="28"/>
  <c r="T43" i="28"/>
  <c r="S43" i="28"/>
  <c r="R43" i="28"/>
  <c r="Q43" i="28"/>
  <c r="P43" i="28"/>
  <c r="U42" i="28"/>
  <c r="T42" i="28"/>
  <c r="S42" i="28"/>
  <c r="R42" i="28"/>
  <c r="Q42" i="28"/>
  <c r="P42" i="28"/>
  <c r="U41" i="28"/>
  <c r="T41" i="28"/>
  <c r="S41" i="28"/>
  <c r="R41" i="28"/>
  <c r="Q41" i="28"/>
  <c r="P41" i="28"/>
  <c r="U40" i="28"/>
  <c r="T40" i="28"/>
  <c r="S40" i="28"/>
  <c r="R40" i="28"/>
  <c r="Q40" i="28"/>
  <c r="P40" i="28"/>
  <c r="U39" i="28"/>
  <c r="T39" i="28"/>
  <c r="S39" i="28"/>
  <c r="R39" i="28"/>
  <c r="Q39" i="28"/>
  <c r="P39" i="28"/>
  <c r="U38" i="28"/>
  <c r="T38" i="28"/>
  <c r="S38" i="28"/>
  <c r="R38" i="28"/>
  <c r="Q38" i="28"/>
  <c r="P38" i="28"/>
  <c r="U37" i="28"/>
  <c r="T37" i="28"/>
  <c r="S37" i="28"/>
  <c r="R37" i="28"/>
  <c r="Q37" i="28"/>
  <c r="P37" i="28"/>
  <c r="U36" i="28"/>
  <c r="T36" i="28"/>
  <c r="S36" i="28"/>
  <c r="R36" i="28"/>
  <c r="Q36" i="28"/>
  <c r="P36" i="28"/>
  <c r="U35" i="28"/>
  <c r="T35" i="28"/>
  <c r="S35" i="28"/>
  <c r="R35" i="28"/>
  <c r="Q35" i="28"/>
  <c r="P35" i="28"/>
  <c r="U34" i="28"/>
  <c r="T34" i="28"/>
  <c r="S34" i="28"/>
  <c r="R34" i="28"/>
  <c r="Q34" i="28"/>
  <c r="P34" i="28"/>
  <c r="U33" i="28"/>
  <c r="T33" i="28"/>
  <c r="S33" i="28"/>
  <c r="R33" i="28"/>
  <c r="Q33" i="28"/>
  <c r="P33" i="28"/>
  <c r="U32" i="28"/>
  <c r="T32" i="28"/>
  <c r="S32" i="28"/>
  <c r="R32" i="28"/>
  <c r="Q32" i="28"/>
  <c r="P32" i="28"/>
  <c r="U31" i="28"/>
  <c r="T31" i="28"/>
  <c r="S31" i="28"/>
  <c r="R31" i="28"/>
  <c r="Q31" i="28"/>
  <c r="P31" i="28"/>
  <c r="U30" i="28"/>
  <c r="T30" i="28"/>
  <c r="S30" i="28"/>
  <c r="R30" i="28"/>
  <c r="Q30" i="28"/>
  <c r="P30" i="28"/>
  <c r="U29" i="28"/>
  <c r="U44" i="28" s="1"/>
  <c r="T29" i="28"/>
  <c r="T44" i="28" s="1"/>
  <c r="S29" i="28"/>
  <c r="S44" i="28" s="1"/>
  <c r="R29" i="28"/>
  <c r="R44" i="28" s="1"/>
  <c r="Q29" i="28"/>
  <c r="P29" i="28"/>
  <c r="P27" i="28"/>
  <c r="U252" i="51"/>
  <c r="T252" i="51"/>
  <c r="S252" i="51"/>
  <c r="R252" i="51"/>
  <c r="P252" i="51"/>
  <c r="O252" i="51"/>
  <c r="N252" i="51"/>
  <c r="M252" i="51"/>
  <c r="L252" i="51"/>
  <c r="K252" i="51"/>
  <c r="U251" i="51"/>
  <c r="T251" i="51"/>
  <c r="S251" i="51"/>
  <c r="R251" i="51"/>
  <c r="P251" i="51"/>
  <c r="O251" i="51"/>
  <c r="N251" i="51"/>
  <c r="M251" i="51"/>
  <c r="L251" i="51"/>
  <c r="K251" i="51"/>
  <c r="U250" i="51"/>
  <c r="T250" i="51"/>
  <c r="S250" i="51"/>
  <c r="R250" i="51"/>
  <c r="P250" i="51"/>
  <c r="O250" i="51"/>
  <c r="N250" i="51"/>
  <c r="M250" i="51"/>
  <c r="L250" i="51"/>
  <c r="K250" i="51"/>
  <c r="U249" i="51"/>
  <c r="T249" i="51"/>
  <c r="S249" i="51"/>
  <c r="R249" i="51"/>
  <c r="P249" i="51"/>
  <c r="O249" i="51"/>
  <c r="N249" i="51"/>
  <c r="M249" i="51"/>
  <c r="L249" i="51"/>
  <c r="K249" i="51"/>
  <c r="U248" i="51"/>
  <c r="T248" i="51"/>
  <c r="S248" i="51"/>
  <c r="R248" i="51"/>
  <c r="P248" i="51"/>
  <c r="O248" i="51"/>
  <c r="N248" i="51"/>
  <c r="M248" i="51"/>
  <c r="L248" i="51"/>
  <c r="K248" i="51"/>
  <c r="U247" i="51"/>
  <c r="T247" i="51"/>
  <c r="S247" i="51"/>
  <c r="R247" i="51"/>
  <c r="P247" i="51"/>
  <c r="O247" i="51"/>
  <c r="N247" i="51"/>
  <c r="M247" i="51"/>
  <c r="L247" i="51"/>
  <c r="K247" i="51"/>
  <c r="U246" i="51"/>
  <c r="T246" i="51"/>
  <c r="S246" i="51"/>
  <c r="R246" i="51"/>
  <c r="P246" i="51"/>
  <c r="O246" i="51"/>
  <c r="N246" i="51"/>
  <c r="M246" i="51"/>
  <c r="L246" i="51"/>
  <c r="K246" i="51"/>
  <c r="U245" i="51"/>
  <c r="T245" i="51"/>
  <c r="S245" i="51"/>
  <c r="R245" i="51"/>
  <c r="P245" i="51"/>
  <c r="O245" i="51"/>
  <c r="N245" i="51"/>
  <c r="M245" i="51"/>
  <c r="L245" i="51"/>
  <c r="K245" i="51"/>
  <c r="U244" i="51"/>
  <c r="T244" i="51"/>
  <c r="S244" i="51"/>
  <c r="R244" i="51"/>
  <c r="P244" i="51"/>
  <c r="O244" i="51"/>
  <c r="N244" i="51"/>
  <c r="M244" i="51"/>
  <c r="L244" i="51"/>
  <c r="K244" i="51"/>
  <c r="U243" i="51"/>
  <c r="T243" i="51"/>
  <c r="S243" i="51"/>
  <c r="R243" i="51"/>
  <c r="P243" i="51"/>
  <c r="O243" i="51"/>
  <c r="N243" i="51"/>
  <c r="M243" i="51"/>
  <c r="L243" i="51"/>
  <c r="K243" i="51"/>
  <c r="U242" i="51"/>
  <c r="T242" i="51"/>
  <c r="S242" i="51"/>
  <c r="R242" i="51"/>
  <c r="P242" i="51"/>
  <c r="O242" i="51"/>
  <c r="N242" i="51"/>
  <c r="M242" i="51"/>
  <c r="L242" i="51"/>
  <c r="K242" i="51"/>
  <c r="U241" i="51"/>
  <c r="T241" i="51"/>
  <c r="S241" i="51"/>
  <c r="R241" i="51"/>
  <c r="P241" i="51"/>
  <c r="O241" i="51"/>
  <c r="N241" i="51"/>
  <c r="M241" i="51"/>
  <c r="L241" i="51"/>
  <c r="K241" i="51"/>
  <c r="U240" i="51"/>
  <c r="T240" i="51"/>
  <c r="S240" i="51"/>
  <c r="R240" i="51"/>
  <c r="P240" i="51"/>
  <c r="O240" i="51"/>
  <c r="N240" i="51"/>
  <c r="M240" i="51"/>
  <c r="L240" i="51"/>
  <c r="K240" i="51"/>
  <c r="U239" i="51"/>
  <c r="T239" i="51"/>
  <c r="S239" i="51"/>
  <c r="R239" i="51"/>
  <c r="P239" i="51"/>
  <c r="O239" i="51"/>
  <c r="N239" i="51"/>
  <c r="M239" i="51"/>
  <c r="L239" i="51"/>
  <c r="K239" i="51"/>
  <c r="U238" i="51"/>
  <c r="T238" i="51"/>
  <c r="S238" i="51"/>
  <c r="R238" i="51"/>
  <c r="P238" i="51"/>
  <c r="O238" i="51"/>
  <c r="N238" i="51"/>
  <c r="N253" i="51" s="1"/>
  <c r="M238" i="51"/>
  <c r="L238" i="51"/>
  <c r="K238" i="51"/>
  <c r="R236" i="51"/>
  <c r="K236" i="51"/>
  <c r="U230" i="51"/>
  <c r="T230" i="51"/>
  <c r="S230" i="51"/>
  <c r="R230" i="51"/>
  <c r="P230" i="51"/>
  <c r="O230" i="51"/>
  <c r="N230" i="51"/>
  <c r="M230" i="51"/>
  <c r="L230" i="51"/>
  <c r="K230" i="51"/>
  <c r="U229" i="51"/>
  <c r="T229" i="51"/>
  <c r="S229" i="51"/>
  <c r="R229" i="51"/>
  <c r="P229" i="51"/>
  <c r="O229" i="51"/>
  <c r="N229" i="51"/>
  <c r="M229" i="51"/>
  <c r="L229" i="51"/>
  <c r="K229" i="51"/>
  <c r="U228" i="51"/>
  <c r="T228" i="51"/>
  <c r="S228" i="51"/>
  <c r="R228" i="51"/>
  <c r="P228" i="51"/>
  <c r="O228" i="51"/>
  <c r="N228" i="51"/>
  <c r="M228" i="51"/>
  <c r="L228" i="51"/>
  <c r="K228" i="51"/>
  <c r="U227" i="51"/>
  <c r="T227" i="51"/>
  <c r="S227" i="51"/>
  <c r="R227" i="51"/>
  <c r="P227" i="51"/>
  <c r="O227" i="51"/>
  <c r="N227" i="51"/>
  <c r="M227" i="51"/>
  <c r="L227" i="51"/>
  <c r="K227" i="51"/>
  <c r="U226" i="51"/>
  <c r="T226" i="51"/>
  <c r="S226" i="51"/>
  <c r="R226" i="51"/>
  <c r="P226" i="51"/>
  <c r="O226" i="51"/>
  <c r="N226" i="51"/>
  <c r="M226" i="51"/>
  <c r="L226" i="51"/>
  <c r="K226" i="51"/>
  <c r="U225" i="51"/>
  <c r="T225" i="51"/>
  <c r="S225" i="51"/>
  <c r="R225" i="51"/>
  <c r="P225" i="51"/>
  <c r="O225" i="51"/>
  <c r="N225" i="51"/>
  <c r="M225" i="51"/>
  <c r="L225" i="51"/>
  <c r="K225" i="51"/>
  <c r="U224" i="51"/>
  <c r="T224" i="51"/>
  <c r="S224" i="51"/>
  <c r="R224" i="51"/>
  <c r="P224" i="51"/>
  <c r="O224" i="51"/>
  <c r="N224" i="51"/>
  <c r="M224" i="51"/>
  <c r="L224" i="51"/>
  <c r="K224" i="51"/>
  <c r="U223" i="51"/>
  <c r="T223" i="51"/>
  <c r="S223" i="51"/>
  <c r="R223" i="51"/>
  <c r="P223" i="51"/>
  <c r="O223" i="51"/>
  <c r="N223" i="51"/>
  <c r="M223" i="51"/>
  <c r="L223" i="51"/>
  <c r="K223" i="51"/>
  <c r="U222" i="51"/>
  <c r="T222" i="51"/>
  <c r="S222" i="51"/>
  <c r="R222" i="51"/>
  <c r="P222" i="51"/>
  <c r="O222" i="51"/>
  <c r="N222" i="51"/>
  <c r="N233" i="51" s="1"/>
  <c r="M222" i="51"/>
  <c r="L222" i="51"/>
  <c r="K222" i="51"/>
  <c r="U221" i="51"/>
  <c r="T221" i="51"/>
  <c r="S221" i="51"/>
  <c r="R221" i="51"/>
  <c r="P221" i="51"/>
  <c r="O221" i="51"/>
  <c r="N221" i="51"/>
  <c r="M221" i="51"/>
  <c r="L221" i="51"/>
  <c r="K221" i="51"/>
  <c r="U220" i="51"/>
  <c r="T220" i="51"/>
  <c r="S220" i="51"/>
  <c r="R220" i="51"/>
  <c r="P220" i="51"/>
  <c r="O220" i="51"/>
  <c r="N220" i="51"/>
  <c r="M220" i="51"/>
  <c r="L220" i="51"/>
  <c r="K220" i="51"/>
  <c r="U219" i="51"/>
  <c r="T219" i="51"/>
  <c r="S219" i="51"/>
  <c r="R219" i="51"/>
  <c r="P219" i="51"/>
  <c r="O219" i="51"/>
  <c r="N219" i="51"/>
  <c r="M219" i="51"/>
  <c r="L219" i="51"/>
  <c r="K219" i="51"/>
  <c r="U218" i="51"/>
  <c r="T218" i="51"/>
  <c r="S218" i="51"/>
  <c r="R218" i="51"/>
  <c r="P218" i="51"/>
  <c r="O218" i="51"/>
  <c r="N218" i="51"/>
  <c r="M218" i="51"/>
  <c r="L218" i="51"/>
  <c r="K218" i="51"/>
  <c r="U217" i="51"/>
  <c r="T217" i="51"/>
  <c r="S217" i="51"/>
  <c r="R217" i="51"/>
  <c r="P217" i="51"/>
  <c r="O217" i="51"/>
  <c r="N217" i="51"/>
  <c r="M217" i="51"/>
  <c r="L217" i="51"/>
  <c r="K217" i="51"/>
  <c r="U216" i="51"/>
  <c r="U233" i="51" s="1"/>
  <c r="T216" i="51"/>
  <c r="S216" i="51"/>
  <c r="R216" i="51"/>
  <c r="P216" i="51"/>
  <c r="O216" i="51"/>
  <c r="N216" i="51"/>
  <c r="M216" i="51"/>
  <c r="L216" i="51"/>
  <c r="K216" i="51"/>
  <c r="U215" i="51"/>
  <c r="U232" i="51" s="1"/>
  <c r="T215" i="51"/>
  <c r="S215" i="51"/>
  <c r="R215" i="51"/>
  <c r="P215" i="51"/>
  <c r="O215" i="51"/>
  <c r="N215" i="51"/>
  <c r="M215" i="51"/>
  <c r="L215" i="51"/>
  <c r="K215" i="51"/>
  <c r="R213" i="51"/>
  <c r="K213" i="51"/>
  <c r="U202" i="51"/>
  <c r="T202" i="51"/>
  <c r="S202" i="51"/>
  <c r="R202" i="51"/>
  <c r="P202" i="51"/>
  <c r="O202" i="51"/>
  <c r="N202" i="51"/>
  <c r="M202" i="51"/>
  <c r="L202" i="51"/>
  <c r="K202" i="51"/>
  <c r="U201" i="51"/>
  <c r="T201" i="51"/>
  <c r="S201" i="51"/>
  <c r="R201" i="51"/>
  <c r="P201" i="51"/>
  <c r="O201" i="51"/>
  <c r="N201" i="51"/>
  <c r="M201" i="51"/>
  <c r="L201" i="51"/>
  <c r="K201" i="51"/>
  <c r="U200" i="51"/>
  <c r="T200" i="51"/>
  <c r="S200" i="51"/>
  <c r="R200" i="51"/>
  <c r="P200" i="51"/>
  <c r="O200" i="51"/>
  <c r="N200" i="51"/>
  <c r="M200" i="51"/>
  <c r="L200" i="51"/>
  <c r="K200" i="51"/>
  <c r="U199" i="51"/>
  <c r="T199" i="51"/>
  <c r="T204" i="51" s="1"/>
  <c r="S199" i="51"/>
  <c r="R199" i="51"/>
  <c r="P199" i="51"/>
  <c r="O199" i="51"/>
  <c r="N199" i="51"/>
  <c r="M199" i="51"/>
  <c r="L199" i="51"/>
  <c r="K199" i="51"/>
  <c r="U198" i="51"/>
  <c r="T198" i="51"/>
  <c r="S198" i="51"/>
  <c r="R198" i="51"/>
  <c r="P198" i="51"/>
  <c r="O198" i="51"/>
  <c r="N198" i="51"/>
  <c r="M198" i="51"/>
  <c r="L198" i="51"/>
  <c r="K198" i="51"/>
  <c r="U197" i="51"/>
  <c r="T197" i="51"/>
  <c r="S197" i="51"/>
  <c r="R197" i="51"/>
  <c r="P197" i="51"/>
  <c r="O197" i="51"/>
  <c r="N197" i="51"/>
  <c r="M197" i="51"/>
  <c r="L197" i="51"/>
  <c r="K197" i="51"/>
  <c r="U196" i="51"/>
  <c r="T196" i="51"/>
  <c r="S196" i="51"/>
  <c r="R196" i="51"/>
  <c r="P196" i="51"/>
  <c r="O196" i="51"/>
  <c r="N196" i="51"/>
  <c r="M196" i="51"/>
  <c r="L196" i="51"/>
  <c r="K196" i="51"/>
  <c r="U195" i="51"/>
  <c r="T195" i="51"/>
  <c r="S195" i="51"/>
  <c r="R195" i="51"/>
  <c r="P195" i="51"/>
  <c r="O195" i="51"/>
  <c r="N195" i="51"/>
  <c r="M195" i="51"/>
  <c r="L195" i="51"/>
  <c r="K195" i="51"/>
  <c r="U194" i="51"/>
  <c r="T194" i="51"/>
  <c r="S194" i="51"/>
  <c r="R194" i="51"/>
  <c r="P194" i="51"/>
  <c r="O194" i="51"/>
  <c r="O205" i="51" s="1"/>
  <c r="N194" i="51"/>
  <c r="M194" i="51"/>
  <c r="L194" i="51"/>
  <c r="K194" i="51"/>
  <c r="U193" i="51"/>
  <c r="T193" i="51"/>
  <c r="S193" i="51"/>
  <c r="R193" i="51"/>
  <c r="P193" i="51"/>
  <c r="O193" i="51"/>
  <c r="N193" i="51"/>
  <c r="M193" i="51"/>
  <c r="L193" i="51"/>
  <c r="K193" i="51"/>
  <c r="U192" i="51"/>
  <c r="T192" i="51"/>
  <c r="T205" i="51" s="1"/>
  <c r="S192" i="51"/>
  <c r="R192" i="51"/>
  <c r="P192" i="51"/>
  <c r="O192" i="51"/>
  <c r="N192" i="51"/>
  <c r="M192" i="51"/>
  <c r="L192" i="51"/>
  <c r="K192" i="51"/>
  <c r="R190" i="51"/>
  <c r="K190" i="51"/>
  <c r="U184" i="51"/>
  <c r="T184" i="51"/>
  <c r="S184" i="51"/>
  <c r="R184" i="51"/>
  <c r="P184" i="51"/>
  <c r="O184" i="51"/>
  <c r="N184" i="51"/>
  <c r="M184" i="51"/>
  <c r="L184" i="51"/>
  <c r="K184" i="51"/>
  <c r="U183" i="51"/>
  <c r="T183" i="51"/>
  <c r="S183" i="51"/>
  <c r="R183" i="51"/>
  <c r="P183" i="51"/>
  <c r="O183" i="51"/>
  <c r="N183" i="51"/>
  <c r="M183" i="51"/>
  <c r="L183" i="51"/>
  <c r="K183" i="51"/>
  <c r="U182" i="51"/>
  <c r="T182" i="51"/>
  <c r="S182" i="51"/>
  <c r="R182" i="51"/>
  <c r="P182" i="51"/>
  <c r="O182" i="51"/>
  <c r="N182" i="51"/>
  <c r="M182" i="51"/>
  <c r="L182" i="51"/>
  <c r="K182" i="51"/>
  <c r="U181" i="51"/>
  <c r="T181" i="51"/>
  <c r="S181" i="51"/>
  <c r="R181" i="51"/>
  <c r="P181" i="51"/>
  <c r="O181" i="51"/>
  <c r="N181" i="51"/>
  <c r="M181" i="51"/>
  <c r="L181" i="51"/>
  <c r="K181" i="51"/>
  <c r="U180" i="51"/>
  <c r="T180" i="51"/>
  <c r="S180" i="51"/>
  <c r="R180" i="51"/>
  <c r="P180" i="51"/>
  <c r="O180" i="51"/>
  <c r="N180" i="51"/>
  <c r="M180" i="51"/>
  <c r="L180" i="51"/>
  <c r="K180" i="51"/>
  <c r="U179" i="51"/>
  <c r="T179" i="51"/>
  <c r="S179" i="51"/>
  <c r="R179" i="51"/>
  <c r="P179" i="51"/>
  <c r="O179" i="51"/>
  <c r="N179" i="51"/>
  <c r="M179" i="51"/>
  <c r="L179" i="51"/>
  <c r="K179" i="51"/>
  <c r="U178" i="51"/>
  <c r="T178" i="51"/>
  <c r="S178" i="51"/>
  <c r="R178" i="51"/>
  <c r="P178" i="51"/>
  <c r="O178" i="51"/>
  <c r="N178" i="51"/>
  <c r="M178" i="51"/>
  <c r="L178" i="51"/>
  <c r="K178" i="51"/>
  <c r="U177" i="51"/>
  <c r="T177" i="51"/>
  <c r="S177" i="51"/>
  <c r="R177" i="51"/>
  <c r="P177" i="51"/>
  <c r="O177" i="51"/>
  <c r="N177" i="51"/>
  <c r="M177" i="51"/>
  <c r="L177" i="51"/>
  <c r="K177" i="51"/>
  <c r="U176" i="51"/>
  <c r="T176" i="51"/>
  <c r="S176" i="51"/>
  <c r="R176" i="51"/>
  <c r="P176" i="51"/>
  <c r="O176" i="51"/>
  <c r="N176" i="51"/>
  <c r="M176" i="51"/>
  <c r="L176" i="51"/>
  <c r="K176" i="51"/>
  <c r="U175" i="51"/>
  <c r="T175" i="51"/>
  <c r="S175" i="51"/>
  <c r="R175" i="51"/>
  <c r="P175" i="51"/>
  <c r="O175" i="51"/>
  <c r="N175" i="51"/>
  <c r="M175" i="51"/>
  <c r="L175" i="51"/>
  <c r="K175" i="51"/>
  <c r="U174" i="51"/>
  <c r="T174" i="51"/>
  <c r="S174" i="51"/>
  <c r="R174" i="51"/>
  <c r="P174" i="51"/>
  <c r="O174" i="51"/>
  <c r="N174" i="51"/>
  <c r="M174" i="51"/>
  <c r="L174" i="51"/>
  <c r="K174" i="51"/>
  <c r="U173" i="51"/>
  <c r="T173" i="51"/>
  <c r="S173" i="51"/>
  <c r="R173" i="51"/>
  <c r="P173" i="51"/>
  <c r="O173" i="51"/>
  <c r="N173" i="51"/>
  <c r="M173" i="51"/>
  <c r="L173" i="51"/>
  <c r="K173" i="51"/>
  <c r="U172" i="51"/>
  <c r="T172" i="51"/>
  <c r="S172" i="51"/>
  <c r="R172" i="51"/>
  <c r="P172" i="51"/>
  <c r="O172" i="51"/>
  <c r="N172" i="51"/>
  <c r="M172" i="51"/>
  <c r="L172" i="51"/>
  <c r="K172" i="51"/>
  <c r="U171" i="51"/>
  <c r="T171" i="51"/>
  <c r="S171" i="51"/>
  <c r="R171" i="51"/>
  <c r="P171" i="51"/>
  <c r="P186" i="51" s="1"/>
  <c r="O171" i="51"/>
  <c r="N171" i="51"/>
  <c r="M171" i="51"/>
  <c r="L171" i="51"/>
  <c r="K171" i="51"/>
  <c r="U170" i="51"/>
  <c r="T170" i="51"/>
  <c r="S170" i="51"/>
  <c r="R170" i="51"/>
  <c r="P170" i="51"/>
  <c r="O170" i="51"/>
  <c r="N170" i="51"/>
  <c r="M170" i="51"/>
  <c r="L170" i="51"/>
  <c r="K170" i="51"/>
  <c r="U169" i="51"/>
  <c r="T169" i="51"/>
  <c r="S169" i="51"/>
  <c r="R169" i="51"/>
  <c r="P169" i="51"/>
  <c r="O169" i="51"/>
  <c r="N169" i="51"/>
  <c r="M169" i="51"/>
  <c r="L169" i="51"/>
  <c r="K169" i="51"/>
  <c r="R167" i="51"/>
  <c r="K167" i="51"/>
  <c r="U161" i="51"/>
  <c r="T161" i="51"/>
  <c r="S161" i="51"/>
  <c r="R161" i="51"/>
  <c r="P161" i="51"/>
  <c r="O161" i="51"/>
  <c r="N161" i="51"/>
  <c r="M161" i="51"/>
  <c r="L161" i="51"/>
  <c r="K161" i="51"/>
  <c r="U160" i="51"/>
  <c r="T160" i="51"/>
  <c r="S160" i="51"/>
  <c r="R160" i="51"/>
  <c r="P160" i="51"/>
  <c r="O160" i="51"/>
  <c r="N160" i="51"/>
  <c r="M160" i="51"/>
  <c r="L160" i="51"/>
  <c r="K160" i="51"/>
  <c r="W159" i="51"/>
  <c r="U159" i="51"/>
  <c r="T159" i="51"/>
  <c r="S159" i="51"/>
  <c r="R159" i="51"/>
  <c r="P159" i="51"/>
  <c r="O159" i="51"/>
  <c r="N159" i="51"/>
  <c r="M159" i="51"/>
  <c r="L159" i="51"/>
  <c r="K159" i="51"/>
  <c r="U158" i="51"/>
  <c r="T158" i="51"/>
  <c r="S158" i="51"/>
  <c r="R158" i="51"/>
  <c r="P158" i="51"/>
  <c r="O158" i="51"/>
  <c r="N158" i="51"/>
  <c r="M158" i="51"/>
  <c r="L158" i="51"/>
  <c r="K158" i="51"/>
  <c r="U157" i="51"/>
  <c r="T157" i="51"/>
  <c r="S157" i="51"/>
  <c r="R157" i="51"/>
  <c r="P157" i="51"/>
  <c r="O157" i="51"/>
  <c r="N157" i="51"/>
  <c r="M157" i="51"/>
  <c r="L157" i="51"/>
  <c r="K157" i="51"/>
  <c r="U156" i="51"/>
  <c r="T156" i="51"/>
  <c r="S156" i="51"/>
  <c r="R156" i="51"/>
  <c r="P156" i="51"/>
  <c r="O156" i="51"/>
  <c r="N156" i="51"/>
  <c r="M156" i="51"/>
  <c r="L156" i="51"/>
  <c r="K156" i="51"/>
  <c r="U155" i="51"/>
  <c r="T155" i="51"/>
  <c r="S155" i="51"/>
  <c r="R155" i="51"/>
  <c r="P155" i="51"/>
  <c r="O155" i="51"/>
  <c r="N155" i="51"/>
  <c r="M155" i="51"/>
  <c r="L155" i="51"/>
  <c r="K155" i="51"/>
  <c r="U154" i="51"/>
  <c r="T154" i="51"/>
  <c r="S154" i="51"/>
  <c r="R154" i="51"/>
  <c r="P154" i="51"/>
  <c r="O154" i="51"/>
  <c r="N154" i="51"/>
  <c r="M154" i="51"/>
  <c r="L154" i="51"/>
  <c r="K154" i="51"/>
  <c r="U153" i="51"/>
  <c r="T153" i="51"/>
  <c r="S153" i="51"/>
  <c r="R153" i="51"/>
  <c r="P153" i="51"/>
  <c r="O153" i="51"/>
  <c r="N153" i="51"/>
  <c r="M153" i="51"/>
  <c r="L153" i="51"/>
  <c r="K153" i="51"/>
  <c r="U152" i="51"/>
  <c r="T152" i="51"/>
  <c r="S152" i="51"/>
  <c r="R152" i="51"/>
  <c r="P152" i="51"/>
  <c r="O152" i="51"/>
  <c r="N152" i="51"/>
  <c r="M152" i="51"/>
  <c r="L152" i="51"/>
  <c r="K152" i="51"/>
  <c r="U151" i="51"/>
  <c r="T151" i="51"/>
  <c r="S151" i="51"/>
  <c r="R151" i="51"/>
  <c r="P151" i="51"/>
  <c r="O151" i="51"/>
  <c r="N151" i="51"/>
  <c r="M151" i="51"/>
  <c r="L151" i="51"/>
  <c r="K151" i="51"/>
  <c r="U150" i="51"/>
  <c r="T150" i="51"/>
  <c r="S150" i="51"/>
  <c r="R150" i="51"/>
  <c r="P150" i="51"/>
  <c r="O150" i="51"/>
  <c r="N150" i="51"/>
  <c r="M150" i="51"/>
  <c r="L150" i="51"/>
  <c r="K150" i="51"/>
  <c r="U149" i="51"/>
  <c r="T149" i="51"/>
  <c r="S149" i="51"/>
  <c r="R149" i="51"/>
  <c r="P149" i="51"/>
  <c r="O149" i="51"/>
  <c r="N149" i="51"/>
  <c r="M149" i="51"/>
  <c r="L149" i="51"/>
  <c r="K149" i="51"/>
  <c r="U148" i="51"/>
  <c r="T148" i="51"/>
  <c r="S148" i="51"/>
  <c r="R148" i="51"/>
  <c r="P148" i="51"/>
  <c r="O148" i="51"/>
  <c r="N148" i="51"/>
  <c r="M148" i="51"/>
  <c r="L148" i="51"/>
  <c r="K148" i="51"/>
  <c r="U147" i="51"/>
  <c r="T147" i="51"/>
  <c r="S147" i="51"/>
  <c r="R147" i="51"/>
  <c r="P147" i="51"/>
  <c r="O147" i="51"/>
  <c r="N147" i="51"/>
  <c r="M147" i="51"/>
  <c r="L147" i="51"/>
  <c r="K147" i="51"/>
  <c r="U146" i="51"/>
  <c r="T146" i="51"/>
  <c r="S146" i="51"/>
  <c r="R146" i="51"/>
  <c r="P146" i="51"/>
  <c r="O146" i="51"/>
  <c r="O164" i="51" s="1"/>
  <c r="N146" i="51"/>
  <c r="M146" i="51"/>
  <c r="L146" i="51"/>
  <c r="K146" i="51"/>
  <c r="R144" i="51"/>
  <c r="K144" i="51"/>
  <c r="U139" i="51"/>
  <c r="U137" i="51"/>
  <c r="T137" i="51"/>
  <c r="S137" i="51"/>
  <c r="R137" i="51"/>
  <c r="P137" i="51"/>
  <c r="O137" i="51"/>
  <c r="N137" i="51"/>
  <c r="M137" i="51"/>
  <c r="L137" i="51"/>
  <c r="K137" i="51"/>
  <c r="U136" i="51"/>
  <c r="T136" i="51"/>
  <c r="S136" i="51"/>
  <c r="R136" i="51"/>
  <c r="P136" i="51"/>
  <c r="O136" i="51"/>
  <c r="N136" i="51"/>
  <c r="M136" i="51"/>
  <c r="L136" i="51"/>
  <c r="K136" i="51"/>
  <c r="U135" i="51"/>
  <c r="T135" i="51"/>
  <c r="S135" i="51"/>
  <c r="R135" i="51"/>
  <c r="P135" i="51"/>
  <c r="O135" i="51"/>
  <c r="N135" i="51"/>
  <c r="M135" i="51"/>
  <c r="L135" i="51"/>
  <c r="K135" i="51"/>
  <c r="U134" i="51"/>
  <c r="T134" i="51"/>
  <c r="S134" i="51"/>
  <c r="R134" i="51"/>
  <c r="P134" i="51"/>
  <c r="O134" i="51"/>
  <c r="N134" i="51"/>
  <c r="M134" i="51"/>
  <c r="L134" i="51"/>
  <c r="K134" i="51"/>
  <c r="U133" i="51"/>
  <c r="T133" i="51"/>
  <c r="S133" i="51"/>
  <c r="R133" i="51"/>
  <c r="P133" i="51"/>
  <c r="O133" i="51"/>
  <c r="N133" i="51"/>
  <c r="M133" i="51"/>
  <c r="L133" i="51"/>
  <c r="K133" i="51"/>
  <c r="U132" i="51"/>
  <c r="T132" i="51"/>
  <c r="S132" i="51"/>
  <c r="R132" i="51"/>
  <c r="P132" i="51"/>
  <c r="O132" i="51"/>
  <c r="N132" i="51"/>
  <c r="M132" i="51"/>
  <c r="L132" i="51"/>
  <c r="K132" i="51"/>
  <c r="U131" i="51"/>
  <c r="T131" i="51"/>
  <c r="S131" i="51"/>
  <c r="R131" i="51"/>
  <c r="P131" i="51"/>
  <c r="O131" i="51"/>
  <c r="N131" i="51"/>
  <c r="M131" i="51"/>
  <c r="L131" i="51"/>
  <c r="K131" i="51"/>
  <c r="U130" i="51"/>
  <c r="T130" i="51"/>
  <c r="S130" i="51"/>
  <c r="R130" i="51"/>
  <c r="P130" i="51"/>
  <c r="O130" i="51"/>
  <c r="N130" i="51"/>
  <c r="M130" i="51"/>
  <c r="L130" i="51"/>
  <c r="K130" i="51"/>
  <c r="U129" i="51"/>
  <c r="T129" i="51"/>
  <c r="S129" i="51"/>
  <c r="R129" i="51"/>
  <c r="P129" i="51"/>
  <c r="O129" i="51"/>
  <c r="N129" i="51"/>
  <c r="M129" i="51"/>
  <c r="L129" i="51"/>
  <c r="K129" i="51"/>
  <c r="U128" i="51"/>
  <c r="T128" i="51"/>
  <c r="S128" i="51"/>
  <c r="R128" i="51"/>
  <c r="P128" i="51"/>
  <c r="O128" i="51"/>
  <c r="N128" i="51"/>
  <c r="M128" i="51"/>
  <c r="L128" i="51"/>
  <c r="K128" i="51"/>
  <c r="U127" i="51"/>
  <c r="T127" i="51"/>
  <c r="S127" i="51"/>
  <c r="R127" i="51"/>
  <c r="P127" i="51"/>
  <c r="O127" i="51"/>
  <c r="N127" i="51"/>
  <c r="N138" i="51" s="1"/>
  <c r="M127" i="51"/>
  <c r="L127" i="51"/>
  <c r="K127" i="51"/>
  <c r="U126" i="51"/>
  <c r="T126" i="51"/>
  <c r="S126" i="51"/>
  <c r="R126" i="51"/>
  <c r="P126" i="51"/>
  <c r="O126" i="51"/>
  <c r="N126" i="51"/>
  <c r="M126" i="51"/>
  <c r="L126" i="51"/>
  <c r="K126" i="51"/>
  <c r="U125" i="51"/>
  <c r="T125" i="51"/>
  <c r="S125" i="51"/>
  <c r="R125" i="51"/>
  <c r="P125" i="51"/>
  <c r="O125" i="51"/>
  <c r="N125" i="51"/>
  <c r="M125" i="51"/>
  <c r="L125" i="51"/>
  <c r="K125" i="51"/>
  <c r="U124" i="51"/>
  <c r="T124" i="51"/>
  <c r="S124" i="51"/>
  <c r="R124" i="51"/>
  <c r="P124" i="51"/>
  <c r="O124" i="51"/>
  <c r="N124" i="51"/>
  <c r="M124" i="51"/>
  <c r="L124" i="51"/>
  <c r="K124" i="51"/>
  <c r="U123" i="51"/>
  <c r="U138" i="51" s="1"/>
  <c r="T123" i="51"/>
  <c r="S123" i="51"/>
  <c r="R123" i="51"/>
  <c r="P123" i="51"/>
  <c r="O123" i="51"/>
  <c r="N123" i="51"/>
  <c r="M123" i="51"/>
  <c r="L123" i="51"/>
  <c r="K123" i="51"/>
  <c r="R121" i="51"/>
  <c r="K121" i="51"/>
  <c r="P117" i="51"/>
  <c r="AE8" i="51" s="1"/>
  <c r="U114" i="51"/>
  <c r="T114" i="51"/>
  <c r="S114" i="51"/>
  <c r="R114" i="51"/>
  <c r="P114" i="51"/>
  <c r="O114" i="51"/>
  <c r="N114" i="51"/>
  <c r="M114" i="51"/>
  <c r="L114" i="51"/>
  <c r="K114" i="51"/>
  <c r="U113" i="51"/>
  <c r="T113" i="51"/>
  <c r="S113" i="51"/>
  <c r="R113" i="51"/>
  <c r="P113" i="51"/>
  <c r="O113" i="51"/>
  <c r="O117" i="51" s="1"/>
  <c r="AC8" i="51" s="1"/>
  <c r="N113" i="51"/>
  <c r="M113" i="51"/>
  <c r="L113" i="51"/>
  <c r="K113" i="51"/>
  <c r="U112" i="51"/>
  <c r="T112" i="51"/>
  <c r="S112" i="51"/>
  <c r="R112" i="51"/>
  <c r="P112" i="51"/>
  <c r="O112" i="51"/>
  <c r="N112" i="51"/>
  <c r="M112" i="51"/>
  <c r="L112" i="51"/>
  <c r="K112" i="51"/>
  <c r="U111" i="51"/>
  <c r="T111" i="51"/>
  <c r="S111" i="51"/>
  <c r="R111" i="51"/>
  <c r="P111" i="51"/>
  <c r="O111" i="51"/>
  <c r="N111" i="51"/>
  <c r="M111" i="51"/>
  <c r="L111" i="51"/>
  <c r="K111" i="51"/>
  <c r="U110" i="51"/>
  <c r="T110" i="51"/>
  <c r="S110" i="51"/>
  <c r="R110" i="51"/>
  <c r="P110" i="51"/>
  <c r="O110" i="51"/>
  <c r="N110" i="51"/>
  <c r="M110" i="51"/>
  <c r="L110" i="51"/>
  <c r="K110" i="51"/>
  <c r="U109" i="51"/>
  <c r="T109" i="51"/>
  <c r="S109" i="51"/>
  <c r="R109" i="51"/>
  <c r="P109" i="51"/>
  <c r="O109" i="51"/>
  <c r="N109" i="51"/>
  <c r="M109" i="51"/>
  <c r="L109" i="51"/>
  <c r="K109" i="51"/>
  <c r="U108" i="51"/>
  <c r="T108" i="51"/>
  <c r="S108" i="51"/>
  <c r="R108" i="51"/>
  <c r="P108" i="51"/>
  <c r="O108" i="51"/>
  <c r="N108" i="51"/>
  <c r="M108" i="51"/>
  <c r="L108" i="51"/>
  <c r="K108" i="51"/>
  <c r="U107" i="51"/>
  <c r="T107" i="51"/>
  <c r="S107" i="51"/>
  <c r="R107" i="51"/>
  <c r="P107" i="51"/>
  <c r="O107" i="51"/>
  <c r="N107" i="51"/>
  <c r="M107" i="51"/>
  <c r="L107" i="51"/>
  <c r="K107" i="51"/>
  <c r="U106" i="51"/>
  <c r="T106" i="51"/>
  <c r="S106" i="51"/>
  <c r="R106" i="51"/>
  <c r="P106" i="51"/>
  <c r="O106" i="51"/>
  <c r="N106" i="51"/>
  <c r="M106" i="51"/>
  <c r="L106" i="51"/>
  <c r="K106" i="51"/>
  <c r="U105" i="51"/>
  <c r="T105" i="51"/>
  <c r="S105" i="51"/>
  <c r="R105" i="51"/>
  <c r="P105" i="51"/>
  <c r="O105" i="51"/>
  <c r="N105" i="51"/>
  <c r="M105" i="51"/>
  <c r="L105" i="51"/>
  <c r="K105" i="51"/>
  <c r="U104" i="51"/>
  <c r="T104" i="51"/>
  <c r="S104" i="51"/>
  <c r="R104" i="51"/>
  <c r="P104" i="51"/>
  <c r="O104" i="51"/>
  <c r="N104" i="51"/>
  <c r="M104" i="51"/>
  <c r="L104" i="51"/>
  <c r="K104" i="51"/>
  <c r="U103" i="51"/>
  <c r="T103" i="51"/>
  <c r="S103" i="51"/>
  <c r="R103" i="51"/>
  <c r="P103" i="51"/>
  <c r="O103" i="51"/>
  <c r="N103" i="51"/>
  <c r="M103" i="51"/>
  <c r="L103" i="51"/>
  <c r="K103" i="51"/>
  <c r="U102" i="51"/>
  <c r="T102" i="51"/>
  <c r="S102" i="51"/>
  <c r="R102" i="51"/>
  <c r="P102" i="51"/>
  <c r="O102" i="51"/>
  <c r="N102" i="51"/>
  <c r="M102" i="51"/>
  <c r="L102" i="51"/>
  <c r="K102" i="51"/>
  <c r="U101" i="51"/>
  <c r="T101" i="51"/>
  <c r="S101" i="51"/>
  <c r="R101" i="51"/>
  <c r="P101" i="51"/>
  <c r="O101" i="51"/>
  <c r="N101" i="51"/>
  <c r="M101" i="51"/>
  <c r="L101" i="51"/>
  <c r="K101" i="51"/>
  <c r="U100" i="51"/>
  <c r="T100" i="51"/>
  <c r="S100" i="51"/>
  <c r="R100" i="51"/>
  <c r="P100" i="51"/>
  <c r="P116" i="51" s="1"/>
  <c r="O100" i="51"/>
  <c r="N100" i="51"/>
  <c r="M100" i="51"/>
  <c r="L100" i="51"/>
  <c r="K100" i="51"/>
  <c r="R98" i="51"/>
  <c r="K98" i="51"/>
  <c r="U91" i="51"/>
  <c r="T91" i="51"/>
  <c r="S91" i="51"/>
  <c r="R91" i="51"/>
  <c r="P91" i="51"/>
  <c r="O91" i="51"/>
  <c r="N91" i="51"/>
  <c r="M91" i="51"/>
  <c r="L91" i="51"/>
  <c r="K91" i="51"/>
  <c r="W90" i="51"/>
  <c r="U90" i="51"/>
  <c r="T90" i="51"/>
  <c r="S90" i="51"/>
  <c r="R90" i="51"/>
  <c r="P90" i="51"/>
  <c r="O90" i="51"/>
  <c r="N90" i="51"/>
  <c r="M90" i="51"/>
  <c r="L90" i="51"/>
  <c r="K90" i="51"/>
  <c r="U89" i="51"/>
  <c r="T89" i="51"/>
  <c r="S89" i="51"/>
  <c r="R89" i="51"/>
  <c r="P89" i="51"/>
  <c r="O89" i="51"/>
  <c r="N89" i="51"/>
  <c r="M89" i="51"/>
  <c r="L89" i="51"/>
  <c r="K89" i="51"/>
  <c r="U88" i="51"/>
  <c r="T88" i="51"/>
  <c r="S88" i="51"/>
  <c r="R88" i="51"/>
  <c r="P88" i="51"/>
  <c r="O88" i="51"/>
  <c r="N88" i="51"/>
  <c r="M88" i="51"/>
  <c r="L88" i="51"/>
  <c r="K88" i="51"/>
  <c r="U87" i="51"/>
  <c r="T87" i="51"/>
  <c r="S87" i="51"/>
  <c r="R87" i="51"/>
  <c r="P87" i="51"/>
  <c r="O87" i="51"/>
  <c r="N87" i="51"/>
  <c r="M87" i="51"/>
  <c r="L87" i="51"/>
  <c r="K87" i="51"/>
  <c r="U86" i="51"/>
  <c r="T86" i="51"/>
  <c r="S86" i="51"/>
  <c r="R86" i="51"/>
  <c r="P86" i="51"/>
  <c r="O86" i="51"/>
  <c r="N86" i="51"/>
  <c r="M86" i="51"/>
  <c r="L86" i="51"/>
  <c r="K86" i="51"/>
  <c r="U85" i="51"/>
  <c r="T85" i="51"/>
  <c r="S85" i="51"/>
  <c r="R85" i="51"/>
  <c r="P85" i="51"/>
  <c r="O85" i="51"/>
  <c r="N85" i="51"/>
  <c r="M85" i="51"/>
  <c r="L85" i="51"/>
  <c r="K85" i="51"/>
  <c r="U84" i="51"/>
  <c r="T84" i="51"/>
  <c r="S84" i="51"/>
  <c r="R84" i="51"/>
  <c r="P84" i="51"/>
  <c r="O84" i="51"/>
  <c r="N84" i="51"/>
  <c r="M84" i="51"/>
  <c r="L84" i="51"/>
  <c r="K84" i="51"/>
  <c r="U83" i="51"/>
  <c r="T83" i="51"/>
  <c r="S83" i="51"/>
  <c r="R83" i="51"/>
  <c r="P83" i="51"/>
  <c r="O83" i="51"/>
  <c r="N83" i="51"/>
  <c r="M83" i="51"/>
  <c r="L83" i="51"/>
  <c r="K83" i="51"/>
  <c r="U82" i="51"/>
  <c r="T82" i="51"/>
  <c r="S82" i="51"/>
  <c r="R82" i="51"/>
  <c r="P82" i="51"/>
  <c r="O82" i="51"/>
  <c r="N82" i="51"/>
  <c r="M82" i="51"/>
  <c r="L82" i="51"/>
  <c r="K82" i="51"/>
  <c r="U81" i="51"/>
  <c r="T81" i="51"/>
  <c r="S81" i="51"/>
  <c r="R81" i="51"/>
  <c r="P81" i="51"/>
  <c r="O81" i="51"/>
  <c r="N81" i="51"/>
  <c r="M81" i="51"/>
  <c r="L81" i="51"/>
  <c r="K81" i="51"/>
  <c r="U80" i="51"/>
  <c r="T80" i="51"/>
  <c r="S80" i="51"/>
  <c r="R80" i="51"/>
  <c r="P80" i="51"/>
  <c r="O80" i="51"/>
  <c r="N80" i="51"/>
  <c r="M80" i="51"/>
  <c r="L80" i="51"/>
  <c r="K80" i="51"/>
  <c r="U79" i="51"/>
  <c r="T79" i="51"/>
  <c r="S79" i="51"/>
  <c r="R79" i="51"/>
  <c r="P79" i="51"/>
  <c r="O79" i="51"/>
  <c r="N79" i="51"/>
  <c r="M79" i="51"/>
  <c r="M94" i="51" s="1"/>
  <c r="L79" i="51"/>
  <c r="K79" i="51"/>
  <c r="U78" i="51"/>
  <c r="T78" i="51"/>
  <c r="S78" i="51"/>
  <c r="R78" i="51"/>
  <c r="P78" i="51"/>
  <c r="O78" i="51"/>
  <c r="N78" i="51"/>
  <c r="M78" i="51"/>
  <c r="L78" i="51"/>
  <c r="K78" i="51"/>
  <c r="U77" i="51"/>
  <c r="T77" i="51"/>
  <c r="S77" i="51"/>
  <c r="R77" i="51"/>
  <c r="P77" i="51"/>
  <c r="O77" i="51"/>
  <c r="N77" i="51"/>
  <c r="M77" i="51"/>
  <c r="L77" i="51"/>
  <c r="K77" i="51"/>
  <c r="R75" i="51"/>
  <c r="K75" i="51"/>
  <c r="N71" i="51"/>
  <c r="AD6" i="51" s="1"/>
  <c r="U68" i="51"/>
  <c r="T68" i="51"/>
  <c r="S68" i="51"/>
  <c r="R68" i="51"/>
  <c r="P68" i="51"/>
  <c r="O68" i="51"/>
  <c r="N68" i="51"/>
  <c r="M68" i="51"/>
  <c r="L68" i="51"/>
  <c r="K68" i="51"/>
  <c r="U67" i="51"/>
  <c r="T67" i="51"/>
  <c r="S67" i="51"/>
  <c r="R67" i="51"/>
  <c r="P67" i="51"/>
  <c r="O67" i="51"/>
  <c r="N67" i="51"/>
  <c r="M67" i="51"/>
  <c r="L67" i="51"/>
  <c r="K67" i="51"/>
  <c r="U66" i="51"/>
  <c r="T66" i="51"/>
  <c r="S66" i="51"/>
  <c r="R66" i="51"/>
  <c r="P66" i="51"/>
  <c r="O66" i="51"/>
  <c r="N66" i="51"/>
  <c r="M66" i="51"/>
  <c r="L66" i="51"/>
  <c r="K66" i="51"/>
  <c r="U65" i="51"/>
  <c r="T65" i="51"/>
  <c r="S65" i="51"/>
  <c r="R65" i="51"/>
  <c r="P65" i="51"/>
  <c r="O65" i="51"/>
  <c r="N65" i="51"/>
  <c r="M65" i="51"/>
  <c r="L65" i="51"/>
  <c r="K65" i="51"/>
  <c r="U64" i="51"/>
  <c r="T64" i="51"/>
  <c r="S64" i="51"/>
  <c r="R64" i="51"/>
  <c r="P64" i="51"/>
  <c r="O64" i="51"/>
  <c r="N64" i="51"/>
  <c r="M64" i="51"/>
  <c r="L64" i="51"/>
  <c r="K64" i="51"/>
  <c r="U63" i="51"/>
  <c r="T63" i="51"/>
  <c r="S63" i="51"/>
  <c r="R63" i="51"/>
  <c r="P63" i="51"/>
  <c r="O63" i="51"/>
  <c r="N63" i="51"/>
  <c r="M63" i="51"/>
  <c r="L63" i="51"/>
  <c r="K63" i="51"/>
  <c r="U62" i="51"/>
  <c r="T62" i="51"/>
  <c r="S62" i="51"/>
  <c r="R62" i="51"/>
  <c r="P62" i="51"/>
  <c r="O62" i="51"/>
  <c r="N62" i="51"/>
  <c r="M62" i="51"/>
  <c r="L62" i="51"/>
  <c r="K62" i="51"/>
  <c r="U61" i="51"/>
  <c r="T61" i="51"/>
  <c r="S61" i="51"/>
  <c r="R61" i="51"/>
  <c r="P61" i="51"/>
  <c r="O61" i="51"/>
  <c r="N61" i="51"/>
  <c r="M61" i="51"/>
  <c r="L61" i="51"/>
  <c r="K61" i="51"/>
  <c r="U60" i="51"/>
  <c r="T60" i="51"/>
  <c r="S60" i="51"/>
  <c r="R60" i="51"/>
  <c r="P60" i="51"/>
  <c r="O60" i="51"/>
  <c r="N60" i="51"/>
  <c r="M60" i="51"/>
  <c r="L60" i="51"/>
  <c r="K60" i="51"/>
  <c r="U59" i="51"/>
  <c r="T59" i="51"/>
  <c r="S59" i="51"/>
  <c r="R59" i="51"/>
  <c r="P59" i="51"/>
  <c r="O59" i="51"/>
  <c r="N59" i="51"/>
  <c r="M59" i="51"/>
  <c r="L59" i="51"/>
  <c r="K59" i="51"/>
  <c r="U58" i="51"/>
  <c r="T58" i="51"/>
  <c r="S58" i="51"/>
  <c r="R58" i="51"/>
  <c r="P58" i="51"/>
  <c r="O58" i="51"/>
  <c r="N58" i="51"/>
  <c r="M58" i="51"/>
  <c r="L58" i="51"/>
  <c r="K58" i="51"/>
  <c r="U57" i="51"/>
  <c r="T57" i="51"/>
  <c r="S57" i="51"/>
  <c r="R57" i="51"/>
  <c r="P57" i="51"/>
  <c r="O57" i="51"/>
  <c r="N57" i="51"/>
  <c r="M57" i="51"/>
  <c r="L57" i="51"/>
  <c r="K57" i="51"/>
  <c r="U56" i="51"/>
  <c r="T56" i="51"/>
  <c r="S56" i="51"/>
  <c r="R56" i="51"/>
  <c r="P56" i="51"/>
  <c r="O56" i="51"/>
  <c r="N56" i="51"/>
  <c r="M56" i="51"/>
  <c r="M70" i="51" s="1"/>
  <c r="L56" i="51"/>
  <c r="K56" i="51"/>
  <c r="U55" i="51"/>
  <c r="T55" i="51"/>
  <c r="S55" i="51"/>
  <c r="R55" i="51"/>
  <c r="P55" i="51"/>
  <c r="O55" i="51"/>
  <c r="N55" i="51"/>
  <c r="M55" i="51"/>
  <c r="L55" i="51"/>
  <c r="K55" i="51"/>
  <c r="U54" i="51"/>
  <c r="T54" i="51"/>
  <c r="S54" i="51"/>
  <c r="R54" i="51"/>
  <c r="P54" i="51"/>
  <c r="O54" i="51"/>
  <c r="N54" i="51"/>
  <c r="M54" i="51"/>
  <c r="L54" i="51"/>
  <c r="K54" i="51"/>
  <c r="R52" i="51"/>
  <c r="K52" i="51"/>
  <c r="U44" i="51"/>
  <c r="T44" i="51"/>
  <c r="S44" i="51"/>
  <c r="R44" i="51"/>
  <c r="P44" i="51"/>
  <c r="O44" i="51"/>
  <c r="N44" i="51"/>
  <c r="M44" i="51"/>
  <c r="L44" i="51"/>
  <c r="K44" i="51"/>
  <c r="U43" i="51"/>
  <c r="T43" i="51"/>
  <c r="S43" i="51"/>
  <c r="R43" i="51"/>
  <c r="P43" i="51"/>
  <c r="O43" i="51"/>
  <c r="N43" i="51"/>
  <c r="M43" i="51"/>
  <c r="L43" i="51"/>
  <c r="K43" i="51"/>
  <c r="U42" i="51"/>
  <c r="T42" i="51"/>
  <c r="S42" i="51"/>
  <c r="R42" i="51"/>
  <c r="P42" i="51"/>
  <c r="O42" i="51"/>
  <c r="N42" i="51"/>
  <c r="M42" i="51"/>
  <c r="L42" i="51"/>
  <c r="K42" i="51"/>
  <c r="U41" i="51"/>
  <c r="T41" i="51"/>
  <c r="S41" i="51"/>
  <c r="R41" i="51"/>
  <c r="P41" i="51"/>
  <c r="O41" i="51"/>
  <c r="N41" i="51"/>
  <c r="M41" i="51"/>
  <c r="L41" i="51"/>
  <c r="K41" i="51"/>
  <c r="U40" i="51"/>
  <c r="T40" i="51"/>
  <c r="S40" i="51"/>
  <c r="R40" i="51"/>
  <c r="P40" i="51"/>
  <c r="O40" i="51"/>
  <c r="N40" i="51"/>
  <c r="M40" i="51"/>
  <c r="L40" i="51"/>
  <c r="K40" i="51"/>
  <c r="U39" i="51"/>
  <c r="T39" i="51"/>
  <c r="S39" i="51"/>
  <c r="R39" i="51"/>
  <c r="P39" i="51"/>
  <c r="O39" i="51"/>
  <c r="N39" i="51"/>
  <c r="M39" i="51"/>
  <c r="L39" i="51"/>
  <c r="K39" i="51"/>
  <c r="U38" i="51"/>
  <c r="T38" i="51"/>
  <c r="S38" i="51"/>
  <c r="R38" i="51"/>
  <c r="P38" i="51"/>
  <c r="O38" i="51"/>
  <c r="N38" i="51"/>
  <c r="M38" i="51"/>
  <c r="L38" i="51"/>
  <c r="K38" i="51"/>
  <c r="U37" i="51"/>
  <c r="T37" i="51"/>
  <c r="S37" i="51"/>
  <c r="R37" i="51"/>
  <c r="P37" i="51"/>
  <c r="O37" i="51"/>
  <c r="N37" i="51"/>
  <c r="M37" i="51"/>
  <c r="L37" i="51"/>
  <c r="K37" i="51"/>
  <c r="U36" i="51"/>
  <c r="T36" i="51"/>
  <c r="S36" i="51"/>
  <c r="R36" i="51"/>
  <c r="P36" i="51"/>
  <c r="O36" i="51"/>
  <c r="N36" i="51"/>
  <c r="M36" i="51"/>
  <c r="L36" i="51"/>
  <c r="K36" i="51"/>
  <c r="U35" i="51"/>
  <c r="T35" i="51"/>
  <c r="S35" i="51"/>
  <c r="R35" i="51"/>
  <c r="P35" i="51"/>
  <c r="O35" i="51"/>
  <c r="N35" i="51"/>
  <c r="M35" i="51"/>
  <c r="L35" i="51"/>
  <c r="K35" i="51"/>
  <c r="U34" i="51"/>
  <c r="U46" i="51" s="1"/>
  <c r="T34" i="51"/>
  <c r="S34" i="51"/>
  <c r="R34" i="51"/>
  <c r="P34" i="51"/>
  <c r="O34" i="51"/>
  <c r="N34" i="51"/>
  <c r="M34" i="51"/>
  <c r="L34" i="51"/>
  <c r="K34" i="51"/>
  <c r="U33" i="51"/>
  <c r="T33" i="51"/>
  <c r="S33" i="51"/>
  <c r="R33" i="51"/>
  <c r="P33" i="51"/>
  <c r="O33" i="51"/>
  <c r="N33" i="51"/>
  <c r="M33" i="51"/>
  <c r="L33" i="51"/>
  <c r="K33" i="51"/>
  <c r="U32" i="51"/>
  <c r="T32" i="51"/>
  <c r="S32" i="51"/>
  <c r="R32" i="51"/>
  <c r="P32" i="51"/>
  <c r="O32" i="51"/>
  <c r="N32" i="51"/>
  <c r="M32" i="51"/>
  <c r="L32" i="51"/>
  <c r="K32" i="51"/>
  <c r="U31" i="51"/>
  <c r="T31" i="51"/>
  <c r="S31" i="51"/>
  <c r="R31" i="51"/>
  <c r="P31" i="51"/>
  <c r="O31" i="51"/>
  <c r="O46" i="51" s="1"/>
  <c r="N31" i="51"/>
  <c r="N47" i="51" s="1"/>
  <c r="AD7" i="51" s="1"/>
  <c r="M31" i="51"/>
  <c r="L31" i="51"/>
  <c r="K31" i="51"/>
  <c r="R29" i="51"/>
  <c r="K29" i="51"/>
  <c r="N24" i="51"/>
  <c r="AD9" i="51" s="1"/>
  <c r="M24" i="51"/>
  <c r="AB9" i="51" s="1"/>
  <c r="AC23" i="51"/>
  <c r="AB23" i="51"/>
  <c r="M23" i="51"/>
  <c r="AC22" i="51"/>
  <c r="AB22" i="51"/>
  <c r="U21" i="51"/>
  <c r="T21" i="51"/>
  <c r="S21" i="51"/>
  <c r="R21" i="51"/>
  <c r="P21" i="51"/>
  <c r="O21" i="51"/>
  <c r="N21" i="51"/>
  <c r="M21" i="51"/>
  <c r="L21" i="51"/>
  <c r="K21" i="51"/>
  <c r="U20" i="51"/>
  <c r="T20" i="51"/>
  <c r="S20" i="51"/>
  <c r="R20" i="51"/>
  <c r="P20" i="51"/>
  <c r="O20" i="51"/>
  <c r="N20" i="51"/>
  <c r="M20" i="51"/>
  <c r="L20" i="51"/>
  <c r="K20" i="51"/>
  <c r="U19" i="51"/>
  <c r="T19" i="51"/>
  <c r="S19" i="51"/>
  <c r="R19" i="51"/>
  <c r="P19" i="51"/>
  <c r="O19" i="51"/>
  <c r="N19" i="51"/>
  <c r="M19" i="51"/>
  <c r="L19" i="51"/>
  <c r="K19" i="51"/>
  <c r="U18" i="51"/>
  <c r="T18" i="51"/>
  <c r="S18" i="51"/>
  <c r="R18" i="51"/>
  <c r="P18" i="51"/>
  <c r="O18" i="51"/>
  <c r="N18" i="51"/>
  <c r="M18" i="51"/>
  <c r="L18" i="51"/>
  <c r="K18" i="51"/>
  <c r="U17" i="51"/>
  <c r="T17" i="51"/>
  <c r="S17" i="51"/>
  <c r="R17" i="51"/>
  <c r="P17" i="51"/>
  <c r="O17" i="51"/>
  <c r="N17" i="51"/>
  <c r="M17" i="51"/>
  <c r="L17" i="51"/>
  <c r="K17" i="51"/>
  <c r="U16" i="51"/>
  <c r="T16" i="51"/>
  <c r="S16" i="51"/>
  <c r="R16" i="51"/>
  <c r="P16" i="51"/>
  <c r="P24" i="51" s="1"/>
  <c r="AE9" i="51" s="1"/>
  <c r="O16" i="51"/>
  <c r="N16" i="51"/>
  <c r="M16" i="51"/>
  <c r="L16" i="51"/>
  <c r="K16" i="51"/>
  <c r="U15" i="51"/>
  <c r="T15" i="51"/>
  <c r="S15" i="51"/>
  <c r="R15" i="51"/>
  <c r="P15" i="51"/>
  <c r="O15" i="51"/>
  <c r="N15" i="51"/>
  <c r="M15" i="51"/>
  <c r="L15" i="51"/>
  <c r="K15" i="51"/>
  <c r="U14" i="51"/>
  <c r="T14" i="51"/>
  <c r="S14" i="51"/>
  <c r="R14" i="51"/>
  <c r="P14" i="51"/>
  <c r="O14" i="51"/>
  <c r="N14" i="51"/>
  <c r="M14" i="51"/>
  <c r="L14" i="51"/>
  <c r="K14" i="51"/>
  <c r="U13" i="51"/>
  <c r="T13" i="51"/>
  <c r="S13" i="51"/>
  <c r="R13" i="51"/>
  <c r="P13" i="51"/>
  <c r="O13" i="51"/>
  <c r="N13" i="51"/>
  <c r="M13" i="51"/>
  <c r="L13" i="51"/>
  <c r="K13" i="51"/>
  <c r="U12" i="51"/>
  <c r="T12" i="51"/>
  <c r="S12" i="51"/>
  <c r="R12" i="51"/>
  <c r="P12" i="51"/>
  <c r="O12" i="51"/>
  <c r="N12" i="51"/>
  <c r="M12" i="51"/>
  <c r="L12" i="51"/>
  <c r="K12" i="51"/>
  <c r="U11" i="51"/>
  <c r="T11" i="51"/>
  <c r="S11" i="51"/>
  <c r="R11" i="51"/>
  <c r="P11" i="51"/>
  <c r="O11" i="51"/>
  <c r="N11" i="51"/>
  <c r="M11" i="51"/>
  <c r="L11" i="51"/>
  <c r="K11" i="51"/>
  <c r="U10" i="51"/>
  <c r="T10" i="51"/>
  <c r="S10" i="51"/>
  <c r="R10" i="51"/>
  <c r="P10" i="51"/>
  <c r="O10" i="51"/>
  <c r="N10" i="51"/>
  <c r="N23" i="51" s="1"/>
  <c r="M10" i="51"/>
  <c r="L10" i="51"/>
  <c r="K10" i="51"/>
  <c r="U9" i="51"/>
  <c r="T9" i="51"/>
  <c r="S9" i="51"/>
  <c r="R9" i="51"/>
  <c r="P9" i="51"/>
  <c r="O9" i="51"/>
  <c r="N9" i="51"/>
  <c r="M9" i="51"/>
  <c r="L9" i="51"/>
  <c r="K9" i="51"/>
  <c r="U8" i="51"/>
  <c r="T8" i="51"/>
  <c r="S8" i="51"/>
  <c r="R8" i="51"/>
  <c r="P8" i="51"/>
  <c r="O8" i="51"/>
  <c r="O24" i="51" s="1"/>
  <c r="AC9" i="51" s="1"/>
  <c r="N8" i="51"/>
  <c r="M8" i="51"/>
  <c r="L8" i="51"/>
  <c r="K8" i="51"/>
  <c r="R6" i="51"/>
  <c r="K6" i="51"/>
  <c r="U252" i="48"/>
  <c r="T252" i="48"/>
  <c r="S252" i="48"/>
  <c r="R252" i="48"/>
  <c r="P252" i="48"/>
  <c r="O252" i="48"/>
  <c r="N252" i="48"/>
  <c r="M252" i="48"/>
  <c r="L252" i="48"/>
  <c r="K252" i="48"/>
  <c r="U251" i="48"/>
  <c r="T251" i="48"/>
  <c r="S251" i="48"/>
  <c r="R251" i="48"/>
  <c r="P251" i="48"/>
  <c r="O251" i="48"/>
  <c r="N251" i="48"/>
  <c r="M251" i="48"/>
  <c r="L251" i="48"/>
  <c r="K251" i="48"/>
  <c r="U250" i="48"/>
  <c r="T250" i="48"/>
  <c r="S250" i="48"/>
  <c r="R250" i="48"/>
  <c r="P250" i="48"/>
  <c r="O250" i="48"/>
  <c r="N250" i="48"/>
  <c r="M250" i="48"/>
  <c r="L250" i="48"/>
  <c r="K250" i="48"/>
  <c r="U249" i="48"/>
  <c r="T249" i="48"/>
  <c r="S249" i="48"/>
  <c r="R249" i="48"/>
  <c r="P249" i="48"/>
  <c r="O249" i="48"/>
  <c r="N249" i="48"/>
  <c r="M249" i="48"/>
  <c r="L249" i="48"/>
  <c r="K249" i="48"/>
  <c r="U248" i="48"/>
  <c r="T248" i="48"/>
  <c r="S248" i="48"/>
  <c r="R248" i="48"/>
  <c r="P248" i="48"/>
  <c r="O248" i="48"/>
  <c r="N248" i="48"/>
  <c r="M248" i="48"/>
  <c r="L248" i="48"/>
  <c r="K248" i="48"/>
  <c r="U247" i="48"/>
  <c r="T247" i="48"/>
  <c r="S247" i="48"/>
  <c r="R247" i="48"/>
  <c r="P247" i="48"/>
  <c r="O247" i="48"/>
  <c r="N247" i="48"/>
  <c r="M247" i="48"/>
  <c r="L247" i="48"/>
  <c r="K247" i="48"/>
  <c r="U246" i="48"/>
  <c r="T246" i="48"/>
  <c r="S246" i="48"/>
  <c r="R246" i="48"/>
  <c r="P246" i="48"/>
  <c r="O246" i="48"/>
  <c r="N246" i="48"/>
  <c r="M246" i="48"/>
  <c r="L246" i="48"/>
  <c r="K246" i="48"/>
  <c r="U245" i="48"/>
  <c r="T245" i="48"/>
  <c r="S245" i="48"/>
  <c r="R245" i="48"/>
  <c r="P245" i="48"/>
  <c r="O245" i="48"/>
  <c r="N245" i="48"/>
  <c r="M245" i="48"/>
  <c r="L245" i="48"/>
  <c r="K245" i="48"/>
  <c r="U244" i="48"/>
  <c r="T244" i="48"/>
  <c r="T253" i="48" s="1"/>
  <c r="S244" i="48"/>
  <c r="R244" i="48"/>
  <c r="P244" i="48"/>
  <c r="O244" i="48"/>
  <c r="N244" i="48"/>
  <c r="M244" i="48"/>
  <c r="L244" i="48"/>
  <c r="K244" i="48"/>
  <c r="U243" i="48"/>
  <c r="T243" i="48"/>
  <c r="S243" i="48"/>
  <c r="R243" i="48"/>
  <c r="P243" i="48"/>
  <c r="O243" i="48"/>
  <c r="N243" i="48"/>
  <c r="M243" i="48"/>
  <c r="L243" i="48"/>
  <c r="K243" i="48"/>
  <c r="U242" i="48"/>
  <c r="T242" i="48"/>
  <c r="S242" i="48"/>
  <c r="R242" i="48"/>
  <c r="P242" i="48"/>
  <c r="O242" i="48"/>
  <c r="N242" i="48"/>
  <c r="M242" i="48"/>
  <c r="L242" i="48"/>
  <c r="K242" i="48"/>
  <c r="U241" i="48"/>
  <c r="T241" i="48"/>
  <c r="S241" i="48"/>
  <c r="R241" i="48"/>
  <c r="P241" i="48"/>
  <c r="O241" i="48"/>
  <c r="N241" i="48"/>
  <c r="M241" i="48"/>
  <c r="L241" i="48"/>
  <c r="K241" i="48"/>
  <c r="U240" i="48"/>
  <c r="T240" i="48"/>
  <c r="S240" i="48"/>
  <c r="R240" i="48"/>
  <c r="P240" i="48"/>
  <c r="O240" i="48"/>
  <c r="N240" i="48"/>
  <c r="M240" i="48"/>
  <c r="L240" i="48"/>
  <c r="K240" i="48"/>
  <c r="U239" i="48"/>
  <c r="U254" i="48" s="1"/>
  <c r="T239" i="48"/>
  <c r="S239" i="48"/>
  <c r="R239" i="48"/>
  <c r="P239" i="48"/>
  <c r="O239" i="48"/>
  <c r="N239" i="48"/>
  <c r="M239" i="48"/>
  <c r="L239" i="48"/>
  <c r="K239" i="48"/>
  <c r="U238" i="48"/>
  <c r="T238" i="48"/>
  <c r="S238" i="48"/>
  <c r="R238" i="48"/>
  <c r="P238" i="48"/>
  <c r="O238" i="48"/>
  <c r="O254" i="48" s="1"/>
  <c r="AD8" i="48" s="1"/>
  <c r="N238" i="48"/>
  <c r="M238" i="48"/>
  <c r="M253" i="48" s="1"/>
  <c r="L238" i="48"/>
  <c r="K238" i="48"/>
  <c r="R236" i="48"/>
  <c r="K236" i="48"/>
  <c r="U230" i="48"/>
  <c r="T230" i="48"/>
  <c r="S230" i="48"/>
  <c r="R230" i="48"/>
  <c r="P230" i="48"/>
  <c r="O230" i="48"/>
  <c r="N230" i="48"/>
  <c r="M230" i="48"/>
  <c r="L230" i="48"/>
  <c r="K230" i="48"/>
  <c r="U229" i="48"/>
  <c r="T229" i="48"/>
  <c r="S229" i="48"/>
  <c r="R229" i="48"/>
  <c r="P229" i="48"/>
  <c r="O229" i="48"/>
  <c r="N229" i="48"/>
  <c r="M229" i="48"/>
  <c r="L229" i="48"/>
  <c r="K229" i="48"/>
  <c r="U228" i="48"/>
  <c r="T228" i="48"/>
  <c r="S228" i="48"/>
  <c r="R228" i="48"/>
  <c r="P228" i="48"/>
  <c r="O228" i="48"/>
  <c r="N228" i="48"/>
  <c r="M228" i="48"/>
  <c r="L228" i="48"/>
  <c r="K228" i="48"/>
  <c r="U227" i="48"/>
  <c r="T227" i="48"/>
  <c r="S227" i="48"/>
  <c r="R227" i="48"/>
  <c r="P227" i="48"/>
  <c r="O227" i="48"/>
  <c r="N227" i="48"/>
  <c r="M227" i="48"/>
  <c r="L227" i="48"/>
  <c r="K227" i="48"/>
  <c r="U226" i="48"/>
  <c r="T226" i="48"/>
  <c r="S226" i="48"/>
  <c r="R226" i="48"/>
  <c r="P226" i="48"/>
  <c r="O226" i="48"/>
  <c r="N226" i="48"/>
  <c r="M226" i="48"/>
  <c r="L226" i="48"/>
  <c r="K226" i="48"/>
  <c r="U225" i="48"/>
  <c r="T225" i="48"/>
  <c r="S225" i="48"/>
  <c r="R225" i="48"/>
  <c r="P225" i="48"/>
  <c r="O225" i="48"/>
  <c r="N225" i="48"/>
  <c r="M225" i="48"/>
  <c r="L225" i="48"/>
  <c r="K225" i="48"/>
  <c r="U224" i="48"/>
  <c r="T224" i="48"/>
  <c r="S224" i="48"/>
  <c r="R224" i="48"/>
  <c r="P224" i="48"/>
  <c r="O224" i="48"/>
  <c r="N224" i="48"/>
  <c r="M224" i="48"/>
  <c r="L224" i="48"/>
  <c r="K224" i="48"/>
  <c r="U223" i="48"/>
  <c r="T223" i="48"/>
  <c r="S223" i="48"/>
  <c r="R223" i="48"/>
  <c r="P223" i="48"/>
  <c r="O223" i="48"/>
  <c r="N223" i="48"/>
  <c r="M223" i="48"/>
  <c r="L223" i="48"/>
  <c r="K223" i="48"/>
  <c r="U222" i="48"/>
  <c r="U233" i="48" s="1"/>
  <c r="T222" i="48"/>
  <c r="S222" i="48"/>
  <c r="R222" i="48"/>
  <c r="P222" i="48"/>
  <c r="O222" i="48"/>
  <c r="N222" i="48"/>
  <c r="M222" i="48"/>
  <c r="L222" i="48"/>
  <c r="K222" i="48"/>
  <c r="U221" i="48"/>
  <c r="T221" i="48"/>
  <c r="S221" i="48"/>
  <c r="R221" i="48"/>
  <c r="P221" i="48"/>
  <c r="O221" i="48"/>
  <c r="N221" i="48"/>
  <c r="M221" i="48"/>
  <c r="L221" i="48"/>
  <c r="K221" i="48"/>
  <c r="U220" i="48"/>
  <c r="T220" i="48"/>
  <c r="S220" i="48"/>
  <c r="R220" i="48"/>
  <c r="P220" i="48"/>
  <c r="O220" i="48"/>
  <c r="N220" i="48"/>
  <c r="M220" i="48"/>
  <c r="L220" i="48"/>
  <c r="K220" i="48"/>
  <c r="U219" i="48"/>
  <c r="T219" i="48"/>
  <c r="S219" i="48"/>
  <c r="R219" i="48"/>
  <c r="P219" i="48"/>
  <c r="O219" i="48"/>
  <c r="N219" i="48"/>
  <c r="M219" i="48"/>
  <c r="L219" i="48"/>
  <c r="K219" i="48"/>
  <c r="W218" i="48"/>
  <c r="U218" i="48"/>
  <c r="T218" i="48"/>
  <c r="S218" i="48"/>
  <c r="R218" i="48"/>
  <c r="P218" i="48"/>
  <c r="O218" i="48"/>
  <c r="N218" i="48"/>
  <c r="M218" i="48"/>
  <c r="L218" i="48"/>
  <c r="K218" i="48"/>
  <c r="U217" i="48"/>
  <c r="T217" i="48"/>
  <c r="S217" i="48"/>
  <c r="R217" i="48"/>
  <c r="P217" i="48"/>
  <c r="O217" i="48"/>
  <c r="N217" i="48"/>
  <c r="M217" i="48"/>
  <c r="L217" i="48"/>
  <c r="K217" i="48"/>
  <c r="U216" i="48"/>
  <c r="T216" i="48"/>
  <c r="S216" i="48"/>
  <c r="R216" i="48"/>
  <c r="P216" i="48"/>
  <c r="O216" i="48"/>
  <c r="N216" i="48"/>
  <c r="M216" i="48"/>
  <c r="L216" i="48"/>
  <c r="K216" i="48"/>
  <c r="R213" i="48"/>
  <c r="K213" i="48"/>
  <c r="M204" i="48"/>
  <c r="U202" i="48"/>
  <c r="T202" i="48"/>
  <c r="S202" i="48"/>
  <c r="R202" i="48"/>
  <c r="P202" i="48"/>
  <c r="O202" i="48"/>
  <c r="N202" i="48"/>
  <c r="M202" i="48"/>
  <c r="L202" i="48"/>
  <c r="K202" i="48"/>
  <c r="U201" i="48"/>
  <c r="T201" i="48"/>
  <c r="S201" i="48"/>
  <c r="R201" i="48"/>
  <c r="P201" i="48"/>
  <c r="O201" i="48"/>
  <c r="N201" i="48"/>
  <c r="M201" i="48"/>
  <c r="L201" i="48"/>
  <c r="K201" i="48"/>
  <c r="U200" i="48"/>
  <c r="T200" i="48"/>
  <c r="S200" i="48"/>
  <c r="R200" i="48"/>
  <c r="P200" i="48"/>
  <c r="O200" i="48"/>
  <c r="N200" i="48"/>
  <c r="M200" i="48"/>
  <c r="L200" i="48"/>
  <c r="K200" i="48"/>
  <c r="U199" i="48"/>
  <c r="T199" i="48"/>
  <c r="S199" i="48"/>
  <c r="R199" i="48"/>
  <c r="P199" i="48"/>
  <c r="O199" i="48"/>
  <c r="N199" i="48"/>
  <c r="M199" i="48"/>
  <c r="L199" i="48"/>
  <c r="K199" i="48"/>
  <c r="U198" i="48"/>
  <c r="T198" i="48"/>
  <c r="S198" i="48"/>
  <c r="R198" i="48"/>
  <c r="P198" i="48"/>
  <c r="O198" i="48"/>
  <c r="N198" i="48"/>
  <c r="M198" i="48"/>
  <c r="L198" i="48"/>
  <c r="K198" i="48"/>
  <c r="U197" i="48"/>
  <c r="T197" i="48"/>
  <c r="S197" i="48"/>
  <c r="R197" i="48"/>
  <c r="P197" i="48"/>
  <c r="O197" i="48"/>
  <c r="N197" i="48"/>
  <c r="M197" i="48"/>
  <c r="L197" i="48"/>
  <c r="K197" i="48"/>
  <c r="U196" i="48"/>
  <c r="T196" i="48"/>
  <c r="S196" i="48"/>
  <c r="R196" i="48"/>
  <c r="P196" i="48"/>
  <c r="O196" i="48"/>
  <c r="N196" i="48"/>
  <c r="M196" i="48"/>
  <c r="L196" i="48"/>
  <c r="K196" i="48"/>
  <c r="U195" i="48"/>
  <c r="T195" i="48"/>
  <c r="S195" i="48"/>
  <c r="R195" i="48"/>
  <c r="P195" i="48"/>
  <c r="O195" i="48"/>
  <c r="N195" i="48"/>
  <c r="M195" i="48"/>
  <c r="M205" i="48" s="1"/>
  <c r="L195" i="48"/>
  <c r="K195" i="48"/>
  <c r="U194" i="48"/>
  <c r="T194" i="48"/>
  <c r="S194" i="48"/>
  <c r="R194" i="48"/>
  <c r="P194" i="48"/>
  <c r="O194" i="48"/>
  <c r="O205" i="48" s="1"/>
  <c r="N194" i="48"/>
  <c r="N205" i="48" s="1"/>
  <c r="M194" i="48"/>
  <c r="L194" i="48"/>
  <c r="K194" i="48"/>
  <c r="U193" i="48"/>
  <c r="T193" i="48"/>
  <c r="S193" i="48"/>
  <c r="R193" i="48"/>
  <c r="P193" i="48"/>
  <c r="P205" i="48" s="1"/>
  <c r="O193" i="48"/>
  <c r="N193" i="48"/>
  <c r="M193" i="48"/>
  <c r="L193" i="48"/>
  <c r="K193" i="48"/>
  <c r="R190" i="48"/>
  <c r="K190" i="48"/>
  <c r="U184" i="48"/>
  <c r="T184" i="48"/>
  <c r="S184" i="48"/>
  <c r="R184" i="48"/>
  <c r="P184" i="48"/>
  <c r="O184" i="48"/>
  <c r="N184" i="48"/>
  <c r="M184" i="48"/>
  <c r="L184" i="48"/>
  <c r="K184" i="48"/>
  <c r="U183" i="48"/>
  <c r="T183" i="48"/>
  <c r="S183" i="48"/>
  <c r="R183" i="48"/>
  <c r="P183" i="48"/>
  <c r="O183" i="48"/>
  <c r="N183" i="48"/>
  <c r="M183" i="48"/>
  <c r="L183" i="48"/>
  <c r="K183" i="48"/>
  <c r="U182" i="48"/>
  <c r="T182" i="48"/>
  <c r="S182" i="48"/>
  <c r="R182" i="48"/>
  <c r="P182" i="48"/>
  <c r="O182" i="48"/>
  <c r="N182" i="48"/>
  <c r="M182" i="48"/>
  <c r="L182" i="48"/>
  <c r="K182" i="48"/>
  <c r="U181" i="48"/>
  <c r="T181" i="48"/>
  <c r="S181" i="48"/>
  <c r="R181" i="48"/>
  <c r="P181" i="48"/>
  <c r="O181" i="48"/>
  <c r="N181" i="48"/>
  <c r="M181" i="48"/>
  <c r="L181" i="48"/>
  <c r="K181" i="48"/>
  <c r="U180" i="48"/>
  <c r="T180" i="48"/>
  <c r="S180" i="48"/>
  <c r="R180" i="48"/>
  <c r="P180" i="48"/>
  <c r="O180" i="48"/>
  <c r="N180" i="48"/>
  <c r="M180" i="48"/>
  <c r="L180" i="48"/>
  <c r="K180" i="48"/>
  <c r="U179" i="48"/>
  <c r="T179" i="48"/>
  <c r="S179" i="48"/>
  <c r="R179" i="48"/>
  <c r="P179" i="48"/>
  <c r="O179" i="48"/>
  <c r="N179" i="48"/>
  <c r="M179" i="48"/>
  <c r="L179" i="48"/>
  <c r="K179" i="48"/>
  <c r="U178" i="48"/>
  <c r="T178" i="48"/>
  <c r="S178" i="48"/>
  <c r="R178" i="48"/>
  <c r="P178" i="48"/>
  <c r="O178" i="48"/>
  <c r="N178" i="48"/>
  <c r="M178" i="48"/>
  <c r="L178" i="48"/>
  <c r="K178" i="48"/>
  <c r="U177" i="48"/>
  <c r="T177" i="48"/>
  <c r="S177" i="48"/>
  <c r="R177" i="48"/>
  <c r="P177" i="48"/>
  <c r="O177" i="48"/>
  <c r="N177" i="48"/>
  <c r="M177" i="48"/>
  <c r="L177" i="48"/>
  <c r="K177" i="48"/>
  <c r="U176" i="48"/>
  <c r="T176" i="48"/>
  <c r="S176" i="48"/>
  <c r="R176" i="48"/>
  <c r="P176" i="48"/>
  <c r="O176" i="48"/>
  <c r="N176" i="48"/>
  <c r="M176" i="48"/>
  <c r="L176" i="48"/>
  <c r="K176" i="48"/>
  <c r="U175" i="48"/>
  <c r="T175" i="48"/>
  <c r="S175" i="48"/>
  <c r="R175" i="48"/>
  <c r="P175" i="48"/>
  <c r="O175" i="48"/>
  <c r="N175" i="48"/>
  <c r="M175" i="48"/>
  <c r="M186" i="48" s="1"/>
  <c r="L175" i="48"/>
  <c r="K175" i="48"/>
  <c r="U174" i="48"/>
  <c r="T174" i="48"/>
  <c r="S174" i="48"/>
  <c r="R174" i="48"/>
  <c r="P174" i="48"/>
  <c r="O174" i="48"/>
  <c r="N174" i="48"/>
  <c r="M174" i="48"/>
  <c r="L174" i="48"/>
  <c r="K174" i="48"/>
  <c r="U173" i="48"/>
  <c r="T173" i="48"/>
  <c r="T186" i="48" s="1"/>
  <c r="S173" i="48"/>
  <c r="R173" i="48"/>
  <c r="P173" i="48"/>
  <c r="O173" i="48"/>
  <c r="N173" i="48"/>
  <c r="M173" i="48"/>
  <c r="L173" i="48"/>
  <c r="K173" i="48"/>
  <c r="U172" i="48"/>
  <c r="T172" i="48"/>
  <c r="S172" i="48"/>
  <c r="R172" i="48"/>
  <c r="P172" i="48"/>
  <c r="O172" i="48"/>
  <c r="N172" i="48"/>
  <c r="M172" i="48"/>
  <c r="L172" i="48"/>
  <c r="K172" i="48"/>
  <c r="U171" i="48"/>
  <c r="T171" i="48"/>
  <c r="S171" i="48"/>
  <c r="R171" i="48"/>
  <c r="P171" i="48"/>
  <c r="O171" i="48"/>
  <c r="N171" i="48"/>
  <c r="M171" i="48"/>
  <c r="L171" i="48"/>
  <c r="K171" i="48"/>
  <c r="U170" i="48"/>
  <c r="T170" i="48"/>
  <c r="S170" i="48"/>
  <c r="R170" i="48"/>
  <c r="P170" i="48"/>
  <c r="O170" i="48"/>
  <c r="N170" i="48"/>
  <c r="M170" i="48"/>
  <c r="L170" i="48"/>
  <c r="K170" i="48"/>
  <c r="R167" i="48"/>
  <c r="K167" i="48"/>
  <c r="U163" i="48"/>
  <c r="T163" i="48"/>
  <c r="U161" i="48"/>
  <c r="T161" i="48"/>
  <c r="S161" i="48"/>
  <c r="R161" i="48"/>
  <c r="P161" i="48"/>
  <c r="O161" i="48"/>
  <c r="N161" i="48"/>
  <c r="M161" i="48"/>
  <c r="L161" i="48"/>
  <c r="K161" i="48"/>
  <c r="U160" i="48"/>
  <c r="T160" i="48"/>
  <c r="S160" i="48"/>
  <c r="R160" i="48"/>
  <c r="P160" i="48"/>
  <c r="O160" i="48"/>
  <c r="N160" i="48"/>
  <c r="M160" i="48"/>
  <c r="L160" i="48"/>
  <c r="K160" i="48"/>
  <c r="W158" i="48"/>
  <c r="U158" i="48"/>
  <c r="T158" i="48"/>
  <c r="S158" i="48"/>
  <c r="R158" i="48"/>
  <c r="P158" i="48"/>
  <c r="O158" i="48"/>
  <c r="N158" i="48"/>
  <c r="M158" i="48"/>
  <c r="L158" i="48"/>
  <c r="K158" i="48"/>
  <c r="U157" i="48"/>
  <c r="T157" i="48"/>
  <c r="S157" i="48"/>
  <c r="R157" i="48"/>
  <c r="P157" i="48"/>
  <c r="O157" i="48"/>
  <c r="N157" i="48"/>
  <c r="M157" i="48"/>
  <c r="L157" i="48"/>
  <c r="K157" i="48"/>
  <c r="U156" i="48"/>
  <c r="T156" i="48"/>
  <c r="S156" i="48"/>
  <c r="R156" i="48"/>
  <c r="P156" i="48"/>
  <c r="O156" i="48"/>
  <c r="N156" i="48"/>
  <c r="M156" i="48"/>
  <c r="L156" i="48"/>
  <c r="K156" i="48"/>
  <c r="U155" i="48"/>
  <c r="T155" i="48"/>
  <c r="S155" i="48"/>
  <c r="R155" i="48"/>
  <c r="P155" i="48"/>
  <c r="O155" i="48"/>
  <c r="N155" i="48"/>
  <c r="M155" i="48"/>
  <c r="L155" i="48"/>
  <c r="K155" i="48"/>
  <c r="U154" i="48"/>
  <c r="T154" i="48"/>
  <c r="S154" i="48"/>
  <c r="R154" i="48"/>
  <c r="P154" i="48"/>
  <c r="O154" i="48"/>
  <c r="N154" i="48"/>
  <c r="M154" i="48"/>
  <c r="L154" i="48"/>
  <c r="K154" i="48"/>
  <c r="U153" i="48"/>
  <c r="T153" i="48"/>
  <c r="S153" i="48"/>
  <c r="R153" i="48"/>
  <c r="P153" i="48"/>
  <c r="O153" i="48"/>
  <c r="N153" i="48"/>
  <c r="M153" i="48"/>
  <c r="L153" i="48"/>
  <c r="K153" i="48"/>
  <c r="U152" i="48"/>
  <c r="T152" i="48"/>
  <c r="S152" i="48"/>
  <c r="R152" i="48"/>
  <c r="P152" i="48"/>
  <c r="O152" i="48"/>
  <c r="N152" i="48"/>
  <c r="M152" i="48"/>
  <c r="L152" i="48"/>
  <c r="K152" i="48"/>
  <c r="U151" i="48"/>
  <c r="T151" i="48"/>
  <c r="S151" i="48"/>
  <c r="R151" i="48"/>
  <c r="P151" i="48"/>
  <c r="O151" i="48"/>
  <c r="N151" i="48"/>
  <c r="M151" i="48"/>
  <c r="L151" i="48"/>
  <c r="K151" i="48"/>
  <c r="U150" i="48"/>
  <c r="T150" i="48"/>
  <c r="S150" i="48"/>
  <c r="R150" i="48"/>
  <c r="P150" i="48"/>
  <c r="O150" i="48"/>
  <c r="N150" i="48"/>
  <c r="M150" i="48"/>
  <c r="L150" i="48"/>
  <c r="K150" i="48"/>
  <c r="U149" i="48"/>
  <c r="T149" i="48"/>
  <c r="T164" i="48" s="1"/>
  <c r="S149" i="48"/>
  <c r="R149" i="48"/>
  <c r="P149" i="48"/>
  <c r="O149" i="48"/>
  <c r="N149" i="48"/>
  <c r="M149" i="48"/>
  <c r="L149" i="48"/>
  <c r="K149" i="48"/>
  <c r="U148" i="48"/>
  <c r="T148" i="48"/>
  <c r="S148" i="48"/>
  <c r="R148" i="48"/>
  <c r="P148" i="48"/>
  <c r="O148" i="48"/>
  <c r="O164" i="48" s="1"/>
  <c r="N148" i="48"/>
  <c r="M148" i="48"/>
  <c r="L148" i="48"/>
  <c r="K148" i="48"/>
  <c r="U147" i="48"/>
  <c r="T147" i="48"/>
  <c r="S147" i="48"/>
  <c r="R147" i="48"/>
  <c r="P147" i="48"/>
  <c r="O147" i="48"/>
  <c r="N147" i="48"/>
  <c r="M147" i="48"/>
  <c r="L147" i="48"/>
  <c r="K147" i="48"/>
  <c r="R144" i="48"/>
  <c r="K144" i="48"/>
  <c r="U137" i="48"/>
  <c r="T137" i="48"/>
  <c r="S137" i="48"/>
  <c r="R137" i="48"/>
  <c r="P137" i="48"/>
  <c r="O137" i="48"/>
  <c r="N137" i="48"/>
  <c r="M137" i="48"/>
  <c r="L137" i="48"/>
  <c r="K137" i="48"/>
  <c r="U136" i="48"/>
  <c r="T136" i="48"/>
  <c r="S136" i="48"/>
  <c r="R136" i="48"/>
  <c r="P136" i="48"/>
  <c r="O136" i="48"/>
  <c r="N136" i="48"/>
  <c r="M136" i="48"/>
  <c r="L136" i="48"/>
  <c r="K136" i="48"/>
  <c r="W135" i="48"/>
  <c r="U135" i="48"/>
  <c r="T135" i="48"/>
  <c r="S135" i="48"/>
  <c r="R135" i="48"/>
  <c r="P135" i="48"/>
  <c r="O135" i="48"/>
  <c r="N135" i="48"/>
  <c r="M135" i="48"/>
  <c r="L135" i="48"/>
  <c r="K135" i="48"/>
  <c r="U134" i="48"/>
  <c r="T134" i="48"/>
  <c r="S134" i="48"/>
  <c r="R134" i="48"/>
  <c r="P134" i="48"/>
  <c r="O134" i="48"/>
  <c r="N134" i="48"/>
  <c r="M134" i="48"/>
  <c r="L134" i="48"/>
  <c r="K134" i="48"/>
  <c r="U133" i="48"/>
  <c r="T133" i="48"/>
  <c r="T138" i="48" s="1"/>
  <c r="S133" i="48"/>
  <c r="R133" i="48"/>
  <c r="P133" i="48"/>
  <c r="O133" i="48"/>
  <c r="N133" i="48"/>
  <c r="M133" i="48"/>
  <c r="L133" i="48"/>
  <c r="K133" i="48"/>
  <c r="U132" i="48"/>
  <c r="T132" i="48"/>
  <c r="S132" i="48"/>
  <c r="R132" i="48"/>
  <c r="P132" i="48"/>
  <c r="O132" i="48"/>
  <c r="N132" i="48"/>
  <c r="M132" i="48"/>
  <c r="L132" i="48"/>
  <c r="K132" i="48"/>
  <c r="U131" i="48"/>
  <c r="T131" i="48"/>
  <c r="S131" i="48"/>
  <c r="R131" i="48"/>
  <c r="P131" i="48"/>
  <c r="O131" i="48"/>
  <c r="N131" i="48"/>
  <c r="M131" i="48"/>
  <c r="L131" i="48"/>
  <c r="K131" i="48"/>
  <c r="U130" i="48"/>
  <c r="T130" i="48"/>
  <c r="S130" i="48"/>
  <c r="R130" i="48"/>
  <c r="P130" i="48"/>
  <c r="O130" i="48"/>
  <c r="N130" i="48"/>
  <c r="M130" i="48"/>
  <c r="L130" i="48"/>
  <c r="K130" i="48"/>
  <c r="U129" i="48"/>
  <c r="T129" i="48"/>
  <c r="S129" i="48"/>
  <c r="R129" i="48"/>
  <c r="P129" i="48"/>
  <c r="O129" i="48"/>
  <c r="N129" i="48"/>
  <c r="M129" i="48"/>
  <c r="L129" i="48"/>
  <c r="K129" i="48"/>
  <c r="U128" i="48"/>
  <c r="T128" i="48"/>
  <c r="S128" i="48"/>
  <c r="R128" i="48"/>
  <c r="P128" i="48"/>
  <c r="O128" i="48"/>
  <c r="N128" i="48"/>
  <c r="M128" i="48"/>
  <c r="L128" i="48"/>
  <c r="K128" i="48"/>
  <c r="U127" i="48"/>
  <c r="T127" i="48"/>
  <c r="S127" i="48"/>
  <c r="R127" i="48"/>
  <c r="P127" i="48"/>
  <c r="O127" i="48"/>
  <c r="N127" i="48"/>
  <c r="M127" i="48"/>
  <c r="L127" i="48"/>
  <c r="K127" i="48"/>
  <c r="U126" i="48"/>
  <c r="T126" i="48"/>
  <c r="S126" i="48"/>
  <c r="R126" i="48"/>
  <c r="P126" i="48"/>
  <c r="O126" i="48"/>
  <c r="N126" i="48"/>
  <c r="M126" i="48"/>
  <c r="L126" i="48"/>
  <c r="K126" i="48"/>
  <c r="U125" i="48"/>
  <c r="T125" i="48"/>
  <c r="T139" i="48" s="1"/>
  <c r="S125" i="48"/>
  <c r="R125" i="48"/>
  <c r="P125" i="48"/>
  <c r="O125" i="48"/>
  <c r="N125" i="48"/>
  <c r="M125" i="48"/>
  <c r="L125" i="48"/>
  <c r="K125" i="48"/>
  <c r="U124" i="48"/>
  <c r="U138" i="48" s="1"/>
  <c r="T124" i="48"/>
  <c r="S124" i="48"/>
  <c r="R124" i="48"/>
  <c r="P124" i="48"/>
  <c r="O124" i="48"/>
  <c r="N124" i="48"/>
  <c r="N139" i="48" s="1"/>
  <c r="M124" i="48"/>
  <c r="L124" i="48"/>
  <c r="K124" i="48"/>
  <c r="U123" i="48"/>
  <c r="T123" i="48"/>
  <c r="S123" i="48"/>
  <c r="R123" i="48"/>
  <c r="P123" i="48"/>
  <c r="O123" i="48"/>
  <c r="N123" i="48"/>
  <c r="M123" i="48"/>
  <c r="L123" i="48"/>
  <c r="K123" i="48"/>
  <c r="R121" i="48"/>
  <c r="K121" i="48"/>
  <c r="U114" i="48"/>
  <c r="T114" i="48"/>
  <c r="S114" i="48"/>
  <c r="R114" i="48"/>
  <c r="P114" i="48"/>
  <c r="O114" i="48"/>
  <c r="N114" i="48"/>
  <c r="M114" i="48"/>
  <c r="L114" i="48"/>
  <c r="K114" i="48"/>
  <c r="U113" i="48"/>
  <c r="T113" i="48"/>
  <c r="S113" i="48"/>
  <c r="R113" i="48"/>
  <c r="P113" i="48"/>
  <c r="O113" i="48"/>
  <c r="N113" i="48"/>
  <c r="M113" i="48"/>
  <c r="L113" i="48"/>
  <c r="K113" i="48"/>
  <c r="U112" i="48"/>
  <c r="T112" i="48"/>
  <c r="S112" i="48"/>
  <c r="R112" i="48"/>
  <c r="P112" i="48"/>
  <c r="O112" i="48"/>
  <c r="N112" i="48"/>
  <c r="M112" i="48"/>
  <c r="L112" i="48"/>
  <c r="K112" i="48"/>
  <c r="U111" i="48"/>
  <c r="T111" i="48"/>
  <c r="S111" i="48"/>
  <c r="R111" i="48"/>
  <c r="P111" i="48"/>
  <c r="O111" i="48"/>
  <c r="N111" i="48"/>
  <c r="M111" i="48"/>
  <c r="L111" i="48"/>
  <c r="K111" i="48"/>
  <c r="U110" i="48"/>
  <c r="T110" i="48"/>
  <c r="S110" i="48"/>
  <c r="R110" i="48"/>
  <c r="P110" i="48"/>
  <c r="O110" i="48"/>
  <c r="N110" i="48"/>
  <c r="M110" i="48"/>
  <c r="L110" i="48"/>
  <c r="K110" i="48"/>
  <c r="U109" i="48"/>
  <c r="T109" i="48"/>
  <c r="S109" i="48"/>
  <c r="R109" i="48"/>
  <c r="P109" i="48"/>
  <c r="O109" i="48"/>
  <c r="N109" i="48"/>
  <c r="M109" i="48"/>
  <c r="L109" i="48"/>
  <c r="K109" i="48"/>
  <c r="U108" i="48"/>
  <c r="T108" i="48"/>
  <c r="S108" i="48"/>
  <c r="R108" i="48"/>
  <c r="P108" i="48"/>
  <c r="O108" i="48"/>
  <c r="N108" i="48"/>
  <c r="M108" i="48"/>
  <c r="L108" i="48"/>
  <c r="K108" i="48"/>
  <c r="U107" i="48"/>
  <c r="T107" i="48"/>
  <c r="S107" i="48"/>
  <c r="R107" i="48"/>
  <c r="P107" i="48"/>
  <c r="O107" i="48"/>
  <c r="N107" i="48"/>
  <c r="M107" i="48"/>
  <c r="L107" i="48"/>
  <c r="K107" i="48"/>
  <c r="U106" i="48"/>
  <c r="T106" i="48"/>
  <c r="S106" i="48"/>
  <c r="R106" i="48"/>
  <c r="P106" i="48"/>
  <c r="O106" i="48"/>
  <c r="N106" i="48"/>
  <c r="M106" i="48"/>
  <c r="L106" i="48"/>
  <c r="K106" i="48"/>
  <c r="U105" i="48"/>
  <c r="T105" i="48"/>
  <c r="S105" i="48"/>
  <c r="R105" i="48"/>
  <c r="P105" i="48"/>
  <c r="O105" i="48"/>
  <c r="O117" i="48" s="1"/>
  <c r="AD7" i="48" s="1"/>
  <c r="N105" i="48"/>
  <c r="M105" i="48"/>
  <c r="L105" i="48"/>
  <c r="K105" i="48"/>
  <c r="U104" i="48"/>
  <c r="T104" i="48"/>
  <c r="S104" i="48"/>
  <c r="R104" i="48"/>
  <c r="P104" i="48"/>
  <c r="P117" i="48" s="1"/>
  <c r="AF7" i="48" s="1"/>
  <c r="O104" i="48"/>
  <c r="N104" i="48"/>
  <c r="M104" i="48"/>
  <c r="L104" i="48"/>
  <c r="K104" i="48"/>
  <c r="U103" i="48"/>
  <c r="T103" i="48"/>
  <c r="S103" i="48"/>
  <c r="R103" i="48"/>
  <c r="P103" i="48"/>
  <c r="O103" i="48"/>
  <c r="N103" i="48"/>
  <c r="M103" i="48"/>
  <c r="L103" i="48"/>
  <c r="K103" i="48"/>
  <c r="U102" i="48"/>
  <c r="T102" i="48"/>
  <c r="S102" i="48"/>
  <c r="R102" i="48"/>
  <c r="P102" i="48"/>
  <c r="O102" i="48"/>
  <c r="N102" i="48"/>
  <c r="M102" i="48"/>
  <c r="L102" i="48"/>
  <c r="K102" i="48"/>
  <c r="U101" i="48"/>
  <c r="T101" i="48"/>
  <c r="S101" i="48"/>
  <c r="R101" i="48"/>
  <c r="P101" i="48"/>
  <c r="O101" i="48"/>
  <c r="N101" i="48"/>
  <c r="M101" i="48"/>
  <c r="L101" i="48"/>
  <c r="K101" i="48"/>
  <c r="U100" i="48"/>
  <c r="T100" i="48"/>
  <c r="S100" i="48"/>
  <c r="R100" i="48"/>
  <c r="P100" i="48"/>
  <c r="O100" i="48"/>
  <c r="N100" i="48"/>
  <c r="M100" i="48"/>
  <c r="L100" i="48"/>
  <c r="K100" i="48"/>
  <c r="R98" i="48"/>
  <c r="K98" i="48"/>
  <c r="M94" i="48"/>
  <c r="U91" i="48"/>
  <c r="T91" i="48"/>
  <c r="S91" i="48"/>
  <c r="R91" i="48"/>
  <c r="P91" i="48"/>
  <c r="O91" i="48"/>
  <c r="N91" i="48"/>
  <c r="M91" i="48"/>
  <c r="L91" i="48"/>
  <c r="K91" i="48"/>
  <c r="W90" i="48"/>
  <c r="U90" i="48"/>
  <c r="T90" i="48"/>
  <c r="S90" i="48"/>
  <c r="R90" i="48"/>
  <c r="P90" i="48"/>
  <c r="O90" i="48"/>
  <c r="N90" i="48"/>
  <c r="M90" i="48"/>
  <c r="L90" i="48"/>
  <c r="K90" i="48"/>
  <c r="U89" i="48"/>
  <c r="T89" i="48"/>
  <c r="S89" i="48"/>
  <c r="R89" i="48"/>
  <c r="P89" i="48"/>
  <c r="O89" i="48"/>
  <c r="N89" i="48"/>
  <c r="M89" i="48"/>
  <c r="L89" i="48"/>
  <c r="K89" i="48"/>
  <c r="U88" i="48"/>
  <c r="T88" i="48"/>
  <c r="S88" i="48"/>
  <c r="R88" i="48"/>
  <c r="P88" i="48"/>
  <c r="O88" i="48"/>
  <c r="N88" i="48"/>
  <c r="M88" i="48"/>
  <c r="L88" i="48"/>
  <c r="K88" i="48"/>
  <c r="U87" i="48"/>
  <c r="T87" i="48"/>
  <c r="S87" i="48"/>
  <c r="R87" i="48"/>
  <c r="P87" i="48"/>
  <c r="O87" i="48"/>
  <c r="N87" i="48"/>
  <c r="M87" i="48"/>
  <c r="L87" i="48"/>
  <c r="K87" i="48"/>
  <c r="U86" i="48"/>
  <c r="T86" i="48"/>
  <c r="S86" i="48"/>
  <c r="R86" i="48"/>
  <c r="P86" i="48"/>
  <c r="O86" i="48"/>
  <c r="N86" i="48"/>
  <c r="M86" i="48"/>
  <c r="L86" i="48"/>
  <c r="K86" i="48"/>
  <c r="U85" i="48"/>
  <c r="T85" i="48"/>
  <c r="S85" i="48"/>
  <c r="R85" i="48"/>
  <c r="P85" i="48"/>
  <c r="O85" i="48"/>
  <c r="N85" i="48"/>
  <c r="M85" i="48"/>
  <c r="L85" i="48"/>
  <c r="K85" i="48"/>
  <c r="U84" i="48"/>
  <c r="T84" i="48"/>
  <c r="S84" i="48"/>
  <c r="R84" i="48"/>
  <c r="P84" i="48"/>
  <c r="O84" i="48"/>
  <c r="N84" i="48"/>
  <c r="M84" i="48"/>
  <c r="L84" i="48"/>
  <c r="K84" i="48"/>
  <c r="U83" i="48"/>
  <c r="T83" i="48"/>
  <c r="S83" i="48"/>
  <c r="R83" i="48"/>
  <c r="P83" i="48"/>
  <c r="O83" i="48"/>
  <c r="N83" i="48"/>
  <c r="M83" i="48"/>
  <c r="L83" i="48"/>
  <c r="K83" i="48"/>
  <c r="U82" i="48"/>
  <c r="T82" i="48"/>
  <c r="S82" i="48"/>
  <c r="R82" i="48"/>
  <c r="P82" i="48"/>
  <c r="O82" i="48"/>
  <c r="N82" i="48"/>
  <c r="M82" i="48"/>
  <c r="L82" i="48"/>
  <c r="K82" i="48"/>
  <c r="U81" i="48"/>
  <c r="T81" i="48"/>
  <c r="S81" i="48"/>
  <c r="R81" i="48"/>
  <c r="P81" i="48"/>
  <c r="O81" i="48"/>
  <c r="O94" i="48" s="1"/>
  <c r="N81" i="48"/>
  <c r="M81" i="48"/>
  <c r="L81" i="48"/>
  <c r="K81" i="48"/>
  <c r="U80" i="48"/>
  <c r="T80" i="48"/>
  <c r="S80" i="48"/>
  <c r="R80" i="48"/>
  <c r="P80" i="48"/>
  <c r="O80" i="48"/>
  <c r="N80" i="48"/>
  <c r="M80" i="48"/>
  <c r="L80" i="48"/>
  <c r="K80" i="48"/>
  <c r="U79" i="48"/>
  <c r="T79" i="48"/>
  <c r="S79" i="48"/>
  <c r="R79" i="48"/>
  <c r="P79" i="48"/>
  <c r="O79" i="48"/>
  <c r="N79" i="48"/>
  <c r="M79" i="48"/>
  <c r="L79" i="48"/>
  <c r="K79" i="48"/>
  <c r="U78" i="48"/>
  <c r="T78" i="48"/>
  <c r="S78" i="48"/>
  <c r="R78" i="48"/>
  <c r="P78" i="48"/>
  <c r="O78" i="48"/>
  <c r="N78" i="48"/>
  <c r="N93" i="48" s="1"/>
  <c r="M78" i="48"/>
  <c r="L78" i="48"/>
  <c r="K78" i="48"/>
  <c r="U77" i="48"/>
  <c r="T77" i="48"/>
  <c r="S77" i="48"/>
  <c r="R77" i="48"/>
  <c r="P77" i="48"/>
  <c r="O77" i="48"/>
  <c r="N77" i="48"/>
  <c r="M77" i="48"/>
  <c r="L77" i="48"/>
  <c r="K77" i="48"/>
  <c r="R75" i="48"/>
  <c r="K75" i="48"/>
  <c r="U68" i="48"/>
  <c r="T68" i="48"/>
  <c r="S68" i="48"/>
  <c r="R68" i="48"/>
  <c r="P68" i="48"/>
  <c r="O68" i="48"/>
  <c r="N68" i="48"/>
  <c r="M68" i="48"/>
  <c r="L68" i="48"/>
  <c r="K68" i="48"/>
  <c r="U67" i="48"/>
  <c r="T67" i="48"/>
  <c r="S67" i="48"/>
  <c r="R67" i="48"/>
  <c r="P67" i="48"/>
  <c r="O67" i="48"/>
  <c r="N67" i="48"/>
  <c r="M67" i="48"/>
  <c r="L67" i="48"/>
  <c r="K67" i="48"/>
  <c r="W66" i="48"/>
  <c r="U66" i="48"/>
  <c r="T66" i="48"/>
  <c r="S66" i="48"/>
  <c r="R66" i="48"/>
  <c r="P66" i="48"/>
  <c r="O66" i="48"/>
  <c r="N66" i="48"/>
  <c r="M66" i="48"/>
  <c r="L66" i="48"/>
  <c r="K66" i="48"/>
  <c r="U65" i="48"/>
  <c r="T65" i="48"/>
  <c r="S65" i="48"/>
  <c r="R65" i="48"/>
  <c r="P65" i="48"/>
  <c r="O65" i="48"/>
  <c r="N65" i="48"/>
  <c r="M65" i="48"/>
  <c r="L65" i="48"/>
  <c r="K65" i="48"/>
  <c r="U64" i="48"/>
  <c r="U71" i="48" s="1"/>
  <c r="T64" i="48"/>
  <c r="S64" i="48"/>
  <c r="R64" i="48"/>
  <c r="P64" i="48"/>
  <c r="O64" i="48"/>
  <c r="N64" i="48"/>
  <c r="M64" i="48"/>
  <c r="L64" i="48"/>
  <c r="K64" i="48"/>
  <c r="U63" i="48"/>
  <c r="T63" i="48"/>
  <c r="S63" i="48"/>
  <c r="R63" i="48"/>
  <c r="P63" i="48"/>
  <c r="O63" i="48"/>
  <c r="N63" i="48"/>
  <c r="M63" i="48"/>
  <c r="L63" i="48"/>
  <c r="K63" i="48"/>
  <c r="U62" i="48"/>
  <c r="T62" i="48"/>
  <c r="S62" i="48"/>
  <c r="R62" i="48"/>
  <c r="P62" i="48"/>
  <c r="O62" i="48"/>
  <c r="N62" i="48"/>
  <c r="M62" i="48"/>
  <c r="L62" i="48"/>
  <c r="K62" i="48"/>
  <c r="U61" i="48"/>
  <c r="T61" i="48"/>
  <c r="S61" i="48"/>
  <c r="R61" i="48"/>
  <c r="P61" i="48"/>
  <c r="O61" i="48"/>
  <c r="N61" i="48"/>
  <c r="M61" i="48"/>
  <c r="L61" i="48"/>
  <c r="K61" i="48"/>
  <c r="U60" i="48"/>
  <c r="T60" i="48"/>
  <c r="S60" i="48"/>
  <c r="R60" i="48"/>
  <c r="P60" i="48"/>
  <c r="O60" i="48"/>
  <c r="N60" i="48"/>
  <c r="M60" i="48"/>
  <c r="L60" i="48"/>
  <c r="K60" i="48"/>
  <c r="U59" i="48"/>
  <c r="T59" i="48"/>
  <c r="S59" i="48"/>
  <c r="R59" i="48"/>
  <c r="P59" i="48"/>
  <c r="O59" i="48"/>
  <c r="N59" i="48"/>
  <c r="M59" i="48"/>
  <c r="L59" i="48"/>
  <c r="K59" i="48"/>
  <c r="U58" i="48"/>
  <c r="T58" i="48"/>
  <c r="S58" i="48"/>
  <c r="R58" i="48"/>
  <c r="P58" i="48"/>
  <c r="O58" i="48"/>
  <c r="N58" i="48"/>
  <c r="M58" i="48"/>
  <c r="L58" i="48"/>
  <c r="K58" i="48"/>
  <c r="U57" i="48"/>
  <c r="T57" i="48"/>
  <c r="S57" i="48"/>
  <c r="R57" i="48"/>
  <c r="P57" i="48"/>
  <c r="O57" i="48"/>
  <c r="O70" i="48" s="1"/>
  <c r="N57" i="48"/>
  <c r="M57" i="48"/>
  <c r="L57" i="48"/>
  <c r="K57" i="48"/>
  <c r="U56" i="48"/>
  <c r="T56" i="48"/>
  <c r="T70" i="48" s="1"/>
  <c r="S56" i="48"/>
  <c r="R56" i="48"/>
  <c r="P56" i="48"/>
  <c r="O56" i="48"/>
  <c r="N56" i="48"/>
  <c r="M56" i="48"/>
  <c r="L56" i="48"/>
  <c r="K56" i="48"/>
  <c r="U55" i="48"/>
  <c r="T55" i="48"/>
  <c r="S55" i="48"/>
  <c r="R55" i="48"/>
  <c r="P55" i="48"/>
  <c r="O55" i="48"/>
  <c r="N55" i="48"/>
  <c r="M55" i="48"/>
  <c r="L55" i="48"/>
  <c r="K55" i="48"/>
  <c r="U54" i="48"/>
  <c r="T54" i="48"/>
  <c r="S54" i="48"/>
  <c r="R54" i="48"/>
  <c r="P54" i="48"/>
  <c r="O54" i="48"/>
  <c r="N54" i="48"/>
  <c r="M54" i="48"/>
  <c r="L54" i="48"/>
  <c r="K54" i="48"/>
  <c r="R52" i="48"/>
  <c r="K52" i="48"/>
  <c r="U44" i="48"/>
  <c r="T44" i="48"/>
  <c r="S44" i="48"/>
  <c r="R44" i="48"/>
  <c r="P44" i="48"/>
  <c r="O44" i="48"/>
  <c r="N44" i="48"/>
  <c r="M44" i="48"/>
  <c r="L44" i="48"/>
  <c r="K44" i="48"/>
  <c r="U43" i="48"/>
  <c r="T43" i="48"/>
  <c r="S43" i="48"/>
  <c r="R43" i="48"/>
  <c r="P43" i="48"/>
  <c r="O43" i="48"/>
  <c r="N43" i="48"/>
  <c r="M43" i="48"/>
  <c r="L43" i="48"/>
  <c r="K43" i="48"/>
  <c r="U42" i="48"/>
  <c r="T42" i="48"/>
  <c r="S42" i="48"/>
  <c r="R42" i="48"/>
  <c r="P42" i="48"/>
  <c r="O42" i="48"/>
  <c r="N42" i="48"/>
  <c r="M42" i="48"/>
  <c r="L42" i="48"/>
  <c r="K42" i="48"/>
  <c r="U41" i="48"/>
  <c r="T41" i="48"/>
  <c r="S41" i="48"/>
  <c r="R41" i="48"/>
  <c r="P41" i="48"/>
  <c r="O41" i="48"/>
  <c r="N41" i="48"/>
  <c r="M41" i="48"/>
  <c r="L41" i="48"/>
  <c r="K41" i="48"/>
  <c r="U40" i="48"/>
  <c r="T40" i="48"/>
  <c r="S40" i="48"/>
  <c r="R40" i="48"/>
  <c r="P40" i="48"/>
  <c r="O40" i="48"/>
  <c r="N40" i="48"/>
  <c r="M40" i="48"/>
  <c r="L40" i="48"/>
  <c r="K40" i="48"/>
  <c r="W39" i="48"/>
  <c r="U39" i="48"/>
  <c r="T39" i="48"/>
  <c r="S39" i="48"/>
  <c r="R39" i="48"/>
  <c r="P39" i="48"/>
  <c r="O39" i="48"/>
  <c r="N39" i="48"/>
  <c r="M39" i="48"/>
  <c r="L39" i="48"/>
  <c r="K39" i="48"/>
  <c r="U38" i="48"/>
  <c r="T38" i="48"/>
  <c r="S38" i="48"/>
  <c r="R38" i="48"/>
  <c r="P38" i="48"/>
  <c r="O38" i="48"/>
  <c r="N38" i="48"/>
  <c r="M38" i="48"/>
  <c r="L38" i="48"/>
  <c r="K38" i="48"/>
  <c r="U37" i="48"/>
  <c r="T37" i="48"/>
  <c r="S37" i="48"/>
  <c r="R37" i="48"/>
  <c r="P37" i="48"/>
  <c r="O37" i="48"/>
  <c r="N37" i="48"/>
  <c r="M37" i="48"/>
  <c r="L37" i="48"/>
  <c r="K37" i="48"/>
  <c r="U36" i="48"/>
  <c r="T36" i="48"/>
  <c r="S36" i="48"/>
  <c r="R36" i="48"/>
  <c r="P36" i="48"/>
  <c r="O36" i="48"/>
  <c r="N36" i="48"/>
  <c r="M36" i="48"/>
  <c r="L36" i="48"/>
  <c r="K36" i="48"/>
  <c r="U35" i="48"/>
  <c r="T35" i="48"/>
  <c r="S35" i="48"/>
  <c r="R35" i="48"/>
  <c r="P35" i="48"/>
  <c r="O35" i="48"/>
  <c r="N35" i="48"/>
  <c r="M35" i="48"/>
  <c r="L35" i="48"/>
  <c r="K35" i="48"/>
  <c r="U34" i="48"/>
  <c r="T34" i="48"/>
  <c r="S34" i="48"/>
  <c r="R34" i="48"/>
  <c r="P34" i="48"/>
  <c r="O34" i="48"/>
  <c r="N34" i="48"/>
  <c r="M34" i="48"/>
  <c r="L34" i="48"/>
  <c r="K34" i="48"/>
  <c r="U33" i="48"/>
  <c r="T33" i="48"/>
  <c r="S33" i="48"/>
  <c r="R33" i="48"/>
  <c r="P33" i="48"/>
  <c r="O33" i="48"/>
  <c r="N33" i="48"/>
  <c r="M33" i="48"/>
  <c r="M46" i="48" s="1"/>
  <c r="L33" i="48"/>
  <c r="K33" i="48"/>
  <c r="U32" i="48"/>
  <c r="T32" i="48"/>
  <c r="S32" i="48"/>
  <c r="R32" i="48"/>
  <c r="P32" i="48"/>
  <c r="O32" i="48"/>
  <c r="O47" i="48" s="1"/>
  <c r="N32" i="48"/>
  <c r="M32" i="48"/>
  <c r="L32" i="48"/>
  <c r="K32" i="48"/>
  <c r="U31" i="48"/>
  <c r="T31" i="48"/>
  <c r="S31" i="48"/>
  <c r="R31" i="48"/>
  <c r="P31" i="48"/>
  <c r="O31" i="48"/>
  <c r="N31" i="48"/>
  <c r="M31" i="48"/>
  <c r="L31" i="48"/>
  <c r="K31" i="48"/>
  <c r="R29" i="48"/>
  <c r="K29" i="48"/>
  <c r="N24" i="48"/>
  <c r="AE9" i="48" s="1"/>
  <c r="U21" i="48"/>
  <c r="T21" i="48"/>
  <c r="S21" i="48"/>
  <c r="R21" i="48"/>
  <c r="P21" i="48"/>
  <c r="O21" i="48"/>
  <c r="N21" i="48"/>
  <c r="M21" i="48"/>
  <c r="L21" i="48"/>
  <c r="K21" i="48"/>
  <c r="U20" i="48"/>
  <c r="T20" i="48"/>
  <c r="S20" i="48"/>
  <c r="R20" i="48"/>
  <c r="P20" i="48"/>
  <c r="O20" i="48"/>
  <c r="N20" i="48"/>
  <c r="M20" i="48"/>
  <c r="L20" i="48"/>
  <c r="K20" i="48"/>
  <c r="U19" i="48"/>
  <c r="T19" i="48"/>
  <c r="S19" i="48"/>
  <c r="R19" i="48"/>
  <c r="P19" i="48"/>
  <c r="O19" i="48"/>
  <c r="N19" i="48"/>
  <c r="M19" i="48"/>
  <c r="L19" i="48"/>
  <c r="K19" i="48"/>
  <c r="U18" i="48"/>
  <c r="T18" i="48"/>
  <c r="S18" i="48"/>
  <c r="R18" i="48"/>
  <c r="P18" i="48"/>
  <c r="O18" i="48"/>
  <c r="N18" i="48"/>
  <c r="M18" i="48"/>
  <c r="L18" i="48"/>
  <c r="K18" i="48"/>
  <c r="U17" i="48"/>
  <c r="T17" i="48"/>
  <c r="S17" i="48"/>
  <c r="R17" i="48"/>
  <c r="P17" i="48"/>
  <c r="O17" i="48"/>
  <c r="N17" i="48"/>
  <c r="M17" i="48"/>
  <c r="L17" i="48"/>
  <c r="K17" i="48"/>
  <c r="U16" i="48"/>
  <c r="T16" i="48"/>
  <c r="S16" i="48"/>
  <c r="R16" i="48"/>
  <c r="P16" i="48"/>
  <c r="O16" i="48"/>
  <c r="N16" i="48"/>
  <c r="M16" i="48"/>
  <c r="L16" i="48"/>
  <c r="K16" i="48"/>
  <c r="U15" i="48"/>
  <c r="T15" i="48"/>
  <c r="S15" i="48"/>
  <c r="R15" i="48"/>
  <c r="P15" i="48"/>
  <c r="O15" i="48"/>
  <c r="N15" i="48"/>
  <c r="M15" i="48"/>
  <c r="L15" i="48"/>
  <c r="K15" i="48"/>
  <c r="U14" i="48"/>
  <c r="T14" i="48"/>
  <c r="S14" i="48"/>
  <c r="R14" i="48"/>
  <c r="P14" i="48"/>
  <c r="O14" i="48"/>
  <c r="N14" i="48"/>
  <c r="M14" i="48"/>
  <c r="L14" i="48"/>
  <c r="K14" i="48"/>
  <c r="U13" i="48"/>
  <c r="T13" i="48"/>
  <c r="S13" i="48"/>
  <c r="R13" i="48"/>
  <c r="P13" i="48"/>
  <c r="O13" i="48"/>
  <c r="N13" i="48"/>
  <c r="M13" i="48"/>
  <c r="L13" i="48"/>
  <c r="K13" i="48"/>
  <c r="U12" i="48"/>
  <c r="T12" i="48"/>
  <c r="S12" i="48"/>
  <c r="R12" i="48"/>
  <c r="P12" i="48"/>
  <c r="O12" i="48"/>
  <c r="N12" i="48"/>
  <c r="M12" i="48"/>
  <c r="L12" i="48"/>
  <c r="K12" i="48"/>
  <c r="U11" i="48"/>
  <c r="T11" i="48"/>
  <c r="S11" i="48"/>
  <c r="R11" i="48"/>
  <c r="P11" i="48"/>
  <c r="O11" i="48"/>
  <c r="N11" i="48"/>
  <c r="M11" i="48"/>
  <c r="L11" i="48"/>
  <c r="K11" i="48"/>
  <c r="U10" i="48"/>
  <c r="T10" i="48"/>
  <c r="S10" i="48"/>
  <c r="R10" i="48"/>
  <c r="P10" i="48"/>
  <c r="O10" i="48"/>
  <c r="N10" i="48"/>
  <c r="M10" i="48"/>
  <c r="L10" i="48"/>
  <c r="K10" i="48"/>
  <c r="U9" i="48"/>
  <c r="T9" i="48"/>
  <c r="S9" i="48"/>
  <c r="R9" i="48"/>
  <c r="P9" i="48"/>
  <c r="O9" i="48"/>
  <c r="N9" i="48"/>
  <c r="M9" i="48"/>
  <c r="L9" i="48"/>
  <c r="K9" i="48"/>
  <c r="U8" i="48"/>
  <c r="T8" i="48"/>
  <c r="S8" i="48"/>
  <c r="R8" i="48"/>
  <c r="P8" i="48"/>
  <c r="O8" i="48"/>
  <c r="N8" i="48"/>
  <c r="M8" i="48"/>
  <c r="L8" i="48"/>
  <c r="K8" i="48"/>
  <c r="R6" i="48"/>
  <c r="K6" i="48"/>
  <c r="O253" i="47"/>
  <c r="N253" i="47"/>
  <c r="M253" i="47"/>
  <c r="U10" i="47" s="1"/>
  <c r="L253" i="47"/>
  <c r="T10" i="47" s="1"/>
  <c r="P251" i="47"/>
  <c r="O251" i="47"/>
  <c r="N251" i="47"/>
  <c r="M251" i="47"/>
  <c r="L251" i="47"/>
  <c r="K251" i="47"/>
  <c r="J251" i="47"/>
  <c r="P250" i="47"/>
  <c r="O250" i="47"/>
  <c r="N250" i="47"/>
  <c r="M250" i="47"/>
  <c r="L250" i="47"/>
  <c r="K250" i="47"/>
  <c r="J250" i="47"/>
  <c r="O249" i="47"/>
  <c r="O252" i="47" s="1"/>
  <c r="N249" i="47"/>
  <c r="M249" i="47"/>
  <c r="L249" i="47"/>
  <c r="K249" i="47"/>
  <c r="J249" i="47"/>
  <c r="O248" i="47"/>
  <c r="N248" i="47"/>
  <c r="M248" i="47"/>
  <c r="L248" i="47"/>
  <c r="P248" i="47" s="1"/>
  <c r="K248" i="47"/>
  <c r="J248" i="47"/>
  <c r="O247" i="47"/>
  <c r="N247" i="47"/>
  <c r="M247" i="47"/>
  <c r="L247" i="47"/>
  <c r="K247" i="47"/>
  <c r="J247" i="47"/>
  <c r="P246" i="47"/>
  <c r="O246" i="47"/>
  <c r="N246" i="47"/>
  <c r="M246" i="47"/>
  <c r="L246" i="47"/>
  <c r="K246" i="47"/>
  <c r="J246" i="47"/>
  <c r="O245" i="47"/>
  <c r="N245" i="47"/>
  <c r="M245" i="47"/>
  <c r="L245" i="47"/>
  <c r="P245" i="47" s="1"/>
  <c r="K245" i="47"/>
  <c r="J245" i="47"/>
  <c r="P244" i="47"/>
  <c r="O244" i="47"/>
  <c r="N244" i="47"/>
  <c r="M244" i="47"/>
  <c r="L244" i="47"/>
  <c r="K244" i="47"/>
  <c r="J244" i="47"/>
  <c r="P243" i="47"/>
  <c r="O243" i="47"/>
  <c r="N243" i="47"/>
  <c r="M243" i="47"/>
  <c r="L243" i="47"/>
  <c r="K243" i="47"/>
  <c r="J243" i="47"/>
  <c r="O242" i="47"/>
  <c r="N242" i="47"/>
  <c r="M242" i="47"/>
  <c r="L242" i="47"/>
  <c r="K242" i="47"/>
  <c r="J242" i="47"/>
  <c r="O241" i="47"/>
  <c r="N241" i="47"/>
  <c r="M241" i="47"/>
  <c r="L241" i="47"/>
  <c r="P241" i="47" s="1"/>
  <c r="K241" i="47"/>
  <c r="J241" i="47"/>
  <c r="O240" i="47"/>
  <c r="N240" i="47"/>
  <c r="M240" i="47"/>
  <c r="L240" i="47"/>
  <c r="P240" i="47" s="1"/>
  <c r="K240" i="47"/>
  <c r="J240" i="47"/>
  <c r="P239" i="47"/>
  <c r="O239" i="47"/>
  <c r="N239" i="47"/>
  <c r="M239" i="47"/>
  <c r="L239" i="47"/>
  <c r="K239" i="47"/>
  <c r="J239" i="47"/>
  <c r="P238" i="47"/>
  <c r="O238" i="47"/>
  <c r="N238" i="47"/>
  <c r="M238" i="47"/>
  <c r="L238" i="47"/>
  <c r="K238" i="47"/>
  <c r="J238" i="47"/>
  <c r="P237" i="47"/>
  <c r="O237" i="47"/>
  <c r="N237" i="47"/>
  <c r="M237" i="47"/>
  <c r="L237" i="47"/>
  <c r="K237" i="47"/>
  <c r="J237" i="47"/>
  <c r="O236" i="47"/>
  <c r="N236" i="47"/>
  <c r="M236" i="47"/>
  <c r="L236" i="47"/>
  <c r="K236" i="47"/>
  <c r="J236" i="47"/>
  <c r="P235" i="47"/>
  <c r="P234" i="47"/>
  <c r="J234" i="47"/>
  <c r="P233" i="47"/>
  <c r="P232" i="47"/>
  <c r="O231" i="47"/>
  <c r="W19" i="47" s="1"/>
  <c r="N231" i="47"/>
  <c r="M231" i="47"/>
  <c r="L231" i="47"/>
  <c r="P231" i="47" s="1"/>
  <c r="O229" i="47"/>
  <c r="N229" i="47"/>
  <c r="M229" i="47"/>
  <c r="L229" i="47"/>
  <c r="P229" i="47" s="1"/>
  <c r="K229" i="47"/>
  <c r="J229" i="47"/>
  <c r="P228" i="47"/>
  <c r="O228" i="47"/>
  <c r="N228" i="47"/>
  <c r="M228" i="47"/>
  <c r="L228" i="47"/>
  <c r="K228" i="47"/>
  <c r="J228" i="47"/>
  <c r="O227" i="47"/>
  <c r="N227" i="47"/>
  <c r="M227" i="47"/>
  <c r="L227" i="47"/>
  <c r="K227" i="47"/>
  <c r="J227" i="47"/>
  <c r="O226" i="47"/>
  <c r="N226" i="47"/>
  <c r="P226" i="47" s="1"/>
  <c r="M226" i="47"/>
  <c r="L226" i="47"/>
  <c r="K226" i="47"/>
  <c r="J226" i="47"/>
  <c r="O225" i="47"/>
  <c r="N225" i="47"/>
  <c r="M225" i="47"/>
  <c r="L225" i="47"/>
  <c r="P225" i="47" s="1"/>
  <c r="K225" i="47"/>
  <c r="J225" i="47"/>
  <c r="O224" i="47"/>
  <c r="N224" i="47"/>
  <c r="M224" i="47"/>
  <c r="L224" i="47"/>
  <c r="K224" i="47"/>
  <c r="J224" i="47"/>
  <c r="O223" i="47"/>
  <c r="N223" i="47"/>
  <c r="P223" i="47" s="1"/>
  <c r="M223" i="47"/>
  <c r="L223" i="47"/>
  <c r="K223" i="47"/>
  <c r="J223" i="47"/>
  <c r="P222" i="47"/>
  <c r="O222" i="47"/>
  <c r="N222" i="47"/>
  <c r="M222" i="47"/>
  <c r="L222" i="47"/>
  <c r="K222" i="47"/>
  <c r="J222" i="47"/>
  <c r="P221" i="47"/>
  <c r="O221" i="47"/>
  <c r="N221" i="47"/>
  <c r="M221" i="47"/>
  <c r="L221" i="47"/>
  <c r="K221" i="47"/>
  <c r="J221" i="47"/>
  <c r="O220" i="47"/>
  <c r="N220" i="47"/>
  <c r="P220" i="47" s="1"/>
  <c r="M220" i="47"/>
  <c r="L220" i="47"/>
  <c r="K220" i="47"/>
  <c r="J220" i="47"/>
  <c r="O219" i="47"/>
  <c r="N219" i="47"/>
  <c r="M219" i="47"/>
  <c r="L219" i="47"/>
  <c r="P219" i="47" s="1"/>
  <c r="W221" i="51" s="1"/>
  <c r="K219" i="47"/>
  <c r="J219" i="47"/>
  <c r="O218" i="47"/>
  <c r="N218" i="47"/>
  <c r="M218" i="47"/>
  <c r="L218" i="47"/>
  <c r="P218" i="47" s="1"/>
  <c r="K218" i="47"/>
  <c r="J218" i="47"/>
  <c r="O217" i="47"/>
  <c r="N217" i="47"/>
  <c r="M217" i="47"/>
  <c r="L217" i="47"/>
  <c r="P217" i="47" s="1"/>
  <c r="K217" i="47"/>
  <c r="J217" i="47"/>
  <c r="O216" i="47"/>
  <c r="N216" i="47"/>
  <c r="M216" i="47"/>
  <c r="L216" i="47"/>
  <c r="P216" i="47" s="1"/>
  <c r="W218" i="51" s="1"/>
  <c r="K216" i="47"/>
  <c r="J216" i="47"/>
  <c r="O215" i="47"/>
  <c r="N215" i="47"/>
  <c r="P215" i="47" s="1"/>
  <c r="M215" i="47"/>
  <c r="L215" i="47"/>
  <c r="K215" i="47"/>
  <c r="J215" i="47"/>
  <c r="P214" i="47"/>
  <c r="O214" i="47"/>
  <c r="N214" i="47"/>
  <c r="M214" i="47"/>
  <c r="L214" i="47"/>
  <c r="K214" i="47"/>
  <c r="J214" i="47"/>
  <c r="O213" i="47"/>
  <c r="O230" i="47" s="1"/>
  <c r="N213" i="47"/>
  <c r="M213" i="47"/>
  <c r="L213" i="47"/>
  <c r="K213" i="47"/>
  <c r="J213" i="47"/>
  <c r="P212" i="47"/>
  <c r="P211" i="47"/>
  <c r="J211" i="47"/>
  <c r="P210" i="47"/>
  <c r="P209" i="47"/>
  <c r="P208" i="47"/>
  <c r="P207" i="47"/>
  <c r="P206" i="47"/>
  <c r="P205" i="47"/>
  <c r="P204" i="47"/>
  <c r="P203" i="47"/>
  <c r="O202" i="47"/>
  <c r="N202" i="47"/>
  <c r="V20" i="47" s="1"/>
  <c r="M202" i="47"/>
  <c r="L202" i="47"/>
  <c r="T20" i="47" s="1"/>
  <c r="P200" i="47"/>
  <c r="O200" i="47"/>
  <c r="N200" i="47"/>
  <c r="M200" i="47"/>
  <c r="L200" i="47"/>
  <c r="K200" i="47"/>
  <c r="J200" i="47"/>
  <c r="O199" i="47"/>
  <c r="N199" i="47"/>
  <c r="M199" i="47"/>
  <c r="L199" i="47"/>
  <c r="P199" i="47" s="1"/>
  <c r="K199" i="47"/>
  <c r="J199" i="47"/>
  <c r="O198" i="47"/>
  <c r="N198" i="47"/>
  <c r="M198" i="47"/>
  <c r="L198" i="47"/>
  <c r="P198" i="47" s="1"/>
  <c r="K198" i="47"/>
  <c r="J198" i="47"/>
  <c r="P197" i="47"/>
  <c r="O197" i="47"/>
  <c r="N197" i="47"/>
  <c r="M197" i="47"/>
  <c r="L197" i="47"/>
  <c r="K197" i="47"/>
  <c r="J197" i="47"/>
  <c r="O196" i="47"/>
  <c r="N196" i="47"/>
  <c r="M196" i="47"/>
  <c r="L196" i="47"/>
  <c r="P196" i="47" s="1"/>
  <c r="K196" i="47"/>
  <c r="J196" i="47"/>
  <c r="P195" i="47"/>
  <c r="O195" i="47"/>
  <c r="N195" i="47"/>
  <c r="M195" i="47"/>
  <c r="L195" i="47"/>
  <c r="K195" i="47"/>
  <c r="J195" i="47"/>
  <c r="P194" i="47"/>
  <c r="O194" i="47"/>
  <c r="N194" i="47"/>
  <c r="M194" i="47"/>
  <c r="L194" i="47"/>
  <c r="K194" i="47"/>
  <c r="J194" i="47"/>
  <c r="O193" i="47"/>
  <c r="N193" i="47"/>
  <c r="N201" i="47" s="1"/>
  <c r="M193" i="47"/>
  <c r="L193" i="47"/>
  <c r="K193" i="47"/>
  <c r="J193" i="47"/>
  <c r="P192" i="47"/>
  <c r="O192" i="47"/>
  <c r="N192" i="47"/>
  <c r="M192" i="47"/>
  <c r="L192" i="47"/>
  <c r="K192" i="47"/>
  <c r="J192" i="47"/>
  <c r="O191" i="47"/>
  <c r="N191" i="47"/>
  <c r="M191" i="47"/>
  <c r="M201" i="47" s="1"/>
  <c r="L191" i="47"/>
  <c r="P191" i="47" s="1"/>
  <c r="K191" i="47"/>
  <c r="J191" i="47"/>
  <c r="O190" i="47"/>
  <c r="N190" i="47"/>
  <c r="M190" i="47"/>
  <c r="L190" i="47"/>
  <c r="K190" i="47"/>
  <c r="J190" i="47"/>
  <c r="P189" i="47"/>
  <c r="P188" i="47"/>
  <c r="J188" i="47"/>
  <c r="P187" i="47"/>
  <c r="P186" i="47"/>
  <c r="P185" i="47"/>
  <c r="O185" i="47"/>
  <c r="W8" i="47" s="1"/>
  <c r="N185" i="47"/>
  <c r="V8" i="47" s="1"/>
  <c r="M185" i="47"/>
  <c r="L185" i="47"/>
  <c r="O183" i="47"/>
  <c r="N183" i="47"/>
  <c r="M183" i="47"/>
  <c r="L183" i="47"/>
  <c r="P183" i="47" s="1"/>
  <c r="K183" i="47"/>
  <c r="J183" i="47"/>
  <c r="O182" i="47"/>
  <c r="N182" i="47"/>
  <c r="P182" i="47" s="1"/>
  <c r="M182" i="47"/>
  <c r="L182" i="47"/>
  <c r="K182" i="47"/>
  <c r="J182" i="47"/>
  <c r="O181" i="47"/>
  <c r="N181" i="47"/>
  <c r="M181" i="47"/>
  <c r="L181" i="47"/>
  <c r="P181" i="47" s="1"/>
  <c r="K181" i="47"/>
  <c r="J181" i="47"/>
  <c r="O180" i="47"/>
  <c r="N180" i="47"/>
  <c r="M180" i="47"/>
  <c r="L180" i="47"/>
  <c r="P180" i="47" s="1"/>
  <c r="K180" i="47"/>
  <c r="J180" i="47"/>
  <c r="P179" i="47"/>
  <c r="O179" i="47"/>
  <c r="N179" i="47"/>
  <c r="M179" i="47"/>
  <c r="L179" i="47"/>
  <c r="K179" i="47"/>
  <c r="J179" i="47"/>
  <c r="O178" i="47"/>
  <c r="N178" i="47"/>
  <c r="M178" i="47"/>
  <c r="L178" i="47"/>
  <c r="P178" i="47" s="1"/>
  <c r="K178" i="47"/>
  <c r="J178" i="47"/>
  <c r="O177" i="47"/>
  <c r="N177" i="47"/>
  <c r="M177" i="47"/>
  <c r="L177" i="47"/>
  <c r="P177" i="47" s="1"/>
  <c r="K177" i="47"/>
  <c r="J177" i="47"/>
  <c r="P176" i="47"/>
  <c r="W178" i="51" s="1"/>
  <c r="O176" i="47"/>
  <c r="N176" i="47"/>
  <c r="M176" i="47"/>
  <c r="L176" i="47"/>
  <c r="K176" i="47"/>
  <c r="J176" i="47"/>
  <c r="O175" i="47"/>
  <c r="N175" i="47"/>
  <c r="M175" i="47"/>
  <c r="L175" i="47"/>
  <c r="K175" i="47"/>
  <c r="J175" i="47"/>
  <c r="O174" i="47"/>
  <c r="N174" i="47"/>
  <c r="P174" i="47" s="1"/>
  <c r="M174" i="47"/>
  <c r="L174" i="47"/>
  <c r="K174" i="47"/>
  <c r="J174" i="47"/>
  <c r="O173" i="47"/>
  <c r="N173" i="47"/>
  <c r="M173" i="47"/>
  <c r="L173" i="47"/>
  <c r="P173" i="47" s="1"/>
  <c r="K173" i="47"/>
  <c r="J173" i="47"/>
  <c r="O172" i="47"/>
  <c r="N172" i="47"/>
  <c r="M172" i="47"/>
  <c r="L172" i="47"/>
  <c r="K172" i="47"/>
  <c r="J172" i="47"/>
  <c r="P171" i="47"/>
  <c r="O171" i="47"/>
  <c r="N171" i="47"/>
  <c r="M171" i="47"/>
  <c r="L171" i="47"/>
  <c r="K171" i="47"/>
  <c r="J171" i="47"/>
  <c r="O170" i="47"/>
  <c r="N170" i="47"/>
  <c r="M170" i="47"/>
  <c r="L170" i="47"/>
  <c r="P170" i="47" s="1"/>
  <c r="K170" i="47"/>
  <c r="J170" i="47"/>
  <c r="O169" i="47"/>
  <c r="N169" i="47"/>
  <c r="M169" i="47"/>
  <c r="L169" i="47"/>
  <c r="K169" i="47"/>
  <c r="J169" i="47"/>
  <c r="P168" i="47"/>
  <c r="O168" i="47"/>
  <c r="N168" i="47"/>
  <c r="M168" i="47"/>
  <c r="L168" i="47"/>
  <c r="K168" i="47"/>
  <c r="J168" i="47"/>
  <c r="O167" i="47"/>
  <c r="N167" i="47"/>
  <c r="M167" i="47"/>
  <c r="L167" i="47"/>
  <c r="K167" i="47"/>
  <c r="J167" i="47"/>
  <c r="P166" i="47"/>
  <c r="P165" i="47"/>
  <c r="J165" i="47"/>
  <c r="P164" i="47"/>
  <c r="O162" i="47"/>
  <c r="N162" i="47"/>
  <c r="M162" i="47"/>
  <c r="U6" i="47" s="1"/>
  <c r="L162" i="47"/>
  <c r="P162" i="47" s="1"/>
  <c r="O160" i="47"/>
  <c r="N160" i="47"/>
  <c r="M160" i="47"/>
  <c r="L160" i="47"/>
  <c r="K160" i="47"/>
  <c r="J160" i="47"/>
  <c r="O159" i="47"/>
  <c r="N159" i="47"/>
  <c r="M159" i="47"/>
  <c r="L159" i="47"/>
  <c r="P159" i="47" s="1"/>
  <c r="K159" i="47"/>
  <c r="J159" i="47"/>
  <c r="O158" i="47"/>
  <c r="N158" i="47"/>
  <c r="M158" i="47"/>
  <c r="L158" i="47"/>
  <c r="P158" i="47" s="1"/>
  <c r="K158" i="47"/>
  <c r="J158" i="47"/>
  <c r="O156" i="47"/>
  <c r="N156" i="47"/>
  <c r="P156" i="47" s="1"/>
  <c r="W158" i="51" s="1"/>
  <c r="M156" i="47"/>
  <c r="L156" i="47"/>
  <c r="K156" i="47"/>
  <c r="J156" i="47"/>
  <c r="P155" i="47"/>
  <c r="O155" i="47"/>
  <c r="N155" i="47"/>
  <c r="M155" i="47"/>
  <c r="L155" i="47"/>
  <c r="K155" i="47"/>
  <c r="J155" i="47"/>
  <c r="O154" i="47"/>
  <c r="N154" i="47"/>
  <c r="M154" i="47"/>
  <c r="L154" i="47"/>
  <c r="P154" i="47" s="1"/>
  <c r="K154" i="47"/>
  <c r="J154" i="47"/>
  <c r="O153" i="47"/>
  <c r="N153" i="47"/>
  <c r="P153" i="47" s="1"/>
  <c r="M153" i="47"/>
  <c r="L153" i="47"/>
  <c r="K153" i="47"/>
  <c r="J153" i="47"/>
  <c r="O152" i="47"/>
  <c r="N152" i="47"/>
  <c r="M152" i="47"/>
  <c r="L152" i="47"/>
  <c r="P152" i="47" s="1"/>
  <c r="K152" i="47"/>
  <c r="J152" i="47"/>
  <c r="O151" i="47"/>
  <c r="N151" i="47"/>
  <c r="M151" i="47"/>
  <c r="L151" i="47"/>
  <c r="P151" i="47" s="1"/>
  <c r="K151" i="47"/>
  <c r="J151" i="47"/>
  <c r="P150" i="47"/>
  <c r="O150" i="47"/>
  <c r="N150" i="47"/>
  <c r="M150" i="47"/>
  <c r="L150" i="47"/>
  <c r="K150" i="47"/>
  <c r="J150" i="47"/>
  <c r="O149" i="47"/>
  <c r="N149" i="47"/>
  <c r="M149" i="47"/>
  <c r="L149" i="47"/>
  <c r="P149" i="47" s="1"/>
  <c r="K149" i="47"/>
  <c r="J149" i="47"/>
  <c r="O148" i="47"/>
  <c r="N148" i="47"/>
  <c r="M148" i="47"/>
  <c r="L148" i="47"/>
  <c r="K148" i="47"/>
  <c r="J148" i="47"/>
  <c r="P147" i="47"/>
  <c r="W149" i="51" s="1"/>
  <c r="O147" i="47"/>
  <c r="N147" i="47"/>
  <c r="M147" i="47"/>
  <c r="L147" i="47"/>
  <c r="K147" i="47"/>
  <c r="J147" i="47"/>
  <c r="O146" i="47"/>
  <c r="O161" i="47" s="1"/>
  <c r="N146" i="47"/>
  <c r="M146" i="47"/>
  <c r="L146" i="47"/>
  <c r="P146" i="47" s="1"/>
  <c r="K146" i="47"/>
  <c r="J146" i="47"/>
  <c r="O145" i="47"/>
  <c r="N145" i="47"/>
  <c r="P145" i="47" s="1"/>
  <c r="M145" i="47"/>
  <c r="L145" i="47"/>
  <c r="K145" i="47"/>
  <c r="J145" i="47"/>
  <c r="P144" i="47"/>
  <c r="W146" i="51" s="1"/>
  <c r="O144" i="47"/>
  <c r="N144" i="47"/>
  <c r="M144" i="47"/>
  <c r="M161" i="47" s="1"/>
  <c r="L144" i="47"/>
  <c r="K144" i="47"/>
  <c r="J144" i="47"/>
  <c r="P143" i="47"/>
  <c r="P142" i="47"/>
  <c r="J142" i="47"/>
  <c r="P141" i="47"/>
  <c r="P140" i="47"/>
  <c r="P139" i="47"/>
  <c r="O138" i="47"/>
  <c r="N138" i="47"/>
  <c r="M138" i="47"/>
  <c r="U7" i="47" s="1"/>
  <c r="L138" i="47"/>
  <c r="O136" i="47"/>
  <c r="N136" i="47"/>
  <c r="M136" i="47"/>
  <c r="L136" i="47"/>
  <c r="K136" i="47"/>
  <c r="J136" i="47"/>
  <c r="O135" i="47"/>
  <c r="N135" i="47"/>
  <c r="P135" i="47" s="1"/>
  <c r="M135" i="47"/>
  <c r="L135" i="47"/>
  <c r="K135" i="47"/>
  <c r="J135" i="47"/>
  <c r="O134" i="47"/>
  <c r="N134" i="47"/>
  <c r="M134" i="47"/>
  <c r="L134" i="47"/>
  <c r="P134" i="47" s="1"/>
  <c r="K134" i="47"/>
  <c r="J134" i="47"/>
  <c r="O133" i="47"/>
  <c r="N133" i="47"/>
  <c r="M133" i="47"/>
  <c r="L133" i="47"/>
  <c r="P133" i="47" s="1"/>
  <c r="W135" i="51" s="1"/>
  <c r="K133" i="47"/>
  <c r="J133" i="47"/>
  <c r="P132" i="47"/>
  <c r="O132" i="47"/>
  <c r="N132" i="47"/>
  <c r="M132" i="47"/>
  <c r="L132" i="47"/>
  <c r="K132" i="47"/>
  <c r="J132" i="47"/>
  <c r="P131" i="47"/>
  <c r="O131" i="47"/>
  <c r="N131" i="47"/>
  <c r="M131" i="47"/>
  <c r="L131" i="47"/>
  <c r="K131" i="47"/>
  <c r="J131" i="47"/>
  <c r="P130" i="47"/>
  <c r="O130" i="47"/>
  <c r="N130" i="47"/>
  <c r="M130" i="47"/>
  <c r="L130" i="47"/>
  <c r="K130" i="47"/>
  <c r="J130" i="47"/>
  <c r="P129" i="47"/>
  <c r="O129" i="47"/>
  <c r="N129" i="47"/>
  <c r="M129" i="47"/>
  <c r="L129" i="47"/>
  <c r="K129" i="47"/>
  <c r="J129" i="47"/>
  <c r="O128" i="47"/>
  <c r="N128" i="47"/>
  <c r="M128" i="47"/>
  <c r="L128" i="47"/>
  <c r="K128" i="47"/>
  <c r="J128" i="47"/>
  <c r="O127" i="47"/>
  <c r="N127" i="47"/>
  <c r="M127" i="47"/>
  <c r="L127" i="47"/>
  <c r="K127" i="47"/>
  <c r="J127" i="47"/>
  <c r="O126" i="47"/>
  <c r="N126" i="47"/>
  <c r="M126" i="47"/>
  <c r="L126" i="47"/>
  <c r="P126" i="47" s="1"/>
  <c r="K126" i="47"/>
  <c r="J126" i="47"/>
  <c r="P125" i="47"/>
  <c r="O125" i="47"/>
  <c r="N125" i="47"/>
  <c r="M125" i="47"/>
  <c r="L125" i="47"/>
  <c r="K125" i="47"/>
  <c r="J125" i="47"/>
  <c r="P124" i="47"/>
  <c r="O124" i="47"/>
  <c r="N124" i="47"/>
  <c r="M124" i="47"/>
  <c r="L124" i="47"/>
  <c r="K124" i="47"/>
  <c r="J124" i="47"/>
  <c r="O123" i="47"/>
  <c r="N123" i="47"/>
  <c r="P123" i="47" s="1"/>
  <c r="M123" i="47"/>
  <c r="L123" i="47"/>
  <c r="K123" i="47"/>
  <c r="J123" i="47"/>
  <c r="P122" i="47"/>
  <c r="O122" i="47"/>
  <c r="N122" i="47"/>
  <c r="M122" i="47"/>
  <c r="L122" i="47"/>
  <c r="K122" i="47"/>
  <c r="J122" i="47"/>
  <c r="O121" i="47"/>
  <c r="N121" i="47"/>
  <c r="N137" i="47" s="1"/>
  <c r="M121" i="47"/>
  <c r="L121" i="47"/>
  <c r="K121" i="47"/>
  <c r="J121" i="47"/>
  <c r="P120" i="47"/>
  <c r="P119" i="47"/>
  <c r="J119" i="47"/>
  <c r="P118" i="47"/>
  <c r="P117" i="47"/>
  <c r="P116" i="47"/>
  <c r="O115" i="47"/>
  <c r="W9" i="47" s="1"/>
  <c r="N115" i="47"/>
  <c r="M115" i="47"/>
  <c r="U9" i="47" s="1"/>
  <c r="L115" i="47"/>
  <c r="P115" i="47" s="1"/>
  <c r="O113" i="47"/>
  <c r="N113" i="47"/>
  <c r="M113" i="47"/>
  <c r="L113" i="47"/>
  <c r="K113" i="47"/>
  <c r="J113" i="47"/>
  <c r="O112" i="47"/>
  <c r="N112" i="47"/>
  <c r="P112" i="47" s="1"/>
  <c r="M112" i="47"/>
  <c r="L112" i="47"/>
  <c r="K112" i="47"/>
  <c r="J112" i="47"/>
  <c r="O111" i="47"/>
  <c r="N111" i="47"/>
  <c r="M111" i="47"/>
  <c r="L111" i="47"/>
  <c r="P111" i="47" s="1"/>
  <c r="K111" i="47"/>
  <c r="J111" i="47"/>
  <c r="O110" i="47"/>
  <c r="N110" i="47"/>
  <c r="M110" i="47"/>
  <c r="L110" i="47"/>
  <c r="P110" i="47" s="1"/>
  <c r="K110" i="47"/>
  <c r="J110" i="47"/>
  <c r="P109" i="47"/>
  <c r="W111" i="51" s="1"/>
  <c r="O109" i="47"/>
  <c r="N109" i="47"/>
  <c r="M109" i="47"/>
  <c r="L109" i="47"/>
  <c r="K109" i="47"/>
  <c r="J109" i="47"/>
  <c r="P108" i="47"/>
  <c r="O108" i="47"/>
  <c r="N108" i="47"/>
  <c r="M108" i="47"/>
  <c r="L108" i="47"/>
  <c r="K108" i="47"/>
  <c r="J108" i="47"/>
  <c r="P107" i="47"/>
  <c r="O107" i="47"/>
  <c r="N107" i="47"/>
  <c r="M107" i="47"/>
  <c r="L107" i="47"/>
  <c r="K107" i="47"/>
  <c r="J107" i="47"/>
  <c r="O106" i="47"/>
  <c r="N106" i="47"/>
  <c r="P106" i="47" s="1"/>
  <c r="M106" i="47"/>
  <c r="L106" i="47"/>
  <c r="K106" i="47"/>
  <c r="J106" i="47"/>
  <c r="O105" i="47"/>
  <c r="N105" i="47"/>
  <c r="M105" i="47"/>
  <c r="L105" i="47"/>
  <c r="P105" i="47" s="1"/>
  <c r="K105" i="47"/>
  <c r="J105" i="47"/>
  <c r="O104" i="47"/>
  <c r="N104" i="47"/>
  <c r="M104" i="47"/>
  <c r="L104" i="47"/>
  <c r="K104" i="47"/>
  <c r="J104" i="47"/>
  <c r="O103" i="47"/>
  <c r="N103" i="47"/>
  <c r="M103" i="47"/>
  <c r="L103" i="47"/>
  <c r="P103" i="47" s="1"/>
  <c r="W105" i="51" s="1"/>
  <c r="K103" i="47"/>
  <c r="J103" i="47"/>
  <c r="P102" i="47"/>
  <c r="O102" i="47"/>
  <c r="N102" i="47"/>
  <c r="M102" i="47"/>
  <c r="L102" i="47"/>
  <c r="K102" i="47"/>
  <c r="J102" i="47"/>
  <c r="P101" i="47"/>
  <c r="O101" i="47"/>
  <c r="N101" i="47"/>
  <c r="M101" i="47"/>
  <c r="L101" i="47"/>
  <c r="K101" i="47"/>
  <c r="J101" i="47"/>
  <c r="O100" i="47"/>
  <c r="N100" i="47"/>
  <c r="P100" i="47" s="1"/>
  <c r="M100" i="47"/>
  <c r="L100" i="47"/>
  <c r="K100" i="47"/>
  <c r="J100" i="47"/>
  <c r="O99" i="47"/>
  <c r="N99" i="47"/>
  <c r="P99" i="47" s="1"/>
  <c r="M99" i="47"/>
  <c r="L99" i="47"/>
  <c r="K99" i="47"/>
  <c r="J99" i="47"/>
  <c r="O98" i="47"/>
  <c r="O114" i="47" s="1"/>
  <c r="N98" i="47"/>
  <c r="M98" i="47"/>
  <c r="L98" i="47"/>
  <c r="P98" i="47" s="1"/>
  <c r="K98" i="47"/>
  <c r="J98" i="47"/>
  <c r="P97" i="47"/>
  <c r="P96" i="47"/>
  <c r="J96" i="47"/>
  <c r="P95" i="47"/>
  <c r="P94" i="47"/>
  <c r="O94" i="47"/>
  <c r="N94" i="47"/>
  <c r="M94" i="47"/>
  <c r="L94" i="47"/>
  <c r="K94" i="47"/>
  <c r="J94" i="47"/>
  <c r="P93" i="47"/>
  <c r="O93" i="47"/>
  <c r="N93" i="47"/>
  <c r="M93" i="47"/>
  <c r="L93" i="47"/>
  <c r="K93" i="47"/>
  <c r="J93" i="47"/>
  <c r="P92" i="47"/>
  <c r="O92" i="47"/>
  <c r="W12" i="47" s="1"/>
  <c r="N92" i="47"/>
  <c r="V12" i="47" s="1"/>
  <c r="M92" i="47"/>
  <c r="U12" i="47" s="1"/>
  <c r="L92" i="47"/>
  <c r="P90" i="47"/>
  <c r="O90" i="47"/>
  <c r="N90" i="47"/>
  <c r="M90" i="47"/>
  <c r="L90" i="47"/>
  <c r="K90" i="47"/>
  <c r="J90" i="47"/>
  <c r="P87" i="47"/>
  <c r="O87" i="47"/>
  <c r="N87" i="47"/>
  <c r="M87" i="47"/>
  <c r="L87" i="47"/>
  <c r="K87" i="47"/>
  <c r="J87" i="47"/>
  <c r="O86" i="47"/>
  <c r="N86" i="47"/>
  <c r="P86" i="47" s="1"/>
  <c r="M86" i="47"/>
  <c r="L86" i="47"/>
  <c r="K86" i="47"/>
  <c r="J86" i="47"/>
  <c r="O85" i="47"/>
  <c r="N85" i="47"/>
  <c r="P85" i="47" s="1"/>
  <c r="M85" i="47"/>
  <c r="L85" i="47"/>
  <c r="K85" i="47"/>
  <c r="J85" i="47"/>
  <c r="O84" i="47"/>
  <c r="N84" i="47"/>
  <c r="M84" i="47"/>
  <c r="L84" i="47"/>
  <c r="P84" i="47" s="1"/>
  <c r="K84" i="47"/>
  <c r="J84" i="47"/>
  <c r="O83" i="47"/>
  <c r="N83" i="47"/>
  <c r="M83" i="47"/>
  <c r="L83" i="47"/>
  <c r="P83" i="47" s="1"/>
  <c r="K83" i="47"/>
  <c r="J83" i="47"/>
  <c r="P82" i="47"/>
  <c r="O82" i="47"/>
  <c r="N82" i="47"/>
  <c r="M82" i="47"/>
  <c r="L82" i="47"/>
  <c r="K82" i="47"/>
  <c r="J82" i="47"/>
  <c r="O81" i="47"/>
  <c r="N81" i="47"/>
  <c r="M81" i="47"/>
  <c r="L81" i="47"/>
  <c r="P81" i="47" s="1"/>
  <c r="K81" i="47"/>
  <c r="J81" i="47"/>
  <c r="O80" i="47"/>
  <c r="N80" i="47"/>
  <c r="P80" i="47" s="1"/>
  <c r="M80" i="47"/>
  <c r="L80" i="47"/>
  <c r="K80" i="47"/>
  <c r="J80" i="47"/>
  <c r="P79" i="47"/>
  <c r="O79" i="47"/>
  <c r="N79" i="47"/>
  <c r="M79" i="47"/>
  <c r="L79" i="47"/>
  <c r="K79" i="47"/>
  <c r="J79" i="47"/>
  <c r="O78" i="47"/>
  <c r="N78" i="47"/>
  <c r="M78" i="47"/>
  <c r="L78" i="47"/>
  <c r="P78" i="47" s="1"/>
  <c r="K78" i="47"/>
  <c r="J78" i="47"/>
  <c r="O77" i="47"/>
  <c r="N77" i="47"/>
  <c r="P77" i="47" s="1"/>
  <c r="M77" i="47"/>
  <c r="L77" i="47"/>
  <c r="K77" i="47"/>
  <c r="J77" i="47"/>
  <c r="O76" i="47"/>
  <c r="N76" i="47"/>
  <c r="N91" i="47" s="1"/>
  <c r="M76" i="47"/>
  <c r="L76" i="47"/>
  <c r="K76" i="47"/>
  <c r="J76" i="47"/>
  <c r="O75" i="47"/>
  <c r="O91" i="47" s="1"/>
  <c r="N75" i="47"/>
  <c r="M75" i="47"/>
  <c r="L75" i="47"/>
  <c r="K75" i="47"/>
  <c r="J75" i="47"/>
  <c r="P74" i="47"/>
  <c r="P73" i="47"/>
  <c r="J73" i="47"/>
  <c r="P72" i="47"/>
  <c r="P71" i="47"/>
  <c r="P70" i="47"/>
  <c r="O69" i="47"/>
  <c r="N69" i="47"/>
  <c r="M69" i="47"/>
  <c r="L69" i="47"/>
  <c r="P69" i="47" s="1"/>
  <c r="P67" i="47"/>
  <c r="O67" i="47"/>
  <c r="N67" i="47"/>
  <c r="M67" i="47"/>
  <c r="L67" i="47"/>
  <c r="K67" i="47"/>
  <c r="J67" i="47"/>
  <c r="O66" i="47"/>
  <c r="N66" i="47"/>
  <c r="M66" i="47"/>
  <c r="L66" i="47"/>
  <c r="P66" i="47" s="1"/>
  <c r="K66" i="47"/>
  <c r="J66" i="47"/>
  <c r="O65" i="47"/>
  <c r="N65" i="47"/>
  <c r="M65" i="47"/>
  <c r="L65" i="47"/>
  <c r="P65" i="47" s="1"/>
  <c r="K65" i="47"/>
  <c r="J65" i="47"/>
  <c r="P64" i="47"/>
  <c r="W66" i="51" s="1"/>
  <c r="O64" i="47"/>
  <c r="N64" i="47"/>
  <c r="M64" i="47"/>
  <c r="L64" i="47"/>
  <c r="K64" i="47"/>
  <c r="J64" i="47"/>
  <c r="O63" i="47"/>
  <c r="N63" i="47"/>
  <c r="M63" i="47"/>
  <c r="L63" i="47"/>
  <c r="P63" i="47" s="1"/>
  <c r="K63" i="47"/>
  <c r="J63" i="47"/>
  <c r="X62" i="47"/>
  <c r="W62" i="47"/>
  <c r="V62" i="47"/>
  <c r="U62" i="47"/>
  <c r="O62" i="47"/>
  <c r="N62" i="47"/>
  <c r="M62" i="47"/>
  <c r="M68" i="47" s="1"/>
  <c r="L62" i="47"/>
  <c r="P62" i="47" s="1"/>
  <c r="K62" i="47"/>
  <c r="J62" i="47"/>
  <c r="O61" i="47"/>
  <c r="N61" i="47"/>
  <c r="M61" i="47"/>
  <c r="L61" i="47"/>
  <c r="P61" i="47" s="1"/>
  <c r="K61" i="47"/>
  <c r="J61" i="47"/>
  <c r="P60" i="47"/>
  <c r="O60" i="47"/>
  <c r="N60" i="47"/>
  <c r="M60" i="47"/>
  <c r="L60" i="47"/>
  <c r="K60" i="47"/>
  <c r="J60" i="47"/>
  <c r="P59" i="47"/>
  <c r="O59" i="47"/>
  <c r="N59" i="47"/>
  <c r="M59" i="47"/>
  <c r="L59" i="47"/>
  <c r="K59" i="47"/>
  <c r="J59" i="47"/>
  <c r="P58" i="47"/>
  <c r="O58" i="47"/>
  <c r="N58" i="47"/>
  <c r="M58" i="47"/>
  <c r="L58" i="47"/>
  <c r="K58" i="47"/>
  <c r="J58" i="47"/>
  <c r="O57" i="47"/>
  <c r="N57" i="47"/>
  <c r="P57" i="47" s="1"/>
  <c r="M57" i="47"/>
  <c r="L57" i="47"/>
  <c r="K57" i="47"/>
  <c r="J57" i="47"/>
  <c r="O56" i="47"/>
  <c r="N56" i="47"/>
  <c r="M56" i="47"/>
  <c r="L56" i="47"/>
  <c r="P56" i="47" s="1"/>
  <c r="K56" i="47"/>
  <c r="J56" i="47"/>
  <c r="O55" i="47"/>
  <c r="N55" i="47"/>
  <c r="M55" i="47"/>
  <c r="L55" i="47"/>
  <c r="P55" i="47" s="1"/>
  <c r="K55" i="47"/>
  <c r="J55" i="47"/>
  <c r="O54" i="47"/>
  <c r="N54" i="47"/>
  <c r="M54" i="47"/>
  <c r="L54" i="47"/>
  <c r="P54" i="47" s="1"/>
  <c r="K54" i="47"/>
  <c r="J54" i="47"/>
  <c r="P53" i="47"/>
  <c r="O53" i="47"/>
  <c r="N53" i="47"/>
  <c r="M53" i="47"/>
  <c r="L53" i="47"/>
  <c r="K53" i="47"/>
  <c r="J53" i="47"/>
  <c r="P52" i="47"/>
  <c r="O52" i="47"/>
  <c r="N52" i="47"/>
  <c r="M52" i="47"/>
  <c r="L52" i="47"/>
  <c r="K52" i="47"/>
  <c r="J52" i="47"/>
  <c r="P51" i="47"/>
  <c r="P50" i="47"/>
  <c r="J50" i="47"/>
  <c r="P49" i="47"/>
  <c r="P48" i="47"/>
  <c r="P47" i="47"/>
  <c r="O46" i="47"/>
  <c r="N46" i="47"/>
  <c r="M46" i="47"/>
  <c r="L46" i="47"/>
  <c r="K46" i="47"/>
  <c r="J46" i="47"/>
  <c r="O45" i="47"/>
  <c r="N45" i="47"/>
  <c r="V14" i="47" s="1"/>
  <c r="M45" i="47"/>
  <c r="L45" i="47"/>
  <c r="O43" i="47"/>
  <c r="N43" i="47"/>
  <c r="P43" i="47" s="1"/>
  <c r="M43" i="47"/>
  <c r="L43" i="47"/>
  <c r="K43" i="47"/>
  <c r="J43" i="47"/>
  <c r="P42" i="47"/>
  <c r="O42" i="47"/>
  <c r="N42" i="47"/>
  <c r="M42" i="47"/>
  <c r="L42" i="47"/>
  <c r="K42" i="47"/>
  <c r="J42" i="47"/>
  <c r="O41" i="47"/>
  <c r="N41" i="47"/>
  <c r="N44" i="47" s="1"/>
  <c r="M41" i="47"/>
  <c r="L41" i="47"/>
  <c r="K41" i="47"/>
  <c r="J41" i="47"/>
  <c r="O40" i="47"/>
  <c r="N40" i="47"/>
  <c r="P40" i="47" s="1"/>
  <c r="M40" i="47"/>
  <c r="L40" i="47"/>
  <c r="K40" i="47"/>
  <c r="J40" i="47"/>
  <c r="O39" i="47"/>
  <c r="N39" i="47"/>
  <c r="M39" i="47"/>
  <c r="L39" i="47"/>
  <c r="P39" i="47" s="1"/>
  <c r="K39" i="47"/>
  <c r="J39" i="47"/>
  <c r="O38" i="47"/>
  <c r="N38" i="47"/>
  <c r="M38" i="47"/>
  <c r="L38" i="47"/>
  <c r="P38" i="47" s="1"/>
  <c r="K38" i="47"/>
  <c r="J38" i="47"/>
  <c r="P37" i="47"/>
  <c r="W39" i="51" s="1"/>
  <c r="O37" i="47"/>
  <c r="N37" i="47"/>
  <c r="M37" i="47"/>
  <c r="L37" i="47"/>
  <c r="K37" i="47"/>
  <c r="J37" i="47"/>
  <c r="P35" i="47"/>
  <c r="O35" i="47"/>
  <c r="N35" i="47"/>
  <c r="M35" i="47"/>
  <c r="L35" i="47"/>
  <c r="K35" i="47"/>
  <c r="J35" i="47"/>
  <c r="P34" i="47"/>
  <c r="W36" i="51" s="1"/>
  <c r="O34" i="47"/>
  <c r="N34" i="47"/>
  <c r="M34" i="47"/>
  <c r="L34" i="47"/>
  <c r="K34" i="47"/>
  <c r="J34" i="47"/>
  <c r="O33" i="47"/>
  <c r="N33" i="47"/>
  <c r="P33" i="47" s="1"/>
  <c r="M33" i="47"/>
  <c r="L33" i="47"/>
  <c r="K33" i="47"/>
  <c r="J33" i="47"/>
  <c r="O32" i="47"/>
  <c r="N32" i="47"/>
  <c r="M32" i="47"/>
  <c r="L32" i="47"/>
  <c r="P32" i="47" s="1"/>
  <c r="K32" i="47"/>
  <c r="J32" i="47"/>
  <c r="O31" i="47"/>
  <c r="N31" i="47"/>
  <c r="M31" i="47"/>
  <c r="L31" i="47"/>
  <c r="K31" i="47"/>
  <c r="J31" i="47"/>
  <c r="O30" i="47"/>
  <c r="N30" i="47"/>
  <c r="M30" i="47"/>
  <c r="L30" i="47"/>
  <c r="P30" i="47" s="1"/>
  <c r="K30" i="47"/>
  <c r="J30" i="47"/>
  <c r="P29" i="47"/>
  <c r="O29" i="47"/>
  <c r="N29" i="47"/>
  <c r="M29" i="47"/>
  <c r="L29" i="47"/>
  <c r="K29" i="47"/>
  <c r="J29" i="47"/>
  <c r="P28" i="47"/>
  <c r="P27" i="47"/>
  <c r="J27" i="47"/>
  <c r="P26" i="47"/>
  <c r="P25" i="47"/>
  <c r="P24" i="47"/>
  <c r="P23" i="47"/>
  <c r="O22" i="47"/>
  <c r="W13" i="47" s="1"/>
  <c r="N22" i="47"/>
  <c r="V13" i="47" s="1"/>
  <c r="M22" i="47"/>
  <c r="L22" i="47"/>
  <c r="W20" i="47"/>
  <c r="U20" i="47"/>
  <c r="O20" i="47"/>
  <c r="N20" i="47"/>
  <c r="M20" i="47"/>
  <c r="L20" i="47"/>
  <c r="K20" i="47"/>
  <c r="J20" i="47"/>
  <c r="V19" i="47"/>
  <c r="U19" i="47"/>
  <c r="T19" i="47"/>
  <c r="P19" i="47"/>
  <c r="O19" i="47"/>
  <c r="N19" i="47"/>
  <c r="M19" i="47"/>
  <c r="L19" i="47"/>
  <c r="K19" i="47"/>
  <c r="J19" i="47"/>
  <c r="O18" i="47"/>
  <c r="N18" i="47"/>
  <c r="M18" i="47"/>
  <c r="L18" i="47"/>
  <c r="K18" i="47"/>
  <c r="J18" i="47"/>
  <c r="O17" i="47"/>
  <c r="N17" i="47"/>
  <c r="P17" i="47" s="1"/>
  <c r="M17" i="47"/>
  <c r="L17" i="47"/>
  <c r="K17" i="47"/>
  <c r="J17" i="47"/>
  <c r="O16" i="47"/>
  <c r="N16" i="47"/>
  <c r="M16" i="47"/>
  <c r="L16" i="47"/>
  <c r="P16" i="47" s="1"/>
  <c r="K16" i="47"/>
  <c r="J16" i="47"/>
  <c r="O15" i="47"/>
  <c r="N15" i="47"/>
  <c r="M15" i="47"/>
  <c r="L15" i="47"/>
  <c r="K15" i="47"/>
  <c r="J15" i="47"/>
  <c r="W14" i="47"/>
  <c r="U14" i="47"/>
  <c r="O14" i="47"/>
  <c r="N14" i="47"/>
  <c r="M14" i="47"/>
  <c r="L14" i="47"/>
  <c r="P14" i="47" s="1"/>
  <c r="K14" i="47"/>
  <c r="J14" i="47"/>
  <c r="U13" i="47"/>
  <c r="T13" i="47"/>
  <c r="O13" i="47"/>
  <c r="N13" i="47"/>
  <c r="M13" i="47"/>
  <c r="L13" i="47"/>
  <c r="P13" i="47" s="1"/>
  <c r="K13" i="47"/>
  <c r="J13" i="47"/>
  <c r="T12" i="47"/>
  <c r="O12" i="47"/>
  <c r="N12" i="47"/>
  <c r="P12" i="47" s="1"/>
  <c r="M12" i="47"/>
  <c r="L12" i="47"/>
  <c r="K12" i="47"/>
  <c r="J12" i="47"/>
  <c r="W11" i="47"/>
  <c r="V11" i="47"/>
  <c r="U11" i="47"/>
  <c r="P11" i="47"/>
  <c r="O11" i="47"/>
  <c r="N11" i="47"/>
  <c r="M11" i="47"/>
  <c r="L11" i="47"/>
  <c r="K11" i="47"/>
  <c r="J11" i="47"/>
  <c r="W10" i="47"/>
  <c r="V10" i="47"/>
  <c r="O10" i="47"/>
  <c r="N10" i="47"/>
  <c r="M10" i="47"/>
  <c r="L10" i="47"/>
  <c r="P10" i="47" s="1"/>
  <c r="K10" i="47"/>
  <c r="J10" i="47"/>
  <c r="V9" i="47"/>
  <c r="T9" i="47"/>
  <c r="O9" i="47"/>
  <c r="N9" i="47"/>
  <c r="P9" i="47" s="1"/>
  <c r="M9" i="47"/>
  <c r="L9" i="47"/>
  <c r="K9" i="47"/>
  <c r="J9" i="47"/>
  <c r="U8" i="47"/>
  <c r="T8" i="47"/>
  <c r="O8" i="47"/>
  <c r="N8" i="47"/>
  <c r="P8" i="47" s="1"/>
  <c r="M8" i="47"/>
  <c r="L8" i="47"/>
  <c r="K8" i="47"/>
  <c r="J8" i="47"/>
  <c r="W7" i="47"/>
  <c r="V7" i="47"/>
  <c r="O7" i="47"/>
  <c r="N7" i="47"/>
  <c r="M7" i="47"/>
  <c r="L7" i="47"/>
  <c r="K7" i="47"/>
  <c r="J7" i="47"/>
  <c r="W6" i="47"/>
  <c r="V6" i="47"/>
  <c r="T6" i="47"/>
  <c r="O6" i="47"/>
  <c r="N6" i="47"/>
  <c r="M6" i="47"/>
  <c r="L6" i="47"/>
  <c r="K6" i="47"/>
  <c r="J6" i="47"/>
  <c r="J4" i="47"/>
  <c r="S23" i="53"/>
  <c r="R23" i="53"/>
  <c r="Q23" i="53"/>
  <c r="P23" i="53"/>
  <c r="L22" i="53"/>
  <c r="K22" i="53"/>
  <c r="J22" i="53"/>
  <c r="I22" i="53"/>
  <c r="E22" i="53"/>
  <c r="D22" i="53"/>
  <c r="C22" i="53"/>
  <c r="B22" i="53"/>
  <c r="P53" i="33"/>
  <c r="O53" i="33"/>
  <c r="M53" i="33"/>
  <c r="L53" i="33"/>
  <c r="N52" i="33"/>
  <c r="L52" i="33"/>
  <c r="R51" i="33"/>
  <c r="Q51" i="33"/>
  <c r="P51" i="33"/>
  <c r="O51" i="33"/>
  <c r="N51" i="33"/>
  <c r="M51" i="33"/>
  <c r="L51" i="33"/>
  <c r="R50" i="33"/>
  <c r="Q50" i="33"/>
  <c r="P50" i="33"/>
  <c r="O50" i="33"/>
  <c r="N50" i="33"/>
  <c r="M50" i="33"/>
  <c r="L50" i="33"/>
  <c r="Q49" i="33"/>
  <c r="P49" i="33"/>
  <c r="O49" i="33"/>
  <c r="N49" i="33"/>
  <c r="M49" i="33"/>
  <c r="L49" i="33"/>
  <c r="R49" i="33" s="1"/>
  <c r="M48" i="33"/>
  <c r="L48" i="33"/>
  <c r="R47" i="33"/>
  <c r="Q47" i="33"/>
  <c r="M47" i="33"/>
  <c r="L47" i="33"/>
  <c r="R46" i="33"/>
  <c r="Q46" i="33"/>
  <c r="P46" i="33"/>
  <c r="N46" i="33"/>
  <c r="L46" i="33"/>
  <c r="O46" i="33" s="1"/>
  <c r="R45" i="33"/>
  <c r="L45" i="33"/>
  <c r="O44" i="33"/>
  <c r="N44" i="33"/>
  <c r="L44" i="33"/>
  <c r="P44" i="33" s="1"/>
  <c r="R43" i="33"/>
  <c r="Q43" i="33"/>
  <c r="P43" i="33"/>
  <c r="O43" i="33"/>
  <c r="N43" i="33"/>
  <c r="M43" i="33"/>
  <c r="L43" i="33"/>
  <c r="L42" i="33"/>
  <c r="Q41" i="33"/>
  <c r="P41" i="33"/>
  <c r="O41" i="33"/>
  <c r="N41" i="33"/>
  <c r="L41" i="33"/>
  <c r="R41" i="33" s="1"/>
  <c r="O40" i="33"/>
  <c r="M40" i="33"/>
  <c r="L40" i="33"/>
  <c r="O39" i="33"/>
  <c r="L39" i="33"/>
  <c r="R38" i="33"/>
  <c r="M38" i="33"/>
  <c r="L38" i="33"/>
  <c r="R37" i="33"/>
  <c r="Q37" i="33"/>
  <c r="P37" i="33"/>
  <c r="O37" i="33"/>
  <c r="L37" i="33"/>
  <c r="N37" i="33" s="1"/>
  <c r="R36" i="33"/>
  <c r="Q36" i="33"/>
  <c r="P36" i="33"/>
  <c r="O36" i="33"/>
  <c r="N36" i="33"/>
  <c r="L36" i="33"/>
  <c r="M36" i="33" s="1"/>
  <c r="R35" i="33"/>
  <c r="Q35" i="33"/>
  <c r="P35" i="33"/>
  <c r="O35" i="33"/>
  <c r="N35" i="33"/>
  <c r="M35" i="33"/>
  <c r="L35" i="33"/>
  <c r="L34" i="33"/>
  <c r="Q33" i="33"/>
  <c r="P33" i="33"/>
  <c r="M33" i="33"/>
  <c r="L33" i="33"/>
  <c r="R32" i="33"/>
  <c r="P32" i="33"/>
  <c r="O32" i="33"/>
  <c r="N32" i="33"/>
  <c r="L32" i="33"/>
  <c r="Q32" i="33" s="1"/>
  <c r="R31" i="33"/>
  <c r="M31" i="33"/>
  <c r="L31" i="33"/>
  <c r="P31" i="33" s="1"/>
  <c r="P30" i="33"/>
  <c r="N30" i="33"/>
  <c r="M30" i="33"/>
  <c r="L30" i="33"/>
  <c r="M29" i="33"/>
  <c r="L29" i="33"/>
  <c r="R28" i="33"/>
  <c r="Q28" i="33"/>
  <c r="P28" i="33"/>
  <c r="O28" i="33"/>
  <c r="L28" i="33"/>
  <c r="M28" i="33" s="1"/>
  <c r="R27" i="33"/>
  <c r="Q27" i="33"/>
  <c r="P27" i="33"/>
  <c r="O27" i="33"/>
  <c r="N27" i="33"/>
  <c r="M27" i="33"/>
  <c r="L27" i="33"/>
  <c r="L26" i="33"/>
  <c r="O25" i="33"/>
  <c r="L25" i="33"/>
  <c r="L24" i="33"/>
  <c r="R23" i="33"/>
  <c r="Q23" i="33"/>
  <c r="O23" i="33"/>
  <c r="N23" i="33"/>
  <c r="L23" i="33"/>
  <c r="P23" i="33" s="1"/>
  <c r="R22" i="33"/>
  <c r="Q22" i="33"/>
  <c r="P22" i="33"/>
  <c r="N22" i="33"/>
  <c r="M22" i="33"/>
  <c r="L22" i="33"/>
  <c r="O22" i="33" s="1"/>
  <c r="O21" i="33"/>
  <c r="L21" i="33"/>
  <c r="R20" i="33"/>
  <c r="Q20" i="33"/>
  <c r="N20" i="33"/>
  <c r="L20" i="33"/>
  <c r="R19" i="33"/>
  <c r="Q19" i="33"/>
  <c r="P19" i="33"/>
  <c r="O19" i="33"/>
  <c r="N19" i="33"/>
  <c r="M19" i="33"/>
  <c r="L19" i="33"/>
  <c r="R18" i="33"/>
  <c r="Q18" i="33"/>
  <c r="P18" i="33"/>
  <c r="O18" i="33"/>
  <c r="N18" i="33"/>
  <c r="L18" i="33"/>
  <c r="M18" i="33" s="1"/>
  <c r="Q17" i="33"/>
  <c r="M17" i="33"/>
  <c r="L17" i="33"/>
  <c r="R17" i="33" s="1"/>
  <c r="O16" i="33"/>
  <c r="N16" i="33"/>
  <c r="M16" i="33"/>
  <c r="L16" i="33"/>
  <c r="M15" i="33"/>
  <c r="L15" i="33"/>
  <c r="R14" i="33"/>
  <c r="Q14" i="33"/>
  <c r="P14" i="33"/>
  <c r="N14" i="33"/>
  <c r="L14" i="33"/>
  <c r="O14" i="33" s="1"/>
  <c r="Q13" i="33"/>
  <c r="O13" i="33"/>
  <c r="M13" i="33"/>
  <c r="L13" i="33"/>
  <c r="N13" i="33" s="1"/>
  <c r="L12" i="33"/>
  <c r="R11" i="33"/>
  <c r="Q11" i="33"/>
  <c r="P11" i="33"/>
  <c r="O11" i="33"/>
  <c r="N11" i="33"/>
  <c r="M11" i="33"/>
  <c r="L11" i="33"/>
  <c r="R10" i="33"/>
  <c r="P10" i="33"/>
  <c r="M10" i="33"/>
  <c r="L10" i="33"/>
  <c r="Q10" i="33" s="1"/>
  <c r="Q9" i="33"/>
  <c r="P9" i="33"/>
  <c r="O9" i="33"/>
  <c r="N9" i="33"/>
  <c r="L9" i="33"/>
  <c r="R9" i="33" s="1"/>
  <c r="R8" i="33"/>
  <c r="P8" i="33"/>
  <c r="O8" i="33"/>
  <c r="L8" i="33"/>
  <c r="Q8" i="33" s="1"/>
  <c r="L7" i="33"/>
  <c r="R6" i="33"/>
  <c r="L6" i="33"/>
  <c r="R5" i="33"/>
  <c r="Q5" i="33"/>
  <c r="P5" i="33"/>
  <c r="O5" i="33"/>
  <c r="L5" i="33"/>
  <c r="N5" i="33" s="1"/>
  <c r="O4" i="33"/>
  <c r="L4" i="33"/>
  <c r="R3" i="33"/>
  <c r="Q3" i="33"/>
  <c r="P3" i="33"/>
  <c r="O3" i="33"/>
  <c r="N3" i="33"/>
  <c r="M3" i="33"/>
  <c r="L3" i="33"/>
  <c r="R2" i="33"/>
  <c r="O2" i="33"/>
  <c r="N2" i="33"/>
  <c r="M2" i="33"/>
  <c r="L2" i="33"/>
  <c r="Z13" i="34"/>
  <c r="AA12" i="34"/>
  <c r="AA10" i="34"/>
  <c r="Z10" i="34"/>
  <c r="AA8" i="34"/>
  <c r="W5" i="34"/>
  <c r="V5" i="34"/>
  <c r="U5" i="34"/>
  <c r="Z12" i="34" s="1"/>
  <c r="T5" i="34"/>
  <c r="Z11" i="34" s="1"/>
  <c r="S5" i="34"/>
  <c r="R5" i="34"/>
  <c r="Z9" i="34" s="1"/>
  <c r="Q5" i="34"/>
  <c r="Z8" i="34" s="1"/>
  <c r="W4" i="34"/>
  <c r="V4" i="34"/>
  <c r="U4" i="34"/>
  <c r="T4" i="34"/>
  <c r="S4" i="34"/>
  <c r="R4" i="34"/>
  <c r="Q4" i="34"/>
  <c r="W3" i="34"/>
  <c r="V3" i="34"/>
  <c r="AA13" i="34" s="1"/>
  <c r="U3" i="34"/>
  <c r="T3" i="34"/>
  <c r="AA11" i="34" s="1"/>
  <c r="S3" i="34"/>
  <c r="R3" i="34"/>
  <c r="AA9" i="34" s="1"/>
  <c r="Q3" i="34"/>
  <c r="AV35" i="41"/>
  <c r="AU35" i="41"/>
  <c r="AT35" i="41"/>
  <c r="AS35" i="41"/>
  <c r="AR35" i="41"/>
  <c r="AQ35" i="41"/>
  <c r="AP35" i="41"/>
  <c r="AO35" i="41"/>
  <c r="AN35" i="41"/>
  <c r="AI35" i="41"/>
  <c r="AH35" i="41"/>
  <c r="AG35" i="41"/>
  <c r="AF35" i="41"/>
  <c r="AE35" i="41"/>
  <c r="AD35" i="41"/>
  <c r="AC35" i="41"/>
  <c r="AB35" i="41"/>
  <c r="AA35" i="41"/>
  <c r="Z35" i="41"/>
  <c r="Y35" i="41"/>
  <c r="X35" i="41"/>
  <c r="W35" i="41"/>
  <c r="V35" i="41"/>
  <c r="U35" i="41"/>
  <c r="T35" i="41"/>
  <c r="AU34" i="41"/>
  <c r="AT34" i="41"/>
  <c r="AS34" i="41"/>
  <c r="AR34" i="41"/>
  <c r="AQ34" i="41"/>
  <c r="AP34" i="41"/>
  <c r="AO34" i="41"/>
  <c r="AN34" i="41"/>
  <c r="AI34" i="41"/>
  <c r="AH34" i="41"/>
  <c r="AG34" i="41"/>
  <c r="AF34" i="41"/>
  <c r="AE34" i="41"/>
  <c r="AD34" i="41"/>
  <c r="AC34" i="41"/>
  <c r="AB34" i="41"/>
  <c r="AA34" i="41"/>
  <c r="Z34" i="41"/>
  <c r="Y34" i="41"/>
  <c r="X34" i="41"/>
  <c r="W34" i="41"/>
  <c r="V34" i="41"/>
  <c r="U34" i="41"/>
  <c r="T34" i="41"/>
  <c r="BK9" i="41"/>
  <c r="BJ9" i="41"/>
  <c r="BI9" i="41"/>
  <c r="BH9" i="41"/>
  <c r="BG9" i="41"/>
  <c r="BO5" i="41" s="1"/>
  <c r="BF9" i="41"/>
  <c r="BE9" i="41"/>
  <c r="BD9" i="41"/>
  <c r="BK8" i="41"/>
  <c r="BJ8" i="41"/>
  <c r="BI8" i="41"/>
  <c r="BH8" i="41"/>
  <c r="BP6" i="41" s="1"/>
  <c r="BG8" i="41"/>
  <c r="BP5" i="41" s="1"/>
  <c r="BF8" i="41"/>
  <c r="BE8" i="41"/>
  <c r="BD8" i="41"/>
  <c r="BP7" i="41"/>
  <c r="BO7" i="41"/>
  <c r="BK7" i="41"/>
  <c r="BJ7" i="41"/>
  <c r="BI7" i="41"/>
  <c r="BH7" i="41"/>
  <c r="BG7" i="41"/>
  <c r="BF7" i="41"/>
  <c r="BE7" i="41"/>
  <c r="BD7" i="41"/>
  <c r="BO6" i="41"/>
  <c r="BK6" i="41"/>
  <c r="BJ6" i="41"/>
  <c r="BI6" i="41"/>
  <c r="BH6" i="41"/>
  <c r="BG6" i="41"/>
  <c r="BD6" i="41"/>
  <c r="AP6" i="41"/>
  <c r="AO6" i="41"/>
  <c r="AN6" i="41"/>
  <c r="AP5" i="41"/>
  <c r="AO5" i="41"/>
  <c r="AN5" i="41"/>
  <c r="BP4" i="41"/>
  <c r="AP4" i="41"/>
  <c r="AO4" i="41"/>
  <c r="AN4" i="41"/>
  <c r="AP3" i="41"/>
  <c r="AO3" i="41"/>
  <c r="AN3" i="41"/>
  <c r="AR89" i="24"/>
  <c r="AQ89" i="24"/>
  <c r="AP89" i="24"/>
  <c r="AO89" i="24"/>
  <c r="AN89" i="24"/>
  <c r="AM89" i="24"/>
  <c r="AL89" i="24"/>
  <c r="AK89" i="24"/>
  <c r="AJ89" i="24"/>
  <c r="AI89" i="24"/>
  <c r="AH89" i="24"/>
  <c r="AG89" i="24"/>
  <c r="AF89" i="24"/>
  <c r="AE89" i="24"/>
  <c r="AD89" i="24"/>
  <c r="AC89" i="24"/>
  <c r="AB89" i="24"/>
  <c r="AA89" i="24"/>
  <c r="Z89" i="24"/>
  <c r="U89" i="24"/>
  <c r="V89" i="24" s="1"/>
  <c r="W89" i="24" s="1"/>
  <c r="T89" i="24"/>
  <c r="S89" i="24"/>
  <c r="R89" i="24"/>
  <c r="Q89" i="24"/>
  <c r="P89" i="24"/>
  <c r="O89" i="24"/>
  <c r="N89" i="24"/>
  <c r="M89" i="24"/>
  <c r="L89" i="24"/>
  <c r="K89" i="24"/>
  <c r="J89" i="24"/>
  <c r="I89" i="24"/>
  <c r="H89" i="24"/>
  <c r="G89" i="24"/>
  <c r="F89" i="24"/>
  <c r="E89" i="24"/>
  <c r="D89" i="24"/>
  <c r="C89" i="24"/>
  <c r="AT88" i="24"/>
  <c r="AS88" i="24"/>
  <c r="AR88" i="24"/>
  <c r="AQ88" i="24"/>
  <c r="AP88" i="24"/>
  <c r="AO88" i="24"/>
  <c r="AN88" i="24"/>
  <c r="AM88" i="24"/>
  <c r="AL88" i="24"/>
  <c r="AK88" i="24"/>
  <c r="AJ88" i="24"/>
  <c r="AI88" i="24"/>
  <c r="AH88" i="24"/>
  <c r="AG88" i="24"/>
  <c r="AF88" i="24"/>
  <c r="AE88" i="24"/>
  <c r="AD88" i="24"/>
  <c r="AC88" i="24"/>
  <c r="AB88" i="24"/>
  <c r="AA88" i="24"/>
  <c r="Z88" i="24"/>
  <c r="W88" i="24"/>
  <c r="V88" i="24"/>
  <c r="U88" i="24"/>
  <c r="T88" i="24"/>
  <c r="S88" i="24"/>
  <c r="R88" i="24"/>
  <c r="Q88" i="24"/>
  <c r="P88" i="24"/>
  <c r="O88" i="24"/>
  <c r="N88" i="24"/>
  <c r="M88" i="24"/>
  <c r="L88" i="24"/>
  <c r="K88" i="24"/>
  <c r="J88" i="24"/>
  <c r="I88" i="24"/>
  <c r="H88" i="24"/>
  <c r="G88" i="24"/>
  <c r="F88" i="24"/>
  <c r="E88" i="24"/>
  <c r="D88" i="24"/>
  <c r="C88" i="24"/>
  <c r="AT87" i="24"/>
  <c r="AS87" i="24"/>
  <c r="AR87" i="24"/>
  <c r="AQ87" i="24"/>
  <c r="AP87" i="24"/>
  <c r="AO87" i="24"/>
  <c r="AN87" i="24"/>
  <c r="AM87" i="24"/>
  <c r="AL87" i="24"/>
  <c r="AK87" i="24"/>
  <c r="AJ87" i="24"/>
  <c r="AI87" i="24"/>
  <c r="AH87" i="24"/>
  <c r="AG87" i="24"/>
  <c r="AF87" i="24"/>
  <c r="AE87" i="24"/>
  <c r="AD87" i="24"/>
  <c r="AC87" i="24"/>
  <c r="AB87" i="24"/>
  <c r="AA87" i="24"/>
  <c r="Z87" i="24"/>
  <c r="W87" i="24"/>
  <c r="V87" i="24"/>
  <c r="U87" i="24"/>
  <c r="T87" i="24"/>
  <c r="S87" i="24"/>
  <c r="R87" i="24"/>
  <c r="Q87" i="24"/>
  <c r="P87" i="24"/>
  <c r="O87" i="24"/>
  <c r="N87" i="24"/>
  <c r="M87" i="24"/>
  <c r="L87" i="24"/>
  <c r="K87" i="24"/>
  <c r="J87" i="24"/>
  <c r="I87" i="24"/>
  <c r="H87" i="24"/>
  <c r="G87" i="24"/>
  <c r="F87" i="24"/>
  <c r="E87" i="24"/>
  <c r="D87" i="24"/>
  <c r="C87" i="24"/>
  <c r="AT86" i="24"/>
  <c r="AS86" i="24"/>
  <c r="AR86" i="24"/>
  <c r="AQ86" i="24"/>
  <c r="AP86" i="24"/>
  <c r="AO86" i="24"/>
  <c r="AN86" i="24"/>
  <c r="AM86" i="24"/>
  <c r="AL86" i="24"/>
  <c r="AK86" i="24"/>
  <c r="AJ86" i="24"/>
  <c r="AI86" i="24"/>
  <c r="AH86" i="24"/>
  <c r="AG86" i="24"/>
  <c r="AF86" i="24"/>
  <c r="AE86" i="24"/>
  <c r="AD86" i="24"/>
  <c r="AC86" i="24"/>
  <c r="AB86" i="24"/>
  <c r="AA86" i="24"/>
  <c r="Z86" i="24"/>
  <c r="W86" i="24"/>
  <c r="V86" i="24"/>
  <c r="U86" i="24"/>
  <c r="T86" i="24"/>
  <c r="S86" i="24"/>
  <c r="R86" i="24"/>
  <c r="Q86" i="24"/>
  <c r="P86" i="24"/>
  <c r="O86" i="24"/>
  <c r="N86" i="24"/>
  <c r="M86" i="24"/>
  <c r="L86" i="24"/>
  <c r="K86" i="24"/>
  <c r="J86" i="24"/>
  <c r="I86" i="24"/>
  <c r="H86" i="24"/>
  <c r="G86" i="24"/>
  <c r="F86" i="24"/>
  <c r="E86" i="24"/>
  <c r="D86" i="24"/>
  <c r="C86" i="24"/>
  <c r="AT85" i="24"/>
  <c r="AS85" i="24"/>
  <c r="AR85" i="24"/>
  <c r="AQ85" i="24"/>
  <c r="AP85" i="24"/>
  <c r="AO85" i="24"/>
  <c r="AN85" i="24"/>
  <c r="AM85" i="24"/>
  <c r="AL85" i="24"/>
  <c r="AK85" i="24"/>
  <c r="AJ85" i="24"/>
  <c r="AI85" i="24"/>
  <c r="AH85" i="24"/>
  <c r="AG85" i="24"/>
  <c r="AF85" i="24"/>
  <c r="AE85" i="24"/>
  <c r="AD85" i="24"/>
  <c r="AC85" i="24"/>
  <c r="AB85" i="24"/>
  <c r="AA85" i="24"/>
  <c r="Z85" i="24"/>
  <c r="W85" i="24"/>
  <c r="V85" i="24"/>
  <c r="U85" i="24"/>
  <c r="T85" i="24"/>
  <c r="S85" i="24"/>
  <c r="R85" i="24"/>
  <c r="Q85" i="24"/>
  <c r="P85" i="24"/>
  <c r="O85" i="24"/>
  <c r="N85" i="24"/>
  <c r="M85" i="24"/>
  <c r="L85" i="24"/>
  <c r="K85" i="24"/>
  <c r="J85" i="24"/>
  <c r="I85" i="24"/>
  <c r="H85" i="24"/>
  <c r="G85" i="24"/>
  <c r="F85" i="24"/>
  <c r="E85" i="24"/>
  <c r="D85" i="24"/>
  <c r="C85" i="24"/>
  <c r="AT84" i="24"/>
  <c r="AS84" i="24"/>
  <c r="AR84" i="24"/>
  <c r="AQ84" i="24"/>
  <c r="AP84" i="24"/>
  <c r="AO84" i="24"/>
  <c r="AN84" i="24"/>
  <c r="AM84" i="24"/>
  <c r="AL84" i="24"/>
  <c r="AK84" i="24"/>
  <c r="AJ84" i="24"/>
  <c r="AI84" i="24"/>
  <c r="AH84" i="24"/>
  <c r="AG84" i="24"/>
  <c r="AF84" i="24"/>
  <c r="AE84" i="24"/>
  <c r="AD84" i="24"/>
  <c r="AC84" i="24"/>
  <c r="AB84" i="24"/>
  <c r="AA84" i="24"/>
  <c r="Z84" i="24"/>
  <c r="W84" i="24"/>
  <c r="V84" i="24"/>
  <c r="U84" i="24"/>
  <c r="T84" i="24"/>
  <c r="S84" i="24"/>
  <c r="R84" i="24"/>
  <c r="Q84" i="24"/>
  <c r="P84" i="24"/>
  <c r="O84" i="24"/>
  <c r="N84" i="24"/>
  <c r="M84" i="24"/>
  <c r="L84" i="24"/>
  <c r="K84" i="24"/>
  <c r="J84" i="24"/>
  <c r="I84" i="24"/>
  <c r="H84" i="24"/>
  <c r="G84" i="24"/>
  <c r="F84" i="24"/>
  <c r="E84" i="24"/>
  <c r="D84" i="24"/>
  <c r="C84" i="24"/>
  <c r="AT83" i="24"/>
  <c r="AS83" i="24"/>
  <c r="AR83" i="24"/>
  <c r="AQ83" i="24"/>
  <c r="AP83" i="24"/>
  <c r="AO83" i="24"/>
  <c r="AN83" i="24"/>
  <c r="AM83" i="24"/>
  <c r="AL83" i="24"/>
  <c r="AK83" i="24"/>
  <c r="AJ83" i="24"/>
  <c r="AI83" i="24"/>
  <c r="AH83" i="24"/>
  <c r="AG83" i="24"/>
  <c r="AF83" i="24"/>
  <c r="AE83" i="24"/>
  <c r="AD83" i="24"/>
  <c r="AC83" i="24"/>
  <c r="AB83" i="24"/>
  <c r="AA83" i="24"/>
  <c r="BA83" i="24" s="1"/>
  <c r="W83" i="24"/>
  <c r="V83" i="24"/>
  <c r="U83" i="24"/>
  <c r="T83" i="24"/>
  <c r="S83" i="24"/>
  <c r="R83" i="24"/>
  <c r="Q83" i="24"/>
  <c r="P83" i="24"/>
  <c r="O83" i="24"/>
  <c r="N83" i="24"/>
  <c r="M83" i="24"/>
  <c r="L83" i="24"/>
  <c r="K83" i="24"/>
  <c r="J83" i="24"/>
  <c r="I83" i="24"/>
  <c r="H83" i="24"/>
  <c r="G83" i="24"/>
  <c r="F83" i="24"/>
  <c r="E83" i="24"/>
  <c r="D83" i="24"/>
  <c r="C83" i="24"/>
  <c r="AT82" i="24"/>
  <c r="AS82" i="24"/>
  <c r="AR82" i="24"/>
  <c r="AQ82" i="24"/>
  <c r="AP82" i="24"/>
  <c r="AO82" i="24"/>
  <c r="AN82" i="24"/>
  <c r="AM82" i="24"/>
  <c r="AL82" i="24"/>
  <c r="AK82" i="24"/>
  <c r="AJ82" i="24"/>
  <c r="AI82" i="24"/>
  <c r="AH82" i="24"/>
  <c r="AG82" i="24"/>
  <c r="AF82" i="24"/>
  <c r="AE82" i="24"/>
  <c r="AD82" i="24"/>
  <c r="AC82" i="24"/>
  <c r="AB82" i="24"/>
  <c r="AA82" i="24"/>
  <c r="Z82" i="24"/>
  <c r="W82" i="24"/>
  <c r="V82" i="24"/>
  <c r="U82" i="24"/>
  <c r="T82" i="24"/>
  <c r="S82" i="24"/>
  <c r="R82" i="24"/>
  <c r="Q82" i="24"/>
  <c r="P82" i="24"/>
  <c r="O82" i="24"/>
  <c r="N82" i="24"/>
  <c r="M82" i="24"/>
  <c r="L82" i="24"/>
  <c r="K82" i="24"/>
  <c r="J82" i="24"/>
  <c r="I82" i="24"/>
  <c r="H82" i="24"/>
  <c r="G82" i="24"/>
  <c r="F82" i="24"/>
  <c r="E82" i="24"/>
  <c r="D82" i="24"/>
  <c r="C82" i="24"/>
  <c r="BM81" i="24"/>
  <c r="BL81" i="24"/>
  <c r="BK81" i="24"/>
  <c r="BJ81" i="24"/>
  <c r="BI81" i="24"/>
  <c r="BH81" i="24"/>
  <c r="BG81" i="24"/>
  <c r="BF81" i="24"/>
  <c r="BE81" i="24"/>
  <c r="BD81" i="24"/>
  <c r="BC81" i="24"/>
  <c r="BB81" i="24"/>
  <c r="BA81" i="24"/>
  <c r="AR81" i="24"/>
  <c r="AS81" i="24" s="1"/>
  <c r="AT81" i="24" s="1"/>
  <c r="BT81" i="24" s="1"/>
  <c r="AQ81" i="24"/>
  <c r="AP81" i="24"/>
  <c r="AO81" i="24"/>
  <c r="AN81" i="24"/>
  <c r="BN81" i="24" s="1"/>
  <c r="U81" i="24"/>
  <c r="V81" i="24" s="1"/>
  <c r="W81" i="24" s="1"/>
  <c r="T81" i="24"/>
  <c r="S81" i="24"/>
  <c r="R81" i="24"/>
  <c r="Q81" i="24"/>
  <c r="P81" i="24"/>
  <c r="O81" i="24"/>
  <c r="N81" i="24"/>
  <c r="M81" i="24"/>
  <c r="L81" i="24"/>
  <c r="K81" i="24"/>
  <c r="J81" i="24"/>
  <c r="I81" i="24"/>
  <c r="H81" i="24"/>
  <c r="G81" i="24"/>
  <c r="F81" i="24"/>
  <c r="E81" i="24"/>
  <c r="D81" i="24"/>
  <c r="C81" i="24"/>
  <c r="AT80" i="24"/>
  <c r="AS80" i="24"/>
  <c r="AR80" i="24"/>
  <c r="AQ80" i="24"/>
  <c r="AP80" i="24"/>
  <c r="AO80" i="24"/>
  <c r="AN80" i="24"/>
  <c r="AM80" i="24"/>
  <c r="AL80" i="24"/>
  <c r="AK80" i="24"/>
  <c r="AJ80" i="24"/>
  <c r="AI80" i="24"/>
  <c r="AH80" i="24"/>
  <c r="AG80" i="24"/>
  <c r="AF80" i="24"/>
  <c r="AE80" i="24"/>
  <c r="AD80" i="24"/>
  <c r="AC80" i="24"/>
  <c r="AB80" i="24"/>
  <c r="AA80" i="24"/>
  <c r="Z80" i="24"/>
  <c r="W80" i="24"/>
  <c r="V80" i="24"/>
  <c r="U80" i="24"/>
  <c r="T80" i="24"/>
  <c r="S80" i="24"/>
  <c r="R80" i="24"/>
  <c r="Q80" i="24"/>
  <c r="P80" i="24"/>
  <c r="O80" i="24"/>
  <c r="N80" i="24"/>
  <c r="M80" i="24"/>
  <c r="L80" i="24"/>
  <c r="K80" i="24"/>
  <c r="J80" i="24"/>
  <c r="I80" i="24"/>
  <c r="H80" i="24"/>
  <c r="G80" i="24"/>
  <c r="F80" i="24"/>
  <c r="E80" i="24"/>
  <c r="D80" i="24"/>
  <c r="C80" i="24"/>
  <c r="AT79" i="24"/>
  <c r="AS79" i="24"/>
  <c r="AR79" i="24"/>
  <c r="AQ79" i="24"/>
  <c r="AP79" i="24"/>
  <c r="AO79" i="24"/>
  <c r="AN79" i="24"/>
  <c r="AM79" i="24"/>
  <c r="AL79" i="24"/>
  <c r="AK79" i="24"/>
  <c r="AJ79" i="24"/>
  <c r="AI79" i="24"/>
  <c r="AH79" i="24"/>
  <c r="AG79" i="24"/>
  <c r="AF79" i="24"/>
  <c r="AE79" i="24"/>
  <c r="AD79" i="24"/>
  <c r="AC79" i="24"/>
  <c r="AB79" i="24"/>
  <c r="AA79" i="24"/>
  <c r="Z79" i="24"/>
  <c r="W79" i="24"/>
  <c r="V79" i="24"/>
  <c r="U79" i="24"/>
  <c r="T79" i="24"/>
  <c r="S79" i="24"/>
  <c r="R79" i="24"/>
  <c r="Q79" i="24"/>
  <c r="P79" i="24"/>
  <c r="O79" i="24"/>
  <c r="N79" i="24"/>
  <c r="M79" i="24"/>
  <c r="L79" i="24"/>
  <c r="K79" i="24"/>
  <c r="J79" i="24"/>
  <c r="I79" i="24"/>
  <c r="H79" i="24"/>
  <c r="G79" i="24"/>
  <c r="F79" i="24"/>
  <c r="E79" i="24"/>
  <c r="D79" i="24"/>
  <c r="C79" i="24"/>
  <c r="AT78" i="24"/>
  <c r="AS78" i="24"/>
  <c r="AR78" i="24"/>
  <c r="AQ78" i="24"/>
  <c r="AP78" i="24"/>
  <c r="AO78" i="24"/>
  <c r="AN78" i="24"/>
  <c r="AM78" i="24"/>
  <c r="AL78" i="24"/>
  <c r="AK78" i="24"/>
  <c r="AJ78" i="24"/>
  <c r="AI78" i="24"/>
  <c r="AH78" i="24"/>
  <c r="AG78" i="24"/>
  <c r="AF78" i="24"/>
  <c r="AE78" i="24"/>
  <c r="AD78" i="24"/>
  <c r="AC78" i="24"/>
  <c r="AB78" i="24"/>
  <c r="AA78" i="24"/>
  <c r="Z78" i="24"/>
  <c r="W78" i="24"/>
  <c r="V78" i="24"/>
  <c r="U78" i="24"/>
  <c r="T78" i="24"/>
  <c r="S78" i="24"/>
  <c r="R78" i="24"/>
  <c r="Q78" i="24"/>
  <c r="P78" i="24"/>
  <c r="O78" i="24"/>
  <c r="N78" i="24"/>
  <c r="M78" i="24"/>
  <c r="L78" i="24"/>
  <c r="K78" i="24"/>
  <c r="J78" i="24"/>
  <c r="I78" i="24"/>
  <c r="H78" i="24"/>
  <c r="G78" i="24"/>
  <c r="F78" i="24"/>
  <c r="E78" i="24"/>
  <c r="D78" i="24"/>
  <c r="C78" i="24"/>
  <c r="AT77" i="24"/>
  <c r="AS77" i="24"/>
  <c r="AR77" i="24"/>
  <c r="AQ77" i="24"/>
  <c r="AP77" i="24"/>
  <c r="AO77" i="24"/>
  <c r="AN77" i="24"/>
  <c r="AM77" i="24"/>
  <c r="AL77" i="24"/>
  <c r="AK77" i="24"/>
  <c r="AJ77" i="24"/>
  <c r="AI77" i="24"/>
  <c r="AH77" i="24"/>
  <c r="AG77" i="24"/>
  <c r="AF77" i="24"/>
  <c r="AE77" i="24"/>
  <c r="AD77" i="24"/>
  <c r="AC77" i="24"/>
  <c r="AB77" i="24"/>
  <c r="AA77" i="24"/>
  <c r="Z77" i="24"/>
  <c r="W77" i="24"/>
  <c r="V77" i="24"/>
  <c r="U77" i="24"/>
  <c r="T77" i="24"/>
  <c r="S77" i="24"/>
  <c r="R77" i="24"/>
  <c r="Q77" i="24"/>
  <c r="P77" i="24"/>
  <c r="O77" i="24"/>
  <c r="N77" i="24"/>
  <c r="M77" i="24"/>
  <c r="L77" i="24"/>
  <c r="K77" i="24"/>
  <c r="J77" i="24"/>
  <c r="I77" i="24"/>
  <c r="H77" i="24"/>
  <c r="G77" i="24"/>
  <c r="F77" i="24"/>
  <c r="E77" i="24"/>
  <c r="D77" i="24"/>
  <c r="C77" i="24"/>
  <c r="AT76" i="24"/>
  <c r="AS76" i="24"/>
  <c r="AR76" i="24"/>
  <c r="AQ76" i="24"/>
  <c r="AP76" i="24"/>
  <c r="AO76" i="24"/>
  <c r="AN76" i="24"/>
  <c r="AM76" i="24"/>
  <c r="AL76" i="24"/>
  <c r="AK76" i="24"/>
  <c r="AJ76" i="24"/>
  <c r="AI76" i="24"/>
  <c r="AH76" i="24"/>
  <c r="AG76" i="24"/>
  <c r="AF76" i="24"/>
  <c r="AE76" i="24"/>
  <c r="AD76" i="24"/>
  <c r="AC76" i="24"/>
  <c r="AB76" i="24"/>
  <c r="AA76" i="24"/>
  <c r="Z76" i="24"/>
  <c r="W76" i="24"/>
  <c r="V76" i="24"/>
  <c r="U76" i="24"/>
  <c r="T76" i="24"/>
  <c r="S76" i="24"/>
  <c r="R76" i="24"/>
  <c r="Q76" i="24"/>
  <c r="P76" i="24"/>
  <c r="O76" i="24"/>
  <c r="N76" i="24"/>
  <c r="M76" i="24"/>
  <c r="L76" i="24"/>
  <c r="K76" i="24"/>
  <c r="J76" i="24"/>
  <c r="I76" i="24"/>
  <c r="H76" i="24"/>
  <c r="G76" i="24"/>
  <c r="F76" i="24"/>
  <c r="E76" i="24"/>
  <c r="D76" i="24"/>
  <c r="C76" i="24"/>
  <c r="AT75" i="24"/>
  <c r="AS75" i="24"/>
  <c r="AR75" i="24"/>
  <c r="AQ75" i="24"/>
  <c r="AP75" i="24"/>
  <c r="AO75" i="24"/>
  <c r="AN75" i="24"/>
  <c r="AM75" i="24"/>
  <c r="AL75" i="24"/>
  <c r="AK75" i="24"/>
  <c r="AJ75" i="24"/>
  <c r="AI75" i="24"/>
  <c r="AH75" i="24"/>
  <c r="AG75" i="24"/>
  <c r="AF75" i="24"/>
  <c r="AE75" i="24"/>
  <c r="AD75" i="24"/>
  <c r="AC75" i="24"/>
  <c r="AB75" i="24"/>
  <c r="AA75" i="24"/>
  <c r="Z75" i="24"/>
  <c r="W75" i="24"/>
  <c r="V75" i="24"/>
  <c r="U75" i="24"/>
  <c r="T75" i="24"/>
  <c r="S75" i="24"/>
  <c r="R75" i="24"/>
  <c r="Q75" i="24"/>
  <c r="P75" i="24"/>
  <c r="O75" i="24"/>
  <c r="N75" i="24"/>
  <c r="M75" i="24"/>
  <c r="L75" i="24"/>
  <c r="K75" i="24"/>
  <c r="J75" i="24"/>
  <c r="I75" i="24"/>
  <c r="H75" i="24"/>
  <c r="G75" i="24"/>
  <c r="F75" i="24"/>
  <c r="E75" i="24"/>
  <c r="D75" i="24"/>
  <c r="C75" i="24"/>
  <c r="AT74" i="24"/>
  <c r="AS74" i="24"/>
  <c r="AR74" i="24"/>
  <c r="AQ74" i="24"/>
  <c r="AP74" i="24"/>
  <c r="AO74" i="24"/>
  <c r="AN74" i="24"/>
  <c r="AM74" i="24"/>
  <c r="AL74" i="24"/>
  <c r="AK74" i="24"/>
  <c r="AJ74" i="24"/>
  <c r="AI74" i="24"/>
  <c r="AH74" i="24"/>
  <c r="AG74" i="24"/>
  <c r="AF74" i="24"/>
  <c r="AE74" i="24"/>
  <c r="AD74" i="24"/>
  <c r="AC74" i="24"/>
  <c r="AB74" i="24"/>
  <c r="AA74" i="24"/>
  <c r="Z74" i="24"/>
  <c r="W74" i="24"/>
  <c r="V74" i="24"/>
  <c r="U74" i="24"/>
  <c r="T74" i="24"/>
  <c r="S74" i="24"/>
  <c r="R74" i="24"/>
  <c r="Q74" i="24"/>
  <c r="P74" i="24"/>
  <c r="O74" i="24"/>
  <c r="N74" i="24"/>
  <c r="M74" i="24"/>
  <c r="L74" i="24"/>
  <c r="K74" i="24"/>
  <c r="J74" i="24"/>
  <c r="I74" i="24"/>
  <c r="H74" i="24"/>
  <c r="G74" i="24"/>
  <c r="F74" i="24"/>
  <c r="E74" i="24"/>
  <c r="D74" i="24"/>
  <c r="C74" i="24"/>
  <c r="AT73" i="24"/>
  <c r="AS73" i="24"/>
  <c r="AR73" i="24"/>
  <c r="AQ73" i="24"/>
  <c r="AP73" i="24"/>
  <c r="AO73" i="24"/>
  <c r="AN73" i="24"/>
  <c r="AM73" i="24"/>
  <c r="AL73" i="24"/>
  <c r="AK73" i="24"/>
  <c r="AJ73" i="24"/>
  <c r="AI73" i="24"/>
  <c r="AH73" i="24"/>
  <c r="AG73" i="24"/>
  <c r="AF73" i="24"/>
  <c r="AE73" i="24"/>
  <c r="AD73" i="24"/>
  <c r="AC73" i="24"/>
  <c r="AB73" i="24"/>
  <c r="AA73" i="24"/>
  <c r="Z73" i="24"/>
  <c r="W73" i="24"/>
  <c r="V73" i="24"/>
  <c r="U73" i="24"/>
  <c r="T73" i="24"/>
  <c r="S73" i="24"/>
  <c r="R73" i="24"/>
  <c r="Q73" i="24"/>
  <c r="P73" i="24"/>
  <c r="O73" i="24"/>
  <c r="N73" i="24"/>
  <c r="M73" i="24"/>
  <c r="L73" i="24"/>
  <c r="K73" i="24"/>
  <c r="J73" i="24"/>
  <c r="I73" i="24"/>
  <c r="H73" i="24"/>
  <c r="G73" i="24"/>
  <c r="F73" i="24"/>
  <c r="E73" i="24"/>
  <c r="D73" i="24"/>
  <c r="C73" i="24"/>
  <c r="AT72" i="24"/>
  <c r="AS72" i="24"/>
  <c r="AR72" i="24"/>
  <c r="AQ72" i="24"/>
  <c r="AP72" i="24"/>
  <c r="AO72" i="24"/>
  <c r="AN72" i="24"/>
  <c r="AM72" i="24"/>
  <c r="AL72" i="24"/>
  <c r="AK72" i="24"/>
  <c r="AJ72" i="24"/>
  <c r="AI72" i="24"/>
  <c r="AH72" i="24"/>
  <c r="AG72" i="24"/>
  <c r="AF72" i="24"/>
  <c r="AE72" i="24"/>
  <c r="AD72" i="24"/>
  <c r="AC72" i="24"/>
  <c r="AB72" i="24"/>
  <c r="AA72" i="24"/>
  <c r="Z72" i="24"/>
  <c r="W72" i="24"/>
  <c r="V72" i="24"/>
  <c r="U72" i="24"/>
  <c r="T72" i="24"/>
  <c r="S72" i="24"/>
  <c r="R72" i="24"/>
  <c r="Q72" i="24"/>
  <c r="P72" i="24"/>
  <c r="O72" i="24"/>
  <c r="N72" i="24"/>
  <c r="M72" i="24"/>
  <c r="L72" i="24"/>
  <c r="K72" i="24"/>
  <c r="J72" i="24"/>
  <c r="I72" i="24"/>
  <c r="H72" i="24"/>
  <c r="G72" i="24"/>
  <c r="F72" i="24"/>
  <c r="E72" i="24"/>
  <c r="D72" i="24"/>
  <c r="C72" i="24"/>
  <c r="AR59" i="24"/>
  <c r="AQ59" i="24"/>
  <c r="AP59" i="24"/>
  <c r="AO59" i="24"/>
  <c r="AN59" i="24"/>
  <c r="AM59" i="24"/>
  <c r="AL59" i="24"/>
  <c r="AK59" i="24"/>
  <c r="AJ59" i="24"/>
  <c r="AI59" i="24"/>
  <c r="AH59" i="24"/>
  <c r="AG59" i="24"/>
  <c r="AF59" i="24"/>
  <c r="AE59" i="24"/>
  <c r="AD59" i="24"/>
  <c r="AC59" i="24"/>
  <c r="AB59" i="24"/>
  <c r="AA59" i="24"/>
  <c r="Z59" i="24"/>
  <c r="W59" i="24"/>
  <c r="U59" i="24"/>
  <c r="V59" i="24" s="1"/>
  <c r="T59" i="24"/>
  <c r="S59" i="24"/>
  <c r="R59" i="24"/>
  <c r="Q59" i="24"/>
  <c r="P59" i="24"/>
  <c r="O59" i="24"/>
  <c r="N59" i="24"/>
  <c r="M59" i="24"/>
  <c r="L59" i="24"/>
  <c r="K59" i="24"/>
  <c r="J59" i="24"/>
  <c r="I59" i="24"/>
  <c r="H59" i="24"/>
  <c r="G59" i="24"/>
  <c r="F59" i="24"/>
  <c r="E59" i="24"/>
  <c r="D59" i="24"/>
  <c r="C59" i="24"/>
  <c r="AT58" i="24"/>
  <c r="AS58" i="24"/>
  <c r="AR58" i="24"/>
  <c r="AQ58" i="24"/>
  <c r="AP58" i="24"/>
  <c r="AO58" i="24"/>
  <c r="AN58" i="24"/>
  <c r="AM58" i="24"/>
  <c r="AL58" i="24"/>
  <c r="AK58" i="24"/>
  <c r="AJ58" i="24"/>
  <c r="AI58" i="24"/>
  <c r="AH58" i="24"/>
  <c r="AG58" i="24"/>
  <c r="AF58" i="24"/>
  <c r="AE58" i="24"/>
  <c r="AD58" i="24"/>
  <c r="AC58" i="24"/>
  <c r="AB58" i="24"/>
  <c r="AA58" i="24"/>
  <c r="Z58" i="24"/>
  <c r="W58" i="24"/>
  <c r="V58" i="24"/>
  <c r="U58" i="24"/>
  <c r="T58" i="24"/>
  <c r="S58" i="24"/>
  <c r="R58" i="24"/>
  <c r="Q58" i="24"/>
  <c r="P58" i="24"/>
  <c r="O58" i="24"/>
  <c r="N58" i="24"/>
  <c r="M58" i="24"/>
  <c r="L58" i="24"/>
  <c r="K58" i="24"/>
  <c r="J58" i="24"/>
  <c r="I58" i="24"/>
  <c r="H58" i="24"/>
  <c r="G58" i="24"/>
  <c r="F58" i="24"/>
  <c r="E58" i="24"/>
  <c r="D58" i="24"/>
  <c r="C58" i="24"/>
  <c r="AT57" i="24"/>
  <c r="AS57" i="24"/>
  <c r="AR57" i="24"/>
  <c r="AQ57" i="24"/>
  <c r="AP57" i="24"/>
  <c r="AO57" i="24"/>
  <c r="AN57" i="24"/>
  <c r="AM57" i="24"/>
  <c r="AL57" i="24"/>
  <c r="AK57" i="24"/>
  <c r="AJ57" i="24"/>
  <c r="AI57" i="24"/>
  <c r="AH57" i="24"/>
  <c r="AG57" i="24"/>
  <c r="AF57" i="24"/>
  <c r="AE57" i="24"/>
  <c r="AD57" i="24"/>
  <c r="AC57" i="24"/>
  <c r="AB57" i="24"/>
  <c r="AA57" i="24"/>
  <c r="Z57" i="24"/>
  <c r="W57" i="24"/>
  <c r="V57" i="24"/>
  <c r="U57" i="24"/>
  <c r="T57" i="24"/>
  <c r="S57" i="24"/>
  <c r="R57" i="24"/>
  <c r="Q57" i="24"/>
  <c r="P57" i="24"/>
  <c r="O57" i="24"/>
  <c r="N57" i="24"/>
  <c r="M57" i="24"/>
  <c r="L57" i="24"/>
  <c r="K57" i="24"/>
  <c r="J57" i="24"/>
  <c r="I57" i="24"/>
  <c r="H57" i="24"/>
  <c r="G57" i="24"/>
  <c r="F57" i="24"/>
  <c r="E57" i="24"/>
  <c r="D57" i="24"/>
  <c r="C57" i="24"/>
  <c r="AT56" i="24"/>
  <c r="AS56" i="24"/>
  <c r="AR56" i="24"/>
  <c r="AQ56" i="24"/>
  <c r="AP56" i="24"/>
  <c r="AO56" i="24"/>
  <c r="AN56" i="24"/>
  <c r="AM56" i="24"/>
  <c r="AL56" i="24"/>
  <c r="AK56" i="24"/>
  <c r="AJ56" i="24"/>
  <c r="AI56" i="24"/>
  <c r="AH56" i="24"/>
  <c r="AG56" i="24"/>
  <c r="AF56" i="24"/>
  <c r="AE56" i="24"/>
  <c r="AD56" i="24"/>
  <c r="AC56" i="24"/>
  <c r="AB56" i="24"/>
  <c r="AA56" i="24"/>
  <c r="Z56" i="24"/>
  <c r="W56" i="24"/>
  <c r="V56" i="24"/>
  <c r="U56" i="24"/>
  <c r="T56" i="24"/>
  <c r="S56" i="24"/>
  <c r="R56" i="24"/>
  <c r="Q56" i="24"/>
  <c r="P56" i="24"/>
  <c r="O56" i="24"/>
  <c r="N56" i="24"/>
  <c r="M56" i="24"/>
  <c r="L56" i="24"/>
  <c r="K56" i="24"/>
  <c r="J56" i="24"/>
  <c r="I56" i="24"/>
  <c r="H56" i="24"/>
  <c r="G56" i="24"/>
  <c r="F56" i="24"/>
  <c r="E56" i="24"/>
  <c r="D56" i="24"/>
  <c r="C56" i="24"/>
  <c r="AT55" i="24"/>
  <c r="AS55" i="24"/>
  <c r="AR55" i="24"/>
  <c r="AQ55" i="24"/>
  <c r="AP55" i="24"/>
  <c r="AO55" i="24"/>
  <c r="AN55" i="24"/>
  <c r="AM55" i="24"/>
  <c r="AL55" i="24"/>
  <c r="AK55" i="24"/>
  <c r="AJ55" i="24"/>
  <c r="AI55" i="24"/>
  <c r="AH55" i="24"/>
  <c r="AG55" i="24"/>
  <c r="AF55" i="24"/>
  <c r="AE55" i="24"/>
  <c r="AD55" i="24"/>
  <c r="AC55" i="24"/>
  <c r="AB55" i="24"/>
  <c r="AA55" i="24"/>
  <c r="Z55" i="24"/>
  <c r="W55" i="24"/>
  <c r="V55" i="24"/>
  <c r="U55" i="24"/>
  <c r="T55" i="24"/>
  <c r="S55" i="24"/>
  <c r="R55" i="24"/>
  <c r="Q55" i="24"/>
  <c r="P55" i="24"/>
  <c r="O55" i="24"/>
  <c r="N55" i="24"/>
  <c r="M55" i="24"/>
  <c r="L55" i="24"/>
  <c r="K55" i="24"/>
  <c r="J55" i="24"/>
  <c r="I55" i="24"/>
  <c r="H55" i="24"/>
  <c r="G55" i="24"/>
  <c r="F55" i="24"/>
  <c r="E55" i="24"/>
  <c r="D55" i="24"/>
  <c r="C55" i="24"/>
  <c r="AT54" i="24"/>
  <c r="AS54" i="24"/>
  <c r="AR54" i="24"/>
  <c r="AQ54" i="24"/>
  <c r="AP54" i="24"/>
  <c r="AO54" i="24"/>
  <c r="AN54" i="24"/>
  <c r="AM54" i="24"/>
  <c r="AL54" i="24"/>
  <c r="AK54" i="24"/>
  <c r="AJ54" i="24"/>
  <c r="AI54" i="24"/>
  <c r="AH54" i="24"/>
  <c r="AG54" i="24"/>
  <c r="AF54" i="24"/>
  <c r="AE54" i="24"/>
  <c r="AD54" i="24"/>
  <c r="AC54" i="24"/>
  <c r="AB54" i="24"/>
  <c r="AA54" i="24"/>
  <c r="Z54" i="24"/>
  <c r="W54" i="24"/>
  <c r="V54" i="24"/>
  <c r="U54" i="24"/>
  <c r="T54" i="24"/>
  <c r="S54" i="24"/>
  <c r="R54" i="24"/>
  <c r="Q54" i="24"/>
  <c r="P54" i="24"/>
  <c r="O54" i="24"/>
  <c r="N54" i="24"/>
  <c r="M54" i="24"/>
  <c r="L54" i="24"/>
  <c r="K54" i="24"/>
  <c r="J54" i="24"/>
  <c r="I54" i="24"/>
  <c r="H54" i="24"/>
  <c r="G54" i="24"/>
  <c r="F54" i="24"/>
  <c r="E54" i="24"/>
  <c r="D54" i="24"/>
  <c r="C54" i="24"/>
  <c r="AT53" i="24"/>
  <c r="AW53" i="24" s="1"/>
  <c r="AS53" i="24"/>
  <c r="AR53" i="24"/>
  <c r="AQ53" i="24"/>
  <c r="AP53" i="24"/>
  <c r="AO53" i="24"/>
  <c r="AN53" i="24"/>
  <c r="AM53" i="24"/>
  <c r="AL53" i="24"/>
  <c r="AK53" i="24"/>
  <c r="AJ53" i="24"/>
  <c r="AI53" i="24"/>
  <c r="AH53" i="24"/>
  <c r="AG53" i="24"/>
  <c r="AF53" i="24"/>
  <c r="AE53" i="24"/>
  <c r="AD53" i="24"/>
  <c r="AC53" i="24"/>
  <c r="AB53" i="24"/>
  <c r="AA53" i="24"/>
  <c r="W53" i="24"/>
  <c r="V53" i="24"/>
  <c r="U53" i="24"/>
  <c r="T53" i="24"/>
  <c r="S53" i="24"/>
  <c r="R53" i="24"/>
  <c r="Q53" i="24"/>
  <c r="P53" i="24"/>
  <c r="O53" i="24"/>
  <c r="N53" i="24"/>
  <c r="M53" i="24"/>
  <c r="L53" i="24"/>
  <c r="K53" i="24"/>
  <c r="J53" i="24"/>
  <c r="I53" i="24"/>
  <c r="H53" i="24"/>
  <c r="G53" i="24"/>
  <c r="F53" i="24"/>
  <c r="E53" i="24"/>
  <c r="D53" i="24"/>
  <c r="C53" i="24"/>
  <c r="AT52" i="24"/>
  <c r="AS52" i="24"/>
  <c r="AR52" i="24"/>
  <c r="AQ52" i="24"/>
  <c r="AP52" i="24"/>
  <c r="AO52" i="24"/>
  <c r="AN52" i="24"/>
  <c r="AM52" i="24"/>
  <c r="AL52" i="24"/>
  <c r="AK52" i="24"/>
  <c r="AJ52" i="24"/>
  <c r="AI52" i="24"/>
  <c r="AH52" i="24"/>
  <c r="AG52" i="24"/>
  <c r="AF52" i="24"/>
  <c r="AE52" i="24"/>
  <c r="AD52" i="24"/>
  <c r="AC52" i="24"/>
  <c r="AB52" i="24"/>
  <c r="AA52" i="24"/>
  <c r="Z52" i="24"/>
  <c r="W52" i="24"/>
  <c r="V52" i="24"/>
  <c r="U52" i="24"/>
  <c r="T52" i="24"/>
  <c r="S52" i="24"/>
  <c r="R52" i="24"/>
  <c r="Q52" i="24"/>
  <c r="P52" i="24"/>
  <c r="O52" i="24"/>
  <c r="N52" i="24"/>
  <c r="M52" i="24"/>
  <c r="L52" i="24"/>
  <c r="K52" i="24"/>
  <c r="J52" i="24"/>
  <c r="I52" i="24"/>
  <c r="H52" i="24"/>
  <c r="G52" i="24"/>
  <c r="F52" i="24"/>
  <c r="E52" i="24"/>
  <c r="D52" i="24"/>
  <c r="C52" i="24"/>
  <c r="BM51" i="24"/>
  <c r="BL51" i="24"/>
  <c r="BK51" i="24"/>
  <c r="BJ51" i="24"/>
  <c r="BI51" i="24"/>
  <c r="BH51" i="24"/>
  <c r="BG51" i="24"/>
  <c r="BF51" i="24"/>
  <c r="BE51" i="24"/>
  <c r="BD51" i="24"/>
  <c r="BC51" i="24"/>
  <c r="BB51" i="24"/>
  <c r="BA51" i="24"/>
  <c r="AR51" i="24"/>
  <c r="AS51" i="24" s="1"/>
  <c r="AT51" i="24" s="1"/>
  <c r="AQ51" i="24"/>
  <c r="AP51" i="24"/>
  <c r="AO51" i="24"/>
  <c r="AN51" i="24"/>
  <c r="BN51" i="24" s="1"/>
  <c r="U51" i="24"/>
  <c r="V51" i="24" s="1"/>
  <c r="W51" i="24" s="1"/>
  <c r="T51" i="24"/>
  <c r="S51" i="24"/>
  <c r="R51" i="24"/>
  <c r="Q51" i="24"/>
  <c r="P51" i="24"/>
  <c r="O51" i="24"/>
  <c r="N51" i="24"/>
  <c r="M51" i="24"/>
  <c r="L51" i="24"/>
  <c r="K51" i="24"/>
  <c r="J51" i="24"/>
  <c r="I51" i="24"/>
  <c r="H51" i="24"/>
  <c r="G51" i="24"/>
  <c r="F51" i="24"/>
  <c r="E51" i="24"/>
  <c r="D51" i="24"/>
  <c r="C51" i="24"/>
  <c r="AT50" i="24"/>
  <c r="AS50" i="24"/>
  <c r="AR50" i="24"/>
  <c r="AQ50" i="24"/>
  <c r="AP50" i="24"/>
  <c r="AO50" i="24"/>
  <c r="AN50" i="24"/>
  <c r="AM50" i="24"/>
  <c r="AL50" i="24"/>
  <c r="AK50" i="24"/>
  <c r="AJ50" i="24"/>
  <c r="AI50" i="24"/>
  <c r="AH50" i="24"/>
  <c r="AG50" i="24"/>
  <c r="AF50" i="24"/>
  <c r="AE50" i="24"/>
  <c r="AD50" i="24"/>
  <c r="AC50" i="24"/>
  <c r="AB50" i="24"/>
  <c r="AA50" i="24"/>
  <c r="Z50" i="24"/>
  <c r="W50" i="24"/>
  <c r="V50" i="24"/>
  <c r="U50" i="24"/>
  <c r="T50" i="24"/>
  <c r="S50" i="24"/>
  <c r="R50" i="24"/>
  <c r="Q50" i="24"/>
  <c r="P50" i="24"/>
  <c r="O50" i="24"/>
  <c r="N50" i="24"/>
  <c r="M50" i="24"/>
  <c r="L50" i="24"/>
  <c r="K50" i="24"/>
  <c r="J50" i="24"/>
  <c r="I50" i="24"/>
  <c r="H50" i="24"/>
  <c r="G50" i="24"/>
  <c r="F50" i="24"/>
  <c r="E50" i="24"/>
  <c r="D50" i="24"/>
  <c r="C50" i="24"/>
  <c r="AT49" i="24"/>
  <c r="AS49" i="24"/>
  <c r="AR49" i="24"/>
  <c r="AQ49" i="24"/>
  <c r="AP49" i="24"/>
  <c r="AO49" i="24"/>
  <c r="AN49" i="24"/>
  <c r="AM49" i="24"/>
  <c r="AL49" i="24"/>
  <c r="AK49" i="24"/>
  <c r="AJ49" i="24"/>
  <c r="AI49" i="24"/>
  <c r="AH49" i="24"/>
  <c r="AG49" i="24"/>
  <c r="AF49" i="24"/>
  <c r="AE49" i="24"/>
  <c r="AD49" i="24"/>
  <c r="AC49" i="24"/>
  <c r="AB49" i="24"/>
  <c r="AA49" i="24"/>
  <c r="Z49" i="24"/>
  <c r="W49" i="24"/>
  <c r="V49" i="24"/>
  <c r="U49" i="24"/>
  <c r="T49" i="24"/>
  <c r="S49" i="24"/>
  <c r="R49" i="24"/>
  <c r="Q49" i="24"/>
  <c r="P49" i="24"/>
  <c r="O49" i="24"/>
  <c r="N49" i="24"/>
  <c r="M49" i="24"/>
  <c r="L49" i="24"/>
  <c r="K49" i="24"/>
  <c r="J49" i="24"/>
  <c r="I49" i="24"/>
  <c r="H49" i="24"/>
  <c r="G49" i="24"/>
  <c r="F49" i="24"/>
  <c r="E49" i="24"/>
  <c r="D49" i="24"/>
  <c r="C49" i="24"/>
  <c r="AT48" i="24"/>
  <c r="AS48" i="24"/>
  <c r="AR48" i="24"/>
  <c r="AQ48" i="24"/>
  <c r="AP48" i="24"/>
  <c r="AO48" i="24"/>
  <c r="AN48" i="24"/>
  <c r="AM48" i="24"/>
  <c r="AL48" i="24"/>
  <c r="AK48" i="24"/>
  <c r="AJ48" i="24"/>
  <c r="AI48" i="24"/>
  <c r="AH48" i="24"/>
  <c r="AG48" i="24"/>
  <c r="AF48" i="24"/>
  <c r="AE48" i="24"/>
  <c r="AD48" i="24"/>
  <c r="AC48" i="24"/>
  <c r="AB48" i="24"/>
  <c r="AA48" i="24"/>
  <c r="Z48" i="24"/>
  <c r="W48" i="24"/>
  <c r="V48" i="24"/>
  <c r="U48" i="24"/>
  <c r="T48" i="24"/>
  <c r="S48" i="24"/>
  <c r="R48" i="24"/>
  <c r="Q48" i="24"/>
  <c r="P48" i="24"/>
  <c r="O48" i="24"/>
  <c r="N48" i="24"/>
  <c r="M48" i="24"/>
  <c r="L48" i="24"/>
  <c r="K48" i="24"/>
  <c r="J48" i="24"/>
  <c r="I48" i="24"/>
  <c r="H48" i="24"/>
  <c r="G48" i="24"/>
  <c r="F48" i="24"/>
  <c r="E48" i="24"/>
  <c r="D48" i="24"/>
  <c r="C48" i="24"/>
  <c r="AT47" i="24"/>
  <c r="AS47" i="24"/>
  <c r="AR47" i="24"/>
  <c r="AQ47" i="24"/>
  <c r="AP47" i="24"/>
  <c r="AO47" i="24"/>
  <c r="AN47" i="24"/>
  <c r="AM47" i="24"/>
  <c r="AL47" i="24"/>
  <c r="AK47" i="24"/>
  <c r="AJ47" i="24"/>
  <c r="AI47" i="24"/>
  <c r="AH47" i="24"/>
  <c r="AG47" i="24"/>
  <c r="AF47" i="24"/>
  <c r="AE47" i="24"/>
  <c r="AD47" i="24"/>
  <c r="AC47" i="24"/>
  <c r="AB47" i="24"/>
  <c r="AA47" i="24"/>
  <c r="Z47" i="24"/>
  <c r="W47" i="24"/>
  <c r="V47" i="24"/>
  <c r="U47" i="24"/>
  <c r="T47" i="24"/>
  <c r="S47" i="24"/>
  <c r="R47" i="24"/>
  <c r="Q47" i="24"/>
  <c r="P47" i="24"/>
  <c r="O47" i="24"/>
  <c r="N47" i="24"/>
  <c r="M47" i="24"/>
  <c r="L47" i="24"/>
  <c r="K47" i="24"/>
  <c r="J47" i="24"/>
  <c r="I47" i="24"/>
  <c r="H47" i="24"/>
  <c r="G47" i="24"/>
  <c r="F47" i="24"/>
  <c r="E47" i="24"/>
  <c r="D47" i="24"/>
  <c r="C47" i="24"/>
  <c r="AT46" i="24"/>
  <c r="AS46" i="24"/>
  <c r="AR46" i="24"/>
  <c r="AQ46" i="24"/>
  <c r="AP46" i="24"/>
  <c r="AO46" i="24"/>
  <c r="AN46" i="24"/>
  <c r="AM46" i="24"/>
  <c r="AL46" i="24"/>
  <c r="AK46" i="24"/>
  <c r="AJ46" i="24"/>
  <c r="AI46" i="24"/>
  <c r="AH46" i="24"/>
  <c r="AG46" i="24"/>
  <c r="AF46" i="24"/>
  <c r="AE46" i="24"/>
  <c r="AD46" i="24"/>
  <c r="AC46" i="24"/>
  <c r="AB46" i="24"/>
  <c r="AA46" i="24"/>
  <c r="Z46" i="24"/>
  <c r="W46" i="24"/>
  <c r="V46" i="24"/>
  <c r="U46" i="24"/>
  <c r="T46" i="24"/>
  <c r="S46" i="24"/>
  <c r="R46" i="24"/>
  <c r="Q46" i="24"/>
  <c r="P46" i="24"/>
  <c r="O46" i="24"/>
  <c r="N46" i="24"/>
  <c r="M46" i="24"/>
  <c r="L46" i="24"/>
  <c r="K46" i="24"/>
  <c r="J46" i="24"/>
  <c r="I46" i="24"/>
  <c r="H46" i="24"/>
  <c r="G46" i="24"/>
  <c r="F46" i="24"/>
  <c r="E46" i="24"/>
  <c r="D46" i="24"/>
  <c r="C46" i="24"/>
  <c r="AT45" i="24"/>
  <c r="AS45" i="24"/>
  <c r="AR45" i="24"/>
  <c r="AQ45" i="24"/>
  <c r="AP45" i="24"/>
  <c r="AO45" i="24"/>
  <c r="AN45" i="24"/>
  <c r="AM45" i="24"/>
  <c r="AL45" i="24"/>
  <c r="AK45" i="24"/>
  <c r="AJ45" i="24"/>
  <c r="AI45" i="24"/>
  <c r="AH45" i="24"/>
  <c r="AG45" i="24"/>
  <c r="AF45" i="24"/>
  <c r="AE45" i="24"/>
  <c r="AD45" i="24"/>
  <c r="AC45" i="24"/>
  <c r="AB45" i="24"/>
  <c r="AA45" i="24"/>
  <c r="Z45" i="24"/>
  <c r="W45" i="24"/>
  <c r="V45" i="24"/>
  <c r="U45" i="24"/>
  <c r="T45" i="24"/>
  <c r="S45" i="24"/>
  <c r="R45" i="24"/>
  <c r="Q45" i="24"/>
  <c r="P45" i="24"/>
  <c r="O45" i="24"/>
  <c r="N45" i="24"/>
  <c r="M45" i="24"/>
  <c r="L45" i="24"/>
  <c r="K45" i="24"/>
  <c r="J45" i="24"/>
  <c r="I45" i="24"/>
  <c r="H45" i="24"/>
  <c r="G45" i="24"/>
  <c r="F45" i="24"/>
  <c r="E45" i="24"/>
  <c r="D45" i="24"/>
  <c r="C45" i="24"/>
  <c r="AT44" i="24"/>
  <c r="AS44" i="24"/>
  <c r="AR44" i="24"/>
  <c r="AQ44" i="24"/>
  <c r="AP44" i="24"/>
  <c r="AO44" i="24"/>
  <c r="AN44" i="24"/>
  <c r="AM44" i="24"/>
  <c r="AL44" i="24"/>
  <c r="AK44" i="24"/>
  <c r="AJ44" i="24"/>
  <c r="AI44" i="24"/>
  <c r="AH44" i="24"/>
  <c r="AG44" i="24"/>
  <c r="AF44" i="24"/>
  <c r="AE44" i="24"/>
  <c r="AD44" i="24"/>
  <c r="AC44" i="24"/>
  <c r="AB44" i="24"/>
  <c r="AA44" i="24"/>
  <c r="Z44" i="24"/>
  <c r="W44" i="24"/>
  <c r="V44" i="24"/>
  <c r="U44" i="24"/>
  <c r="T44" i="24"/>
  <c r="S44" i="24"/>
  <c r="R44" i="24"/>
  <c r="Q44" i="24"/>
  <c r="P44" i="24"/>
  <c r="O44" i="24"/>
  <c r="N44" i="24"/>
  <c r="M44" i="24"/>
  <c r="L44" i="24"/>
  <c r="K44" i="24"/>
  <c r="J44" i="24"/>
  <c r="I44" i="24"/>
  <c r="H44" i="24"/>
  <c r="G44" i="24"/>
  <c r="F44" i="24"/>
  <c r="E44" i="24"/>
  <c r="D44" i="24"/>
  <c r="C44" i="24"/>
  <c r="AT43" i="24"/>
  <c r="AS43" i="24"/>
  <c r="AR43" i="24"/>
  <c r="AQ43" i="24"/>
  <c r="AP43" i="24"/>
  <c r="AO43" i="24"/>
  <c r="AN43" i="24"/>
  <c r="AM43" i="24"/>
  <c r="AL43" i="24"/>
  <c r="AK43" i="24"/>
  <c r="AJ43" i="24"/>
  <c r="AI43" i="24"/>
  <c r="AH43" i="24"/>
  <c r="AG43" i="24"/>
  <c r="AF43" i="24"/>
  <c r="AE43" i="24"/>
  <c r="AD43" i="24"/>
  <c r="AC43" i="24"/>
  <c r="AB43" i="24"/>
  <c r="AA43" i="24"/>
  <c r="Z43" i="24"/>
  <c r="W43" i="24"/>
  <c r="V43" i="24"/>
  <c r="U43" i="24"/>
  <c r="T43" i="24"/>
  <c r="S43" i="24"/>
  <c r="R43" i="24"/>
  <c r="Q43" i="24"/>
  <c r="P43" i="24"/>
  <c r="O43" i="24"/>
  <c r="N43" i="24"/>
  <c r="M43" i="24"/>
  <c r="L43" i="24"/>
  <c r="K43" i="24"/>
  <c r="J43" i="24"/>
  <c r="I43" i="24"/>
  <c r="H43" i="24"/>
  <c r="G43" i="24"/>
  <c r="F43" i="24"/>
  <c r="E43" i="24"/>
  <c r="D43" i="24"/>
  <c r="C43" i="24"/>
  <c r="AT42" i="24"/>
  <c r="AS42" i="24"/>
  <c r="AR42" i="24"/>
  <c r="AQ42" i="24"/>
  <c r="AP42" i="24"/>
  <c r="AO42" i="24"/>
  <c r="AN42" i="24"/>
  <c r="AM42" i="24"/>
  <c r="AL42" i="24"/>
  <c r="AK42" i="24"/>
  <c r="AJ42" i="24"/>
  <c r="AI42" i="24"/>
  <c r="AH42" i="24"/>
  <c r="AG42" i="24"/>
  <c r="AF42" i="24"/>
  <c r="AE42" i="24"/>
  <c r="AD42" i="24"/>
  <c r="AC42" i="24"/>
  <c r="AB42" i="24"/>
  <c r="AA42" i="24"/>
  <c r="Z42" i="24"/>
  <c r="W42" i="24"/>
  <c r="V42" i="24"/>
  <c r="U42" i="24"/>
  <c r="T42" i="24"/>
  <c r="S42" i="24"/>
  <c r="R42" i="24"/>
  <c r="Q42" i="24"/>
  <c r="P42" i="24"/>
  <c r="O42" i="24"/>
  <c r="N42" i="24"/>
  <c r="M42" i="24"/>
  <c r="L42" i="24"/>
  <c r="K42" i="24"/>
  <c r="J42" i="24"/>
  <c r="I42" i="24"/>
  <c r="H42" i="24"/>
  <c r="G42" i="24"/>
  <c r="F42" i="24"/>
  <c r="E42" i="24"/>
  <c r="D42" i="24"/>
  <c r="C42" i="24"/>
  <c r="FA26" i="24"/>
  <c r="EZ26" i="24"/>
  <c r="EY26" i="24"/>
  <c r="EX26" i="24"/>
  <c r="FA22" i="24"/>
  <c r="EZ22" i="24"/>
  <c r="EY22" i="24"/>
  <c r="EX22" i="24"/>
  <c r="AR22" i="24"/>
  <c r="AS22" i="24" s="1"/>
  <c r="BS22" i="24" s="1"/>
  <c r="AQ22" i="24"/>
  <c r="AP22" i="24"/>
  <c r="AO22" i="24"/>
  <c r="AN22" i="24"/>
  <c r="AM22" i="24"/>
  <c r="AL22" i="24"/>
  <c r="AK22" i="24"/>
  <c r="AJ22" i="24"/>
  <c r="AI22" i="24"/>
  <c r="AH22" i="24"/>
  <c r="AG22" i="24"/>
  <c r="AF22" i="24"/>
  <c r="AE22" i="24"/>
  <c r="AD22" i="24"/>
  <c r="AC22" i="24"/>
  <c r="AB22" i="24"/>
  <c r="AA22" i="24"/>
  <c r="Z22" i="24"/>
  <c r="V22" i="24"/>
  <c r="W22" i="24" s="1"/>
  <c r="U22" i="24"/>
  <c r="T22" i="24"/>
  <c r="S22" i="24"/>
  <c r="R22" i="24"/>
  <c r="Q22" i="24"/>
  <c r="P22" i="24"/>
  <c r="O22" i="24"/>
  <c r="N22" i="24"/>
  <c r="M22" i="24"/>
  <c r="L22" i="24"/>
  <c r="K22" i="24"/>
  <c r="J22" i="24"/>
  <c r="I22" i="24"/>
  <c r="H22" i="24"/>
  <c r="G22" i="24"/>
  <c r="F22" i="24"/>
  <c r="E22" i="24"/>
  <c r="D22" i="24"/>
  <c r="C22" i="24"/>
  <c r="FA21" i="24"/>
  <c r="EZ21" i="24"/>
  <c r="EY21" i="24"/>
  <c r="EX21" i="24"/>
  <c r="AT21" i="24"/>
  <c r="AS21" i="24"/>
  <c r="AR21" i="24"/>
  <c r="AQ21" i="24"/>
  <c r="AP21" i="24"/>
  <c r="AO21" i="24"/>
  <c r="AN21" i="24"/>
  <c r="AM21" i="24"/>
  <c r="AL21" i="24"/>
  <c r="AK21" i="24"/>
  <c r="AJ21" i="24"/>
  <c r="AI21" i="24"/>
  <c r="AH21" i="24"/>
  <c r="AG21" i="24"/>
  <c r="AF21" i="24"/>
  <c r="AE21" i="24"/>
  <c r="AD21" i="24"/>
  <c r="AC21" i="24"/>
  <c r="AB21" i="24"/>
  <c r="AA21" i="24"/>
  <c r="Z21" i="24"/>
  <c r="W21" i="24"/>
  <c r="V21" i="24"/>
  <c r="U21" i="24"/>
  <c r="T21" i="24"/>
  <c r="S21" i="24"/>
  <c r="R21" i="24"/>
  <c r="Q21" i="24"/>
  <c r="P21" i="24"/>
  <c r="O21" i="24"/>
  <c r="N21" i="24"/>
  <c r="M21" i="24"/>
  <c r="L21" i="24"/>
  <c r="K21" i="24"/>
  <c r="J21" i="24"/>
  <c r="I21" i="24"/>
  <c r="H21" i="24"/>
  <c r="G21" i="24"/>
  <c r="F21" i="24"/>
  <c r="E21" i="24"/>
  <c r="D21" i="24"/>
  <c r="C21" i="24"/>
  <c r="FA20" i="24"/>
  <c r="EZ20" i="24"/>
  <c r="EY20" i="24"/>
  <c r="EX20" i="24"/>
  <c r="AT20" i="24"/>
  <c r="AS20" i="24"/>
  <c r="AR20" i="24"/>
  <c r="AQ20" i="24"/>
  <c r="AP20" i="24"/>
  <c r="AO20" i="24"/>
  <c r="AN20" i="24"/>
  <c r="AM20" i="24"/>
  <c r="AL20" i="24"/>
  <c r="AK20" i="24"/>
  <c r="AJ20" i="24"/>
  <c r="AI20" i="24"/>
  <c r="AH20" i="24"/>
  <c r="AG20" i="24"/>
  <c r="AF20" i="24"/>
  <c r="AE20" i="24"/>
  <c r="AD20" i="24"/>
  <c r="AC20" i="24"/>
  <c r="AB20" i="24"/>
  <c r="AA20" i="24"/>
  <c r="Z20" i="24"/>
  <c r="W20" i="24"/>
  <c r="V20" i="24"/>
  <c r="U20" i="24"/>
  <c r="T20" i="24"/>
  <c r="S20" i="24"/>
  <c r="R20" i="24"/>
  <c r="Q20" i="24"/>
  <c r="P20" i="24"/>
  <c r="O20" i="24"/>
  <c r="N20" i="24"/>
  <c r="M20" i="24"/>
  <c r="L20" i="24"/>
  <c r="K20" i="24"/>
  <c r="J20" i="24"/>
  <c r="I20" i="24"/>
  <c r="H20" i="24"/>
  <c r="G20" i="24"/>
  <c r="F20" i="24"/>
  <c r="E20" i="24"/>
  <c r="D20" i="24"/>
  <c r="C20" i="24"/>
  <c r="FA19" i="24"/>
  <c r="EZ19" i="24"/>
  <c r="EY19" i="24"/>
  <c r="EX19" i="24"/>
  <c r="AT19" i="24"/>
  <c r="AS19" i="24"/>
  <c r="AR19" i="24"/>
  <c r="AQ19" i="24"/>
  <c r="AP19" i="24"/>
  <c r="AO19" i="24"/>
  <c r="AN19" i="24"/>
  <c r="AM19" i="24"/>
  <c r="AL19" i="24"/>
  <c r="AK19" i="24"/>
  <c r="AJ19" i="24"/>
  <c r="AI19" i="24"/>
  <c r="AH19" i="24"/>
  <c r="AG19" i="24"/>
  <c r="AF19" i="24"/>
  <c r="AE19" i="24"/>
  <c r="AD19" i="24"/>
  <c r="AC19" i="24"/>
  <c r="AB19" i="24"/>
  <c r="AA19" i="24"/>
  <c r="Z19" i="24"/>
  <c r="W19" i="24"/>
  <c r="V19" i="24"/>
  <c r="U19" i="24"/>
  <c r="T19" i="24"/>
  <c r="S19" i="24"/>
  <c r="R19" i="24"/>
  <c r="Q19" i="24"/>
  <c r="P19" i="24"/>
  <c r="O19" i="24"/>
  <c r="N19" i="24"/>
  <c r="M19" i="24"/>
  <c r="L19" i="24"/>
  <c r="K19" i="24"/>
  <c r="J19" i="24"/>
  <c r="I19" i="24"/>
  <c r="H19" i="24"/>
  <c r="G19" i="24"/>
  <c r="F19" i="24"/>
  <c r="E19" i="24"/>
  <c r="D19" i="24"/>
  <c r="C19" i="24"/>
  <c r="FA18" i="24"/>
  <c r="EZ18" i="24"/>
  <c r="EY18" i="24"/>
  <c r="EX18" i="24"/>
  <c r="AT18" i="24"/>
  <c r="AS18" i="24"/>
  <c r="AR18" i="24"/>
  <c r="AQ18" i="24"/>
  <c r="AP18" i="24"/>
  <c r="AO18" i="24"/>
  <c r="AN18" i="24"/>
  <c r="AM18" i="24"/>
  <c r="AL18" i="24"/>
  <c r="AK18" i="24"/>
  <c r="AJ18" i="24"/>
  <c r="AI18" i="24"/>
  <c r="AH18" i="24"/>
  <c r="AG18" i="24"/>
  <c r="AF18" i="24"/>
  <c r="AE18" i="24"/>
  <c r="AD18" i="24"/>
  <c r="AC18" i="24"/>
  <c r="AB18" i="24"/>
  <c r="AA18" i="24"/>
  <c r="Z18" i="24"/>
  <c r="W18" i="24"/>
  <c r="V18" i="24"/>
  <c r="U18" i="24"/>
  <c r="T18" i="24"/>
  <c r="S18" i="24"/>
  <c r="R18" i="24"/>
  <c r="Q18" i="24"/>
  <c r="P18" i="24"/>
  <c r="O18" i="24"/>
  <c r="N18" i="24"/>
  <c r="M18" i="24"/>
  <c r="L18" i="24"/>
  <c r="K18" i="24"/>
  <c r="J18" i="24"/>
  <c r="I18" i="24"/>
  <c r="H18" i="24"/>
  <c r="G18" i="24"/>
  <c r="F18" i="24"/>
  <c r="E18" i="24"/>
  <c r="D18" i="24"/>
  <c r="C18" i="24"/>
  <c r="FA17" i="24"/>
  <c r="EZ17" i="24"/>
  <c r="EY17" i="24"/>
  <c r="EX17" i="24"/>
  <c r="AT17" i="24"/>
  <c r="AS17" i="24"/>
  <c r="AR17" i="24"/>
  <c r="AQ17" i="24"/>
  <c r="AP17" i="24"/>
  <c r="AO17" i="24"/>
  <c r="AN17" i="24"/>
  <c r="AM17" i="24"/>
  <c r="AL17" i="24"/>
  <c r="AK17" i="24"/>
  <c r="AJ17" i="24"/>
  <c r="AI17" i="24"/>
  <c r="AH17" i="24"/>
  <c r="AG17" i="24"/>
  <c r="AF17" i="24"/>
  <c r="AE17" i="24"/>
  <c r="AD17" i="24"/>
  <c r="AC17" i="24"/>
  <c r="AB17" i="24"/>
  <c r="AA17" i="24"/>
  <c r="Z17" i="24"/>
  <c r="W17" i="24"/>
  <c r="V17" i="24"/>
  <c r="U17" i="24"/>
  <c r="T17" i="24"/>
  <c r="S17" i="24"/>
  <c r="R17" i="24"/>
  <c r="Q17" i="24"/>
  <c r="P17" i="24"/>
  <c r="O17" i="24"/>
  <c r="N17" i="24"/>
  <c r="M17" i="24"/>
  <c r="L17" i="24"/>
  <c r="K17" i="24"/>
  <c r="J17" i="24"/>
  <c r="I17" i="24"/>
  <c r="H17" i="24"/>
  <c r="G17" i="24"/>
  <c r="F17" i="24"/>
  <c r="E17" i="24"/>
  <c r="D17" i="24"/>
  <c r="C17" i="24"/>
  <c r="FA16" i="24"/>
  <c r="EZ16" i="24"/>
  <c r="EY16" i="24"/>
  <c r="EX16" i="24"/>
  <c r="AT16" i="24"/>
  <c r="AS16" i="24"/>
  <c r="AR16" i="24"/>
  <c r="AQ16" i="24"/>
  <c r="AP16" i="24"/>
  <c r="AO16" i="24"/>
  <c r="AN16" i="24"/>
  <c r="AM16" i="24"/>
  <c r="AL16" i="24"/>
  <c r="AK16" i="24"/>
  <c r="AJ16" i="24"/>
  <c r="AI16" i="24"/>
  <c r="AH16" i="24"/>
  <c r="AG16" i="24"/>
  <c r="AF16" i="24"/>
  <c r="AE16" i="24"/>
  <c r="AD16" i="24"/>
  <c r="AC16" i="24"/>
  <c r="AB16" i="24"/>
  <c r="AA16" i="24"/>
  <c r="BA16" i="24" s="1"/>
  <c r="W16" i="24"/>
  <c r="V16" i="24"/>
  <c r="U16" i="24"/>
  <c r="T16" i="24"/>
  <c r="S16" i="24"/>
  <c r="R16" i="24"/>
  <c r="Q16" i="24"/>
  <c r="P16" i="24"/>
  <c r="O16" i="24"/>
  <c r="N16" i="24"/>
  <c r="M16" i="24"/>
  <c r="L16" i="24"/>
  <c r="K16" i="24"/>
  <c r="J16" i="24"/>
  <c r="I16" i="24"/>
  <c r="H16" i="24"/>
  <c r="G16" i="24"/>
  <c r="F16" i="24"/>
  <c r="E16" i="24"/>
  <c r="D16" i="24"/>
  <c r="C16" i="24"/>
  <c r="FA15" i="24"/>
  <c r="EZ15" i="24"/>
  <c r="EY15" i="24"/>
  <c r="EX15" i="24"/>
  <c r="AT15" i="24"/>
  <c r="AS15" i="24"/>
  <c r="AR15" i="24"/>
  <c r="AQ15" i="24"/>
  <c r="AP15" i="24"/>
  <c r="AO15" i="24"/>
  <c r="AN15" i="24"/>
  <c r="AM15" i="24"/>
  <c r="AL15" i="24"/>
  <c r="AK15" i="24"/>
  <c r="AJ15" i="24"/>
  <c r="AI15" i="24"/>
  <c r="AH15" i="24"/>
  <c r="AG15" i="24"/>
  <c r="AF15" i="24"/>
  <c r="AE15" i="24"/>
  <c r="AD15" i="24"/>
  <c r="AC15" i="24"/>
  <c r="AB15" i="24"/>
  <c r="AA15" i="24"/>
  <c r="Z15" i="24"/>
  <c r="W15" i="24"/>
  <c r="V15" i="24"/>
  <c r="U15" i="24"/>
  <c r="T15" i="24"/>
  <c r="S15" i="24"/>
  <c r="R15" i="24"/>
  <c r="Q15" i="24"/>
  <c r="P15" i="24"/>
  <c r="O15" i="24"/>
  <c r="N15" i="24"/>
  <c r="M15" i="24"/>
  <c r="L15" i="24"/>
  <c r="K15" i="24"/>
  <c r="J15" i="24"/>
  <c r="I15" i="24"/>
  <c r="H15" i="24"/>
  <c r="G15" i="24"/>
  <c r="F15" i="24"/>
  <c r="E15" i="24"/>
  <c r="D15" i="24"/>
  <c r="C15" i="24"/>
  <c r="FA14" i="24"/>
  <c r="EZ14" i="24"/>
  <c r="EY14" i="24"/>
  <c r="EX14" i="24"/>
  <c r="BM14" i="24"/>
  <c r="BL14" i="24"/>
  <c r="BK14" i="24"/>
  <c r="BJ14" i="24"/>
  <c r="BI14" i="24"/>
  <c r="BH14" i="24"/>
  <c r="BG14" i="24"/>
  <c r="BF14" i="24"/>
  <c r="BE14" i="24"/>
  <c r="BD14" i="24"/>
  <c r="BC14" i="24"/>
  <c r="BB14" i="24"/>
  <c r="BA14" i="24"/>
  <c r="AR14" i="24"/>
  <c r="AQ14" i="24"/>
  <c r="AP14" i="24"/>
  <c r="AO14" i="24"/>
  <c r="AN14" i="24"/>
  <c r="BN14" i="24" s="1"/>
  <c r="U14" i="24"/>
  <c r="V14" i="24" s="1"/>
  <c r="W14" i="24" s="1"/>
  <c r="T14" i="24"/>
  <c r="S14" i="24"/>
  <c r="R14" i="24"/>
  <c r="Q14" i="24"/>
  <c r="P14" i="24"/>
  <c r="O14" i="24"/>
  <c r="N14" i="24"/>
  <c r="M14" i="24"/>
  <c r="L14" i="24"/>
  <c r="K14" i="24"/>
  <c r="J14" i="24"/>
  <c r="I14" i="24"/>
  <c r="H14" i="24"/>
  <c r="G14" i="24"/>
  <c r="F14" i="24"/>
  <c r="E14" i="24"/>
  <c r="D14" i="24"/>
  <c r="C14" i="24"/>
  <c r="FA13" i="24"/>
  <c r="EZ13" i="24"/>
  <c r="EY13" i="24"/>
  <c r="EX13" i="24"/>
  <c r="AT13" i="24"/>
  <c r="AS13" i="24"/>
  <c r="AR13" i="24"/>
  <c r="AQ13" i="24"/>
  <c r="AP13" i="24"/>
  <c r="AO13" i="24"/>
  <c r="AN13" i="24"/>
  <c r="AM13" i="24"/>
  <c r="AL13" i="24"/>
  <c r="AK13" i="24"/>
  <c r="AJ13" i="24"/>
  <c r="AI13" i="24"/>
  <c r="AH13" i="24"/>
  <c r="AG13" i="24"/>
  <c r="AF13" i="24"/>
  <c r="AE13" i="24"/>
  <c r="AD13" i="24"/>
  <c r="AC13" i="24"/>
  <c r="AB13" i="24"/>
  <c r="AA13" i="24"/>
  <c r="Z13" i="24"/>
  <c r="W13" i="24"/>
  <c r="V13" i="24"/>
  <c r="U13" i="24"/>
  <c r="T13" i="24"/>
  <c r="S13" i="24"/>
  <c r="R13" i="24"/>
  <c r="Q13" i="24"/>
  <c r="P13" i="24"/>
  <c r="O13" i="24"/>
  <c r="N13" i="24"/>
  <c r="M13" i="24"/>
  <c r="L13" i="24"/>
  <c r="K13" i="24"/>
  <c r="J13" i="24"/>
  <c r="I13" i="24"/>
  <c r="H13" i="24"/>
  <c r="G13" i="24"/>
  <c r="F13" i="24"/>
  <c r="E13" i="24"/>
  <c r="D13" i="24"/>
  <c r="C13" i="24"/>
  <c r="FA12" i="24"/>
  <c r="EZ12" i="24"/>
  <c r="EY12" i="24"/>
  <c r="EX12" i="24"/>
  <c r="AT12" i="24"/>
  <c r="AS12" i="24"/>
  <c r="AR12" i="24"/>
  <c r="AQ12" i="24"/>
  <c r="AP12" i="24"/>
  <c r="AO12" i="24"/>
  <c r="AN12" i="24"/>
  <c r="AM12" i="24"/>
  <c r="AL12" i="24"/>
  <c r="AK12" i="24"/>
  <c r="AJ12" i="24"/>
  <c r="AI12" i="24"/>
  <c r="AH12" i="24"/>
  <c r="AG12" i="24"/>
  <c r="AF12" i="24"/>
  <c r="AE12" i="24"/>
  <c r="AD12" i="24"/>
  <c r="AC12" i="24"/>
  <c r="AB12" i="24"/>
  <c r="AA12" i="24"/>
  <c r="Z12" i="24"/>
  <c r="W12" i="24"/>
  <c r="V12" i="24"/>
  <c r="U12" i="24"/>
  <c r="T12" i="24"/>
  <c r="S12" i="24"/>
  <c r="R12" i="24"/>
  <c r="Q12" i="24"/>
  <c r="P12" i="24"/>
  <c r="O12" i="24"/>
  <c r="N12" i="24"/>
  <c r="M12" i="24"/>
  <c r="L12" i="24"/>
  <c r="K12" i="24"/>
  <c r="J12" i="24"/>
  <c r="I12" i="24"/>
  <c r="H12" i="24"/>
  <c r="G12" i="24"/>
  <c r="F12" i="24"/>
  <c r="E12" i="24"/>
  <c r="D12" i="24"/>
  <c r="C12" i="24"/>
  <c r="FA11" i="24"/>
  <c r="EZ11" i="24"/>
  <c r="EY11" i="24"/>
  <c r="EX11" i="24"/>
  <c r="AT11" i="24"/>
  <c r="AS11" i="24"/>
  <c r="AR11" i="24"/>
  <c r="AQ11" i="24"/>
  <c r="AP11" i="24"/>
  <c r="AO11" i="24"/>
  <c r="AN11" i="24"/>
  <c r="AM11" i="24"/>
  <c r="AL11" i="24"/>
  <c r="AK11" i="24"/>
  <c r="AJ11" i="24"/>
  <c r="AI11" i="24"/>
  <c r="AH11" i="24"/>
  <c r="AG11" i="24"/>
  <c r="AF11" i="24"/>
  <c r="AE11" i="24"/>
  <c r="AD11" i="24"/>
  <c r="AC11" i="24"/>
  <c r="AB11" i="24"/>
  <c r="AA11" i="24"/>
  <c r="Z11" i="24"/>
  <c r="W11" i="24"/>
  <c r="V11" i="24"/>
  <c r="U11" i="24"/>
  <c r="T11" i="24"/>
  <c r="S11" i="24"/>
  <c r="R11" i="24"/>
  <c r="Q11" i="24"/>
  <c r="P11" i="24"/>
  <c r="O11" i="24"/>
  <c r="N11" i="24"/>
  <c r="M11" i="24"/>
  <c r="L11" i="24"/>
  <c r="K11" i="24"/>
  <c r="J11" i="24"/>
  <c r="I11" i="24"/>
  <c r="H11" i="24"/>
  <c r="G11" i="24"/>
  <c r="F11" i="24"/>
  <c r="E11" i="24"/>
  <c r="D11" i="24"/>
  <c r="C11" i="24"/>
  <c r="FA10" i="24"/>
  <c r="EZ10" i="24"/>
  <c r="EY10" i="24"/>
  <c r="EX10" i="24"/>
  <c r="AT10" i="24"/>
  <c r="AS10" i="24"/>
  <c r="AR10" i="24"/>
  <c r="AQ10" i="24"/>
  <c r="AP10" i="24"/>
  <c r="AO10" i="24"/>
  <c r="AN10" i="24"/>
  <c r="AM10" i="24"/>
  <c r="AL10" i="24"/>
  <c r="AK10" i="24"/>
  <c r="AJ10" i="24"/>
  <c r="AI10" i="24"/>
  <c r="AH10" i="24"/>
  <c r="AG10" i="24"/>
  <c r="AF10" i="24"/>
  <c r="AE10" i="24"/>
  <c r="AD10" i="24"/>
  <c r="AC10" i="24"/>
  <c r="AB10" i="24"/>
  <c r="AA10" i="24"/>
  <c r="Z10" i="24"/>
  <c r="W10" i="24"/>
  <c r="V10" i="24"/>
  <c r="U10" i="24"/>
  <c r="T10" i="24"/>
  <c r="S10" i="24"/>
  <c r="R10" i="24"/>
  <c r="Q10" i="24"/>
  <c r="P10" i="24"/>
  <c r="O10" i="24"/>
  <c r="N10" i="24"/>
  <c r="M10" i="24"/>
  <c r="L10" i="24"/>
  <c r="K10" i="24"/>
  <c r="J10" i="24"/>
  <c r="I10" i="24"/>
  <c r="H10" i="24"/>
  <c r="G10" i="24"/>
  <c r="F10" i="24"/>
  <c r="E10" i="24"/>
  <c r="D10" i="24"/>
  <c r="C10" i="24"/>
  <c r="FA9" i="24"/>
  <c r="EZ9" i="24"/>
  <c r="EY9" i="24"/>
  <c r="EX9" i="24"/>
  <c r="AT9" i="24"/>
  <c r="AS9" i="24"/>
  <c r="AR9" i="24"/>
  <c r="AQ9" i="24"/>
  <c r="AP9" i="24"/>
  <c r="AO9" i="24"/>
  <c r="AN9" i="24"/>
  <c r="AM9" i="24"/>
  <c r="AL9" i="24"/>
  <c r="AK9" i="24"/>
  <c r="AJ9" i="24"/>
  <c r="AI9" i="24"/>
  <c r="AH9" i="24"/>
  <c r="AG9" i="24"/>
  <c r="AF9" i="24"/>
  <c r="AE9" i="24"/>
  <c r="AD9" i="24"/>
  <c r="AC9" i="24"/>
  <c r="AB9" i="24"/>
  <c r="AA9" i="24"/>
  <c r="Z9" i="24"/>
  <c r="W9" i="24"/>
  <c r="V9" i="24"/>
  <c r="U9" i="24"/>
  <c r="T9" i="24"/>
  <c r="S9" i="24"/>
  <c r="R9" i="24"/>
  <c r="Q9" i="24"/>
  <c r="P9" i="24"/>
  <c r="O9" i="24"/>
  <c r="N9" i="24"/>
  <c r="M9" i="24"/>
  <c r="L9" i="24"/>
  <c r="K9" i="24"/>
  <c r="J9" i="24"/>
  <c r="I9" i="24"/>
  <c r="H9" i="24"/>
  <c r="G9" i="24"/>
  <c r="F9" i="24"/>
  <c r="E9" i="24"/>
  <c r="D9" i="24"/>
  <c r="C9" i="24"/>
  <c r="FA8" i="24"/>
  <c r="EZ8" i="24"/>
  <c r="EY8" i="24"/>
  <c r="EX8" i="24"/>
  <c r="AT8" i="24"/>
  <c r="AS8" i="24"/>
  <c r="AR8" i="24"/>
  <c r="AQ8" i="24"/>
  <c r="AP8" i="24"/>
  <c r="AO8" i="24"/>
  <c r="AN8" i="24"/>
  <c r="AM8" i="24"/>
  <c r="AL8" i="24"/>
  <c r="AK8" i="24"/>
  <c r="AJ8" i="24"/>
  <c r="AI8" i="24"/>
  <c r="AH8" i="24"/>
  <c r="AG8" i="24"/>
  <c r="AF8" i="24"/>
  <c r="AE8" i="24"/>
  <c r="AD8" i="24"/>
  <c r="AC8" i="24"/>
  <c r="AB8" i="24"/>
  <c r="AA8" i="24"/>
  <c r="Z8" i="24"/>
  <c r="W8" i="24"/>
  <c r="V8" i="24"/>
  <c r="U8" i="24"/>
  <c r="T8" i="24"/>
  <c r="S8" i="24"/>
  <c r="R8" i="24"/>
  <c r="Q8" i="24"/>
  <c r="P8" i="24"/>
  <c r="O8" i="24"/>
  <c r="N8" i="24"/>
  <c r="M8" i="24"/>
  <c r="L8" i="24"/>
  <c r="K8" i="24"/>
  <c r="J8" i="24"/>
  <c r="I8" i="24"/>
  <c r="H8" i="24"/>
  <c r="G8" i="24"/>
  <c r="F8" i="24"/>
  <c r="E8" i="24"/>
  <c r="D8" i="24"/>
  <c r="C8" i="24"/>
  <c r="FA7" i="24"/>
  <c r="EZ7" i="24"/>
  <c r="EY7" i="24"/>
  <c r="EX7" i="24"/>
  <c r="AT7" i="24"/>
  <c r="AS7" i="24"/>
  <c r="AR7" i="24"/>
  <c r="AQ7" i="24"/>
  <c r="AP7" i="24"/>
  <c r="AO7" i="24"/>
  <c r="AN7" i="24"/>
  <c r="AM7" i="24"/>
  <c r="AL7" i="24"/>
  <c r="AK7" i="24"/>
  <c r="AJ7" i="24"/>
  <c r="AI7" i="24"/>
  <c r="AH7" i="24"/>
  <c r="AG7" i="24"/>
  <c r="AF7" i="24"/>
  <c r="AE7" i="24"/>
  <c r="AD7" i="24"/>
  <c r="AC7" i="24"/>
  <c r="AB7" i="24"/>
  <c r="AA7" i="24"/>
  <c r="Z7" i="24"/>
  <c r="W7" i="24"/>
  <c r="V7" i="24"/>
  <c r="U7" i="24"/>
  <c r="T7" i="24"/>
  <c r="S7" i="24"/>
  <c r="R7" i="24"/>
  <c r="Q7" i="24"/>
  <c r="P7" i="24"/>
  <c r="O7" i="24"/>
  <c r="N7" i="24"/>
  <c r="M7" i="24"/>
  <c r="L7" i="24"/>
  <c r="K7" i="24"/>
  <c r="J7" i="24"/>
  <c r="I7" i="24"/>
  <c r="H7" i="24"/>
  <c r="G7" i="24"/>
  <c r="F7" i="24"/>
  <c r="E7" i="24"/>
  <c r="D7" i="24"/>
  <c r="C7" i="24"/>
  <c r="FA6" i="24"/>
  <c r="EZ6" i="24"/>
  <c r="EY6" i="24"/>
  <c r="EX6" i="24"/>
  <c r="AT6" i="24"/>
  <c r="AS6" i="24"/>
  <c r="AR6" i="24"/>
  <c r="AQ6" i="24"/>
  <c r="AP6" i="24"/>
  <c r="AO6" i="24"/>
  <c r="AN6" i="24"/>
  <c r="AM6" i="24"/>
  <c r="AL6" i="24"/>
  <c r="AK6" i="24"/>
  <c r="AJ6" i="24"/>
  <c r="AI6" i="24"/>
  <c r="AH6" i="24"/>
  <c r="AG6" i="24"/>
  <c r="AF6" i="24"/>
  <c r="AE6" i="24"/>
  <c r="AD6" i="24"/>
  <c r="AC6" i="24"/>
  <c r="AB6" i="24"/>
  <c r="AA6" i="24"/>
  <c r="Z6" i="24"/>
  <c r="W6" i="24"/>
  <c r="V6" i="24"/>
  <c r="U6" i="24"/>
  <c r="T6" i="24"/>
  <c r="S6" i="24"/>
  <c r="R6" i="24"/>
  <c r="Q6" i="24"/>
  <c r="P6" i="24"/>
  <c r="O6" i="24"/>
  <c r="N6" i="24"/>
  <c r="M6" i="24"/>
  <c r="L6" i="24"/>
  <c r="K6" i="24"/>
  <c r="J6" i="24"/>
  <c r="I6" i="24"/>
  <c r="H6" i="24"/>
  <c r="G6" i="24"/>
  <c r="F6" i="24"/>
  <c r="E6" i="24"/>
  <c r="D6" i="24"/>
  <c r="C6" i="24"/>
  <c r="AT5" i="24"/>
  <c r="AS5" i="24"/>
  <c r="AR5" i="24"/>
  <c r="AQ5" i="24"/>
  <c r="AP5" i="24"/>
  <c r="AO5" i="24"/>
  <c r="AN5" i="24"/>
  <c r="AM5" i="24"/>
  <c r="AL5" i="24"/>
  <c r="AK5" i="24"/>
  <c r="AJ5" i="24"/>
  <c r="AI5" i="24"/>
  <c r="AH5" i="24"/>
  <c r="AG5" i="24"/>
  <c r="AF5" i="24"/>
  <c r="AE5" i="24"/>
  <c r="AD5" i="24"/>
  <c r="AC5" i="24"/>
  <c r="AB5" i="24"/>
  <c r="AA5" i="24"/>
  <c r="Z5" i="24"/>
  <c r="W5" i="24"/>
  <c r="V5" i="24"/>
  <c r="U5" i="24"/>
  <c r="T5" i="24"/>
  <c r="S5" i="24"/>
  <c r="R5" i="24"/>
  <c r="Q5" i="24"/>
  <c r="P5" i="24"/>
  <c r="O5" i="24"/>
  <c r="N5" i="24"/>
  <c r="M5" i="24"/>
  <c r="L5" i="24"/>
  <c r="K5" i="24"/>
  <c r="J5" i="24"/>
  <c r="I5" i="24"/>
  <c r="H5" i="24"/>
  <c r="G5" i="24"/>
  <c r="F5" i="24"/>
  <c r="E5" i="24"/>
  <c r="D5" i="24"/>
  <c r="C5" i="24"/>
  <c r="AT4" i="24"/>
  <c r="AS4" i="24"/>
  <c r="AR4" i="24"/>
  <c r="AQ4" i="24"/>
  <c r="AP4" i="24"/>
  <c r="AO4" i="24"/>
  <c r="AN4" i="24"/>
  <c r="AM4" i="24"/>
  <c r="AL4" i="24"/>
  <c r="AK4" i="24"/>
  <c r="AJ4" i="24"/>
  <c r="AI4" i="24"/>
  <c r="AH4" i="24"/>
  <c r="AG4" i="24"/>
  <c r="AF4" i="24"/>
  <c r="AE4" i="24"/>
  <c r="AD4" i="24"/>
  <c r="AC4" i="24"/>
  <c r="AB4" i="24"/>
  <c r="AA4" i="24"/>
  <c r="Z4" i="24"/>
  <c r="G27" i="56"/>
  <c r="G26" i="56"/>
  <c r="G25" i="56"/>
  <c r="G24" i="56"/>
  <c r="G23" i="56"/>
  <c r="G22" i="56"/>
  <c r="G21" i="56"/>
  <c r="G20" i="56"/>
  <c r="G19" i="56"/>
  <c r="G18" i="56"/>
  <c r="G17" i="56"/>
  <c r="G16" i="56"/>
  <c r="O14" i="56"/>
  <c r="O13" i="56"/>
  <c r="O12" i="56"/>
  <c r="O11" i="56"/>
  <c r="O10" i="56"/>
  <c r="U9" i="56"/>
  <c r="T9" i="56"/>
  <c r="S9" i="56"/>
  <c r="R9" i="56"/>
  <c r="O9" i="56"/>
  <c r="U8" i="56"/>
  <c r="O8" i="56"/>
  <c r="U7" i="56"/>
  <c r="O7" i="56"/>
  <c r="U6" i="56"/>
  <c r="O6" i="56"/>
  <c r="O5" i="56"/>
  <c r="O4" i="56"/>
  <c r="O3" i="56"/>
  <c r="M15" i="55"/>
  <c r="I15" i="55"/>
  <c r="E15" i="55"/>
  <c r="U14" i="55"/>
  <c r="T14" i="55"/>
  <c r="S14" i="55"/>
  <c r="R14" i="55"/>
  <c r="Q14" i="55"/>
  <c r="T13" i="55"/>
  <c r="S13" i="55"/>
  <c r="R13" i="55"/>
  <c r="Q13" i="55"/>
  <c r="U13" i="55" s="1"/>
  <c r="U12" i="55"/>
  <c r="T12" i="55"/>
  <c r="S12" i="55"/>
  <c r="R12" i="55"/>
  <c r="Q12" i="55"/>
  <c r="T11" i="55"/>
  <c r="S11" i="55"/>
  <c r="R11" i="55"/>
  <c r="Q11" i="55"/>
  <c r="T10" i="55"/>
  <c r="S10" i="55"/>
  <c r="R10" i="55"/>
  <c r="Q10" i="55"/>
  <c r="U9" i="55"/>
  <c r="T9" i="55"/>
  <c r="S9" i="55"/>
  <c r="R9" i="55"/>
  <c r="Q9" i="55"/>
  <c r="T8" i="55"/>
  <c r="S8" i="55"/>
  <c r="R8" i="55"/>
  <c r="Q8" i="55"/>
  <c r="U8" i="55" s="1"/>
  <c r="U7" i="55"/>
  <c r="T7" i="55"/>
  <c r="S7" i="55"/>
  <c r="R7" i="55"/>
  <c r="Q7" i="55"/>
  <c r="T6" i="55"/>
  <c r="S6" i="55"/>
  <c r="U6" i="55" s="1"/>
  <c r="R6" i="55"/>
  <c r="Q6" i="55"/>
  <c r="M1" i="55"/>
  <c r="I1" i="55"/>
  <c r="O1" i="55" s="1"/>
  <c r="N158" i="30"/>
  <c r="L158" i="30"/>
  <c r="K158" i="30"/>
  <c r="N157" i="30"/>
  <c r="L157" i="30"/>
  <c r="K157" i="30"/>
  <c r="N156" i="30"/>
  <c r="L156" i="30"/>
  <c r="K156" i="30"/>
  <c r="N155" i="30"/>
  <c r="L155" i="30"/>
  <c r="K155" i="30"/>
  <c r="N154" i="30"/>
  <c r="L154" i="30"/>
  <c r="K154" i="30"/>
  <c r="N153" i="30"/>
  <c r="L153" i="30"/>
  <c r="K153" i="30"/>
  <c r="N152" i="30"/>
  <c r="L152" i="30"/>
  <c r="K152" i="30"/>
  <c r="N151" i="30"/>
  <c r="L151" i="30"/>
  <c r="K151" i="30"/>
  <c r="N150" i="30"/>
  <c r="L150" i="30"/>
  <c r="K150" i="30"/>
  <c r="N149" i="30"/>
  <c r="L149" i="30"/>
  <c r="K149" i="30"/>
  <c r="N148" i="30"/>
  <c r="L148" i="30"/>
  <c r="K148" i="30"/>
  <c r="N147" i="30"/>
  <c r="L147" i="30"/>
  <c r="K147" i="30"/>
  <c r="N146" i="30"/>
  <c r="L146" i="30"/>
  <c r="K146" i="30"/>
  <c r="N145" i="30"/>
  <c r="L145" i="30"/>
  <c r="K145" i="30"/>
  <c r="N144" i="30"/>
  <c r="L144" i="30"/>
  <c r="K144" i="30"/>
  <c r="N143" i="30"/>
  <c r="L143" i="30"/>
  <c r="K143" i="30"/>
  <c r="N142" i="30"/>
  <c r="L142" i="30"/>
  <c r="K142" i="30"/>
  <c r="N141" i="30"/>
  <c r="L141" i="30"/>
  <c r="K141" i="30"/>
  <c r="N140" i="30"/>
  <c r="L140" i="30"/>
  <c r="K140" i="30"/>
  <c r="N139" i="30"/>
  <c r="L139" i="30"/>
  <c r="K139" i="30"/>
  <c r="N138" i="30"/>
  <c r="L138" i="30"/>
  <c r="K138" i="30"/>
  <c r="N137" i="30"/>
  <c r="L137" i="30"/>
  <c r="K137" i="30"/>
  <c r="N136" i="30"/>
  <c r="L136" i="30"/>
  <c r="K136" i="30"/>
  <c r="N135" i="30"/>
  <c r="L135" i="30"/>
  <c r="K135" i="30"/>
  <c r="N134" i="30"/>
  <c r="L134" i="30"/>
  <c r="K134" i="30"/>
  <c r="N133" i="30"/>
  <c r="L133" i="30"/>
  <c r="K133" i="30"/>
  <c r="N132" i="30"/>
  <c r="L132" i="30"/>
  <c r="K132" i="30"/>
  <c r="N131" i="30"/>
  <c r="L131" i="30"/>
  <c r="K131" i="30"/>
  <c r="N130" i="30"/>
  <c r="L130" i="30"/>
  <c r="K130" i="30"/>
  <c r="AO129" i="30"/>
  <c r="AN129" i="30"/>
  <c r="AM129" i="30"/>
  <c r="AL129" i="30"/>
  <c r="AK129" i="30"/>
  <c r="AJ129" i="30"/>
  <c r="N129" i="30"/>
  <c r="L129" i="30"/>
  <c r="K129" i="30"/>
  <c r="AO128" i="30"/>
  <c r="AN128" i="30"/>
  <c r="AM128" i="30"/>
  <c r="AL128" i="30"/>
  <c r="AK128" i="30"/>
  <c r="AJ128" i="30"/>
  <c r="N128" i="30"/>
  <c r="L128" i="30"/>
  <c r="K128" i="30"/>
  <c r="AO127" i="30"/>
  <c r="AN127" i="30"/>
  <c r="AM127" i="30"/>
  <c r="AL127" i="30"/>
  <c r="AK127" i="30"/>
  <c r="AJ127" i="30"/>
  <c r="N127" i="30"/>
  <c r="L127" i="30"/>
  <c r="K127" i="30"/>
  <c r="AO126" i="30"/>
  <c r="AN126" i="30"/>
  <c r="AM126" i="30"/>
  <c r="AL126" i="30"/>
  <c r="AK126" i="30"/>
  <c r="AJ126" i="30"/>
  <c r="N126" i="30"/>
  <c r="L126" i="30"/>
  <c r="K126" i="30"/>
  <c r="AO125" i="30"/>
  <c r="AN125" i="30"/>
  <c r="AM125" i="30"/>
  <c r="AL125" i="30"/>
  <c r="AK125" i="30"/>
  <c r="AJ125" i="30"/>
  <c r="N125" i="30"/>
  <c r="L125" i="30"/>
  <c r="K125" i="30"/>
  <c r="AO124" i="30"/>
  <c r="AN124" i="30"/>
  <c r="AM124" i="30"/>
  <c r="AL124" i="30"/>
  <c r="AK124" i="30"/>
  <c r="AJ124" i="30"/>
  <c r="N124" i="30"/>
  <c r="L124" i="30"/>
  <c r="K124" i="30"/>
  <c r="AO123" i="30"/>
  <c r="AN123" i="30"/>
  <c r="AM123" i="30"/>
  <c r="AL123" i="30"/>
  <c r="AK123" i="30"/>
  <c r="AJ123" i="30"/>
  <c r="N123" i="30"/>
  <c r="L123" i="30"/>
  <c r="K123" i="30"/>
  <c r="AO122" i="30"/>
  <c r="AN122" i="30"/>
  <c r="AM122" i="30"/>
  <c r="AL122" i="30"/>
  <c r="AK122" i="30"/>
  <c r="AJ122" i="30"/>
  <c r="N122" i="30"/>
  <c r="L122" i="30"/>
  <c r="K122" i="30"/>
  <c r="AO121" i="30"/>
  <c r="AN121" i="30"/>
  <c r="AM121" i="30"/>
  <c r="AL121" i="30"/>
  <c r="AK121" i="30"/>
  <c r="AJ121" i="30"/>
  <c r="N121" i="30"/>
  <c r="L121" i="30"/>
  <c r="K121" i="30"/>
  <c r="AO120" i="30"/>
  <c r="AN120" i="30"/>
  <c r="AM120" i="30"/>
  <c r="AL120" i="30"/>
  <c r="AK120" i="30"/>
  <c r="AJ120" i="30"/>
  <c r="N120" i="30"/>
  <c r="L120" i="30"/>
  <c r="K120" i="30"/>
  <c r="AO119" i="30"/>
  <c r="AN119" i="30"/>
  <c r="AM119" i="30"/>
  <c r="AL119" i="30"/>
  <c r="AK119" i="30"/>
  <c r="AJ119" i="30"/>
  <c r="N119" i="30"/>
  <c r="L119" i="30"/>
  <c r="K119" i="30"/>
  <c r="AO118" i="30"/>
  <c r="AN118" i="30"/>
  <c r="AM118" i="30"/>
  <c r="AL118" i="30"/>
  <c r="AK118" i="30"/>
  <c r="AJ118" i="30"/>
  <c r="N118" i="30"/>
  <c r="L118" i="30"/>
  <c r="K118" i="30"/>
  <c r="AO117" i="30"/>
  <c r="AN117" i="30"/>
  <c r="AM117" i="30"/>
  <c r="AL117" i="30"/>
  <c r="AK117" i="30"/>
  <c r="AJ117" i="30"/>
  <c r="N117" i="30"/>
  <c r="L117" i="30"/>
  <c r="K117" i="30"/>
  <c r="AO116" i="30"/>
  <c r="AN116" i="30"/>
  <c r="AM116" i="30"/>
  <c r="AL116" i="30"/>
  <c r="AK116" i="30"/>
  <c r="AJ116" i="30"/>
  <c r="N116" i="30"/>
  <c r="L116" i="30"/>
  <c r="K116" i="30"/>
  <c r="AO115" i="30"/>
  <c r="AN115" i="30"/>
  <c r="AM115" i="30"/>
  <c r="AL115" i="30"/>
  <c r="AK115" i="30"/>
  <c r="AJ115" i="30"/>
  <c r="N115" i="30"/>
  <c r="L115" i="30"/>
  <c r="K115" i="30"/>
  <c r="AO114" i="30"/>
  <c r="AN114" i="30"/>
  <c r="AM114" i="30"/>
  <c r="AL114" i="30"/>
  <c r="AK114" i="30"/>
  <c r="AJ114" i="30"/>
  <c r="N114" i="30"/>
  <c r="L114" i="30"/>
  <c r="K114" i="30"/>
  <c r="AO113" i="30"/>
  <c r="AN113" i="30"/>
  <c r="AM113" i="30"/>
  <c r="AL113" i="30"/>
  <c r="AK113" i="30"/>
  <c r="AJ113" i="30"/>
  <c r="N113" i="30"/>
  <c r="L113" i="30"/>
  <c r="K113" i="30"/>
  <c r="AO112" i="30"/>
  <c r="AO130" i="30" s="1"/>
  <c r="AN112" i="30"/>
  <c r="AN130" i="30" s="1"/>
  <c r="AM112" i="30"/>
  <c r="AM130" i="30" s="1"/>
  <c r="AL112" i="30"/>
  <c r="AL130" i="30" s="1"/>
  <c r="AK112" i="30"/>
  <c r="AJ112" i="30"/>
  <c r="N112" i="30"/>
  <c r="L112" i="30"/>
  <c r="K112" i="30"/>
  <c r="N111" i="30"/>
  <c r="L111" i="30"/>
  <c r="K111" i="30"/>
  <c r="N110" i="30"/>
  <c r="L110" i="30"/>
  <c r="K110" i="30"/>
  <c r="N109" i="30"/>
  <c r="L109" i="30"/>
  <c r="K109" i="30"/>
  <c r="N108" i="30"/>
  <c r="L108" i="30"/>
  <c r="K108" i="30"/>
  <c r="N107" i="30"/>
  <c r="L107" i="30"/>
  <c r="K107" i="30"/>
  <c r="N106" i="30"/>
  <c r="L106" i="30"/>
  <c r="K106" i="30"/>
  <c r="AO105" i="30"/>
  <c r="AN105" i="30"/>
  <c r="AM105" i="30"/>
  <c r="AL105" i="30"/>
  <c r="AK105" i="30"/>
  <c r="AJ105" i="30"/>
  <c r="N105" i="30"/>
  <c r="L105" i="30"/>
  <c r="K105" i="30"/>
  <c r="AO104" i="30"/>
  <c r="AN104" i="30"/>
  <c r="AM104" i="30"/>
  <c r="AL104" i="30"/>
  <c r="AK104" i="30"/>
  <c r="AJ104" i="30"/>
  <c r="N104" i="30"/>
  <c r="L104" i="30"/>
  <c r="K104" i="30"/>
  <c r="AO103" i="30"/>
  <c r="AN103" i="30"/>
  <c r="AM103" i="30"/>
  <c r="AL103" i="30"/>
  <c r="AK103" i="30"/>
  <c r="AJ103" i="30"/>
  <c r="N103" i="30"/>
  <c r="L103" i="30"/>
  <c r="K103" i="30"/>
  <c r="AO102" i="30"/>
  <c r="AN102" i="30"/>
  <c r="AM102" i="30"/>
  <c r="AL102" i="30"/>
  <c r="AK102" i="30"/>
  <c r="AJ102" i="30"/>
  <c r="N102" i="30"/>
  <c r="L102" i="30"/>
  <c r="K102" i="30"/>
  <c r="AO101" i="30"/>
  <c r="AN101" i="30"/>
  <c r="AM101" i="30"/>
  <c r="AL101" i="30"/>
  <c r="AK101" i="30"/>
  <c r="AJ101" i="30"/>
  <c r="N101" i="30"/>
  <c r="L101" i="30"/>
  <c r="K101" i="30"/>
  <c r="AO100" i="30"/>
  <c r="AN100" i="30"/>
  <c r="AM100" i="30"/>
  <c r="AL100" i="30"/>
  <c r="AK100" i="30"/>
  <c r="AJ100" i="30"/>
  <c r="N100" i="30"/>
  <c r="L100" i="30"/>
  <c r="K100" i="30"/>
  <c r="AO99" i="30"/>
  <c r="AN99" i="30"/>
  <c r="AM99" i="30"/>
  <c r="AL99" i="30"/>
  <c r="AK99" i="30"/>
  <c r="AJ99" i="30"/>
  <c r="N99" i="30"/>
  <c r="L99" i="30"/>
  <c r="K99" i="30"/>
  <c r="AO98" i="30"/>
  <c r="AN98" i="30"/>
  <c r="AM98" i="30"/>
  <c r="AL98" i="30"/>
  <c r="AK98" i="30"/>
  <c r="AJ98" i="30"/>
  <c r="N98" i="30"/>
  <c r="L98" i="30"/>
  <c r="K98" i="30"/>
  <c r="AO97" i="30"/>
  <c r="AN97" i="30"/>
  <c r="AM97" i="30"/>
  <c r="AL97" i="30"/>
  <c r="AK97" i="30"/>
  <c r="AJ97" i="30"/>
  <c r="N97" i="30"/>
  <c r="L97" i="30"/>
  <c r="K97" i="30"/>
  <c r="AO96" i="30"/>
  <c r="AO106" i="30" s="1"/>
  <c r="AN96" i="30"/>
  <c r="AM96" i="30"/>
  <c r="AL96" i="30"/>
  <c r="AK96" i="30"/>
  <c r="AJ96" i="30"/>
  <c r="N96" i="30"/>
  <c r="L96" i="30"/>
  <c r="K96" i="30"/>
  <c r="J96" i="30"/>
  <c r="M96" i="30" s="1"/>
  <c r="AO95" i="30"/>
  <c r="AN95" i="30"/>
  <c r="AM95" i="30"/>
  <c r="AL95" i="30"/>
  <c r="AK95" i="30"/>
  <c r="AJ95" i="30"/>
  <c r="N95" i="30"/>
  <c r="M95" i="30"/>
  <c r="L95" i="30"/>
  <c r="J95" i="30"/>
  <c r="K95" i="30" s="1"/>
  <c r="AO94" i="30"/>
  <c r="AN94" i="30"/>
  <c r="AM94" i="30"/>
  <c r="AL94" i="30"/>
  <c r="AK94" i="30"/>
  <c r="AJ94" i="30"/>
  <c r="L94" i="30"/>
  <c r="J94" i="30"/>
  <c r="AO93" i="30"/>
  <c r="AN93" i="30"/>
  <c r="AM93" i="30"/>
  <c r="AL93" i="30"/>
  <c r="AK93" i="30"/>
  <c r="AJ93" i="30"/>
  <c r="J93" i="30"/>
  <c r="N93" i="30" s="1"/>
  <c r="AO92" i="30"/>
  <c r="AN92" i="30"/>
  <c r="AM92" i="30"/>
  <c r="AL92" i="30"/>
  <c r="AK92" i="30"/>
  <c r="AJ92" i="30"/>
  <c r="M92" i="30"/>
  <c r="J92" i="30"/>
  <c r="M91" i="30"/>
  <c r="L91" i="30"/>
  <c r="J91" i="30"/>
  <c r="N91" i="30" s="1"/>
  <c r="L90" i="30"/>
  <c r="J90" i="30"/>
  <c r="N89" i="30"/>
  <c r="M89" i="30"/>
  <c r="L89" i="30"/>
  <c r="J89" i="30"/>
  <c r="K89" i="30" s="1"/>
  <c r="M88" i="30"/>
  <c r="J88" i="30"/>
  <c r="N87" i="30"/>
  <c r="L87" i="30"/>
  <c r="K87" i="30"/>
  <c r="J87" i="30"/>
  <c r="M87" i="30" s="1"/>
  <c r="AO86" i="30"/>
  <c r="AN86" i="30"/>
  <c r="AM86" i="30"/>
  <c r="AM87" i="30" s="1"/>
  <c r="AL86" i="30"/>
  <c r="AK86" i="30"/>
  <c r="AJ86" i="30"/>
  <c r="J86" i="30"/>
  <c r="AO85" i="30"/>
  <c r="AN85" i="30"/>
  <c r="AM85" i="30"/>
  <c r="AL85" i="30"/>
  <c r="AK85" i="30"/>
  <c r="AJ85" i="30"/>
  <c r="N85" i="30"/>
  <c r="M85" i="30"/>
  <c r="L85" i="30"/>
  <c r="J85" i="30"/>
  <c r="K85" i="30" s="1"/>
  <c r="AO84" i="30"/>
  <c r="AN84" i="30"/>
  <c r="AM84" i="30"/>
  <c r="AL84" i="30"/>
  <c r="AK84" i="30"/>
  <c r="AJ84" i="30"/>
  <c r="L84" i="30"/>
  <c r="J84" i="30"/>
  <c r="AO83" i="30"/>
  <c r="AN83" i="30"/>
  <c r="AM83" i="30"/>
  <c r="AL83" i="30"/>
  <c r="AK83" i="30"/>
  <c r="AJ83" i="30"/>
  <c r="M83" i="30"/>
  <c r="L83" i="30"/>
  <c r="K83" i="30"/>
  <c r="J83" i="30"/>
  <c r="N83" i="30" s="1"/>
  <c r="AO82" i="30"/>
  <c r="AN82" i="30"/>
  <c r="AM82" i="30"/>
  <c r="AL82" i="30"/>
  <c r="AK82" i="30"/>
  <c r="AJ82" i="30"/>
  <c r="N82" i="30"/>
  <c r="M82" i="30"/>
  <c r="J82" i="30"/>
  <c r="AO81" i="30"/>
  <c r="AN81" i="30"/>
  <c r="AM81" i="30"/>
  <c r="AL81" i="30"/>
  <c r="AK81" i="30"/>
  <c r="AJ81" i="30"/>
  <c r="J81" i="30"/>
  <c r="K81" i="30" s="1"/>
  <c r="AO80" i="30"/>
  <c r="AN80" i="30"/>
  <c r="AN87" i="30" s="1"/>
  <c r="AM80" i="30"/>
  <c r="AL80" i="30"/>
  <c r="AK80" i="30"/>
  <c r="AJ80" i="30"/>
  <c r="N80" i="30"/>
  <c r="M80" i="30"/>
  <c r="L80" i="30"/>
  <c r="K80" i="30"/>
  <c r="J80" i="30"/>
  <c r="AO79" i="30"/>
  <c r="AN79" i="30"/>
  <c r="AM79" i="30"/>
  <c r="AL79" i="30"/>
  <c r="AK79" i="30"/>
  <c r="AJ79" i="30"/>
  <c r="N79" i="30"/>
  <c r="L79" i="30"/>
  <c r="K79" i="30"/>
  <c r="J79" i="30"/>
  <c r="M79" i="30" s="1"/>
  <c r="AO78" i="30"/>
  <c r="AN78" i="30"/>
  <c r="AM78" i="30"/>
  <c r="AL78" i="30"/>
  <c r="AK78" i="30"/>
  <c r="AJ78" i="30"/>
  <c r="N78" i="30"/>
  <c r="L78" i="30"/>
  <c r="K78" i="30"/>
  <c r="J78" i="30"/>
  <c r="M78" i="30" s="1"/>
  <c r="AO77" i="30"/>
  <c r="AN77" i="30"/>
  <c r="AM77" i="30"/>
  <c r="AL77" i="30"/>
  <c r="AK77" i="30"/>
  <c r="AJ77" i="30"/>
  <c r="N77" i="30"/>
  <c r="M77" i="30"/>
  <c r="L77" i="30"/>
  <c r="J77" i="30"/>
  <c r="K77" i="30" s="1"/>
  <c r="AO76" i="30"/>
  <c r="AO87" i="30" s="1"/>
  <c r="AN76" i="30"/>
  <c r="AM76" i="30"/>
  <c r="AL76" i="30"/>
  <c r="AK76" i="30"/>
  <c r="AJ76" i="30"/>
  <c r="L76" i="30"/>
  <c r="J76" i="30"/>
  <c r="N75" i="30"/>
  <c r="M75" i="30"/>
  <c r="L75" i="30"/>
  <c r="J75" i="30"/>
  <c r="K75" i="30" s="1"/>
  <c r="K74" i="30"/>
  <c r="J74" i="30"/>
  <c r="M74" i="30" s="1"/>
  <c r="N73" i="30"/>
  <c r="L73" i="30"/>
  <c r="K73" i="30"/>
  <c r="J73" i="30"/>
  <c r="M73" i="30" s="1"/>
  <c r="J72" i="30"/>
  <c r="K71" i="30"/>
  <c r="J71" i="30"/>
  <c r="AO70" i="30"/>
  <c r="AN70" i="30"/>
  <c r="AM70" i="30"/>
  <c r="AL70" i="30"/>
  <c r="AK70" i="30"/>
  <c r="AJ70" i="30"/>
  <c r="N70" i="30"/>
  <c r="M70" i="30"/>
  <c r="L70" i="30"/>
  <c r="K70" i="30"/>
  <c r="J70" i="30"/>
  <c r="AO69" i="30"/>
  <c r="AN69" i="30"/>
  <c r="AM69" i="30"/>
  <c r="AL69" i="30"/>
  <c r="AK69" i="30"/>
  <c r="AJ69" i="30"/>
  <c r="N69" i="30"/>
  <c r="L69" i="30"/>
  <c r="K69" i="30"/>
  <c r="J69" i="30"/>
  <c r="M69" i="30" s="1"/>
  <c r="AO68" i="30"/>
  <c r="AN68" i="30"/>
  <c r="AM68" i="30"/>
  <c r="AL68" i="30"/>
  <c r="AK68" i="30"/>
  <c r="AJ68" i="30"/>
  <c r="J68" i="30"/>
  <c r="M68" i="30" s="1"/>
  <c r="AO67" i="30"/>
  <c r="AN67" i="30"/>
  <c r="AM67" i="30"/>
  <c r="AL67" i="30"/>
  <c r="AK67" i="30"/>
  <c r="AJ67" i="30"/>
  <c r="N67" i="30"/>
  <c r="M67" i="30"/>
  <c r="L67" i="30"/>
  <c r="J67" i="30"/>
  <c r="K67" i="30" s="1"/>
  <c r="AO66" i="30"/>
  <c r="AN66" i="30"/>
  <c r="AM66" i="30"/>
  <c r="AL66" i="30"/>
  <c r="AK66" i="30"/>
  <c r="AJ66" i="30"/>
  <c r="J66" i="30"/>
  <c r="AO65" i="30"/>
  <c r="AN65" i="30"/>
  <c r="AM65" i="30"/>
  <c r="AM71" i="30" s="1"/>
  <c r="AL65" i="30"/>
  <c r="AK65" i="30"/>
  <c r="AJ65" i="30"/>
  <c r="M65" i="30"/>
  <c r="L65" i="30"/>
  <c r="K65" i="30"/>
  <c r="J65" i="30"/>
  <c r="N65" i="30" s="1"/>
  <c r="AO64" i="30"/>
  <c r="AN64" i="30"/>
  <c r="AM64" i="30"/>
  <c r="AL64" i="30"/>
  <c r="AK64" i="30"/>
  <c r="AJ64" i="30"/>
  <c r="N64" i="30"/>
  <c r="J64" i="30"/>
  <c r="K63" i="30"/>
  <c r="J63" i="30"/>
  <c r="N63" i="30" s="1"/>
  <c r="J62" i="30"/>
  <c r="L62" i="30" s="1"/>
  <c r="N61" i="30"/>
  <c r="M61" i="30"/>
  <c r="L61" i="30"/>
  <c r="J61" i="30"/>
  <c r="K61" i="30" s="1"/>
  <c r="N60" i="30"/>
  <c r="J60" i="30"/>
  <c r="N59" i="30"/>
  <c r="L59" i="30"/>
  <c r="K59" i="30"/>
  <c r="J59" i="30"/>
  <c r="M59" i="30" s="1"/>
  <c r="AO58" i="30"/>
  <c r="AN58" i="30"/>
  <c r="AM58" i="30"/>
  <c r="AL58" i="30"/>
  <c r="AK58" i="30"/>
  <c r="AJ58" i="30"/>
  <c r="N58" i="30"/>
  <c r="L58" i="30"/>
  <c r="K58" i="30"/>
  <c r="J58" i="30"/>
  <c r="M58" i="30" s="1"/>
  <c r="AO57" i="30"/>
  <c r="AN57" i="30"/>
  <c r="AM57" i="30"/>
  <c r="AL57" i="30"/>
  <c r="AK57" i="30"/>
  <c r="AJ57" i="30"/>
  <c r="N57" i="30"/>
  <c r="M57" i="30"/>
  <c r="L57" i="30"/>
  <c r="J57" i="30"/>
  <c r="K57" i="30" s="1"/>
  <c r="AO56" i="30"/>
  <c r="AN56" i="30"/>
  <c r="AM56" i="30"/>
  <c r="AL56" i="30"/>
  <c r="AK56" i="30"/>
  <c r="AJ56" i="30"/>
  <c r="J56" i="30"/>
  <c r="L56" i="30" s="1"/>
  <c r="AO55" i="30"/>
  <c r="AN55" i="30"/>
  <c r="AM55" i="30"/>
  <c r="AL55" i="30"/>
  <c r="AK55" i="30"/>
  <c r="AJ55" i="30"/>
  <c r="J55" i="30"/>
  <c r="AO54" i="30"/>
  <c r="AN54" i="30"/>
  <c r="AM54" i="30"/>
  <c r="AL54" i="30"/>
  <c r="AK54" i="30"/>
  <c r="AJ54" i="30"/>
  <c r="M54" i="30"/>
  <c r="J54" i="30"/>
  <c r="AO53" i="30"/>
  <c r="AN53" i="30"/>
  <c r="AM53" i="30"/>
  <c r="AL53" i="30"/>
  <c r="AK53" i="30"/>
  <c r="AJ53" i="30"/>
  <c r="M53" i="30"/>
  <c r="K53" i="30"/>
  <c r="J53" i="30"/>
  <c r="AO52" i="30"/>
  <c r="AN52" i="30"/>
  <c r="AM52" i="30"/>
  <c r="AL52" i="30"/>
  <c r="AK52" i="30"/>
  <c r="AJ52" i="30"/>
  <c r="N52" i="30"/>
  <c r="M52" i="30"/>
  <c r="L52" i="30"/>
  <c r="K52" i="30"/>
  <c r="J52" i="30"/>
  <c r="AO51" i="30"/>
  <c r="AN51" i="30"/>
  <c r="AM51" i="30"/>
  <c r="AL51" i="30"/>
  <c r="AK51" i="30"/>
  <c r="AJ51" i="30"/>
  <c r="N51" i="30"/>
  <c r="L51" i="30"/>
  <c r="K51" i="30"/>
  <c r="J51" i="30"/>
  <c r="M51" i="30" s="1"/>
  <c r="AO50" i="30"/>
  <c r="AN50" i="30"/>
  <c r="AM50" i="30"/>
  <c r="AL50" i="30"/>
  <c r="AK50" i="30"/>
  <c r="AJ50" i="30"/>
  <c r="J50" i="30"/>
  <c r="AO49" i="30"/>
  <c r="AN49" i="30"/>
  <c r="AM49" i="30"/>
  <c r="AL49" i="30"/>
  <c r="AK49" i="30"/>
  <c r="AJ49" i="30"/>
  <c r="N49" i="30"/>
  <c r="M49" i="30"/>
  <c r="L49" i="30"/>
  <c r="J49" i="30"/>
  <c r="K49" i="30" s="1"/>
  <c r="AO48" i="30"/>
  <c r="AN48" i="30"/>
  <c r="AM48" i="30"/>
  <c r="AL48" i="30"/>
  <c r="AK48" i="30"/>
  <c r="AJ48" i="30"/>
  <c r="J48" i="30"/>
  <c r="AO47" i="30"/>
  <c r="AN47" i="30"/>
  <c r="AM47" i="30"/>
  <c r="AL47" i="30"/>
  <c r="AK47" i="30"/>
  <c r="AJ47" i="30"/>
  <c r="M47" i="30"/>
  <c r="L47" i="30"/>
  <c r="K47" i="30"/>
  <c r="J47" i="30"/>
  <c r="N47" i="30" s="1"/>
  <c r="AO46" i="30"/>
  <c r="AN46" i="30"/>
  <c r="AM46" i="30"/>
  <c r="AL46" i="30"/>
  <c r="AK46" i="30"/>
  <c r="AJ46" i="30"/>
  <c r="J46" i="30"/>
  <c r="M46" i="30" s="1"/>
  <c r="AO45" i="30"/>
  <c r="AN45" i="30"/>
  <c r="AM45" i="30"/>
  <c r="AL45" i="30"/>
  <c r="AK45" i="30"/>
  <c r="AJ45" i="30"/>
  <c r="K45" i="30"/>
  <c r="J45" i="30"/>
  <c r="AO44" i="30"/>
  <c r="AN44" i="30"/>
  <c r="AM44" i="30"/>
  <c r="AL44" i="30"/>
  <c r="AK44" i="30"/>
  <c r="AJ44" i="30"/>
  <c r="N44" i="30"/>
  <c r="M44" i="30"/>
  <c r="L44" i="30"/>
  <c r="K44" i="30"/>
  <c r="J44" i="30"/>
  <c r="AO43" i="30"/>
  <c r="AN43" i="30"/>
  <c r="AM43" i="30"/>
  <c r="AL43" i="30"/>
  <c r="AK43" i="30"/>
  <c r="AJ43" i="30"/>
  <c r="N43" i="30"/>
  <c r="L43" i="30"/>
  <c r="K43" i="30"/>
  <c r="J43" i="30"/>
  <c r="M43" i="30" s="1"/>
  <c r="AO42" i="30"/>
  <c r="AN42" i="30"/>
  <c r="AM42" i="30"/>
  <c r="AL42" i="30"/>
  <c r="AK42" i="30"/>
  <c r="AJ42" i="30"/>
  <c r="J42" i="30"/>
  <c r="M42" i="30" s="1"/>
  <c r="AO41" i="30"/>
  <c r="AN41" i="30"/>
  <c r="AM41" i="30"/>
  <c r="AL41" i="30"/>
  <c r="AK41" i="30"/>
  <c r="AJ41" i="30"/>
  <c r="N41" i="30"/>
  <c r="M41" i="30"/>
  <c r="L41" i="30"/>
  <c r="J41" i="30"/>
  <c r="K41" i="30" s="1"/>
  <c r="M40" i="30"/>
  <c r="L40" i="30"/>
  <c r="K40" i="30"/>
  <c r="J40" i="30"/>
  <c r="N40" i="30" s="1"/>
  <c r="J39" i="30"/>
  <c r="N38" i="30"/>
  <c r="L38" i="30"/>
  <c r="K38" i="30"/>
  <c r="J38" i="30"/>
  <c r="M38" i="30" s="1"/>
  <c r="J37" i="30"/>
  <c r="N36" i="30"/>
  <c r="L36" i="30"/>
  <c r="K36" i="30"/>
  <c r="J36" i="30"/>
  <c r="M36" i="30" s="1"/>
  <c r="AO35" i="30"/>
  <c r="AN35" i="30"/>
  <c r="AM35" i="30"/>
  <c r="AL35" i="30"/>
  <c r="AK35" i="30"/>
  <c r="AJ35" i="30"/>
  <c r="N35" i="30"/>
  <c r="M35" i="30"/>
  <c r="J35" i="30"/>
  <c r="AO34" i="30"/>
  <c r="AN34" i="30"/>
  <c r="AM34" i="30"/>
  <c r="AL34" i="30"/>
  <c r="AK34" i="30"/>
  <c r="AJ34" i="30"/>
  <c r="J34" i="30"/>
  <c r="M34" i="30" s="1"/>
  <c r="AO33" i="30"/>
  <c r="AN33" i="30"/>
  <c r="AM33" i="30"/>
  <c r="AL33" i="30"/>
  <c r="AK33" i="30"/>
  <c r="AJ33" i="30"/>
  <c r="N33" i="30"/>
  <c r="M33" i="30"/>
  <c r="L33" i="30"/>
  <c r="J33" i="30"/>
  <c r="K33" i="30" s="1"/>
  <c r="AO32" i="30"/>
  <c r="AN32" i="30"/>
  <c r="AM32" i="30"/>
  <c r="AL32" i="30"/>
  <c r="AK32" i="30"/>
  <c r="AJ32" i="30"/>
  <c r="J32" i="30"/>
  <c r="K32" i="30" s="1"/>
  <c r="AO31" i="30"/>
  <c r="AN31" i="30"/>
  <c r="AM31" i="30"/>
  <c r="AL31" i="30"/>
  <c r="AK31" i="30"/>
  <c r="AJ31" i="30"/>
  <c r="N31" i="30"/>
  <c r="M31" i="30"/>
  <c r="L31" i="30"/>
  <c r="J31" i="30"/>
  <c r="K31" i="30" s="1"/>
  <c r="AO30" i="30"/>
  <c r="AN30" i="30"/>
  <c r="AM30" i="30"/>
  <c r="AL30" i="30"/>
  <c r="AK30" i="30"/>
  <c r="AJ30" i="30"/>
  <c r="M30" i="30"/>
  <c r="K30" i="30"/>
  <c r="J30" i="30"/>
  <c r="AO29" i="30"/>
  <c r="AN29" i="30"/>
  <c r="AM29" i="30"/>
  <c r="AL29" i="30"/>
  <c r="AK29" i="30"/>
  <c r="AJ29" i="30"/>
  <c r="N29" i="30"/>
  <c r="M29" i="30"/>
  <c r="L29" i="30"/>
  <c r="K29" i="30"/>
  <c r="J29" i="30"/>
  <c r="AO28" i="30"/>
  <c r="AN28" i="30"/>
  <c r="AM28" i="30"/>
  <c r="AL28" i="30"/>
  <c r="AK28" i="30"/>
  <c r="AJ28" i="30"/>
  <c r="L28" i="30"/>
  <c r="J28" i="30"/>
  <c r="AO27" i="30"/>
  <c r="AN27" i="30"/>
  <c r="AM27" i="30"/>
  <c r="AL27" i="30"/>
  <c r="AK27" i="30"/>
  <c r="AJ27" i="30"/>
  <c r="N27" i="30"/>
  <c r="M27" i="30"/>
  <c r="L27" i="30"/>
  <c r="K27" i="30"/>
  <c r="J27" i="30"/>
  <c r="AO26" i="30"/>
  <c r="AN26" i="30"/>
  <c r="AM26" i="30"/>
  <c r="AL26" i="30"/>
  <c r="AK26" i="30"/>
  <c r="AJ26" i="30"/>
  <c r="L26" i="30"/>
  <c r="J26" i="30"/>
  <c r="AO25" i="30"/>
  <c r="AN25" i="30"/>
  <c r="AM25" i="30"/>
  <c r="AL25" i="30"/>
  <c r="AK25" i="30"/>
  <c r="AJ25" i="30"/>
  <c r="K25" i="30"/>
  <c r="J25" i="30"/>
  <c r="N25" i="30" s="1"/>
  <c r="AO24" i="30"/>
  <c r="AN24" i="30"/>
  <c r="AM24" i="30"/>
  <c r="AL24" i="30"/>
  <c r="AK24" i="30"/>
  <c r="AJ24" i="30"/>
  <c r="N24" i="30"/>
  <c r="L24" i="30"/>
  <c r="K24" i="30"/>
  <c r="J24" i="30"/>
  <c r="M24" i="30" s="1"/>
  <c r="AO23" i="30"/>
  <c r="AN23" i="30"/>
  <c r="AM23" i="30"/>
  <c r="AL23" i="30"/>
  <c r="AK23" i="30"/>
  <c r="AJ23" i="30"/>
  <c r="M23" i="30"/>
  <c r="L23" i="30"/>
  <c r="K23" i="30"/>
  <c r="J23" i="30"/>
  <c r="N23" i="30" s="1"/>
  <c r="AO22" i="30"/>
  <c r="AN22" i="30"/>
  <c r="AM22" i="30"/>
  <c r="AM36" i="30" s="1"/>
  <c r="AL22" i="30"/>
  <c r="AK22" i="30"/>
  <c r="AJ22" i="30"/>
  <c r="N22" i="30"/>
  <c r="L22" i="30"/>
  <c r="K22" i="30"/>
  <c r="J22" i="30"/>
  <c r="M22" i="30" s="1"/>
  <c r="AO21" i="30"/>
  <c r="AN21" i="30"/>
  <c r="AM21" i="30"/>
  <c r="AL21" i="30"/>
  <c r="AK21" i="30"/>
  <c r="AJ21" i="30"/>
  <c r="N21" i="30"/>
  <c r="L21" i="30"/>
  <c r="K21" i="30"/>
  <c r="J21" i="30"/>
  <c r="M21" i="30" s="1"/>
  <c r="AO20" i="30"/>
  <c r="AN20" i="30"/>
  <c r="AM20" i="30"/>
  <c r="AL20" i="30"/>
  <c r="AK20" i="30"/>
  <c r="AJ20" i="30"/>
  <c r="N20" i="30"/>
  <c r="M20" i="30"/>
  <c r="J20" i="30"/>
  <c r="AO19" i="30"/>
  <c r="AN19" i="30"/>
  <c r="AN36" i="30" s="1"/>
  <c r="AM19" i="30"/>
  <c r="AL19" i="30"/>
  <c r="AK19" i="30"/>
  <c r="AJ19" i="30"/>
  <c r="J19" i="30"/>
  <c r="M19" i="30" s="1"/>
  <c r="AO18" i="30"/>
  <c r="AN18" i="30"/>
  <c r="AM18" i="30"/>
  <c r="AL18" i="30"/>
  <c r="AK18" i="30"/>
  <c r="AJ18" i="30"/>
  <c r="J18" i="30"/>
  <c r="M17" i="30"/>
  <c r="L17" i="30"/>
  <c r="K17" i="30"/>
  <c r="J17" i="30"/>
  <c r="N17" i="30" s="1"/>
  <c r="K16" i="30"/>
  <c r="J16" i="30"/>
  <c r="N15" i="30"/>
  <c r="L15" i="30"/>
  <c r="K15" i="30"/>
  <c r="J15" i="30"/>
  <c r="M15" i="30" s="1"/>
  <c r="M14" i="30"/>
  <c r="J14" i="30"/>
  <c r="J13" i="30"/>
  <c r="AO12" i="30"/>
  <c r="AN12" i="30"/>
  <c r="AM12" i="30"/>
  <c r="AL12" i="30"/>
  <c r="AK12" i="30"/>
  <c r="AJ12" i="30"/>
  <c r="N12" i="30"/>
  <c r="M12" i="30"/>
  <c r="L12" i="30"/>
  <c r="J12" i="30"/>
  <c r="K12" i="30" s="1"/>
  <c r="AO11" i="30"/>
  <c r="AN11" i="30"/>
  <c r="AM11" i="30"/>
  <c r="AL11" i="30"/>
  <c r="AK11" i="30"/>
  <c r="AJ11" i="30"/>
  <c r="J11" i="30"/>
  <c r="AO10" i="30"/>
  <c r="AN10" i="30"/>
  <c r="AM10" i="30"/>
  <c r="AL10" i="30"/>
  <c r="AK10" i="30"/>
  <c r="AJ10" i="30"/>
  <c r="N10" i="30"/>
  <c r="L10" i="30"/>
  <c r="K10" i="30"/>
  <c r="J10" i="30"/>
  <c r="M10" i="30" s="1"/>
  <c r="AO9" i="30"/>
  <c r="AN9" i="30"/>
  <c r="AM9" i="30"/>
  <c r="AL9" i="30"/>
  <c r="AK9" i="30"/>
  <c r="AJ9" i="30"/>
  <c r="N9" i="30"/>
  <c r="M9" i="30"/>
  <c r="J9" i="30"/>
  <c r="AO8" i="30"/>
  <c r="AN8" i="30"/>
  <c r="AM8" i="30"/>
  <c r="AL8" i="30"/>
  <c r="AK8" i="30"/>
  <c r="AJ8" i="30"/>
  <c r="N8" i="30"/>
  <c r="M8" i="30"/>
  <c r="L8" i="30"/>
  <c r="J8" i="30"/>
  <c r="K8" i="30" s="1"/>
  <c r="AO7" i="30"/>
  <c r="AN7" i="30"/>
  <c r="AM7" i="30"/>
  <c r="AL7" i="30"/>
  <c r="AK7" i="30"/>
  <c r="AJ7" i="30"/>
  <c r="N7" i="30"/>
  <c r="M7" i="30"/>
  <c r="L7" i="30"/>
  <c r="K7" i="30"/>
  <c r="J7" i="30"/>
  <c r="AO6" i="30"/>
  <c r="AN6" i="30"/>
  <c r="AN13" i="30" s="1"/>
  <c r="AM6" i="30"/>
  <c r="AL6" i="30"/>
  <c r="AL13" i="30" s="1"/>
  <c r="AK6" i="30"/>
  <c r="AJ6" i="30"/>
  <c r="J6" i="30"/>
  <c r="AO5" i="30"/>
  <c r="AN5" i="30"/>
  <c r="AM5" i="30"/>
  <c r="AL5" i="30"/>
  <c r="AK5" i="30"/>
  <c r="AJ5" i="30"/>
  <c r="N5" i="30"/>
  <c r="L5" i="30"/>
  <c r="K5" i="30"/>
  <c r="J5" i="30"/>
  <c r="M5" i="30" s="1"/>
  <c r="M4" i="30"/>
  <c r="L4" i="30"/>
  <c r="K4" i="30"/>
  <c r="J4" i="30"/>
  <c r="N4" i="30" s="1"/>
  <c r="L3" i="30"/>
  <c r="J3" i="30"/>
  <c r="N2" i="30"/>
  <c r="M2" i="30"/>
  <c r="L2" i="30"/>
  <c r="J2" i="30"/>
  <c r="K2" i="30" s="1"/>
  <c r="K57" i="50"/>
  <c r="J57" i="50"/>
  <c r="I159" i="42"/>
  <c r="E156" i="42"/>
  <c r="D156" i="42"/>
  <c r="C156" i="42"/>
  <c r="B156" i="42"/>
  <c r="A156" i="42"/>
  <c r="E155" i="42"/>
  <c r="D155" i="42"/>
  <c r="C155" i="42"/>
  <c r="B155" i="42"/>
  <c r="A155" i="42"/>
  <c r="E154" i="42"/>
  <c r="D154" i="42"/>
  <c r="C154" i="42"/>
  <c r="B154" i="42"/>
  <c r="A154" i="42"/>
  <c r="G154" i="42" s="1"/>
  <c r="E153" i="42"/>
  <c r="D153" i="42"/>
  <c r="C153" i="42"/>
  <c r="B153" i="42"/>
  <c r="A153" i="42"/>
  <c r="G153" i="42" s="1"/>
  <c r="E152" i="42"/>
  <c r="D152" i="42"/>
  <c r="C152" i="42"/>
  <c r="B152" i="42"/>
  <c r="A152" i="42"/>
  <c r="G152" i="42" s="1"/>
  <c r="E151" i="42"/>
  <c r="D151" i="42"/>
  <c r="C151" i="42"/>
  <c r="B151" i="42"/>
  <c r="A151" i="42"/>
  <c r="G151" i="42" s="1"/>
  <c r="E150" i="42"/>
  <c r="D150" i="42"/>
  <c r="C150" i="42"/>
  <c r="B150" i="42"/>
  <c r="H150" i="42" s="1"/>
  <c r="A150" i="42"/>
  <c r="E149" i="42"/>
  <c r="D149" i="42"/>
  <c r="C149" i="42"/>
  <c r="B149" i="42"/>
  <c r="H149" i="42" s="1"/>
  <c r="A149" i="42"/>
  <c r="G149" i="42" s="1"/>
  <c r="E148" i="42"/>
  <c r="D148" i="42"/>
  <c r="C148" i="42"/>
  <c r="B148" i="42"/>
  <c r="A148" i="42"/>
  <c r="E147" i="42"/>
  <c r="D147" i="42"/>
  <c r="C147" i="42"/>
  <c r="B147" i="42"/>
  <c r="A147" i="42"/>
  <c r="E146" i="42"/>
  <c r="D146" i="42"/>
  <c r="C146" i="42"/>
  <c r="B146" i="42"/>
  <c r="A146" i="42"/>
  <c r="H145" i="42"/>
  <c r="G145" i="42"/>
  <c r="H144" i="42"/>
  <c r="A144" i="42"/>
  <c r="G144" i="42" s="1"/>
  <c r="H143" i="42"/>
  <c r="G143" i="42"/>
  <c r="G141" i="42"/>
  <c r="G140" i="42"/>
  <c r="E139" i="42"/>
  <c r="D139" i="42"/>
  <c r="C139" i="42"/>
  <c r="B139" i="42"/>
  <c r="A139" i="42"/>
  <c r="E138" i="42"/>
  <c r="D138" i="42"/>
  <c r="C138" i="42"/>
  <c r="B138" i="42"/>
  <c r="H138" i="42" s="1"/>
  <c r="A138" i="42"/>
  <c r="G138" i="42" s="1"/>
  <c r="E137" i="42"/>
  <c r="D137" i="42"/>
  <c r="C137" i="42"/>
  <c r="B137" i="42"/>
  <c r="A137" i="42"/>
  <c r="G137" i="42" s="1"/>
  <c r="E136" i="42"/>
  <c r="D136" i="42"/>
  <c r="C136" i="42"/>
  <c r="B136" i="42"/>
  <c r="A136" i="42"/>
  <c r="E135" i="42"/>
  <c r="D135" i="42"/>
  <c r="C135" i="42"/>
  <c r="H135" i="42" s="1"/>
  <c r="B135" i="42"/>
  <c r="A135" i="42"/>
  <c r="G135" i="42" s="1"/>
  <c r="E134" i="42"/>
  <c r="D134" i="42"/>
  <c r="C134" i="42"/>
  <c r="B134" i="42"/>
  <c r="A134" i="42"/>
  <c r="E133" i="42"/>
  <c r="D133" i="42"/>
  <c r="C133" i="42"/>
  <c r="B133" i="42"/>
  <c r="H133" i="42" s="1"/>
  <c r="A133" i="42"/>
  <c r="G133" i="42" s="1"/>
  <c r="H132" i="42"/>
  <c r="G132" i="42"/>
  <c r="H131" i="42"/>
  <c r="A131" i="42"/>
  <c r="N43" i="42" s="1"/>
  <c r="H130" i="42"/>
  <c r="G130" i="42"/>
  <c r="H129" i="42"/>
  <c r="G129" i="42"/>
  <c r="G128" i="42"/>
  <c r="G127" i="42"/>
  <c r="E126" i="42"/>
  <c r="D126" i="42"/>
  <c r="C126" i="42"/>
  <c r="B126" i="42"/>
  <c r="A126" i="42"/>
  <c r="G126" i="42" s="1"/>
  <c r="E125" i="42"/>
  <c r="D125" i="42"/>
  <c r="C125" i="42"/>
  <c r="B125" i="42"/>
  <c r="H125" i="42" s="1"/>
  <c r="A125" i="42"/>
  <c r="G124" i="42"/>
  <c r="E124" i="42"/>
  <c r="D124" i="42"/>
  <c r="C124" i="42"/>
  <c r="B124" i="42"/>
  <c r="H124" i="42" s="1"/>
  <c r="A124" i="42"/>
  <c r="E123" i="42"/>
  <c r="D123" i="42"/>
  <c r="C123" i="42"/>
  <c r="B123" i="42"/>
  <c r="A123" i="42"/>
  <c r="E122" i="42"/>
  <c r="D122" i="42"/>
  <c r="C122" i="42"/>
  <c r="B122" i="42"/>
  <c r="H122" i="42" s="1"/>
  <c r="A122" i="42"/>
  <c r="E121" i="42"/>
  <c r="D121" i="42"/>
  <c r="C121" i="42"/>
  <c r="B121" i="42"/>
  <c r="A121" i="42"/>
  <c r="G121" i="42" s="1"/>
  <c r="E120" i="42"/>
  <c r="D120" i="42"/>
  <c r="C120" i="42"/>
  <c r="B120" i="42"/>
  <c r="A120" i="42"/>
  <c r="E119" i="42"/>
  <c r="D119" i="42"/>
  <c r="C119" i="42"/>
  <c r="B119" i="42"/>
  <c r="A119" i="42"/>
  <c r="E118" i="42"/>
  <c r="D118" i="42"/>
  <c r="C118" i="42"/>
  <c r="B118" i="42"/>
  <c r="A118" i="42"/>
  <c r="G118" i="42" s="1"/>
  <c r="H117" i="42"/>
  <c r="G117" i="42"/>
  <c r="H116" i="42"/>
  <c r="A116" i="42"/>
  <c r="G116" i="42" s="1"/>
  <c r="H115" i="42"/>
  <c r="G115" i="42"/>
  <c r="G113" i="42"/>
  <c r="G112" i="42"/>
  <c r="E111" i="42"/>
  <c r="D111" i="42"/>
  <c r="C111" i="42"/>
  <c r="B111" i="42"/>
  <c r="H111" i="42" s="1"/>
  <c r="A111" i="42"/>
  <c r="G111" i="42" s="1"/>
  <c r="E110" i="42"/>
  <c r="D110" i="42"/>
  <c r="C110" i="42"/>
  <c r="B110" i="42"/>
  <c r="A110" i="42"/>
  <c r="G110" i="42" s="1"/>
  <c r="E109" i="42"/>
  <c r="D109" i="42"/>
  <c r="C109" i="42"/>
  <c r="B109" i="42"/>
  <c r="H109" i="42" s="1"/>
  <c r="A109" i="42"/>
  <c r="E108" i="42"/>
  <c r="D108" i="42"/>
  <c r="C108" i="42"/>
  <c r="B108" i="42"/>
  <c r="A108" i="42"/>
  <c r="E107" i="42"/>
  <c r="D107" i="42"/>
  <c r="C107" i="42"/>
  <c r="B107" i="42"/>
  <c r="A107" i="42"/>
  <c r="E106" i="42"/>
  <c r="D106" i="42"/>
  <c r="C106" i="42"/>
  <c r="B106" i="42"/>
  <c r="A106" i="42"/>
  <c r="E105" i="42"/>
  <c r="D105" i="42"/>
  <c r="C105" i="42"/>
  <c r="B105" i="42"/>
  <c r="A105" i="42"/>
  <c r="G105" i="42" s="1"/>
  <c r="E104" i="42"/>
  <c r="D104" i="42"/>
  <c r="C104" i="42"/>
  <c r="B104" i="42"/>
  <c r="A104" i="42"/>
  <c r="E103" i="42"/>
  <c r="D103" i="42"/>
  <c r="C103" i="42"/>
  <c r="B103" i="42"/>
  <c r="A103" i="42"/>
  <c r="G103" i="42" s="1"/>
  <c r="E102" i="42"/>
  <c r="D102" i="42"/>
  <c r="C102" i="42"/>
  <c r="B102" i="42"/>
  <c r="A102" i="42"/>
  <c r="G102" i="42" s="1"/>
  <c r="E101" i="42"/>
  <c r="D101" i="42"/>
  <c r="C101" i="42"/>
  <c r="B101" i="42"/>
  <c r="H101" i="42" s="1"/>
  <c r="A101" i="42"/>
  <c r="E100" i="42"/>
  <c r="D100" i="42"/>
  <c r="C100" i="42"/>
  <c r="B100" i="42"/>
  <c r="A100" i="42"/>
  <c r="G100" i="42" s="1"/>
  <c r="E99" i="42"/>
  <c r="D99" i="42"/>
  <c r="C99" i="42"/>
  <c r="B99" i="42"/>
  <c r="A99" i="42"/>
  <c r="E98" i="42"/>
  <c r="D98" i="42"/>
  <c r="C98" i="42"/>
  <c r="B98" i="42"/>
  <c r="A98" i="42"/>
  <c r="E97" i="42"/>
  <c r="D97" i="42"/>
  <c r="C97" i="42"/>
  <c r="B97" i="42"/>
  <c r="A97" i="42"/>
  <c r="E96" i="42"/>
  <c r="D96" i="42"/>
  <c r="C96" i="42"/>
  <c r="B96" i="42"/>
  <c r="A96" i="42"/>
  <c r="E95" i="42"/>
  <c r="D95" i="42"/>
  <c r="C95" i="42"/>
  <c r="B95" i="42"/>
  <c r="A95" i="42"/>
  <c r="E94" i="42"/>
  <c r="D94" i="42"/>
  <c r="C94" i="42"/>
  <c r="B94" i="42"/>
  <c r="A94" i="42"/>
  <c r="H93" i="42"/>
  <c r="G93" i="42"/>
  <c r="H92" i="42"/>
  <c r="A92" i="42"/>
  <c r="G92" i="42" s="1"/>
  <c r="G90" i="42"/>
  <c r="G89" i="42"/>
  <c r="E88" i="42"/>
  <c r="D88" i="42"/>
  <c r="C88" i="42"/>
  <c r="B88" i="42"/>
  <c r="H88" i="42" s="1"/>
  <c r="A88" i="42"/>
  <c r="G88" i="42" s="1"/>
  <c r="E87" i="42"/>
  <c r="D87" i="42"/>
  <c r="C87" i="42"/>
  <c r="H87" i="42" s="1"/>
  <c r="B87" i="42"/>
  <c r="A87" i="42"/>
  <c r="F87" i="42" s="1"/>
  <c r="E86" i="42"/>
  <c r="D86" i="42"/>
  <c r="C86" i="42"/>
  <c r="B86" i="42"/>
  <c r="H86" i="42" s="1"/>
  <c r="A86" i="42"/>
  <c r="F86" i="42" s="1"/>
  <c r="E85" i="42"/>
  <c r="D85" i="42"/>
  <c r="C85" i="42"/>
  <c r="B85" i="42"/>
  <c r="A85" i="42"/>
  <c r="G85" i="42" s="1"/>
  <c r="E84" i="42"/>
  <c r="D84" i="42"/>
  <c r="C84" i="42"/>
  <c r="B84" i="42"/>
  <c r="H84" i="42" s="1"/>
  <c r="A84" i="42"/>
  <c r="F84" i="42" s="1"/>
  <c r="E83" i="42"/>
  <c r="D83" i="42"/>
  <c r="C83" i="42"/>
  <c r="B83" i="42"/>
  <c r="A83" i="42"/>
  <c r="G83" i="42" s="1"/>
  <c r="E82" i="42"/>
  <c r="D82" i="42"/>
  <c r="C82" i="42"/>
  <c r="B82" i="42"/>
  <c r="A82" i="42"/>
  <c r="G82" i="42" s="1"/>
  <c r="E81" i="42"/>
  <c r="D81" i="42"/>
  <c r="C81" i="42"/>
  <c r="B81" i="42"/>
  <c r="A81" i="42"/>
  <c r="F81" i="42" s="1"/>
  <c r="E80" i="42"/>
  <c r="D80" i="42"/>
  <c r="C80" i="42"/>
  <c r="B80" i="42"/>
  <c r="A80" i="42"/>
  <c r="G80" i="42" s="1"/>
  <c r="E79" i="42"/>
  <c r="D79" i="42"/>
  <c r="C79" i="42"/>
  <c r="H79" i="42" s="1"/>
  <c r="B79" i="42"/>
  <c r="A79" i="42"/>
  <c r="G79" i="42" s="1"/>
  <c r="E78" i="42"/>
  <c r="D78" i="42"/>
  <c r="C78" i="42"/>
  <c r="B78" i="42"/>
  <c r="A78" i="42"/>
  <c r="F78" i="42" s="1"/>
  <c r="E77" i="42"/>
  <c r="D77" i="42"/>
  <c r="C77" i="42"/>
  <c r="B77" i="42"/>
  <c r="A77" i="42"/>
  <c r="G77" i="42" s="1"/>
  <c r="E76" i="42"/>
  <c r="D76" i="42"/>
  <c r="C76" i="42"/>
  <c r="B76" i="42"/>
  <c r="A76" i="42"/>
  <c r="F76" i="42" s="1"/>
  <c r="E75" i="42"/>
  <c r="D75" i="42"/>
  <c r="C75" i="42"/>
  <c r="B75" i="42"/>
  <c r="H75" i="42" s="1"/>
  <c r="A75" i="42"/>
  <c r="F75" i="42" s="1"/>
  <c r="E74" i="42"/>
  <c r="D74" i="42"/>
  <c r="C74" i="42"/>
  <c r="B74" i="42"/>
  <c r="A74" i="42"/>
  <c r="F74" i="42" s="1"/>
  <c r="E73" i="42"/>
  <c r="D73" i="42"/>
  <c r="C73" i="42"/>
  <c r="B73" i="42"/>
  <c r="A73" i="42"/>
  <c r="F73" i="42" s="1"/>
  <c r="E72" i="42"/>
  <c r="D72" i="42"/>
  <c r="C72" i="42"/>
  <c r="B72" i="42"/>
  <c r="A72" i="42"/>
  <c r="G72" i="42" s="1"/>
  <c r="E71" i="42"/>
  <c r="D71" i="42"/>
  <c r="C71" i="42"/>
  <c r="H71" i="42" s="1"/>
  <c r="B71" i="42"/>
  <c r="A71" i="42"/>
  <c r="F71" i="42" s="1"/>
  <c r="H70" i="42"/>
  <c r="G70" i="42"/>
  <c r="H69" i="42"/>
  <c r="G69" i="42"/>
  <c r="A69" i="42"/>
  <c r="G68" i="42"/>
  <c r="G67" i="42"/>
  <c r="G66" i="42"/>
  <c r="E65" i="42"/>
  <c r="D65" i="42"/>
  <c r="C65" i="42"/>
  <c r="B65" i="42"/>
  <c r="H65" i="42" s="1"/>
  <c r="A65" i="42"/>
  <c r="F65" i="42" s="1"/>
  <c r="E64" i="42"/>
  <c r="D64" i="42"/>
  <c r="C64" i="42"/>
  <c r="B64" i="42"/>
  <c r="A64" i="42"/>
  <c r="G64" i="42" s="1"/>
  <c r="E63" i="42"/>
  <c r="D63" i="42"/>
  <c r="C63" i="42"/>
  <c r="B63" i="42"/>
  <c r="H63" i="42" s="1"/>
  <c r="A63" i="42"/>
  <c r="F63" i="42" s="1"/>
  <c r="E62" i="42"/>
  <c r="D62" i="42"/>
  <c r="C62" i="42"/>
  <c r="B62" i="42"/>
  <c r="A62" i="42"/>
  <c r="F62" i="42" s="1"/>
  <c r="E61" i="42"/>
  <c r="D61" i="42"/>
  <c r="C61" i="42"/>
  <c r="B61" i="42"/>
  <c r="A61" i="42"/>
  <c r="G61" i="42" s="1"/>
  <c r="G60" i="42"/>
  <c r="E60" i="42"/>
  <c r="D60" i="42"/>
  <c r="C60" i="42"/>
  <c r="B60" i="42"/>
  <c r="H60" i="42" s="1"/>
  <c r="A60" i="42"/>
  <c r="F60" i="42" s="1"/>
  <c r="E59" i="42"/>
  <c r="D59" i="42"/>
  <c r="C59" i="42"/>
  <c r="B59" i="42"/>
  <c r="H59" i="42" s="1"/>
  <c r="A59" i="42"/>
  <c r="G59" i="42" s="1"/>
  <c r="E58" i="42"/>
  <c r="D58" i="42"/>
  <c r="C58" i="42"/>
  <c r="B58" i="42"/>
  <c r="A58" i="42"/>
  <c r="F58" i="42" s="1"/>
  <c r="E57" i="42"/>
  <c r="D57" i="42"/>
  <c r="C57" i="42"/>
  <c r="H57" i="42" s="1"/>
  <c r="B57" i="42"/>
  <c r="A57" i="42"/>
  <c r="F57" i="42" s="1"/>
  <c r="E56" i="42"/>
  <c r="D56" i="42"/>
  <c r="C56" i="42"/>
  <c r="B56" i="42"/>
  <c r="H56" i="42" s="1"/>
  <c r="A56" i="42"/>
  <c r="G56" i="42" s="1"/>
  <c r="E55" i="42"/>
  <c r="D55" i="42"/>
  <c r="C55" i="42"/>
  <c r="B55" i="42"/>
  <c r="A55" i="42"/>
  <c r="F55" i="42" s="1"/>
  <c r="E54" i="42"/>
  <c r="D54" i="42"/>
  <c r="C54" i="42"/>
  <c r="B54" i="42"/>
  <c r="H54" i="42" s="1"/>
  <c r="A54" i="42"/>
  <c r="F54" i="42" s="1"/>
  <c r="E53" i="42"/>
  <c r="D53" i="42"/>
  <c r="C53" i="42"/>
  <c r="B53" i="42"/>
  <c r="A53" i="42"/>
  <c r="F53" i="42" s="1"/>
  <c r="E52" i="42"/>
  <c r="D52" i="42"/>
  <c r="C52" i="42"/>
  <c r="B52" i="42"/>
  <c r="A52" i="42"/>
  <c r="F52" i="42" s="1"/>
  <c r="E51" i="42"/>
  <c r="D51" i="42"/>
  <c r="C51" i="42"/>
  <c r="B51" i="42"/>
  <c r="A51" i="42"/>
  <c r="F51" i="42" s="1"/>
  <c r="E50" i="42"/>
  <c r="D50" i="42"/>
  <c r="C50" i="42"/>
  <c r="B50" i="42"/>
  <c r="A50" i="42"/>
  <c r="F50" i="42" s="1"/>
  <c r="E49" i="42"/>
  <c r="D49" i="42"/>
  <c r="C49" i="42"/>
  <c r="B49" i="42"/>
  <c r="A49" i="42"/>
  <c r="F49" i="42" s="1"/>
  <c r="E48" i="42"/>
  <c r="D48" i="42"/>
  <c r="C48" i="42"/>
  <c r="B48" i="42"/>
  <c r="A48" i="42"/>
  <c r="F48" i="42" s="1"/>
  <c r="H47" i="42"/>
  <c r="G47" i="42"/>
  <c r="A46" i="42"/>
  <c r="F46" i="42" s="1"/>
  <c r="G45" i="42"/>
  <c r="E44" i="42"/>
  <c r="D44" i="42"/>
  <c r="C44" i="42"/>
  <c r="B44" i="42"/>
  <c r="A44" i="42"/>
  <c r="F44" i="42" s="1"/>
  <c r="G43" i="42"/>
  <c r="G42" i="42"/>
  <c r="E41" i="42"/>
  <c r="D41" i="42"/>
  <c r="C41" i="42"/>
  <c r="B41" i="42"/>
  <c r="A41" i="42"/>
  <c r="F41" i="42" s="1"/>
  <c r="E40" i="42"/>
  <c r="D40" i="42"/>
  <c r="C40" i="42"/>
  <c r="B40" i="42"/>
  <c r="H40" i="42" s="1"/>
  <c r="A40" i="42"/>
  <c r="F40" i="42" s="1"/>
  <c r="E39" i="42"/>
  <c r="D39" i="42"/>
  <c r="C39" i="42"/>
  <c r="B39" i="42"/>
  <c r="H39" i="42" s="1"/>
  <c r="A39" i="42"/>
  <c r="F39" i="42" s="1"/>
  <c r="E38" i="42"/>
  <c r="D38" i="42"/>
  <c r="C38" i="42"/>
  <c r="B38" i="42"/>
  <c r="A38" i="42"/>
  <c r="G38" i="42" s="1"/>
  <c r="N37" i="42"/>
  <c r="E37" i="42"/>
  <c r="D37" i="42"/>
  <c r="C37" i="42"/>
  <c r="B37" i="42"/>
  <c r="A37" i="42"/>
  <c r="F37" i="42" s="1"/>
  <c r="E36" i="42"/>
  <c r="D36" i="42"/>
  <c r="C36" i="42"/>
  <c r="H36" i="42" s="1"/>
  <c r="B36" i="42"/>
  <c r="A36" i="42"/>
  <c r="F36" i="42" s="1"/>
  <c r="E35" i="42"/>
  <c r="D35" i="42"/>
  <c r="C35" i="42"/>
  <c r="B35" i="42"/>
  <c r="H35" i="42" s="1"/>
  <c r="A35" i="42"/>
  <c r="F35" i="42" s="1"/>
  <c r="E34" i="42"/>
  <c r="D34" i="42"/>
  <c r="C34" i="42"/>
  <c r="B34" i="42"/>
  <c r="A34" i="42"/>
  <c r="F34" i="42" s="1"/>
  <c r="E33" i="42"/>
  <c r="D33" i="42"/>
  <c r="C33" i="42"/>
  <c r="B33" i="42"/>
  <c r="A33" i="42"/>
  <c r="F33" i="42" s="1"/>
  <c r="E32" i="42"/>
  <c r="D32" i="42"/>
  <c r="C32" i="42"/>
  <c r="B32" i="42"/>
  <c r="A32" i="42"/>
  <c r="G32" i="42" s="1"/>
  <c r="E31" i="42"/>
  <c r="D31" i="42"/>
  <c r="C31" i="42"/>
  <c r="B31" i="42"/>
  <c r="H31" i="42" s="1"/>
  <c r="A31" i="42"/>
  <c r="F31" i="42" s="1"/>
  <c r="E30" i="42"/>
  <c r="D30" i="42"/>
  <c r="C30" i="42"/>
  <c r="B30" i="42"/>
  <c r="A30" i="42"/>
  <c r="F30" i="42" s="1"/>
  <c r="H29" i="42"/>
  <c r="G29" i="42"/>
  <c r="G28" i="42"/>
  <c r="E28" i="42"/>
  <c r="D28" i="42"/>
  <c r="C28" i="42"/>
  <c r="B28" i="42"/>
  <c r="A28" i="42"/>
  <c r="F28" i="42" s="1"/>
  <c r="A26" i="42"/>
  <c r="N45" i="42" s="1"/>
  <c r="I20" i="37"/>
  <c r="H20" i="37"/>
  <c r="G20" i="37"/>
  <c r="F20" i="37"/>
  <c r="E20" i="37"/>
  <c r="D20" i="37"/>
  <c r="C20" i="37"/>
  <c r="B20" i="37"/>
  <c r="J47" i="15"/>
  <c r="E47" i="15"/>
  <c r="J46" i="15"/>
  <c r="J45" i="15"/>
  <c r="J44" i="15"/>
  <c r="J43" i="15"/>
  <c r="J42" i="15"/>
  <c r="J41" i="15"/>
  <c r="J40" i="15"/>
  <c r="J39" i="15"/>
  <c r="J38" i="15"/>
  <c r="J37" i="15"/>
  <c r="J36" i="15"/>
  <c r="J35" i="15"/>
  <c r="J34" i="15"/>
  <c r="J33" i="15"/>
  <c r="J32" i="15"/>
  <c r="J31" i="15"/>
  <c r="J30" i="15"/>
  <c r="K30" i="15" s="1"/>
  <c r="I30" i="15"/>
  <c r="R29" i="15"/>
  <c r="K29" i="15"/>
  <c r="J29" i="15"/>
  <c r="I29" i="15"/>
  <c r="K28" i="15"/>
  <c r="M17" i="15" s="1"/>
  <c r="I28" i="15"/>
  <c r="L17" i="15" s="1"/>
  <c r="E28" i="15"/>
  <c r="J27" i="15"/>
  <c r="I27" i="15"/>
  <c r="E27" i="15"/>
  <c r="J26" i="15"/>
  <c r="K26" i="15" s="1"/>
  <c r="I26" i="15"/>
  <c r="E26" i="15"/>
  <c r="D26" i="15"/>
  <c r="I25" i="15"/>
  <c r="E25" i="15"/>
  <c r="J24" i="15"/>
  <c r="I24" i="15"/>
  <c r="E24" i="15"/>
  <c r="J23" i="15"/>
  <c r="I23" i="15"/>
  <c r="L16" i="15" s="1"/>
  <c r="E23" i="15"/>
  <c r="I22" i="15"/>
  <c r="E22" i="15"/>
  <c r="J21" i="15"/>
  <c r="K21" i="15" s="1"/>
  <c r="M15" i="15" s="1"/>
  <c r="I21" i="15"/>
  <c r="L15" i="15" s="1"/>
  <c r="E21" i="15"/>
  <c r="D21" i="15"/>
  <c r="I20" i="15"/>
  <c r="E20" i="15"/>
  <c r="K19" i="15"/>
  <c r="J19" i="15"/>
  <c r="I19" i="15"/>
  <c r="E19" i="15"/>
  <c r="D19" i="15"/>
  <c r="I18" i="15"/>
  <c r="E18" i="15"/>
  <c r="J17" i="15"/>
  <c r="I17" i="15"/>
  <c r="E17" i="15"/>
  <c r="K16" i="15"/>
  <c r="M11" i="15" s="1"/>
  <c r="I16" i="15"/>
  <c r="L11" i="15" s="1"/>
  <c r="E16" i="15"/>
  <c r="I15" i="15"/>
  <c r="E15" i="15"/>
  <c r="L14" i="15"/>
  <c r="I14" i="15"/>
  <c r="E14" i="15"/>
  <c r="M13" i="15"/>
  <c r="L13" i="15"/>
  <c r="I13" i="15"/>
  <c r="E13" i="15"/>
  <c r="L12" i="15"/>
  <c r="J12" i="15"/>
  <c r="K12" i="15" s="1"/>
  <c r="M8" i="15" s="1"/>
  <c r="I12" i="15"/>
  <c r="E12" i="15"/>
  <c r="D12" i="15"/>
  <c r="J11" i="15"/>
  <c r="I11" i="15"/>
  <c r="E11" i="15"/>
  <c r="L10" i="15"/>
  <c r="K10" i="15"/>
  <c r="J10" i="15"/>
  <c r="I10" i="15"/>
  <c r="E10" i="15"/>
  <c r="D10" i="15"/>
  <c r="L9" i="15"/>
  <c r="J9" i="15"/>
  <c r="I9" i="15"/>
  <c r="L7" i="15" s="1"/>
  <c r="E9" i="15"/>
  <c r="D9" i="15"/>
  <c r="L8" i="15"/>
  <c r="I8" i="15"/>
  <c r="L6" i="15" s="1"/>
  <c r="E8" i="15"/>
  <c r="J7" i="15"/>
  <c r="I7" i="15"/>
  <c r="E7" i="15"/>
  <c r="D7" i="15"/>
  <c r="J6" i="15"/>
  <c r="K6" i="15" s="1"/>
  <c r="I6" i="15"/>
  <c r="E6" i="15"/>
  <c r="D6" i="15"/>
  <c r="L5" i="15"/>
  <c r="I5" i="15"/>
  <c r="E5" i="15"/>
  <c r="L4" i="15"/>
  <c r="X3" i="15"/>
  <c r="I105" i="4"/>
  <c r="E105" i="4"/>
  <c r="J105" i="4" s="1"/>
  <c r="J104" i="4"/>
  <c r="I104" i="4"/>
  <c r="E104" i="4"/>
  <c r="I103" i="4"/>
  <c r="E103" i="4"/>
  <c r="J103" i="4" s="1"/>
  <c r="I102" i="4"/>
  <c r="E102" i="4"/>
  <c r="J102" i="4" s="1"/>
  <c r="I101" i="4"/>
  <c r="E101" i="4"/>
  <c r="J100" i="4"/>
  <c r="I100" i="4"/>
  <c r="E100" i="4"/>
  <c r="J99" i="4"/>
  <c r="I99" i="4"/>
  <c r="E99" i="4"/>
  <c r="J98" i="4"/>
  <c r="I98" i="4"/>
  <c r="E98" i="4"/>
  <c r="I97" i="4"/>
  <c r="E97" i="4"/>
  <c r="J97" i="4" s="1"/>
  <c r="I96" i="4"/>
  <c r="E96" i="4"/>
  <c r="J96" i="4" s="1"/>
  <c r="I95" i="4"/>
  <c r="J95" i="4" s="1"/>
  <c r="E95" i="4"/>
  <c r="I94" i="4"/>
  <c r="E94" i="4"/>
  <c r="J94" i="4" s="1"/>
  <c r="I93" i="4"/>
  <c r="E93" i="4"/>
  <c r="J93" i="4" s="1"/>
  <c r="J92" i="4"/>
  <c r="I92" i="4"/>
  <c r="E92" i="4"/>
  <c r="J91" i="4"/>
  <c r="I91" i="4"/>
  <c r="E91" i="4"/>
  <c r="I90" i="4"/>
  <c r="E90" i="4"/>
  <c r="J90" i="4" s="1"/>
  <c r="J89" i="4"/>
  <c r="I89" i="4"/>
  <c r="E89" i="4"/>
  <c r="I88" i="4"/>
  <c r="E88" i="4"/>
  <c r="J88" i="4" s="1"/>
  <c r="E60" i="4"/>
  <c r="E59" i="4"/>
  <c r="P41" i="4"/>
  <c r="N41" i="4"/>
  <c r="BI40" i="4" s="1"/>
  <c r="M41" i="4"/>
  <c r="K41" i="4"/>
  <c r="J41" i="4"/>
  <c r="O41" i="4" s="1"/>
  <c r="BL36" i="4" s="1"/>
  <c r="I41" i="4"/>
  <c r="G41" i="4"/>
  <c r="E41" i="4"/>
  <c r="J28" i="15" s="1"/>
  <c r="P40" i="4"/>
  <c r="BO25" i="4" s="1"/>
  <c r="M40" i="4"/>
  <c r="G156" i="42" s="1"/>
  <c r="K40" i="4"/>
  <c r="J40" i="4"/>
  <c r="I40" i="4"/>
  <c r="N40" i="4" s="1"/>
  <c r="K27" i="15" s="1"/>
  <c r="G40" i="4"/>
  <c r="M39" i="4"/>
  <c r="K39" i="4"/>
  <c r="J39" i="4"/>
  <c r="I39" i="4"/>
  <c r="G39" i="4"/>
  <c r="E39" i="4"/>
  <c r="J25" i="15" s="1"/>
  <c r="BO38" i="4"/>
  <c r="M38" i="4"/>
  <c r="K38" i="4"/>
  <c r="P38" i="4" s="1"/>
  <c r="BO28" i="4" s="1"/>
  <c r="J38" i="4"/>
  <c r="O38" i="4" s="1"/>
  <c r="I38" i="4"/>
  <c r="G38" i="4"/>
  <c r="E38" i="4"/>
  <c r="M37" i="4"/>
  <c r="G107" i="42" s="1"/>
  <c r="K37" i="4"/>
  <c r="J37" i="4"/>
  <c r="I37" i="4"/>
  <c r="N37" i="4" s="1"/>
  <c r="G37" i="4"/>
  <c r="E37" i="4"/>
  <c r="BI36" i="4"/>
  <c r="P36" i="4"/>
  <c r="N36" i="4"/>
  <c r="M36" i="4"/>
  <c r="K36" i="4"/>
  <c r="J36" i="4"/>
  <c r="O36" i="4" s="1"/>
  <c r="I36" i="4"/>
  <c r="G36" i="4"/>
  <c r="E36" i="4"/>
  <c r="J22" i="15" s="1"/>
  <c r="K22" i="15" s="1"/>
  <c r="BI35" i="4"/>
  <c r="P35" i="4"/>
  <c r="BO40" i="4" s="1"/>
  <c r="M35" i="4"/>
  <c r="K35" i="4"/>
  <c r="J35" i="4"/>
  <c r="O35" i="4" s="1"/>
  <c r="BL40" i="4" s="1"/>
  <c r="I35" i="4"/>
  <c r="N35" i="4" s="1"/>
  <c r="BI39" i="4" s="1"/>
  <c r="G35" i="4"/>
  <c r="E35" i="4"/>
  <c r="J20" i="15" s="1"/>
  <c r="K20" i="15" s="1"/>
  <c r="M14" i="15" s="1"/>
  <c r="BF34" i="4"/>
  <c r="BF35" i="4" s="1"/>
  <c r="BF36" i="4" s="1"/>
  <c r="BF37" i="4" s="1"/>
  <c r="BF38" i="4" s="1"/>
  <c r="BF39" i="4" s="1"/>
  <c r="BF40" i="4" s="1"/>
  <c r="BF41" i="4" s="1"/>
  <c r="P34" i="4"/>
  <c r="BO33" i="4" s="1"/>
  <c r="M34" i="4"/>
  <c r="K34" i="4"/>
  <c r="J34" i="4"/>
  <c r="I34" i="4"/>
  <c r="N34" i="4" s="1"/>
  <c r="BI34" i="4" s="1"/>
  <c r="G34" i="4"/>
  <c r="E34" i="4"/>
  <c r="J18" i="15" s="1"/>
  <c r="K18" i="15" s="1"/>
  <c r="M12" i="15" s="1"/>
  <c r="O33" i="4"/>
  <c r="N33" i="4"/>
  <c r="BI25" i="4" s="1"/>
  <c r="M33" i="4"/>
  <c r="K33" i="4"/>
  <c r="P33" i="4" s="1"/>
  <c r="J33" i="4"/>
  <c r="I33" i="4"/>
  <c r="G33" i="4"/>
  <c r="E33" i="4"/>
  <c r="O32" i="4"/>
  <c r="BL34" i="4" s="1"/>
  <c r="N32" i="4"/>
  <c r="M32" i="4"/>
  <c r="G122" i="42" s="1"/>
  <c r="K32" i="4"/>
  <c r="P32" i="4" s="1"/>
  <c r="BO36" i="4" s="1"/>
  <c r="J32" i="4"/>
  <c r="I32" i="4"/>
  <c r="G32" i="4"/>
  <c r="E32" i="4"/>
  <c r="J16" i="15" s="1"/>
  <c r="N31" i="4"/>
  <c r="BI32" i="4" s="1"/>
  <c r="M31" i="4"/>
  <c r="K31" i="4"/>
  <c r="J31" i="4"/>
  <c r="I31" i="4"/>
  <c r="G31" i="4"/>
  <c r="E31" i="4"/>
  <c r="J15" i="15" s="1"/>
  <c r="M30" i="4"/>
  <c r="K30" i="4"/>
  <c r="P30" i="4" s="1"/>
  <c r="BO31" i="4" s="1"/>
  <c r="J30" i="4"/>
  <c r="O30" i="4" s="1"/>
  <c r="BL32" i="4" s="1"/>
  <c r="I30" i="4"/>
  <c r="G30" i="4"/>
  <c r="E30" i="4"/>
  <c r="J14" i="15" s="1"/>
  <c r="BL29" i="4"/>
  <c r="M29" i="4"/>
  <c r="K29" i="4"/>
  <c r="J29" i="4"/>
  <c r="O29" i="4" s="1"/>
  <c r="BL28" i="4" s="1"/>
  <c r="I29" i="4"/>
  <c r="N29" i="4" s="1"/>
  <c r="BI26" i="4" s="1"/>
  <c r="G29" i="4"/>
  <c r="E29" i="4"/>
  <c r="J13" i="15" s="1"/>
  <c r="K13" i="15" s="1"/>
  <c r="N28" i="4"/>
  <c r="BI38" i="4" s="1"/>
  <c r="M28" i="4"/>
  <c r="K28" i="4"/>
  <c r="P28" i="4" s="1"/>
  <c r="BO39" i="4" s="1"/>
  <c r="J28" i="4"/>
  <c r="O28" i="4" s="1"/>
  <c r="BL39" i="4" s="1"/>
  <c r="I28" i="4"/>
  <c r="G28" i="4"/>
  <c r="E28" i="4"/>
  <c r="BL27" i="4"/>
  <c r="BI27" i="4"/>
  <c r="M27" i="4"/>
  <c r="K27" i="4"/>
  <c r="J27" i="4"/>
  <c r="I27" i="4"/>
  <c r="G27" i="4"/>
  <c r="E27" i="4"/>
  <c r="BO26" i="4"/>
  <c r="M26" i="4"/>
  <c r="K26" i="4"/>
  <c r="J26" i="4"/>
  <c r="I26" i="4"/>
  <c r="G26" i="4"/>
  <c r="E26" i="4"/>
  <c r="C26" i="4"/>
  <c r="C27" i="4" s="1"/>
  <c r="C28" i="4" s="1"/>
  <c r="C29" i="4" s="1"/>
  <c r="C30" i="4" s="1"/>
  <c r="C31" i="4" s="1"/>
  <c r="C32" i="4" s="1"/>
  <c r="C33" i="4" s="1"/>
  <c r="C34" i="4" s="1"/>
  <c r="C35" i="4" s="1"/>
  <c r="C36" i="4" s="1"/>
  <c r="C37" i="4" s="1"/>
  <c r="C38" i="4" s="1"/>
  <c r="C39" i="4" s="1"/>
  <c r="C40" i="4" s="1"/>
  <c r="C41" i="4" s="1"/>
  <c r="BM25" i="4"/>
  <c r="BL25" i="4"/>
  <c r="BJ25" i="4"/>
  <c r="BF25" i="4"/>
  <c r="BF26" i="4" s="1"/>
  <c r="BF27" i="4" s="1"/>
  <c r="BF28" i="4" s="1"/>
  <c r="BF29" i="4" s="1"/>
  <c r="BF30" i="4" s="1"/>
  <c r="BF31" i="4" s="1"/>
  <c r="BF32" i="4" s="1"/>
  <c r="BF33" i="4" s="1"/>
  <c r="BE25" i="4"/>
  <c r="BP25" i="4" s="1"/>
  <c r="N25" i="4"/>
  <c r="BI31" i="4" s="1"/>
  <c r="M25" i="4"/>
  <c r="K25" i="4"/>
  <c r="J25" i="4"/>
  <c r="O25" i="4" s="1"/>
  <c r="BL30" i="4" s="1"/>
  <c r="I25" i="4"/>
  <c r="G25" i="4"/>
  <c r="E25" i="4"/>
  <c r="J8" i="15" s="1"/>
  <c r="K8" i="15" s="1"/>
  <c r="M6" i="15" s="1"/>
  <c r="C25" i="4"/>
  <c r="BP24" i="4"/>
  <c r="BO24" i="4"/>
  <c r="BM24" i="4"/>
  <c r="BJ24" i="4"/>
  <c r="M24" i="4"/>
  <c r="I22" i="4" s="1"/>
  <c r="K24" i="4"/>
  <c r="J24" i="4"/>
  <c r="O24" i="4" s="1"/>
  <c r="I24" i="4"/>
  <c r="G24" i="4"/>
  <c r="E24" i="4"/>
  <c r="J5" i="15" s="1"/>
  <c r="H36" i="2"/>
  <c r="G33" i="2"/>
  <c r="J24" i="2"/>
  <c r="I24" i="2"/>
  <c r="H24" i="2"/>
  <c r="G24" i="2"/>
  <c r="D22" i="2"/>
  <c r="E22" i="2" s="1"/>
  <c r="F22" i="2" s="1"/>
  <c r="G22" i="2" s="1"/>
  <c r="H22" i="2" s="1"/>
  <c r="I22" i="2" s="1"/>
  <c r="J22" i="2" s="1"/>
  <c r="C22" i="2"/>
  <c r="B22" i="2"/>
  <c r="Q8" i="16"/>
  <c r="P8" i="16"/>
  <c r="M8" i="16"/>
  <c r="J108" i="4" s="1"/>
  <c r="I108" i="4" s="1"/>
  <c r="L8" i="16"/>
  <c r="E108" i="4" s="1"/>
  <c r="AO33" i="10"/>
  <c r="AL33" i="10"/>
  <c r="AI33" i="10"/>
  <c r="AH33" i="10"/>
  <c r="AJ33" i="10" s="1"/>
  <c r="AE33" i="10"/>
  <c r="AD33" i="10"/>
  <c r="AF33" i="10" s="1"/>
  <c r="T33" i="10"/>
  <c r="P33" i="10"/>
  <c r="R33" i="10" s="1"/>
  <c r="L33" i="10"/>
  <c r="N33" i="10" s="1"/>
  <c r="AO32" i="10"/>
  <c r="AL32" i="10"/>
  <c r="AJ32" i="10"/>
  <c r="AI32" i="10"/>
  <c r="AH32" i="10"/>
  <c r="AF32" i="10"/>
  <c r="AE32" i="10"/>
  <c r="AD32" i="10"/>
  <c r="T32" i="10"/>
  <c r="R32" i="10"/>
  <c r="P32" i="10"/>
  <c r="N32" i="10"/>
  <c r="L32" i="10"/>
  <c r="AL31" i="10"/>
  <c r="AH31" i="10"/>
  <c r="AJ31" i="10" s="1"/>
  <c r="AD31" i="10"/>
  <c r="AF31" i="10" s="1"/>
  <c r="T31" i="10"/>
  <c r="R31" i="10"/>
  <c r="P31" i="10"/>
  <c r="N31" i="10"/>
  <c r="L31" i="10"/>
  <c r="AO30" i="10"/>
  <c r="AL30" i="10"/>
  <c r="AI30" i="10"/>
  <c r="AJ30" i="10" s="1"/>
  <c r="AH30" i="10"/>
  <c r="AE30" i="10"/>
  <c r="AD30" i="10"/>
  <c r="T30" i="10"/>
  <c r="R30" i="10"/>
  <c r="P30" i="10"/>
  <c r="N30" i="10"/>
  <c r="L30" i="10"/>
  <c r="AO29" i="10"/>
  <c r="AL29" i="10"/>
  <c r="AI29" i="10"/>
  <c r="AH29" i="10"/>
  <c r="AJ29" i="10" s="1"/>
  <c r="AF29" i="10"/>
  <c r="AE29" i="10"/>
  <c r="AD29" i="10"/>
  <c r="T29" i="10"/>
  <c r="R29" i="10"/>
  <c r="P29" i="10"/>
  <c r="L29" i="10"/>
  <c r="N29" i="10" s="1"/>
  <c r="AO28" i="10"/>
  <c r="AL28" i="10"/>
  <c r="AI28" i="10"/>
  <c r="AH28" i="10"/>
  <c r="AJ28" i="10" s="1"/>
  <c r="AE28" i="10"/>
  <c r="AD28" i="10"/>
  <c r="AF28" i="10" s="1"/>
  <c r="T28" i="10"/>
  <c r="R28" i="10"/>
  <c r="P28" i="10"/>
  <c r="L28" i="10"/>
  <c r="N28" i="10" s="1"/>
  <c r="AO27" i="10"/>
  <c r="AL27" i="10"/>
  <c r="AI27" i="10"/>
  <c r="AH27" i="10"/>
  <c r="AJ27" i="10" s="1"/>
  <c r="AE27" i="10"/>
  <c r="AD27" i="10"/>
  <c r="AF27" i="10" s="1"/>
  <c r="T27" i="10"/>
  <c r="P27" i="10"/>
  <c r="R27" i="10" s="1"/>
  <c r="L27" i="10"/>
  <c r="N27" i="10" s="1"/>
  <c r="AO26" i="10"/>
  <c r="AL26" i="10"/>
  <c r="AJ26" i="10"/>
  <c r="AI26" i="10"/>
  <c r="AH26" i="10"/>
  <c r="AE26" i="10"/>
  <c r="AD26" i="10"/>
  <c r="AF26" i="10" s="1"/>
  <c r="T26" i="10"/>
  <c r="P26" i="10"/>
  <c r="R26" i="10" s="1"/>
  <c r="L26" i="10"/>
  <c r="N26" i="10" s="1"/>
  <c r="AO25" i="10"/>
  <c r="AL25" i="10"/>
  <c r="AJ25" i="10"/>
  <c r="AI25" i="10"/>
  <c r="AH25" i="10"/>
  <c r="AE25" i="10"/>
  <c r="AD25" i="10"/>
  <c r="AF25" i="10" s="1"/>
  <c r="T25" i="10"/>
  <c r="P25" i="10"/>
  <c r="R25" i="10" s="1"/>
  <c r="N25" i="10"/>
  <c r="L25" i="10"/>
  <c r="AO24" i="10"/>
  <c r="AL24" i="10"/>
  <c r="AJ24" i="10"/>
  <c r="AI24" i="10"/>
  <c r="AH24" i="10"/>
  <c r="AF24" i="10"/>
  <c r="AE24" i="10"/>
  <c r="AD24" i="10"/>
  <c r="T24" i="10"/>
  <c r="P24" i="10"/>
  <c r="R24" i="10" s="1"/>
  <c r="N24" i="10"/>
  <c r="L24" i="10"/>
  <c r="AO23" i="10"/>
  <c r="AL23" i="10"/>
  <c r="AI23" i="10"/>
  <c r="AH23" i="10"/>
  <c r="AJ23" i="10" s="1"/>
  <c r="AE23" i="10"/>
  <c r="AD23" i="10"/>
  <c r="AF23" i="10" s="1"/>
  <c r="T23" i="10"/>
  <c r="R23" i="10"/>
  <c r="P23" i="10"/>
  <c r="N23" i="10"/>
  <c r="L23" i="10"/>
  <c r="AO22" i="10"/>
  <c r="AL22" i="10"/>
  <c r="AJ22" i="10"/>
  <c r="AI22" i="10"/>
  <c r="AH22" i="10"/>
  <c r="AE22" i="10"/>
  <c r="AD22" i="10"/>
  <c r="T22" i="10"/>
  <c r="P22" i="10"/>
  <c r="R22" i="10" s="1"/>
  <c r="N22" i="10"/>
  <c r="L22" i="10"/>
  <c r="AO21" i="10"/>
  <c r="AL21" i="10"/>
  <c r="AI21" i="10"/>
  <c r="AH21" i="10"/>
  <c r="AJ21" i="10" s="1"/>
  <c r="AE21" i="10"/>
  <c r="AF21" i="10" s="1"/>
  <c r="AD21" i="10"/>
  <c r="T21" i="10"/>
  <c r="R21" i="10"/>
  <c r="P21" i="10"/>
  <c r="L21" i="10"/>
  <c r="N21" i="10" s="1"/>
  <c r="AO20" i="10"/>
  <c r="AL20" i="10"/>
  <c r="AI20" i="10"/>
  <c r="AH20" i="10"/>
  <c r="AJ20" i="10" s="1"/>
  <c r="AE20" i="10"/>
  <c r="AD20" i="10"/>
  <c r="AF20" i="10" s="1"/>
  <c r="T20" i="10"/>
  <c r="R20" i="10"/>
  <c r="P20" i="10"/>
  <c r="L20" i="10"/>
  <c r="N20" i="10" s="1"/>
  <c r="AO19" i="10"/>
  <c r="AL19" i="10"/>
  <c r="AH19" i="10"/>
  <c r="AF19" i="10"/>
  <c r="AD19" i="10"/>
  <c r="T19" i="10"/>
  <c r="P19" i="10"/>
  <c r="R19" i="10" s="1"/>
  <c r="L19" i="10"/>
  <c r="N19" i="10" s="1"/>
  <c r="AO18" i="10"/>
  <c r="AL18" i="10"/>
  <c r="AJ18" i="10"/>
  <c r="AI18" i="10"/>
  <c r="AH18" i="10"/>
  <c r="AE18" i="10"/>
  <c r="AD18" i="10"/>
  <c r="AF18" i="10" s="1"/>
  <c r="T18" i="10"/>
  <c r="P18" i="10"/>
  <c r="R18" i="10" s="1"/>
  <c r="N18" i="10"/>
  <c r="L18" i="10"/>
  <c r="AO17" i="10"/>
  <c r="AL17" i="10"/>
  <c r="AI17" i="10"/>
  <c r="AJ17" i="10" s="1"/>
  <c r="AH17" i="10"/>
  <c r="AF17" i="10"/>
  <c r="AE17" i="10"/>
  <c r="AD17" i="10"/>
  <c r="T17" i="10"/>
  <c r="P17" i="10"/>
  <c r="R17" i="10" s="1"/>
  <c r="L17" i="10"/>
  <c r="N17" i="10" s="1"/>
  <c r="AO16" i="10"/>
  <c r="AL16" i="10"/>
  <c r="AI16" i="10"/>
  <c r="AH16" i="10"/>
  <c r="AE16" i="10"/>
  <c r="AD16" i="10"/>
  <c r="AF16" i="10" s="1"/>
  <c r="T16" i="10"/>
  <c r="R16" i="10"/>
  <c r="P16" i="10"/>
  <c r="N16" i="10"/>
  <c r="L16" i="10"/>
  <c r="J271" i="9"/>
  <c r="I271" i="9"/>
  <c r="H271" i="9"/>
  <c r="J270" i="9"/>
  <c r="I270" i="9"/>
  <c r="H270" i="9"/>
  <c r="J269" i="9"/>
  <c r="I269" i="9"/>
  <c r="H269" i="9"/>
  <c r="J268" i="9"/>
  <c r="I268" i="9"/>
  <c r="H268" i="9"/>
  <c r="J267" i="9"/>
  <c r="I267" i="9"/>
  <c r="H267" i="9"/>
  <c r="J266" i="9"/>
  <c r="I266" i="9"/>
  <c r="H266" i="9"/>
  <c r="J265" i="9"/>
  <c r="I265" i="9"/>
  <c r="H265" i="9"/>
  <c r="J264" i="9"/>
  <c r="I264" i="9"/>
  <c r="H264" i="9"/>
  <c r="J263" i="9"/>
  <c r="I263" i="9"/>
  <c r="H263" i="9"/>
  <c r="J262" i="9"/>
  <c r="I262" i="9"/>
  <c r="H262" i="9"/>
  <c r="J261" i="9"/>
  <c r="I261" i="9"/>
  <c r="H261" i="9"/>
  <c r="J260" i="9"/>
  <c r="I260" i="9"/>
  <c r="D28" i="15" s="1"/>
  <c r="H260" i="9"/>
  <c r="J259" i="9"/>
  <c r="I259" i="9"/>
  <c r="H259" i="9"/>
  <c r="J258" i="9"/>
  <c r="I258" i="9"/>
  <c r="H258" i="9"/>
  <c r="J257" i="9"/>
  <c r="I257" i="9"/>
  <c r="H257" i="9"/>
  <c r="J256" i="9"/>
  <c r="I256" i="9"/>
  <c r="D27" i="15" s="1"/>
  <c r="H256" i="9"/>
  <c r="J255" i="9"/>
  <c r="I255" i="9"/>
  <c r="H255" i="9"/>
  <c r="J254" i="9"/>
  <c r="I254" i="9"/>
  <c r="H254" i="9"/>
  <c r="J253" i="9"/>
  <c r="I253" i="9"/>
  <c r="H253" i="9"/>
  <c r="J252" i="9"/>
  <c r="I252" i="9"/>
  <c r="H252" i="9"/>
  <c r="J251" i="9"/>
  <c r="I251" i="9"/>
  <c r="H251" i="9"/>
  <c r="J250" i="9"/>
  <c r="I250" i="9"/>
  <c r="H250" i="9"/>
  <c r="J249" i="9"/>
  <c r="I249" i="9"/>
  <c r="H249" i="9"/>
  <c r="J248" i="9"/>
  <c r="I248" i="9"/>
  <c r="H248" i="9"/>
  <c r="J247" i="9"/>
  <c r="I247" i="9"/>
  <c r="H247" i="9"/>
  <c r="J246" i="9"/>
  <c r="I246" i="9"/>
  <c r="H246" i="9"/>
  <c r="J245" i="9"/>
  <c r="I245" i="9"/>
  <c r="H245" i="9"/>
  <c r="J244" i="9"/>
  <c r="I244" i="9"/>
  <c r="H244" i="9"/>
  <c r="J243" i="9"/>
  <c r="I243" i="9"/>
  <c r="H243" i="9"/>
  <c r="J242" i="9"/>
  <c r="I242" i="9"/>
  <c r="H242" i="9"/>
  <c r="J241" i="9"/>
  <c r="I241" i="9"/>
  <c r="H241" i="9"/>
  <c r="J240" i="9"/>
  <c r="I240" i="9"/>
  <c r="H240" i="9"/>
  <c r="J239" i="9"/>
  <c r="I239" i="9"/>
  <c r="H239" i="9"/>
  <c r="J238" i="9"/>
  <c r="I238" i="9"/>
  <c r="H238" i="9"/>
  <c r="J237" i="9"/>
  <c r="I237" i="9"/>
  <c r="H237" i="9"/>
  <c r="J236" i="9"/>
  <c r="I236" i="9"/>
  <c r="H236" i="9"/>
  <c r="J235" i="9"/>
  <c r="I235" i="9"/>
  <c r="H235" i="9"/>
  <c r="J234" i="9"/>
  <c r="I234" i="9"/>
  <c r="H234" i="9"/>
  <c r="J233" i="9"/>
  <c r="I233" i="9"/>
  <c r="H233" i="9"/>
  <c r="J232" i="9"/>
  <c r="I232" i="9"/>
  <c r="H232" i="9"/>
  <c r="J231" i="9"/>
  <c r="I231" i="9"/>
  <c r="H231" i="9"/>
  <c r="J230" i="9"/>
  <c r="I230" i="9"/>
  <c r="H230" i="9"/>
  <c r="J229" i="9"/>
  <c r="I229" i="9"/>
  <c r="H229" i="9"/>
  <c r="J228" i="9"/>
  <c r="I228" i="9"/>
  <c r="H228" i="9"/>
  <c r="J227" i="9"/>
  <c r="I227" i="9"/>
  <c r="H227" i="9"/>
  <c r="J226" i="9"/>
  <c r="I226" i="9"/>
  <c r="H226" i="9"/>
  <c r="J225" i="9"/>
  <c r="I225" i="9"/>
  <c r="H225" i="9"/>
  <c r="J224" i="9"/>
  <c r="I224" i="9"/>
  <c r="H224" i="9"/>
  <c r="J223" i="9"/>
  <c r="I223" i="9"/>
  <c r="H223" i="9"/>
  <c r="J222" i="9"/>
  <c r="I222" i="9"/>
  <c r="H222" i="9"/>
  <c r="J221" i="9"/>
  <c r="I221" i="9"/>
  <c r="H221" i="9"/>
  <c r="J220" i="9"/>
  <c r="I220" i="9"/>
  <c r="H220" i="9"/>
  <c r="J219" i="9"/>
  <c r="I219" i="9"/>
  <c r="H219" i="9"/>
  <c r="J218" i="9"/>
  <c r="I218" i="9"/>
  <c r="H218" i="9"/>
  <c r="J217" i="9"/>
  <c r="I217" i="9"/>
  <c r="D25" i="15" s="1"/>
  <c r="H217" i="9"/>
  <c r="J216" i="9"/>
  <c r="I216" i="9"/>
  <c r="H216" i="9"/>
  <c r="J215" i="9"/>
  <c r="I215" i="9"/>
  <c r="H215" i="9"/>
  <c r="J214" i="9"/>
  <c r="I214" i="9"/>
  <c r="H214" i="9"/>
  <c r="J213" i="9"/>
  <c r="I213" i="9"/>
  <c r="H213" i="9"/>
  <c r="J212" i="9"/>
  <c r="I212" i="9"/>
  <c r="H212" i="9"/>
  <c r="J211" i="9"/>
  <c r="I211" i="9"/>
  <c r="H211" i="9"/>
  <c r="J210" i="9"/>
  <c r="I210" i="9"/>
  <c r="H210" i="9"/>
  <c r="J209" i="9"/>
  <c r="I209" i="9"/>
  <c r="H209" i="9"/>
  <c r="J208" i="9"/>
  <c r="I208" i="9"/>
  <c r="H208" i="9"/>
  <c r="J207" i="9"/>
  <c r="I207" i="9"/>
  <c r="H207" i="9"/>
  <c r="J206" i="9"/>
  <c r="I206" i="9"/>
  <c r="H206" i="9"/>
  <c r="J205" i="9"/>
  <c r="I205" i="9"/>
  <c r="H205" i="9"/>
  <c r="J204" i="9"/>
  <c r="I204" i="9"/>
  <c r="H204" i="9"/>
  <c r="J203" i="9"/>
  <c r="I203" i="9"/>
  <c r="H203" i="9"/>
  <c r="J202" i="9"/>
  <c r="I202" i="9"/>
  <c r="H202" i="9"/>
  <c r="J201" i="9"/>
  <c r="I201" i="9"/>
  <c r="D24" i="15" s="1"/>
  <c r="H201" i="9"/>
  <c r="J200" i="9"/>
  <c r="I200" i="9"/>
  <c r="H200" i="9"/>
  <c r="J199" i="9"/>
  <c r="I199" i="9"/>
  <c r="H199" i="9"/>
  <c r="J198" i="9"/>
  <c r="I198" i="9"/>
  <c r="H198" i="9"/>
  <c r="J197" i="9"/>
  <c r="I197" i="9"/>
  <c r="H197" i="9"/>
  <c r="J196" i="9"/>
  <c r="I196" i="9"/>
  <c r="H196" i="9"/>
  <c r="J195" i="9"/>
  <c r="I195" i="9"/>
  <c r="H195" i="9"/>
  <c r="J194" i="9"/>
  <c r="I194" i="9"/>
  <c r="H194" i="9"/>
  <c r="J193" i="9"/>
  <c r="I193" i="9"/>
  <c r="H193" i="9"/>
  <c r="J192" i="9"/>
  <c r="I192" i="9"/>
  <c r="D23" i="15" s="1"/>
  <c r="H192" i="9"/>
  <c r="J191" i="9"/>
  <c r="I191" i="9"/>
  <c r="D22" i="15" s="1"/>
  <c r="H191" i="9"/>
  <c r="J190" i="9"/>
  <c r="I190" i="9"/>
  <c r="H190" i="9"/>
  <c r="J189" i="9"/>
  <c r="I189" i="9"/>
  <c r="H189" i="9"/>
  <c r="J188" i="9"/>
  <c r="I188" i="9"/>
  <c r="H188" i="9"/>
  <c r="J187" i="9"/>
  <c r="I187" i="9"/>
  <c r="H187" i="9"/>
  <c r="J186" i="9"/>
  <c r="I186" i="9"/>
  <c r="H186" i="9"/>
  <c r="J185" i="9"/>
  <c r="I185" i="9"/>
  <c r="H185" i="9"/>
  <c r="J184" i="9"/>
  <c r="I184" i="9"/>
  <c r="H184" i="9"/>
  <c r="J183" i="9"/>
  <c r="I183" i="9"/>
  <c r="H183" i="9"/>
  <c r="J182" i="9"/>
  <c r="I182" i="9"/>
  <c r="H182" i="9"/>
  <c r="J181" i="9"/>
  <c r="I181" i="9"/>
  <c r="H181" i="9"/>
  <c r="J180" i="9"/>
  <c r="I180" i="9"/>
  <c r="H180" i="9"/>
  <c r="J179" i="9"/>
  <c r="I179" i="9"/>
  <c r="H179" i="9"/>
  <c r="J178" i="9"/>
  <c r="I178" i="9"/>
  <c r="H178" i="9"/>
  <c r="J177" i="9"/>
  <c r="I177" i="9"/>
  <c r="H177" i="9"/>
  <c r="J176" i="9"/>
  <c r="I176" i="9"/>
  <c r="H176" i="9"/>
  <c r="J175" i="9"/>
  <c r="I175" i="9"/>
  <c r="H175" i="9"/>
  <c r="J174" i="9"/>
  <c r="I174" i="9"/>
  <c r="H174" i="9"/>
  <c r="J173" i="9"/>
  <c r="I173" i="9"/>
  <c r="H173" i="9"/>
  <c r="J172" i="9"/>
  <c r="I172" i="9"/>
  <c r="H172" i="9"/>
  <c r="J171" i="9"/>
  <c r="I171" i="9"/>
  <c r="H171" i="9"/>
  <c r="J170" i="9"/>
  <c r="I170" i="9"/>
  <c r="H170" i="9"/>
  <c r="J169" i="9"/>
  <c r="I169" i="9"/>
  <c r="H169" i="9"/>
  <c r="J168" i="9"/>
  <c r="I168" i="9"/>
  <c r="H168" i="9"/>
  <c r="J167" i="9"/>
  <c r="I167" i="9"/>
  <c r="H167" i="9"/>
  <c r="J166" i="9"/>
  <c r="I166" i="9"/>
  <c r="H166" i="9"/>
  <c r="J165" i="9"/>
  <c r="I165" i="9"/>
  <c r="H165" i="9"/>
  <c r="J164" i="9"/>
  <c r="I164" i="9"/>
  <c r="H164" i="9"/>
  <c r="J163" i="9"/>
  <c r="I163" i="9"/>
  <c r="H163" i="9"/>
  <c r="J162" i="9"/>
  <c r="I162" i="9"/>
  <c r="H162" i="9"/>
  <c r="J161" i="9"/>
  <c r="I161" i="9"/>
  <c r="H161" i="9"/>
  <c r="J160" i="9"/>
  <c r="I160" i="9"/>
  <c r="D20" i="15" s="1"/>
  <c r="H160" i="9"/>
  <c r="J159" i="9"/>
  <c r="I159" i="9"/>
  <c r="H159" i="9"/>
  <c r="J158" i="9"/>
  <c r="I158" i="9"/>
  <c r="H158" i="9"/>
  <c r="J157" i="9"/>
  <c r="I157" i="9"/>
  <c r="H157" i="9"/>
  <c r="J156" i="9"/>
  <c r="I156" i="9"/>
  <c r="H156" i="9"/>
  <c r="J155" i="9"/>
  <c r="I155" i="9"/>
  <c r="H155" i="9"/>
  <c r="J154" i="9"/>
  <c r="I154" i="9"/>
  <c r="H154" i="9"/>
  <c r="J153" i="9"/>
  <c r="I153" i="9"/>
  <c r="H153" i="9"/>
  <c r="J152" i="9"/>
  <c r="I152" i="9"/>
  <c r="H152" i="9"/>
  <c r="J151" i="9"/>
  <c r="I151" i="9"/>
  <c r="H151" i="9"/>
  <c r="J150" i="9"/>
  <c r="I150" i="9"/>
  <c r="H150" i="9"/>
  <c r="J149" i="9"/>
  <c r="I149" i="9"/>
  <c r="H149" i="9"/>
  <c r="J148" i="9"/>
  <c r="I148" i="9"/>
  <c r="H148" i="9"/>
  <c r="J147" i="9"/>
  <c r="I147" i="9"/>
  <c r="H147" i="9"/>
  <c r="J146" i="9"/>
  <c r="I146" i="9"/>
  <c r="H146" i="9"/>
  <c r="J145" i="9"/>
  <c r="I145" i="9"/>
  <c r="H145" i="9"/>
  <c r="J144" i="9"/>
  <c r="I144" i="9"/>
  <c r="H144" i="9"/>
  <c r="J143" i="9"/>
  <c r="I143" i="9"/>
  <c r="H143" i="9"/>
  <c r="J142" i="9"/>
  <c r="I142" i="9"/>
  <c r="H142" i="9"/>
  <c r="J141" i="9"/>
  <c r="I141" i="9"/>
  <c r="H141" i="9"/>
  <c r="J140" i="9"/>
  <c r="I140" i="9"/>
  <c r="H140" i="9"/>
  <c r="J139" i="9"/>
  <c r="I139" i="9"/>
  <c r="H139" i="9"/>
  <c r="J138" i="9"/>
  <c r="I138" i="9"/>
  <c r="H138" i="9"/>
  <c r="J137" i="9"/>
  <c r="I137" i="9"/>
  <c r="H137" i="9"/>
  <c r="J136" i="9"/>
  <c r="I136" i="9"/>
  <c r="H136" i="9"/>
  <c r="J135" i="9"/>
  <c r="I135" i="9"/>
  <c r="H135" i="9"/>
  <c r="J134" i="9"/>
  <c r="I134" i="9"/>
  <c r="H134" i="9"/>
  <c r="J133" i="9"/>
  <c r="I133" i="9"/>
  <c r="H133" i="9"/>
  <c r="J132" i="9"/>
  <c r="I132" i="9"/>
  <c r="H132" i="9"/>
  <c r="J131" i="9"/>
  <c r="I131" i="9"/>
  <c r="H131" i="9"/>
  <c r="J130" i="9"/>
  <c r="I130" i="9"/>
  <c r="H130" i="9"/>
  <c r="J129" i="9"/>
  <c r="I129" i="9"/>
  <c r="H129" i="9"/>
  <c r="J128" i="9"/>
  <c r="I128" i="9"/>
  <c r="H128" i="9"/>
  <c r="J127" i="9"/>
  <c r="I127" i="9"/>
  <c r="H127" i="9"/>
  <c r="J126" i="9"/>
  <c r="I126" i="9"/>
  <c r="H126" i="9"/>
  <c r="J125" i="9"/>
  <c r="I125" i="9"/>
  <c r="H125" i="9"/>
  <c r="J124" i="9"/>
  <c r="I124" i="9"/>
  <c r="H124" i="9"/>
  <c r="J123" i="9"/>
  <c r="I123" i="9"/>
  <c r="H123" i="9"/>
  <c r="J122" i="9"/>
  <c r="I122" i="9"/>
  <c r="H122" i="9"/>
  <c r="J121" i="9"/>
  <c r="I121" i="9"/>
  <c r="H121" i="9"/>
  <c r="J120" i="9"/>
  <c r="I120" i="9"/>
  <c r="H120" i="9"/>
  <c r="J119" i="9"/>
  <c r="I119" i="9"/>
  <c r="H119" i="9"/>
  <c r="J118" i="9"/>
  <c r="I118" i="9"/>
  <c r="H118" i="9"/>
  <c r="J117" i="9"/>
  <c r="I117" i="9"/>
  <c r="H117" i="9"/>
  <c r="J116" i="9"/>
  <c r="I116" i="9"/>
  <c r="H116" i="9"/>
  <c r="J115" i="9"/>
  <c r="I115" i="9"/>
  <c r="H115" i="9"/>
  <c r="J114" i="9"/>
  <c r="I114" i="9"/>
  <c r="H114" i="9"/>
  <c r="J113" i="9"/>
  <c r="I113" i="9"/>
  <c r="H113" i="9"/>
  <c r="J112" i="9"/>
  <c r="I112" i="9"/>
  <c r="H112" i="9"/>
  <c r="J111" i="9"/>
  <c r="I111" i="9"/>
  <c r="H111" i="9"/>
  <c r="J110" i="9"/>
  <c r="I110" i="9"/>
  <c r="H110" i="9"/>
  <c r="J109" i="9"/>
  <c r="I109" i="9"/>
  <c r="H109" i="9"/>
  <c r="J108" i="9"/>
  <c r="I108" i="9"/>
  <c r="H108" i="9"/>
  <c r="J107" i="9"/>
  <c r="I107" i="9"/>
  <c r="H107" i="9"/>
  <c r="J106" i="9"/>
  <c r="I106" i="9"/>
  <c r="H106" i="9"/>
  <c r="J105" i="9"/>
  <c r="I105" i="9"/>
  <c r="H105" i="9"/>
  <c r="J104" i="9"/>
  <c r="I104" i="9"/>
  <c r="H104" i="9"/>
  <c r="J103" i="9"/>
  <c r="I103" i="9"/>
  <c r="D18" i="15" s="1"/>
  <c r="H103" i="9"/>
  <c r="J102" i="9"/>
  <c r="I102" i="9"/>
  <c r="H102" i="9"/>
  <c r="J101" i="9"/>
  <c r="I101" i="9"/>
  <c r="H101" i="9"/>
  <c r="J100" i="9"/>
  <c r="I100" i="9"/>
  <c r="D17" i="15" s="1"/>
  <c r="H100" i="9"/>
  <c r="J99" i="9"/>
  <c r="I99" i="9"/>
  <c r="H99" i="9"/>
  <c r="J98" i="9"/>
  <c r="I98" i="9"/>
  <c r="D16" i="15" s="1"/>
  <c r="H98" i="9"/>
  <c r="J97" i="9"/>
  <c r="I97" i="9"/>
  <c r="H97" i="9"/>
  <c r="J96" i="9"/>
  <c r="I96" i="9"/>
  <c r="H96" i="9"/>
  <c r="J95" i="9"/>
  <c r="I95" i="9"/>
  <c r="H95" i="9"/>
  <c r="J94" i="9"/>
  <c r="I94" i="9"/>
  <c r="H94" i="9"/>
  <c r="J93" i="9"/>
  <c r="I93" i="9"/>
  <c r="H93" i="9"/>
  <c r="J92" i="9"/>
  <c r="I92" i="9"/>
  <c r="H92" i="9"/>
  <c r="J91" i="9"/>
  <c r="I91" i="9"/>
  <c r="H91" i="9"/>
  <c r="J90" i="9"/>
  <c r="I90" i="9"/>
  <c r="H90" i="9"/>
  <c r="J89" i="9"/>
  <c r="I89" i="9"/>
  <c r="H89" i="9"/>
  <c r="J88" i="9"/>
  <c r="I88" i="9"/>
  <c r="H88" i="9"/>
  <c r="J87" i="9"/>
  <c r="I87" i="9"/>
  <c r="H87" i="9"/>
  <c r="J86" i="9"/>
  <c r="I86" i="9"/>
  <c r="H86" i="9"/>
  <c r="J85" i="9"/>
  <c r="I85" i="9"/>
  <c r="H85" i="9"/>
  <c r="J84" i="9"/>
  <c r="I84" i="9"/>
  <c r="H84" i="9"/>
  <c r="J83" i="9"/>
  <c r="I83" i="9"/>
  <c r="H83" i="9"/>
  <c r="J82" i="9"/>
  <c r="I82" i="9"/>
  <c r="H82" i="9"/>
  <c r="J81" i="9"/>
  <c r="I81" i="9"/>
  <c r="H81" i="9"/>
  <c r="J80" i="9"/>
  <c r="I80" i="9"/>
  <c r="H80" i="9"/>
  <c r="J79" i="9"/>
  <c r="I79" i="9"/>
  <c r="H79" i="9"/>
  <c r="J78" i="9"/>
  <c r="I78" i="9"/>
  <c r="H78" i="9"/>
  <c r="J77" i="9"/>
  <c r="I77" i="9"/>
  <c r="H77" i="9"/>
  <c r="J76" i="9"/>
  <c r="I76" i="9"/>
  <c r="H76" i="9"/>
  <c r="J75" i="9"/>
  <c r="I75" i="9"/>
  <c r="H75" i="9"/>
  <c r="J74" i="9"/>
  <c r="I74" i="9"/>
  <c r="H74" i="9"/>
  <c r="J73" i="9"/>
  <c r="I73" i="9"/>
  <c r="H73" i="9"/>
  <c r="J72" i="9"/>
  <c r="I72" i="9"/>
  <c r="D15" i="15" s="1"/>
  <c r="H72" i="9"/>
  <c r="J71" i="9"/>
  <c r="I71" i="9"/>
  <c r="H71" i="9"/>
  <c r="J70" i="9"/>
  <c r="I70" i="9"/>
  <c r="H70" i="9"/>
  <c r="J69" i="9"/>
  <c r="I69" i="9"/>
  <c r="H69" i="9"/>
  <c r="J68" i="9"/>
  <c r="I68" i="9"/>
  <c r="H68" i="9"/>
  <c r="J67" i="9"/>
  <c r="I67" i="9"/>
  <c r="H67" i="9"/>
  <c r="J66" i="9"/>
  <c r="I66" i="9"/>
  <c r="H66" i="9"/>
  <c r="J65" i="9"/>
  <c r="I65" i="9"/>
  <c r="D14" i="15" s="1"/>
  <c r="H65" i="9"/>
  <c r="J64" i="9"/>
  <c r="I64" i="9"/>
  <c r="H64" i="9"/>
  <c r="J63" i="9"/>
  <c r="I63" i="9"/>
  <c r="H63" i="9"/>
  <c r="J62" i="9"/>
  <c r="I62" i="9"/>
  <c r="H62" i="9"/>
  <c r="J61" i="9"/>
  <c r="I61" i="9"/>
  <c r="H61" i="9"/>
  <c r="J60" i="9"/>
  <c r="I60" i="9"/>
  <c r="H60" i="9"/>
  <c r="J59" i="9"/>
  <c r="I59" i="9"/>
  <c r="H59" i="9"/>
  <c r="J58" i="9"/>
  <c r="I58" i="9"/>
  <c r="H58" i="9"/>
  <c r="J57" i="9"/>
  <c r="I57" i="9"/>
  <c r="H57" i="9"/>
  <c r="J56" i="9"/>
  <c r="I56" i="9"/>
  <c r="H56" i="9"/>
  <c r="J55" i="9"/>
  <c r="I55" i="9"/>
  <c r="H55" i="9"/>
  <c r="J54" i="9"/>
  <c r="I54" i="9"/>
  <c r="D13" i="15" s="1"/>
  <c r="H54" i="9"/>
  <c r="J53" i="9"/>
  <c r="I53" i="9"/>
  <c r="H53" i="9"/>
  <c r="J52" i="9"/>
  <c r="I52" i="9"/>
  <c r="H52" i="9"/>
  <c r="J51" i="9"/>
  <c r="I51" i="9"/>
  <c r="H51" i="9"/>
  <c r="J50" i="9"/>
  <c r="I50" i="9"/>
  <c r="H50" i="9"/>
  <c r="J49" i="9"/>
  <c r="I49" i="9"/>
  <c r="H49" i="9"/>
  <c r="J48" i="9"/>
  <c r="I48" i="9"/>
  <c r="H48" i="9"/>
  <c r="J47" i="9"/>
  <c r="I47" i="9"/>
  <c r="H47" i="9"/>
  <c r="J46" i="9"/>
  <c r="I46" i="9"/>
  <c r="H46" i="9"/>
  <c r="J45" i="9"/>
  <c r="I45" i="9"/>
  <c r="D11" i="15" s="1"/>
  <c r="H45" i="9"/>
  <c r="J44" i="9"/>
  <c r="I44" i="9"/>
  <c r="H44" i="9"/>
  <c r="J43" i="9"/>
  <c r="I43" i="9"/>
  <c r="H43" i="9"/>
  <c r="J42" i="9"/>
  <c r="I42" i="9"/>
  <c r="H42" i="9"/>
  <c r="J41" i="9"/>
  <c r="I41" i="9"/>
  <c r="H41" i="9"/>
  <c r="J40" i="9"/>
  <c r="I40" i="9"/>
  <c r="H40" i="9"/>
  <c r="J39" i="9"/>
  <c r="I39" i="9"/>
  <c r="H39" i="9"/>
  <c r="J38" i="9"/>
  <c r="I38" i="9"/>
  <c r="H38" i="9"/>
  <c r="J37" i="9"/>
  <c r="I37" i="9"/>
  <c r="H37" i="9"/>
  <c r="J36" i="9"/>
  <c r="I36" i="9"/>
  <c r="H36" i="9"/>
  <c r="J35" i="9"/>
  <c r="I35" i="9"/>
  <c r="H35" i="9"/>
  <c r="J34" i="9"/>
  <c r="I34" i="9"/>
  <c r="D8" i="15" s="1"/>
  <c r="H34" i="9"/>
  <c r="J33" i="9"/>
  <c r="I33" i="9"/>
  <c r="H33" i="9"/>
  <c r="J32" i="9"/>
  <c r="I32" i="9"/>
  <c r="H32" i="9"/>
  <c r="J31" i="9"/>
  <c r="I31" i="9"/>
  <c r="H31" i="9"/>
  <c r="J30" i="9"/>
  <c r="I30" i="9"/>
  <c r="H30" i="9"/>
  <c r="J29" i="9"/>
  <c r="I29" i="9"/>
  <c r="H29" i="9"/>
  <c r="J28" i="9"/>
  <c r="I28" i="9"/>
  <c r="H28" i="9"/>
  <c r="J27" i="9"/>
  <c r="I27" i="9"/>
  <c r="H27" i="9"/>
  <c r="J26" i="9"/>
  <c r="I26" i="9"/>
  <c r="H26" i="9"/>
  <c r="J25" i="9"/>
  <c r="I25" i="9"/>
  <c r="H25" i="9"/>
  <c r="J24" i="9"/>
  <c r="I24" i="9"/>
  <c r="H24" i="9"/>
  <c r="J23" i="9"/>
  <c r="I23" i="9"/>
  <c r="H23" i="9"/>
  <c r="J22" i="9"/>
  <c r="I22" i="9"/>
  <c r="H22" i="9"/>
  <c r="J21" i="9"/>
  <c r="I21" i="9"/>
  <c r="H21" i="9"/>
  <c r="J20" i="9"/>
  <c r="I20" i="9"/>
  <c r="H20" i="9"/>
  <c r="J19" i="9"/>
  <c r="I19" i="9"/>
  <c r="H19" i="9"/>
  <c r="J18" i="9"/>
  <c r="I18" i="9"/>
  <c r="H18" i="9"/>
  <c r="J17" i="9"/>
  <c r="I17" i="9"/>
  <c r="H17" i="9"/>
  <c r="J16" i="9"/>
  <c r="I16" i="9"/>
  <c r="H16" i="9"/>
  <c r="J15" i="9"/>
  <c r="I15" i="9"/>
  <c r="D5" i="15" s="1"/>
  <c r="D47" i="15" s="1"/>
  <c r="H15" i="9"/>
  <c r="J14" i="9"/>
  <c r="I14" i="9"/>
  <c r="H14" i="9"/>
  <c r="J13" i="9"/>
  <c r="I13" i="9"/>
  <c r="H13" i="9"/>
  <c r="J12" i="9"/>
  <c r="I12" i="9"/>
  <c r="H12" i="9"/>
  <c r="J11" i="9"/>
  <c r="I11" i="9"/>
  <c r="H11" i="9"/>
  <c r="J10" i="9"/>
  <c r="I10" i="9"/>
  <c r="H10" i="9"/>
  <c r="J9" i="9"/>
  <c r="I9" i="9"/>
  <c r="H9" i="9"/>
  <c r="J8" i="9"/>
  <c r="I8" i="9"/>
  <c r="H8" i="9"/>
  <c r="J7" i="9"/>
  <c r="I7" i="9"/>
  <c r="H7" i="9"/>
  <c r="J6" i="9"/>
  <c r="I6" i="9"/>
  <c r="H6" i="9"/>
  <c r="AA2" i="9"/>
  <c r="Z2" i="9"/>
  <c r="Y2" i="9"/>
  <c r="H37" i="42" l="1"/>
  <c r="H72" i="42"/>
  <c r="H80" i="42"/>
  <c r="H123" i="42"/>
  <c r="H126" i="42"/>
  <c r="H34" i="42"/>
  <c r="N38" i="42"/>
  <c r="H95" i="42"/>
  <c r="F61" i="42"/>
  <c r="H38" i="42"/>
  <c r="H41" i="42"/>
  <c r="H49" i="42"/>
  <c r="H100" i="42"/>
  <c r="H108" i="42"/>
  <c r="H119" i="42"/>
  <c r="G58" i="42"/>
  <c r="H30" i="42"/>
  <c r="H51" i="42"/>
  <c r="H110" i="42"/>
  <c r="H136" i="42"/>
  <c r="H139" i="42"/>
  <c r="BA11" i="42"/>
  <c r="AX21" i="42"/>
  <c r="AX19" i="42"/>
  <c r="AX12" i="42"/>
  <c r="BA12" i="42"/>
  <c r="AY10" i="42"/>
  <c r="AZ11" i="42"/>
  <c r="AY13" i="42"/>
  <c r="BD19" i="42"/>
  <c r="BD17" i="42"/>
  <c r="AZ10" i="42"/>
  <c r="H32" i="42"/>
  <c r="H61" i="42"/>
  <c r="H77" i="42"/>
  <c r="H83" i="42"/>
  <c r="G87" i="42"/>
  <c r="H103" i="42"/>
  <c r="H106" i="42"/>
  <c r="H147" i="42"/>
  <c r="H151" i="42"/>
  <c r="F82" i="42"/>
  <c r="C43" i="42"/>
  <c r="G99" i="42"/>
  <c r="G36" i="42"/>
  <c r="N41" i="42"/>
  <c r="H85" i="42"/>
  <c r="H99" i="42"/>
  <c r="H156" i="42"/>
  <c r="F88" i="42"/>
  <c r="F80" i="42"/>
  <c r="F72" i="42"/>
  <c r="F64" i="42"/>
  <c r="F56" i="42"/>
  <c r="F32" i="42"/>
  <c r="E159" i="42"/>
  <c r="F79" i="42"/>
  <c r="G109" i="42"/>
  <c r="N35" i="42"/>
  <c r="G46" i="42"/>
  <c r="H50" i="42"/>
  <c r="H53" i="42"/>
  <c r="H62" i="42"/>
  <c r="H82" i="42"/>
  <c r="H102" i="42"/>
  <c r="H152" i="42"/>
  <c r="H155" i="42"/>
  <c r="F38" i="42"/>
  <c r="F85" i="42"/>
  <c r="F77" i="42"/>
  <c r="G57" i="42"/>
  <c r="G123" i="42"/>
  <c r="G106" i="42"/>
  <c r="H52" i="42"/>
  <c r="H58" i="42"/>
  <c r="H64" i="42"/>
  <c r="H78" i="42"/>
  <c r="H81" i="42"/>
  <c r="H107" i="42"/>
  <c r="H148" i="42"/>
  <c r="F83" i="42"/>
  <c r="F59" i="42"/>
  <c r="BH88" i="24"/>
  <c r="BH89" i="24"/>
  <c r="BP89" i="24"/>
  <c r="BL74" i="24"/>
  <c r="BT74" i="24"/>
  <c r="BT43" i="24"/>
  <c r="AX77" i="24"/>
  <c r="AW88" i="24"/>
  <c r="BD44" i="24"/>
  <c r="BL44" i="24"/>
  <c r="BT44" i="24"/>
  <c r="BD83" i="24"/>
  <c r="BT83" i="24"/>
  <c r="BF48" i="24"/>
  <c r="BN48" i="24"/>
  <c r="BD49" i="24"/>
  <c r="BL49" i="24"/>
  <c r="BT49" i="24"/>
  <c r="BL83" i="24"/>
  <c r="AX11" i="24"/>
  <c r="BO89" i="24"/>
  <c r="BQ14" i="24"/>
  <c r="AY49" i="24"/>
  <c r="BG21" i="24"/>
  <c r="BR74" i="24"/>
  <c r="BB78" i="24"/>
  <c r="BJ78" i="24"/>
  <c r="BR78" i="24"/>
  <c r="AW17" i="24"/>
  <c r="BH17" i="24"/>
  <c r="BH21" i="24"/>
  <c r="BC42" i="24"/>
  <c r="BK42" i="24"/>
  <c r="BC46" i="24"/>
  <c r="AV87" i="24"/>
  <c r="BO21" i="24"/>
  <c r="BB42" i="24"/>
  <c r="BL73" i="24"/>
  <c r="BB84" i="24"/>
  <c r="BJ84" i="24"/>
  <c r="BP85" i="24"/>
  <c r="BC13" i="24"/>
  <c r="BP17" i="24"/>
  <c r="BA5" i="24"/>
  <c r="BP44" i="24"/>
  <c r="BD74" i="24"/>
  <c r="AW51" i="24"/>
  <c r="BT12" i="24"/>
  <c r="BH45" i="24"/>
  <c r="BP45" i="24"/>
  <c r="BD47" i="24"/>
  <c r="BL47" i="24"/>
  <c r="AU73" i="24"/>
  <c r="BI49" i="24"/>
  <c r="AX49" i="24"/>
  <c r="BC72" i="24"/>
  <c r="BQ87" i="24"/>
  <c r="BK16" i="24"/>
  <c r="AW10" i="24"/>
  <c r="AX13" i="24"/>
  <c r="BD20" i="24"/>
  <c r="BL20" i="24"/>
  <c r="BT20" i="24"/>
  <c r="BA22" i="24"/>
  <c r="BI22" i="24"/>
  <c r="BQ22" i="24"/>
  <c r="BI85" i="24"/>
  <c r="BR12" i="24"/>
  <c r="BM16" i="24"/>
  <c r="BE48" i="24"/>
  <c r="BM48" i="24"/>
  <c r="BM53" i="24"/>
  <c r="BF56" i="24"/>
  <c r="BN56" i="24"/>
  <c r="BD57" i="24"/>
  <c r="BL57" i="24"/>
  <c r="BT57" i="24"/>
  <c r="BA72" i="24"/>
  <c r="BI72" i="24"/>
  <c r="AX72" i="24"/>
  <c r="AU76" i="24"/>
  <c r="BG83" i="24"/>
  <c r="BK7" i="24"/>
  <c r="BS7" i="24"/>
  <c r="BP14" i="24"/>
  <c r="AW50" i="24"/>
  <c r="AW72" i="24"/>
  <c r="BL11" i="24"/>
  <c r="BC47" i="24"/>
  <c r="BK47" i="24"/>
  <c r="BK52" i="24"/>
  <c r="BT47" i="24"/>
  <c r="AW47" i="24"/>
  <c r="BO46" i="24"/>
  <c r="BM83" i="24"/>
  <c r="BS84" i="24"/>
  <c r="BE87" i="24"/>
  <c r="BO73" i="24"/>
  <c r="BB75" i="24"/>
  <c r="BC78" i="24"/>
  <c r="BK78" i="24"/>
  <c r="BS78" i="24"/>
  <c r="BI79" i="24"/>
  <c r="AX17" i="24"/>
  <c r="BK18" i="24"/>
  <c r="BA21" i="24"/>
  <c r="BI21" i="24"/>
  <c r="BD22" i="24"/>
  <c r="BD42" i="24"/>
  <c r="BL42" i="24"/>
  <c r="BT42" i="24"/>
  <c r="BO56" i="24"/>
  <c r="BC58" i="24"/>
  <c r="BK58" i="24"/>
  <c r="BS58" i="24"/>
  <c r="BB59" i="24"/>
  <c r="BJ59" i="24"/>
  <c r="BR59" i="24"/>
  <c r="BB72" i="24"/>
  <c r="BJ72" i="24"/>
  <c r="BR72" i="24"/>
  <c r="BG46" i="24"/>
  <c r="BF82" i="24"/>
  <c r="BK84" i="24"/>
  <c r="BG48" i="24"/>
  <c r="BQ45" i="24"/>
  <c r="BE83" i="24"/>
  <c r="BO86" i="24"/>
  <c r="AX88" i="24"/>
  <c r="BO8" i="24"/>
  <c r="BA9" i="24"/>
  <c r="BQ9" i="24"/>
  <c r="BM11" i="24"/>
  <c r="BF12" i="24"/>
  <c r="BN12" i="24"/>
  <c r="BE44" i="24"/>
  <c r="BI45" i="24"/>
  <c r="BF80" i="24"/>
  <c r="BN82" i="24"/>
  <c r="BC84" i="24"/>
  <c r="BM87" i="24"/>
  <c r="AX89" i="24"/>
  <c r="BG73" i="24"/>
  <c r="BE74" i="24"/>
  <c r="BB9" i="24"/>
  <c r="BN19" i="24"/>
  <c r="BH20" i="24"/>
  <c r="AY21" i="24"/>
  <c r="BF49" i="24"/>
  <c r="AY55" i="24"/>
  <c r="BF57" i="24"/>
  <c r="BT58" i="24"/>
  <c r="BR9" i="24"/>
  <c r="BF19" i="24"/>
  <c r="BR45" i="24"/>
  <c r="BN49" i="24"/>
  <c r="BL58" i="24"/>
  <c r="BH73" i="24"/>
  <c r="BF74" i="24"/>
  <c r="BQ76" i="24"/>
  <c r="BP86" i="24"/>
  <c r="BK9" i="24"/>
  <c r="BS21" i="24"/>
  <c r="BI46" i="24"/>
  <c r="BS55" i="24"/>
  <c r="AX56" i="24"/>
  <c r="BD72" i="24"/>
  <c r="BA73" i="24"/>
  <c r="BS79" i="24"/>
  <c r="BC88" i="24"/>
  <c r="BH7" i="24"/>
  <c r="BJ13" i="24"/>
  <c r="BL21" i="24"/>
  <c r="BB43" i="24"/>
  <c r="BH44" i="24"/>
  <c r="BG47" i="24"/>
  <c r="BJ56" i="24"/>
  <c r="BK76" i="24"/>
  <c r="AX80" i="24"/>
  <c r="BL85" i="24"/>
  <c r="AY86" i="24"/>
  <c r="BG6" i="24"/>
  <c r="BI7" i="24"/>
  <c r="BE16" i="24"/>
  <c r="BG18" i="24"/>
  <c r="BF72" i="24"/>
  <c r="BN72" i="24"/>
  <c r="BC73" i="24"/>
  <c r="BS73" i="24"/>
  <c r="BA74" i="24"/>
  <c r="BF75" i="24"/>
  <c r="BN75" i="24"/>
  <c r="BD76" i="24"/>
  <c r="BL76" i="24"/>
  <c r="BB77" i="24"/>
  <c r="BJ77" i="24"/>
  <c r="BG78" i="24"/>
  <c r="BO78" i="24"/>
  <c r="BB80" i="24"/>
  <c r="BJ80" i="24"/>
  <c r="AY80" i="24"/>
  <c r="BI83" i="24"/>
  <c r="AV83" i="24"/>
  <c r="BC86" i="24"/>
  <c r="BK86" i="24"/>
  <c r="BS86" i="24"/>
  <c r="BE22" i="24"/>
  <c r="BS72" i="24"/>
  <c r="BP73" i="24"/>
  <c r="BA76" i="24"/>
  <c r="AY79" i="24"/>
  <c r="BO82" i="24"/>
  <c r="BC16" i="24"/>
  <c r="BC21" i="24"/>
  <c r="AX48" i="24"/>
  <c r="BP53" i="24"/>
  <c r="BL72" i="24"/>
  <c r="BQ73" i="24"/>
  <c r="BC79" i="24"/>
  <c r="BI86" i="24"/>
  <c r="BK88" i="24"/>
  <c r="BQ5" i="24"/>
  <c r="BA12" i="24"/>
  <c r="BB13" i="24"/>
  <c r="BD21" i="24"/>
  <c r="BJ43" i="24"/>
  <c r="BC52" i="24"/>
  <c r="BB56" i="24"/>
  <c r="AY73" i="24"/>
  <c r="BS76" i="24"/>
  <c r="BF78" i="24"/>
  <c r="BD85" i="24"/>
  <c r="BM17" i="24"/>
  <c r="AY6" i="24"/>
  <c r="BP10" i="24"/>
  <c r="BN17" i="24"/>
  <c r="AY19" i="24"/>
  <c r="AX22" i="24"/>
  <c r="BF45" i="24"/>
  <c r="BN45" i="24"/>
  <c r="BL46" i="24"/>
  <c r="BA47" i="24"/>
  <c r="BI47" i="24"/>
  <c r="BQ47" i="24"/>
  <c r="BB49" i="24"/>
  <c r="BJ49" i="24"/>
  <c r="BR49" i="24"/>
  <c r="BE50" i="24"/>
  <c r="BS53" i="24"/>
  <c r="BH54" i="24"/>
  <c r="BP54" i="24"/>
  <c r="AW56" i="24"/>
  <c r="BB74" i="24"/>
  <c r="BJ74" i="24"/>
  <c r="AY74" i="24"/>
  <c r="BG75" i="24"/>
  <c r="BO75" i="24"/>
  <c r="BE76" i="24"/>
  <c r="BM76" i="24"/>
  <c r="BC77" i="24"/>
  <c r="BK77" i="24"/>
  <c r="BS77" i="24"/>
  <c r="BF79" i="24"/>
  <c r="BN79" i="24"/>
  <c r="BC80" i="24"/>
  <c r="BK80" i="24"/>
  <c r="BS80" i="24"/>
  <c r="BC82" i="24"/>
  <c r="BS82" i="24"/>
  <c r="BF85" i="24"/>
  <c r="BN85" i="24"/>
  <c r="BD86" i="24"/>
  <c r="BL86" i="24"/>
  <c r="AW86" i="24"/>
  <c r="BB87" i="24"/>
  <c r="BJ87" i="24"/>
  <c r="AY87" i="24"/>
  <c r="BF88" i="24"/>
  <c r="BN88" i="24"/>
  <c r="BJ9" i="24"/>
  <c r="BD58" i="24"/>
  <c r="BN74" i="24"/>
  <c r="BI76" i="24"/>
  <c r="BJ79" i="24"/>
  <c r="BB88" i="24"/>
  <c r="BJ88" i="24"/>
  <c r="BR88" i="24"/>
  <c r="AX8" i="24"/>
  <c r="BR14" i="24"/>
  <c r="BA20" i="24"/>
  <c r="AX20" i="24"/>
  <c r="BK21" i="24"/>
  <c r="BO49" i="24"/>
  <c r="BH53" i="24"/>
  <c r="BK55" i="24"/>
  <c r="BG57" i="24"/>
  <c r="BI73" i="24"/>
  <c r="BK79" i="24"/>
  <c r="BA86" i="24"/>
  <c r="BS88" i="24"/>
  <c r="BC89" i="24"/>
  <c r="BF6" i="24"/>
  <c r="BP7" i="24"/>
  <c r="AY8" i="24"/>
  <c r="BI12" i="24"/>
  <c r="AW21" i="24"/>
  <c r="BO47" i="24"/>
  <c r="BS52" i="24"/>
  <c r="BR56" i="24"/>
  <c r="BE59" i="24"/>
  <c r="BC76" i="24"/>
  <c r="BA77" i="24"/>
  <c r="BI77" i="24"/>
  <c r="BD89" i="24"/>
  <c r="BL89" i="24"/>
  <c r="AY12" i="24"/>
  <c r="BE17" i="24"/>
  <c r="BO18" i="24"/>
  <c r="BC5" i="24"/>
  <c r="BH6" i="24"/>
  <c r="BH10" i="24"/>
  <c r="AD27" i="24"/>
  <c r="BF8" i="24"/>
  <c r="BA10" i="24"/>
  <c r="BI10" i="24"/>
  <c r="AW12" i="24"/>
  <c r="BE13" i="24"/>
  <c r="BM13" i="24"/>
  <c r="BM43" i="24"/>
  <c r="BG45" i="24"/>
  <c r="BE46" i="24"/>
  <c r="BM46" i="24"/>
  <c r="AY47" i="24"/>
  <c r="BC49" i="24"/>
  <c r="BK49" i="24"/>
  <c r="BS49" i="24"/>
  <c r="BF50" i="24"/>
  <c r="BI54" i="24"/>
  <c r="AX54" i="24"/>
  <c r="BH72" i="24"/>
  <c r="BP72" i="24"/>
  <c r="BC74" i="24"/>
  <c r="BK74" i="24"/>
  <c r="BS74" i="24"/>
  <c r="BH75" i="24"/>
  <c r="BP75" i="24"/>
  <c r="BR81" i="24"/>
  <c r="BD82" i="24"/>
  <c r="BL82" i="24"/>
  <c r="BC83" i="24"/>
  <c r="BK83" i="24"/>
  <c r="BS83" i="24"/>
  <c r="BG85" i="24"/>
  <c r="BO85" i="24"/>
  <c r="BC87" i="24"/>
  <c r="BK87" i="24"/>
  <c r="BS87" i="24"/>
  <c r="BB7" i="24"/>
  <c r="BN15" i="24"/>
  <c r="AX18" i="24"/>
  <c r="BJ45" i="24"/>
  <c r="BD8" i="24"/>
  <c r="BL8" i="24"/>
  <c r="AW8" i="24"/>
  <c r="BG11" i="24"/>
  <c r="BO11" i="24"/>
  <c r="BA13" i="24"/>
  <c r="BI13" i="24"/>
  <c r="BQ13" i="24"/>
  <c r="BO15" i="24"/>
  <c r="BC17" i="24"/>
  <c r="BK17" i="24"/>
  <c r="AY17" i="24"/>
  <c r="BL19" i="24"/>
  <c r="AW19" i="24"/>
  <c r="AN60" i="24"/>
  <c r="BD43" i="24"/>
  <c r="AW43" i="24"/>
  <c r="BG44" i="24"/>
  <c r="BO44" i="24"/>
  <c r="BS45" i="24"/>
  <c r="BF46" i="24"/>
  <c r="BH47" i="24"/>
  <c r="BP47" i="24"/>
  <c r="BC48" i="24"/>
  <c r="BK48" i="24"/>
  <c r="BS48" i="24"/>
  <c r="BH52" i="24"/>
  <c r="BP52" i="24"/>
  <c r="BC54" i="24"/>
  <c r="BP55" i="24"/>
  <c r="AY56" i="24"/>
  <c r="BA58" i="24"/>
  <c r="BH58" i="24"/>
  <c r="BP58" i="24"/>
  <c r="BH59" i="24"/>
  <c r="BO72" i="24"/>
  <c r="BH74" i="24"/>
  <c r="BP74" i="24"/>
  <c r="BE75" i="24"/>
  <c r="BM75" i="24"/>
  <c r="BB76" i="24"/>
  <c r="AY76" i="24"/>
  <c r="BG77" i="24"/>
  <c r="BO77" i="24"/>
  <c r="BD78" i="24"/>
  <c r="BL78" i="24"/>
  <c r="BT78" i="24"/>
  <c r="BE80" i="24"/>
  <c r="BM80" i="24"/>
  <c r="BP81" i="24"/>
  <c r="BH82" i="24"/>
  <c r="BP82" i="24"/>
  <c r="BO83" i="24"/>
  <c r="BD84" i="24"/>
  <c r="BL84" i="24"/>
  <c r="AW84" i="24"/>
  <c r="BA85" i="24"/>
  <c r="BQ85" i="24"/>
  <c r="BE86" i="24"/>
  <c r="BM86" i="24"/>
  <c r="AU86" i="24"/>
  <c r="BE5" i="24"/>
  <c r="AX16" i="24"/>
  <c r="BK19" i="24"/>
  <c r="BP21" i="24"/>
  <c r="BN46" i="24"/>
  <c r="AW48" i="24"/>
  <c r="BB52" i="24"/>
  <c r="BJ52" i="24"/>
  <c r="BR52" i="24"/>
  <c r="BB58" i="24"/>
  <c r="BJ58" i="24"/>
  <c r="BR58" i="24"/>
  <c r="BA59" i="24"/>
  <c r="BI59" i="24"/>
  <c r="BQ59" i="24"/>
  <c r="BE73" i="24"/>
  <c r="BM73" i="24"/>
  <c r="AV73" i="24"/>
  <c r="BH77" i="24"/>
  <c r="BE78" i="24"/>
  <c r="BM78" i="24"/>
  <c r="AU78" i="24"/>
  <c r="BA79" i="24"/>
  <c r="AX79" i="24"/>
  <c r="BA82" i="24"/>
  <c r="BI82" i="24"/>
  <c r="BB85" i="24"/>
  <c r="BJ85" i="24"/>
  <c r="BR85" i="24"/>
  <c r="BN86" i="24"/>
  <c r="BA87" i="24"/>
  <c r="BI87" i="24"/>
  <c r="AX87" i="24"/>
  <c r="BE88" i="24"/>
  <c r="BM88" i="24"/>
  <c r="AY88" i="24"/>
  <c r="BK89" i="24"/>
  <c r="BP42" i="24"/>
  <c r="BF44" i="24"/>
  <c r="BL6" i="24"/>
  <c r="BT6" i="24"/>
  <c r="BF7" i="24"/>
  <c r="BN7" i="24"/>
  <c r="BB11" i="24"/>
  <c r="BJ11" i="24"/>
  <c r="BR11" i="24"/>
  <c r="BB12" i="24"/>
  <c r="BE18" i="24"/>
  <c r="BM18" i="24"/>
  <c r="AW18" i="24"/>
  <c r="BS42" i="24"/>
  <c r="BG43" i="24"/>
  <c r="BS43" i="24"/>
  <c r="AX44" i="24"/>
  <c r="AY45" i="24"/>
  <c r="AW46" i="24"/>
  <c r="BH46" i="24"/>
  <c r="BP46" i="24"/>
  <c r="BH56" i="24"/>
  <c r="AY78" i="24"/>
  <c r="BH80" i="24"/>
  <c r="BP80" i="24"/>
  <c r="BN80" i="24"/>
  <c r="BS81" i="24"/>
  <c r="BA18" i="24"/>
  <c r="BI9" i="24"/>
  <c r="AX9" i="24"/>
  <c r="BH19" i="24"/>
  <c r="BP19" i="24"/>
  <c r="BN57" i="24"/>
  <c r="AW75" i="24"/>
  <c r="AW80" i="24"/>
  <c r="BG88" i="24"/>
  <c r="BE89" i="24"/>
  <c r="BM89" i="24"/>
  <c r="BI18" i="24"/>
  <c r="BB45" i="24"/>
  <c r="BO6" i="24"/>
  <c r="BE12" i="24"/>
  <c r="BM12" i="24"/>
  <c r="BD15" i="24"/>
  <c r="BL15" i="24"/>
  <c r="BT15" i="24"/>
  <c r="BG16" i="24"/>
  <c r="BO16" i="24"/>
  <c r="BK53" i="24"/>
  <c r="AV84" i="24"/>
  <c r="BF15" i="24"/>
  <c r="BS19" i="24"/>
  <c r="BE55" i="24"/>
  <c r="BM55" i="24"/>
  <c r="BJ75" i="24"/>
  <c r="BR75" i="24"/>
  <c r="BA78" i="24"/>
  <c r="BI78" i="24"/>
  <c r="AV78" i="24"/>
  <c r="BD56" i="24"/>
  <c r="BL56" i="24"/>
  <c r="BT56" i="24"/>
  <c r="BM8" i="24"/>
  <c r="BM10" i="24"/>
  <c r="BF13" i="24"/>
  <c r="BA44" i="24"/>
  <c r="BP6" i="24"/>
  <c r="BD7" i="24"/>
  <c r="BC8" i="24"/>
  <c r="BK8" i="24"/>
  <c r="BS8" i="24"/>
  <c r="BT8" i="24"/>
  <c r="AY9" i="24"/>
  <c r="Z24" i="24"/>
  <c r="BC11" i="24"/>
  <c r="BK11" i="24"/>
  <c r="BS11" i="24"/>
  <c r="BL12" i="24"/>
  <c r="BD13" i="24"/>
  <c r="BL13" i="24"/>
  <c r="BE15" i="24"/>
  <c r="BM15" i="24"/>
  <c r="BH16" i="24"/>
  <c r="BP16" i="24"/>
  <c r="BD17" i="24"/>
  <c r="BL17" i="24"/>
  <c r="BT17" i="24"/>
  <c r="BH18" i="24"/>
  <c r="BP18" i="24"/>
  <c r="BE19" i="24"/>
  <c r="BM19" i="24"/>
  <c r="BC20" i="24"/>
  <c r="BK20" i="24"/>
  <c r="BS20" i="24"/>
  <c r="BB22" i="24"/>
  <c r="BJ22" i="24"/>
  <c r="BR22" i="24"/>
  <c r="AY42" i="24"/>
  <c r="BE43" i="24"/>
  <c r="Z60" i="24"/>
  <c r="AP60" i="24"/>
  <c r="BC45" i="24"/>
  <c r="BK54" i="24"/>
  <c r="BJ54" i="24"/>
  <c r="BS54" i="24"/>
  <c r="AY54" i="24"/>
  <c r="BP51" i="24"/>
  <c r="BO51" i="24"/>
  <c r="BB47" i="24"/>
  <c r="BJ47" i="24"/>
  <c r="BC6" i="24"/>
  <c r="BK6" i="24"/>
  <c r="BS6" i="24"/>
  <c r="BG7" i="24"/>
  <c r="BO7" i="24"/>
  <c r="BJ7" i="24"/>
  <c r="BG10" i="24"/>
  <c r="BO10" i="24"/>
  <c r="BN10" i="24"/>
  <c r="BF11" i="24"/>
  <c r="BN11" i="24"/>
  <c r="BC12" i="24"/>
  <c r="BK12" i="24"/>
  <c r="BS12" i="24"/>
  <c r="BH13" i="24"/>
  <c r="BP13" i="24"/>
  <c r="AY14" i="24"/>
  <c r="BA15" i="24"/>
  <c r="BB16" i="24"/>
  <c r="BJ16" i="24"/>
  <c r="BG17" i="24"/>
  <c r="BO17" i="24"/>
  <c r="BA19" i="24"/>
  <c r="BI19" i="24"/>
  <c r="BQ19" i="24"/>
  <c r="BE20" i="24"/>
  <c r="BM20" i="24"/>
  <c r="BH42" i="24"/>
  <c r="BI6" i="24"/>
  <c r="BI44" i="24"/>
  <c r="BG13" i="24"/>
  <c r="BJ21" i="24"/>
  <c r="AF60" i="24"/>
  <c r="BA42" i="24"/>
  <c r="BI42" i="24"/>
  <c r="BQ42" i="24"/>
  <c r="AX42" i="24"/>
  <c r="BP48" i="24"/>
  <c r="BO48" i="24"/>
  <c r="AW52" i="24"/>
  <c r="BC55" i="24"/>
  <c r="BD55" i="24"/>
  <c r="BJ18" i="24"/>
  <c r="AD28" i="24" a="1"/>
  <c r="AD28" i="24" s="1"/>
  <c r="BA8" i="24"/>
  <c r="BI8" i="24"/>
  <c r="BQ8" i="24"/>
  <c r="BE8" i="24"/>
  <c r="BD9" i="24"/>
  <c r="BL9" i="24"/>
  <c r="BT9" i="24"/>
  <c r="BA11" i="24"/>
  <c r="BH11" i="24"/>
  <c r="BC15" i="24"/>
  <c r="BK15" i="24"/>
  <c r="BS15" i="24"/>
  <c r="BD16" i="24"/>
  <c r="BL16" i="24"/>
  <c r="BB17" i="24"/>
  <c r="BJ17" i="24"/>
  <c r="BR17" i="24"/>
  <c r="BF18" i="24"/>
  <c r="BN18" i="24"/>
  <c r="BB19" i="24"/>
  <c r="BJ19" i="24"/>
  <c r="BR19" i="24"/>
  <c r="BR42" i="24"/>
  <c r="BH48" i="24"/>
  <c r="BP50" i="24"/>
  <c r="BO50" i="24"/>
  <c r="BE7" i="24"/>
  <c r="BQ18" i="24"/>
  <c r="BI16" i="24"/>
  <c r="BB18" i="24"/>
  <c r="AT22" i="24"/>
  <c r="BT22" i="24" s="1"/>
  <c r="BE6" i="24"/>
  <c r="BM6" i="24"/>
  <c r="AW6" i="24"/>
  <c r="AW9" i="24"/>
  <c r="BQ11" i="24"/>
  <c r="BS17" i="24"/>
  <c r="BC18" i="24"/>
  <c r="AW20" i="24"/>
  <c r="BR21" i="24"/>
  <c r="Z61" i="24"/>
  <c r="AH61" i="24"/>
  <c r="AP61" i="24"/>
  <c r="AC60" i="24"/>
  <c r="BC43" i="24"/>
  <c r="BL43" i="24"/>
  <c r="BK43" i="24"/>
  <c r="BN44" i="24"/>
  <c r="BM44" i="24"/>
  <c r="BH50" i="24"/>
  <c r="AS14" i="24"/>
  <c r="AS28" i="24" s="1" a="1"/>
  <c r="AS28" i="24" s="1"/>
  <c r="BQ16" i="24"/>
  <c r="BB8" i="24"/>
  <c r="BJ8" i="24"/>
  <c r="BR8" i="24"/>
  <c r="BN8" i="24"/>
  <c r="BE9" i="24"/>
  <c r="BM9" i="24"/>
  <c r="BB10" i="24"/>
  <c r="BJ10" i="24"/>
  <c r="AY10" i="24"/>
  <c r="BD12" i="24"/>
  <c r="AW42" i="24"/>
  <c r="BE53" i="24"/>
  <c r="BF53" i="24"/>
  <c r="BR47" i="24"/>
  <c r="BB48" i="24"/>
  <c r="BJ48" i="24"/>
  <c r="BN50" i="24"/>
  <c r="BG52" i="24"/>
  <c r="BO52" i="24"/>
  <c r="BA52" i="24"/>
  <c r="BB55" i="24"/>
  <c r="BJ55" i="24"/>
  <c r="BR55" i="24"/>
  <c r="BS56" i="24"/>
  <c r="BC57" i="24"/>
  <c r="BK57" i="24"/>
  <c r="BS57" i="24"/>
  <c r="BG58" i="24"/>
  <c r="BO58" i="24"/>
  <c r="BM59" i="24"/>
  <c r="BG72" i="24"/>
  <c r="AJ91" i="24"/>
  <c r="BR76" i="24"/>
  <c r="AV79" i="24"/>
  <c r="BR80" i="24"/>
  <c r="AY81" i="24"/>
  <c r="AY84" i="24"/>
  <c r="AY85" i="24"/>
  <c r="BP88" i="24"/>
  <c r="BS47" i="24"/>
  <c r="BG50" i="24"/>
  <c r="BB54" i="24"/>
  <c r="BT55" i="24"/>
  <c r="BF59" i="24"/>
  <c r="BN59" i="24"/>
  <c r="AK91" i="24"/>
  <c r="AH90" i="24"/>
  <c r="AW76" i="24"/>
  <c r="BT76" i="24"/>
  <c r="BT86" i="24"/>
  <c r="BK72" i="24"/>
  <c r="AW74" i="24"/>
  <c r="BH78" i="24"/>
  <c r="AV81" i="24"/>
  <c r="BK45" i="24"/>
  <c r="BJ46" i="24"/>
  <c r="BQ52" i="24"/>
  <c r="BG59" i="24"/>
  <c r="BO59" i="24"/>
  <c r="Z91" i="24"/>
  <c r="AP90" i="24"/>
  <c r="BM74" i="24"/>
  <c r="BF76" i="24"/>
  <c r="BN76" i="24"/>
  <c r="AV76" i="24"/>
  <c r="BH79" i="24"/>
  <c r="BP79" i="24"/>
  <c r="AX81" i="24"/>
  <c r="BF83" i="24"/>
  <c r="BN83" i="24"/>
  <c r="AW83" i="24"/>
  <c r="AU84" i="24"/>
  <c r="BR84" i="24"/>
  <c r="BH85" i="24"/>
  <c r="BF86" i="24"/>
  <c r="BB89" i="24"/>
  <c r="BJ89" i="24"/>
  <c r="BR89" i="24"/>
  <c r="BD46" i="24"/>
  <c r="BK46" i="24"/>
  <c r="BT46" i="24"/>
  <c r="BD48" i="24"/>
  <c r="BE49" i="24"/>
  <c r="BM49" i="24"/>
  <c r="AW49" i="24"/>
  <c r="BA50" i="24"/>
  <c r="BI50" i="24"/>
  <c r="BQ50" i="24"/>
  <c r="BD53" i="24"/>
  <c r="BL53" i="24"/>
  <c r="BT53" i="24"/>
  <c r="BD54" i="24"/>
  <c r="BL54" i="24"/>
  <c r="AX55" i="24"/>
  <c r="BE56" i="24"/>
  <c r="BM56" i="24"/>
  <c r="BO57" i="24"/>
  <c r="BN78" i="24"/>
  <c r="BT84" i="24"/>
  <c r="AV89" i="24"/>
  <c r="BO43" i="24"/>
  <c r="AX45" i="24"/>
  <c r="BC50" i="24"/>
  <c r="BK50" i="24"/>
  <c r="AY50" i="24"/>
  <c r="BR50" i="24"/>
  <c r="AY51" i="24"/>
  <c r="BD52" i="24"/>
  <c r="BL52" i="24"/>
  <c r="BT52" i="24"/>
  <c r="BF54" i="24"/>
  <c r="BN54" i="24"/>
  <c r="BH57" i="24"/>
  <c r="BP57" i="24"/>
  <c r="AX59" i="24"/>
  <c r="BE72" i="24"/>
  <c r="BM72" i="24"/>
  <c r="BB73" i="24"/>
  <c r="BJ73" i="24"/>
  <c r="BR73" i="24"/>
  <c r="BK73" i="24"/>
  <c r="BF77" i="24"/>
  <c r="BN77" i="24"/>
  <c r="AW78" i="24"/>
  <c r="BB79" i="24"/>
  <c r="BQ79" i="24"/>
  <c r="BE82" i="24"/>
  <c r="BM82" i="24"/>
  <c r="BH83" i="24"/>
  <c r="BP83" i="24"/>
  <c r="BG84" i="24"/>
  <c r="BO84" i="24"/>
  <c r="BF87" i="24"/>
  <c r="BN87" i="24"/>
  <c r="BJ76" i="24"/>
  <c r="BG82" i="24"/>
  <c r="BF21" i="24"/>
  <c r="BN21" i="24"/>
  <c r="BC22" i="24"/>
  <c r="BK22" i="24"/>
  <c r="BE42" i="24"/>
  <c r="BM42" i="24"/>
  <c r="BA43" i="24"/>
  <c r="BO45" i="24"/>
  <c r="AY48" i="24"/>
  <c r="BA49" i="24"/>
  <c r="BQ49" i="24"/>
  <c r="BD50" i="24"/>
  <c r="BL50" i="24"/>
  <c r="BT50" i="24"/>
  <c r="BE52" i="24"/>
  <c r="BM52" i="24"/>
  <c r="BG53" i="24"/>
  <c r="BO53" i="24"/>
  <c r="BC53" i="24"/>
  <c r="BG54" i="24"/>
  <c r="BO54" i="24"/>
  <c r="BA55" i="24"/>
  <c r="BI55" i="24"/>
  <c r="BQ55" i="24"/>
  <c r="BL55" i="24"/>
  <c r="BA56" i="24"/>
  <c r="BI56" i="24"/>
  <c r="BQ56" i="24"/>
  <c r="BC56" i="24"/>
  <c r="BA57" i="24"/>
  <c r="BI57" i="24"/>
  <c r="BQ57" i="24"/>
  <c r="BM58" i="24"/>
  <c r="AW58" i="24"/>
  <c r="BD59" i="24"/>
  <c r="BL59" i="24"/>
  <c r="AS59" i="24"/>
  <c r="BS59" i="24" s="1"/>
  <c r="BD73" i="24"/>
  <c r="AW73" i="24"/>
  <c r="BI74" i="24"/>
  <c r="BA75" i="24"/>
  <c r="BI75" i="24"/>
  <c r="BP77" i="24"/>
  <c r="BO80" i="24"/>
  <c r="BQ81" i="24"/>
  <c r="BB83" i="24"/>
  <c r="BJ83" i="24"/>
  <c r="BA84" i="24"/>
  <c r="BI84" i="24"/>
  <c r="BQ84" i="24"/>
  <c r="BE85" i="24"/>
  <c r="BM85" i="24"/>
  <c r="AX85" i="24"/>
  <c r="BH87" i="24"/>
  <c r="BP87" i="24"/>
  <c r="BN89" i="24"/>
  <c r="E107" i="4"/>
  <c r="N7" i="4"/>
  <c r="AF30" i="10"/>
  <c r="U7" i="53"/>
  <c r="N7" i="53"/>
  <c r="G6" i="53"/>
  <c r="G49" i="42"/>
  <c r="N12" i="53"/>
  <c r="G12" i="53"/>
  <c r="U13" i="53"/>
  <c r="G78" i="42"/>
  <c r="G150" i="42"/>
  <c r="G101" i="42"/>
  <c r="P31" i="4"/>
  <c r="BO34" i="4" s="1"/>
  <c r="N39" i="4"/>
  <c r="BI37" i="4" s="1"/>
  <c r="G35" i="42"/>
  <c r="G51" i="42"/>
  <c r="H98" i="42"/>
  <c r="N28" i="30"/>
  <c r="M28" i="30"/>
  <c r="K28" i="30"/>
  <c r="AL106" i="30"/>
  <c r="BH9" i="24"/>
  <c r="BG9" i="24"/>
  <c r="BO9" i="24"/>
  <c r="BP9" i="24"/>
  <c r="U9" i="53"/>
  <c r="G8" i="53"/>
  <c r="N9" i="53"/>
  <c r="G74" i="42"/>
  <c r="O27" i="4"/>
  <c r="BL31" i="4" s="1"/>
  <c r="G134" i="42"/>
  <c r="P27" i="4"/>
  <c r="BO29" i="4" s="1"/>
  <c r="G148" i="42"/>
  <c r="H73" i="42"/>
  <c r="U20" i="53"/>
  <c r="N19" i="53"/>
  <c r="G19" i="53"/>
  <c r="G86" i="42"/>
  <c r="P39" i="4"/>
  <c r="BO32" i="4" s="1"/>
  <c r="D43" i="42"/>
  <c r="N32" i="30"/>
  <c r="L32" i="30"/>
  <c r="M32" i="30"/>
  <c r="N62" i="30"/>
  <c r="M62" i="30"/>
  <c r="K62" i="30"/>
  <c r="BN9" i="24"/>
  <c r="AN27" i="24"/>
  <c r="BL37" i="4"/>
  <c r="AL59" i="30"/>
  <c r="L34" i="10"/>
  <c r="AJ16" i="10"/>
  <c r="AF22" i="10"/>
  <c r="P25" i="4"/>
  <c r="BO30" i="4" s="1"/>
  <c r="K25" i="15"/>
  <c r="H33" i="42"/>
  <c r="G94" i="42"/>
  <c r="G97" i="42"/>
  <c r="N6" i="30"/>
  <c r="L6" i="30"/>
  <c r="M6" i="30"/>
  <c r="T4" i="30" s="1"/>
  <c r="K6" i="30"/>
  <c r="AO36" i="30"/>
  <c r="AM59" i="30"/>
  <c r="L54" i="30"/>
  <c r="K54" i="30"/>
  <c r="N54" i="30"/>
  <c r="N55" i="30"/>
  <c r="L55" i="30"/>
  <c r="M55" i="30"/>
  <c r="K55" i="30"/>
  <c r="AM106" i="30"/>
  <c r="AN106" i="30"/>
  <c r="AD23" i="24"/>
  <c r="BR10" i="24"/>
  <c r="BH15" i="24"/>
  <c r="BI15" i="24"/>
  <c r="BP15" i="24"/>
  <c r="AY15" i="24"/>
  <c r="AX15" i="24"/>
  <c r="BQ15" i="24"/>
  <c r="AO71" i="30"/>
  <c r="AL87" i="30"/>
  <c r="AF24" i="24"/>
  <c r="K5" i="15"/>
  <c r="G7" i="53"/>
  <c r="U8" i="53"/>
  <c r="N8" i="53"/>
  <c r="G147" i="42"/>
  <c r="G50" i="42"/>
  <c r="G73" i="42"/>
  <c r="O26" i="4"/>
  <c r="BL41" i="4" s="1"/>
  <c r="N39" i="30"/>
  <c r="L39" i="30"/>
  <c r="M39" i="30"/>
  <c r="K39" i="30"/>
  <c r="L35" i="10"/>
  <c r="G31" i="42"/>
  <c r="BF9" i="24"/>
  <c r="AF27" i="24"/>
  <c r="K7" i="15"/>
  <c r="K22" i="4"/>
  <c r="N9" i="4" s="1"/>
  <c r="U6" i="53"/>
  <c r="N6" i="53"/>
  <c r="G71" i="42"/>
  <c r="G48" i="42"/>
  <c r="M22" i="4"/>
  <c r="K3" i="54" s="1"/>
  <c r="J22" i="4"/>
  <c r="N27" i="4"/>
  <c r="BI28" i="4" s="1"/>
  <c r="K15" i="15"/>
  <c r="M10" i="15" s="1"/>
  <c r="H118" i="42"/>
  <c r="AO13" i="30"/>
  <c r="AN59" i="30"/>
  <c r="AN71" i="30"/>
  <c r="I23" i="4"/>
  <c r="N24" i="4"/>
  <c r="G44" i="42"/>
  <c r="H74" i="42"/>
  <c r="H94" i="42"/>
  <c r="M13" i="30"/>
  <c r="N13" i="30"/>
  <c r="L13" i="30"/>
  <c r="L18" i="30"/>
  <c r="K18" i="30"/>
  <c r="N18" i="30"/>
  <c r="M18" i="30"/>
  <c r="M50" i="30"/>
  <c r="N50" i="30"/>
  <c r="L50" i="30"/>
  <c r="N72" i="30"/>
  <c r="M72" i="30"/>
  <c r="K72" i="30"/>
  <c r="R7" i="30" s="1"/>
  <c r="J23" i="4"/>
  <c r="P24" i="4"/>
  <c r="P26" i="4"/>
  <c r="BO41" i="4" s="1"/>
  <c r="BO45" i="4" s="1"/>
  <c r="K23" i="4"/>
  <c r="K11" i="15"/>
  <c r="H44" i="42"/>
  <c r="H134" i="42"/>
  <c r="G146" i="42"/>
  <c r="K13" i="30"/>
  <c r="K50" i="30"/>
  <c r="N66" i="30"/>
  <c r="M66" i="30"/>
  <c r="K66" i="30"/>
  <c r="L66" i="30"/>
  <c r="R39" i="30" s="1"/>
  <c r="L72" i="30"/>
  <c r="S7" i="30" s="1"/>
  <c r="M86" i="30"/>
  <c r="L86" i="30"/>
  <c r="N86" i="30"/>
  <c r="K86" i="30"/>
  <c r="U10" i="53"/>
  <c r="G9" i="53"/>
  <c r="G98" i="42"/>
  <c r="P29" i="4"/>
  <c r="BO27" i="4" s="1"/>
  <c r="N11" i="53"/>
  <c r="U12" i="53"/>
  <c r="G11" i="53"/>
  <c r="P37" i="4"/>
  <c r="BO37" i="4" s="1"/>
  <c r="G18" i="53"/>
  <c r="U19" i="53"/>
  <c r="N18" i="53"/>
  <c r="K23" i="15"/>
  <c r="M16" i="15" s="1"/>
  <c r="G34" i="42"/>
  <c r="G40" i="42"/>
  <c r="H97" i="42"/>
  <c r="G108" i="42"/>
  <c r="H121" i="42"/>
  <c r="H146" i="42"/>
  <c r="R27" i="30"/>
  <c r="N16" i="30"/>
  <c r="L16" i="30"/>
  <c r="AO59" i="30"/>
  <c r="N45" i="30"/>
  <c r="L45" i="30"/>
  <c r="T7" i="30"/>
  <c r="N71" i="30"/>
  <c r="L71" i="30"/>
  <c r="N76" i="30"/>
  <c r="M76" i="30"/>
  <c r="K76" i="30"/>
  <c r="AL107" i="30" s="1"/>
  <c r="L88" i="30"/>
  <c r="K88" i="30"/>
  <c r="L92" i="30"/>
  <c r="K92" i="30"/>
  <c r="BA7" i="24"/>
  <c r="AX7" i="24"/>
  <c r="BQ7" i="24"/>
  <c r="AH24" i="24"/>
  <c r="BD10" i="24"/>
  <c r="BC10" i="24"/>
  <c r="BK10" i="24"/>
  <c r="BS10" i="24"/>
  <c r="BT10" i="24"/>
  <c r="BA46" i="24"/>
  <c r="BB46" i="24"/>
  <c r="AX46" i="24"/>
  <c r="BQ46" i="24"/>
  <c r="BB53" i="24"/>
  <c r="BA53" i="24"/>
  <c r="BJ53" i="24"/>
  <c r="BI53" i="24"/>
  <c r="AX53" i="24"/>
  <c r="BR53" i="24"/>
  <c r="BQ53" i="24"/>
  <c r="BB44" i="24"/>
  <c r="BC44" i="24"/>
  <c r="BK44" i="24"/>
  <c r="BJ44" i="24"/>
  <c r="BR44" i="24"/>
  <c r="AY44" i="24"/>
  <c r="BI24" i="4"/>
  <c r="BE26" i="4"/>
  <c r="G15" i="53"/>
  <c r="N15" i="53"/>
  <c r="U16" i="53"/>
  <c r="G30" i="42"/>
  <c r="N40" i="42"/>
  <c r="G52" i="42"/>
  <c r="H55" i="42"/>
  <c r="H76" i="42"/>
  <c r="G96" i="42"/>
  <c r="H105" i="42"/>
  <c r="G120" i="42"/>
  <c r="G131" i="42"/>
  <c r="H137" i="42"/>
  <c r="H154" i="42"/>
  <c r="M16" i="30"/>
  <c r="K19" i="30"/>
  <c r="L25" i="30"/>
  <c r="N26" i="30"/>
  <c r="M26" i="30"/>
  <c r="K26" i="30"/>
  <c r="N30" i="30"/>
  <c r="L30" i="30"/>
  <c r="AM60" i="30" s="1"/>
  <c r="K34" i="30"/>
  <c r="AL60" i="30" s="1"/>
  <c r="K42" i="30"/>
  <c r="M45" i="30"/>
  <c r="L63" i="30"/>
  <c r="K68" i="30"/>
  <c r="M71" i="30"/>
  <c r="AN107" i="30" s="1"/>
  <c r="L74" i="30"/>
  <c r="L82" i="30"/>
  <c r="K82" i="30"/>
  <c r="AL131" i="30" s="1"/>
  <c r="N88" i="30"/>
  <c r="N90" i="30"/>
  <c r="M90" i="30"/>
  <c r="K90" i="30"/>
  <c r="N92" i="30"/>
  <c r="K93" i="30"/>
  <c r="R14" i="30" s="1"/>
  <c r="AD24" i="24"/>
  <c r="AL24" i="24"/>
  <c r="AL23" i="24"/>
  <c r="AG28" i="24" a="1"/>
  <c r="AG28" i="24" s="1"/>
  <c r="AG26" i="24" a="1"/>
  <c r="AG26" i="24" s="1"/>
  <c r="AG27" i="24"/>
  <c r="AO26" i="24" a="1"/>
  <c r="AO26" i="24" s="1"/>
  <c r="AO28" i="24" a="1"/>
  <c r="AO28" i="24" s="1"/>
  <c r="AO27" i="24"/>
  <c r="BO5" i="24"/>
  <c r="BG5" i="24"/>
  <c r="BE10" i="24"/>
  <c r="BF10" i="24"/>
  <c r="BG12" i="24"/>
  <c r="BH12" i="24"/>
  <c r="BO12" i="24"/>
  <c r="BP12" i="24"/>
  <c r="BT19" i="24"/>
  <c r="BF20" i="24"/>
  <c r="BG20" i="24"/>
  <c r="BN20" i="24"/>
  <c r="BO20" i="24"/>
  <c r="BL22" i="24"/>
  <c r="BM22" i="24"/>
  <c r="U11" i="53"/>
  <c r="G10" i="53"/>
  <c r="N10" i="53"/>
  <c r="G33" i="42"/>
  <c r="N17" i="53"/>
  <c r="U18" i="53"/>
  <c r="G17" i="53"/>
  <c r="G155" i="42"/>
  <c r="G139" i="42"/>
  <c r="G39" i="42"/>
  <c r="G53" i="42"/>
  <c r="G55" i="42"/>
  <c r="G76" i="42"/>
  <c r="AN14" i="30"/>
  <c r="L46" i="30"/>
  <c r="K46" i="30"/>
  <c r="N56" i="30"/>
  <c r="M56" i="30"/>
  <c r="K56" i="30"/>
  <c r="AL71" i="30"/>
  <c r="N81" i="30"/>
  <c r="R16" i="30" s="1"/>
  <c r="L81" i="30"/>
  <c r="S8" i="30" s="1"/>
  <c r="AY7" i="24"/>
  <c r="BR7" i="24"/>
  <c r="BG8" i="24"/>
  <c r="BH8" i="24"/>
  <c r="O37" i="4"/>
  <c r="BL38" i="4" s="1"/>
  <c r="BL45" i="4" s="1"/>
  <c r="G21" i="53"/>
  <c r="U22" i="53"/>
  <c r="N21" i="53"/>
  <c r="G65" i="42"/>
  <c r="G41" i="42"/>
  <c r="H28" i="42"/>
  <c r="G54" i="42"/>
  <c r="G63" i="42"/>
  <c r="G75" i="42"/>
  <c r="G84" i="42"/>
  <c r="H96" i="42"/>
  <c r="H120" i="42"/>
  <c r="G136" i="42"/>
  <c r="N3" i="30"/>
  <c r="R28" i="30" s="1"/>
  <c r="M3" i="30"/>
  <c r="K3" i="30"/>
  <c r="L9" i="30"/>
  <c r="AM14" i="30" s="1"/>
  <c r="K9" i="30"/>
  <c r="R26" i="30" s="1"/>
  <c r="L19" i="30"/>
  <c r="L20" i="30"/>
  <c r="K20" i="30"/>
  <c r="M25" i="30"/>
  <c r="L34" i="30"/>
  <c r="L35" i="30"/>
  <c r="K35" i="30"/>
  <c r="R10" i="30" s="1"/>
  <c r="L42" i="30"/>
  <c r="N46" i="30"/>
  <c r="M63" i="30"/>
  <c r="L68" i="30"/>
  <c r="N74" i="30"/>
  <c r="M81" i="30"/>
  <c r="T8" i="30" s="1"/>
  <c r="L93" i="30"/>
  <c r="N94" i="30"/>
  <c r="M94" i="30"/>
  <c r="K94" i="30"/>
  <c r="R11" i="56"/>
  <c r="R12" i="56"/>
  <c r="R13" i="56"/>
  <c r="AE24" i="24"/>
  <c r="AE23" i="24"/>
  <c r="AM24" i="24"/>
  <c r="AM23" i="24"/>
  <c r="Z26" i="24" a="1"/>
  <c r="Z26" i="24" s="1"/>
  <c r="AW5" i="24"/>
  <c r="Z27" i="24"/>
  <c r="Z28" i="24" a="1"/>
  <c r="Z28" i="24" s="1"/>
  <c r="AH28" i="24" a="1"/>
  <c r="AH28" i="24" s="1"/>
  <c r="AH26" i="24" a="1"/>
  <c r="AH26" i="24" s="1"/>
  <c r="AH27" i="24"/>
  <c r="AP26" i="24" a="1"/>
  <c r="AP26" i="24" s="1"/>
  <c r="AP28" i="24" a="1"/>
  <c r="AP28" i="24" s="1"/>
  <c r="AP27" i="24"/>
  <c r="BP5" i="24"/>
  <c r="AX5" i="24"/>
  <c r="BH5" i="24"/>
  <c r="BC19" i="24"/>
  <c r="BD19" i="24"/>
  <c r="BF55" i="24"/>
  <c r="BG55" i="24"/>
  <c r="BN55" i="24"/>
  <c r="BO55" i="24"/>
  <c r="N26" i="4"/>
  <c r="BI41" i="4" s="1"/>
  <c r="BI45" i="4" s="1"/>
  <c r="O31" i="4"/>
  <c r="BL35" i="4" s="1"/>
  <c r="N14" i="53"/>
  <c r="U15" i="53"/>
  <c r="G14" i="53"/>
  <c r="G37" i="42"/>
  <c r="O39" i="4"/>
  <c r="BL24" i="4" s="1"/>
  <c r="BL44" i="4" s="1"/>
  <c r="N20" i="53"/>
  <c r="G20" i="53"/>
  <c r="U21" i="53"/>
  <c r="K9" i="15"/>
  <c r="M7" i="15" s="1"/>
  <c r="K17" i="15"/>
  <c r="G81" i="42"/>
  <c r="G95" i="42"/>
  <c r="G104" i="42"/>
  <c r="G119" i="42"/>
  <c r="AM13" i="30"/>
  <c r="N11" i="30"/>
  <c r="M11" i="30"/>
  <c r="K11" i="30"/>
  <c r="N14" i="30"/>
  <c r="L14" i="30"/>
  <c r="N19" i="30"/>
  <c r="N34" i="30"/>
  <c r="N37" i="30"/>
  <c r="M37" i="30"/>
  <c r="T10" i="30" s="1"/>
  <c r="K37" i="30"/>
  <c r="N42" i="30"/>
  <c r="N48" i="30"/>
  <c r="M48" i="30"/>
  <c r="T6" i="30" s="1"/>
  <c r="K48" i="30"/>
  <c r="L60" i="30"/>
  <c r="K60" i="30"/>
  <c r="L64" i="30"/>
  <c r="K64" i="30"/>
  <c r="N68" i="30"/>
  <c r="U7" i="30" s="1"/>
  <c r="M93" i="30"/>
  <c r="U11" i="55"/>
  <c r="AF23" i="24"/>
  <c r="AN23" i="24"/>
  <c r="AA27" i="24"/>
  <c r="AA28" i="24" a="1"/>
  <c r="AA28" i="24" s="1"/>
  <c r="AA26" i="24" a="1"/>
  <c r="AA26" i="24" s="1"/>
  <c r="AI27" i="24"/>
  <c r="AI28" i="24" a="1"/>
  <c r="AI28" i="24" s="1"/>
  <c r="AI26" i="24" a="1"/>
  <c r="AI26" i="24" s="1"/>
  <c r="BI5" i="24"/>
  <c r="AQ26" i="24" a="1"/>
  <c r="AQ26" i="24" s="1"/>
  <c r="BA6" i="24"/>
  <c r="BB6" i="24"/>
  <c r="BQ6" i="24"/>
  <c r="BR6" i="24"/>
  <c r="AX6" i="24"/>
  <c r="BC7" i="24"/>
  <c r="BL10" i="24"/>
  <c r="BD11" i="24"/>
  <c r="BE11" i="24"/>
  <c r="BT11" i="24"/>
  <c r="AW11" i="24"/>
  <c r="BF22" i="24"/>
  <c r="BG22" i="24"/>
  <c r="BN22" i="24"/>
  <c r="BO22" i="24"/>
  <c r="AN24" i="24"/>
  <c r="N30" i="4"/>
  <c r="BI30" i="4" s="1"/>
  <c r="O34" i="4"/>
  <c r="BL33" i="4" s="1"/>
  <c r="N38" i="4"/>
  <c r="BI29" i="4" s="1"/>
  <c r="O40" i="4"/>
  <c r="BL26" i="4" s="1"/>
  <c r="J101" i="4"/>
  <c r="H48" i="42"/>
  <c r="G62" i="42"/>
  <c r="H104" i="42"/>
  <c r="G125" i="42"/>
  <c r="H153" i="42"/>
  <c r="L11" i="30"/>
  <c r="K14" i="30"/>
  <c r="AL36" i="30"/>
  <c r="L37" i="30"/>
  <c r="L48" i="30"/>
  <c r="N53" i="30"/>
  <c r="L53" i="30"/>
  <c r="M60" i="30"/>
  <c r="M64" i="30"/>
  <c r="AO107" i="30"/>
  <c r="N84" i="30"/>
  <c r="M84" i="30"/>
  <c r="AN131" i="30" s="1"/>
  <c r="K84" i="30"/>
  <c r="K91" i="30"/>
  <c r="AG23" i="24"/>
  <c r="AG24" i="24"/>
  <c r="AO23" i="24"/>
  <c r="AO24" i="24"/>
  <c r="AB27" i="24"/>
  <c r="AB28" i="24" a="1"/>
  <c r="AB28" i="24" s="1"/>
  <c r="AB26" i="24" a="1"/>
  <c r="AB26" i="24" s="1"/>
  <c r="BB5" i="24"/>
  <c r="AJ27" i="24"/>
  <c r="AJ26" i="24" a="1"/>
  <c r="AJ26" i="24" s="1"/>
  <c r="BJ5" i="24"/>
  <c r="AJ28" i="24" a="1"/>
  <c r="AJ28" i="24" s="1"/>
  <c r="BK5" i="24"/>
  <c r="AR28" i="24" a="1"/>
  <c r="AR28" i="24" s="1"/>
  <c r="AR27" i="24"/>
  <c r="AR26" i="24" a="1"/>
  <c r="AR26" i="24" s="1"/>
  <c r="BR5" i="24"/>
  <c r="AY5" i="24"/>
  <c r="BS5" i="24"/>
  <c r="BJ6" i="24"/>
  <c r="AP24" i="24"/>
  <c r="BP8" i="24"/>
  <c r="BN13" i="24"/>
  <c r="BO13" i="24"/>
  <c r="BQ21" i="24"/>
  <c r="AX21" i="24"/>
  <c r="BS44" i="24"/>
  <c r="BE45" i="24"/>
  <c r="BD45" i="24"/>
  <c r="BM45" i="24"/>
  <c r="BL45" i="24"/>
  <c r="AW45" i="24"/>
  <c r="BT45" i="24"/>
  <c r="BQ51" i="24"/>
  <c r="AX51" i="24"/>
  <c r="BR51" i="24"/>
  <c r="U10" i="55"/>
  <c r="AP23" i="24"/>
  <c r="AC27" i="24"/>
  <c r="AK27" i="24"/>
  <c r="BN6" i="24"/>
  <c r="Z23" i="24"/>
  <c r="AH23" i="24"/>
  <c r="BC9" i="24"/>
  <c r="BS9" i="24"/>
  <c r="BK13" i="24"/>
  <c r="AW15" i="24"/>
  <c r="BT21" i="24"/>
  <c r="AA61" i="24"/>
  <c r="AQ61" i="24"/>
  <c r="BF47" i="24"/>
  <c r="BE47" i="24"/>
  <c r="BN47" i="24"/>
  <c r="BM47" i="24"/>
  <c r="BH49" i="24"/>
  <c r="BG49" i="24"/>
  <c r="AA23" i="24"/>
  <c r="AI23" i="24"/>
  <c r="AQ23" i="24"/>
  <c r="AD26" i="24" a="1"/>
  <c r="AD26" i="24" s="1"/>
  <c r="AL26" i="24" a="1"/>
  <c r="AL26" i="24" s="1"/>
  <c r="AL27" i="24"/>
  <c r="BL7" i="24"/>
  <c r="AW7" i="24"/>
  <c r="BT7" i="24"/>
  <c r="BM7" i="24"/>
  <c r="AX12" i="24"/>
  <c r="BQ12" i="24"/>
  <c r="BJ12" i="24"/>
  <c r="BR13" i="24"/>
  <c r="AY13" i="24"/>
  <c r="BR16" i="24"/>
  <c r="AY16" i="24"/>
  <c r="BS16" i="24"/>
  <c r="BP20" i="24"/>
  <c r="AY20" i="24"/>
  <c r="BI20" i="24"/>
  <c r="AE28" i="24" a="1"/>
  <c r="AE28" i="24" s="1"/>
  <c r="AE61" i="24"/>
  <c r="AM61" i="24"/>
  <c r="BH43" i="24"/>
  <c r="BI43" i="24"/>
  <c r="BP43" i="24"/>
  <c r="AX43" i="24"/>
  <c r="BF58" i="24"/>
  <c r="BE58" i="24"/>
  <c r="AB23" i="24"/>
  <c r="AJ23" i="24"/>
  <c r="AR23" i="24"/>
  <c r="AM28" i="24" a="1"/>
  <c r="AM28" i="24" s="1"/>
  <c r="BP11" i="24"/>
  <c r="AY11" i="24"/>
  <c r="AY18" i="24"/>
  <c r="BR18" i="24"/>
  <c r="BS18" i="24"/>
  <c r="AC61" i="24"/>
  <c r="AK61" i="24"/>
  <c r="AK60" i="24"/>
  <c r="AS61" i="24"/>
  <c r="BF42" i="24"/>
  <c r="BG42" i="24"/>
  <c r="AN61" i="24"/>
  <c r="BO42" i="24"/>
  <c r="BN42" i="24"/>
  <c r="BQ43" i="24"/>
  <c r="BN58" i="24"/>
  <c r="U14" i="53"/>
  <c r="N13" i="53"/>
  <c r="G13" i="53"/>
  <c r="U17" i="53"/>
  <c r="N16" i="53"/>
  <c r="G16" i="53"/>
  <c r="AC23" i="24"/>
  <c r="AC24" i="24"/>
  <c r="AK23" i="24"/>
  <c r="AK24" i="24"/>
  <c r="BF5" i="24"/>
  <c r="AF28" i="24" a="1"/>
  <c r="AF28" i="24" s="1"/>
  <c r="AF26" i="24" a="1"/>
  <c r="AF26" i="24" s="1"/>
  <c r="BN5" i="24"/>
  <c r="AN26" i="24" a="1"/>
  <c r="AN26" i="24" s="1"/>
  <c r="AN28" i="24" a="1"/>
  <c r="AN28" i="24" s="1"/>
  <c r="BQ10" i="24"/>
  <c r="AX10" i="24"/>
  <c r="BI11" i="24"/>
  <c r="AW13" i="24"/>
  <c r="BT13" i="24"/>
  <c r="BS13" i="24"/>
  <c r="BG15" i="24"/>
  <c r="AW16" i="24"/>
  <c r="BT16" i="24"/>
  <c r="BF17" i="24"/>
  <c r="BQ20" i="24"/>
  <c r="BB21" i="24"/>
  <c r="AG60" i="24"/>
  <c r="AO60" i="24"/>
  <c r="AE26" i="24" a="1"/>
  <c r="AE26" i="24" s="1"/>
  <c r="AM26" i="24" a="1"/>
  <c r="AM26" i="24" s="1"/>
  <c r="AE27" i="24"/>
  <c r="AM27" i="24"/>
  <c r="AB60" i="24"/>
  <c r="AJ60" i="24"/>
  <c r="AR60" i="24"/>
  <c r="BN52" i="24"/>
  <c r="BP56" i="24"/>
  <c r="AJ61" i="24"/>
  <c r="AO90" i="24"/>
  <c r="AX75" i="24"/>
  <c r="BQ75" i="24"/>
  <c r="AV75" i="24"/>
  <c r="W61" i="51"/>
  <c r="W61" i="48"/>
  <c r="W64" i="51"/>
  <c r="W64" i="48"/>
  <c r="W110" i="51"/>
  <c r="W110" i="48"/>
  <c r="W113" i="51"/>
  <c r="W113" i="48"/>
  <c r="W114" i="51"/>
  <c r="W114" i="48"/>
  <c r="L114" i="47"/>
  <c r="P114" i="47" s="1"/>
  <c r="AV82" i="24"/>
  <c r="BQ82" i="24"/>
  <c r="AX82" i="24"/>
  <c r="W58" i="51"/>
  <c r="W58" i="48"/>
  <c r="W59" i="48"/>
  <c r="W59" i="51"/>
  <c r="W60" i="48"/>
  <c r="W60" i="51"/>
  <c r="Y25" i="31"/>
  <c r="AQ27" i="24"/>
  <c r="AX14" i="24"/>
  <c r="BO14" i="24"/>
  <c r="BB15" i="24"/>
  <c r="BJ15" i="24"/>
  <c r="BR15" i="24"/>
  <c r="BF16" i="24"/>
  <c r="BN16" i="24"/>
  <c r="BA17" i="24"/>
  <c r="BI17" i="24"/>
  <c r="BQ17" i="24"/>
  <c r="BD18" i="24"/>
  <c r="BL18" i="24"/>
  <c r="BT18" i="24"/>
  <c r="AX19" i="24"/>
  <c r="BG19" i="24"/>
  <c r="BO19" i="24"/>
  <c r="BB20" i="24"/>
  <c r="BJ20" i="24"/>
  <c r="BR20" i="24"/>
  <c r="BE21" i="24"/>
  <c r="BM21" i="24"/>
  <c r="AY22" i="24"/>
  <c r="BH22" i="24"/>
  <c r="BP22" i="24"/>
  <c r="AA24" i="24"/>
  <c r="AI24" i="24"/>
  <c r="AQ24" i="24"/>
  <c r="AD60" i="24"/>
  <c r="AD61" i="24"/>
  <c r="AL60" i="24"/>
  <c r="AL61" i="24"/>
  <c r="AT61" i="24"/>
  <c r="BJ42" i="24"/>
  <c r="AY46" i="24"/>
  <c r="BQ48" i="24"/>
  <c r="BS50" i="24"/>
  <c r="AY53" i="24"/>
  <c r="AW54" i="24"/>
  <c r="BT54" i="24"/>
  <c r="BM54" i="24"/>
  <c r="BJ57" i="24"/>
  <c r="BQ58" i="24"/>
  <c r="BK59" i="24"/>
  <c r="AA90" i="24"/>
  <c r="AA91" i="24"/>
  <c r="AI91" i="24"/>
  <c r="AI90" i="24"/>
  <c r="AQ91" i="24"/>
  <c r="AQ90" i="24"/>
  <c r="BT72" i="24"/>
  <c r="AU72" i="24"/>
  <c r="BF73" i="24"/>
  <c r="BN73" i="24"/>
  <c r="AW81" i="24"/>
  <c r="N21" i="33"/>
  <c r="R21" i="33"/>
  <c r="Q21" i="33"/>
  <c r="P21" i="33"/>
  <c r="M21" i="33"/>
  <c r="AB24" i="24"/>
  <c r="AJ24" i="24"/>
  <c r="AR24" i="24"/>
  <c r="AK28" i="24" a="1"/>
  <c r="AK28" i="24" s="1"/>
  <c r="AE60" i="24"/>
  <c r="AM60" i="24"/>
  <c r="AY43" i="24"/>
  <c r="BR48" i="24"/>
  <c r="BG56" i="24"/>
  <c r="BM57" i="24"/>
  <c r="AB90" i="24"/>
  <c r="AR90" i="24"/>
  <c r="BE84" i="24"/>
  <c r="BF84" i="24"/>
  <c r="BM84" i="24"/>
  <c r="BN84" i="24"/>
  <c r="AJ90" i="24"/>
  <c r="W13" i="51"/>
  <c r="W13" i="48"/>
  <c r="P31" i="47"/>
  <c r="L44" i="47"/>
  <c r="P44" i="47" s="1"/>
  <c r="BD5" i="24"/>
  <c r="BL5" i="24"/>
  <c r="BT5" i="24"/>
  <c r="AC26" i="24" a="1"/>
  <c r="AC26" i="24" s="1"/>
  <c r="AK26" i="24" a="1"/>
  <c r="AK26" i="24" s="1"/>
  <c r="AF61" i="24"/>
  <c r="BN43" i="24"/>
  <c r="AW44" i="24"/>
  <c r="BQ44" i="24"/>
  <c r="BR46" i="24"/>
  <c r="BI48" i="24"/>
  <c r="BT48" i="24"/>
  <c r="AX50" i="24"/>
  <c r="BJ50" i="24"/>
  <c r="BS51" i="24"/>
  <c r="AX52" i="24"/>
  <c r="BF52" i="24"/>
  <c r="BA54" i="24"/>
  <c r="BQ54" i="24"/>
  <c r="AW57" i="24"/>
  <c r="AH60" i="24"/>
  <c r="AB61" i="24"/>
  <c r="AR61" i="24"/>
  <c r="BQ74" i="24"/>
  <c r="AX74" i="24"/>
  <c r="AV74" i="24"/>
  <c r="AY75" i="24"/>
  <c r="BO81" i="24"/>
  <c r="BG86" i="24"/>
  <c r="BH86" i="24"/>
  <c r="T11" i="47"/>
  <c r="W14" i="51"/>
  <c r="W14" i="48"/>
  <c r="BM5" i="24"/>
  <c r="BD6" i="24"/>
  <c r="AC28" i="24" a="1"/>
  <c r="AC28" i="24" s="1"/>
  <c r="AL28" i="24" a="1"/>
  <c r="AL28" i="24" s="1"/>
  <c r="AG61" i="24"/>
  <c r="AO61" i="24"/>
  <c r="BF43" i="24"/>
  <c r="BS46" i="24"/>
  <c r="AX47" i="24"/>
  <c r="BP49" i="24"/>
  <c r="BT51" i="24"/>
  <c r="AY52" i="24"/>
  <c r="BI52" i="24"/>
  <c r="BN53" i="24"/>
  <c r="BR54" i="24"/>
  <c r="BH55" i="24"/>
  <c r="BK56" i="24"/>
  <c r="AX57" i="24"/>
  <c r="AY59" i="24"/>
  <c r="BP59" i="24"/>
  <c r="AD90" i="24"/>
  <c r="AD91" i="24"/>
  <c r="AL90" i="24"/>
  <c r="AL91" i="24"/>
  <c r="AT91" i="24"/>
  <c r="AY72" i="24"/>
  <c r="BT73" i="24"/>
  <c r="W101" i="51"/>
  <c r="W101" i="48"/>
  <c r="L137" i="47"/>
  <c r="P137" i="47" s="1"/>
  <c r="W156" i="51"/>
  <c r="W156" i="48"/>
  <c r="W198" i="51"/>
  <c r="W198" i="48"/>
  <c r="W250" i="51"/>
  <c r="W250" i="48"/>
  <c r="W252" i="51"/>
  <c r="W252" i="48"/>
  <c r="L252" i="47"/>
  <c r="AQ28" i="24" a="1"/>
  <c r="AQ28" i="24" s="1"/>
  <c r="BA45" i="24"/>
  <c r="BA48" i="24"/>
  <c r="BL48" i="24"/>
  <c r="BB50" i="24"/>
  <c r="BM50" i="24"/>
  <c r="BE54" i="24"/>
  <c r="BB57" i="24"/>
  <c r="BR57" i="24"/>
  <c r="AY58" i="24"/>
  <c r="BI58" i="24"/>
  <c r="BC59" i="24"/>
  <c r="AE90" i="24"/>
  <c r="AE91" i="24"/>
  <c r="AM90" i="24"/>
  <c r="AM91" i="24"/>
  <c r="BD79" i="24"/>
  <c r="BE79" i="24"/>
  <c r="BL79" i="24"/>
  <c r="BM79" i="24"/>
  <c r="AW79" i="24"/>
  <c r="BT79" i="24"/>
  <c r="AU79" i="24"/>
  <c r="W128" i="51"/>
  <c r="W128" i="48"/>
  <c r="W161" i="51"/>
  <c r="W161" i="48"/>
  <c r="L201" i="47"/>
  <c r="P201" i="47" s="1"/>
  <c r="P190" i="47"/>
  <c r="W192" i="51" s="1"/>
  <c r="AA60" i="24"/>
  <c r="AI60" i="24"/>
  <c r="AQ60" i="24"/>
  <c r="BR43" i="24"/>
  <c r="AW55" i="24"/>
  <c r="BE57" i="24"/>
  <c r="AI61" i="24"/>
  <c r="AF91" i="24"/>
  <c r="AF90" i="24"/>
  <c r="AN91" i="24"/>
  <c r="AN90" i="24"/>
  <c r="AV72" i="24"/>
  <c r="BQ72" i="24"/>
  <c r="BR77" i="24"/>
  <c r="AY77" i="24"/>
  <c r="BF89" i="24"/>
  <c r="BG89" i="24"/>
  <c r="W124" i="51"/>
  <c r="W124" i="48"/>
  <c r="BD77" i="24"/>
  <c r="BL77" i="24"/>
  <c r="AW77" i="24"/>
  <c r="BT77" i="24"/>
  <c r="AU77" i="24"/>
  <c r="BB82" i="24"/>
  <c r="BJ82" i="24"/>
  <c r="BR82" i="24"/>
  <c r="BQ86" i="24"/>
  <c r="AX86" i="24"/>
  <c r="BD88" i="24"/>
  <c r="BL88" i="24"/>
  <c r="BT88" i="24"/>
  <c r="R26" i="33"/>
  <c r="Q26" i="33"/>
  <c r="P26" i="33"/>
  <c r="N26" i="33"/>
  <c r="O68" i="47"/>
  <c r="W55" i="51"/>
  <c r="W55" i="48"/>
  <c r="W65" i="51"/>
  <c r="W65" i="48"/>
  <c r="W107" i="51"/>
  <c r="W107" i="48"/>
  <c r="W108" i="51"/>
  <c r="W108" i="48"/>
  <c r="W109" i="51"/>
  <c r="W109" i="48"/>
  <c r="W147" i="48"/>
  <c r="W147" i="51"/>
  <c r="W157" i="51"/>
  <c r="W157" i="48"/>
  <c r="W105" i="48"/>
  <c r="AY57" i="24"/>
  <c r="AX58" i="24"/>
  <c r="AG91" i="24"/>
  <c r="AO91" i="24"/>
  <c r="BC75" i="24"/>
  <c r="BK75" i="24"/>
  <c r="BS75" i="24"/>
  <c r="BG76" i="24"/>
  <c r="BO76" i="24"/>
  <c r="BE77" i="24"/>
  <c r="BM77" i="24"/>
  <c r="BH84" i="24"/>
  <c r="BP84" i="24"/>
  <c r="BC85" i="24"/>
  <c r="BS85" i="24"/>
  <c r="BB86" i="24"/>
  <c r="BJ86" i="24"/>
  <c r="BR86" i="24"/>
  <c r="M26" i="33"/>
  <c r="Q34" i="33"/>
  <c r="P34" i="33"/>
  <c r="R34" i="33"/>
  <c r="O34" i="33"/>
  <c r="M34" i="33"/>
  <c r="L21" i="47"/>
  <c r="P21" i="47" s="1"/>
  <c r="W21" i="51"/>
  <c r="W21" i="48"/>
  <c r="P46" i="47"/>
  <c r="N68" i="47"/>
  <c r="W88" i="51"/>
  <c r="W88" i="48"/>
  <c r="W89" i="51"/>
  <c r="W89" i="48"/>
  <c r="W104" i="51"/>
  <c r="W104" i="48"/>
  <c r="N161" i="47"/>
  <c r="P148" i="47"/>
  <c r="W175" i="51"/>
  <c r="W175" i="48"/>
  <c r="W176" i="51"/>
  <c r="W176" i="48"/>
  <c r="W227" i="51"/>
  <c r="W227" i="48"/>
  <c r="W228" i="51"/>
  <c r="W228" i="48"/>
  <c r="AH91" i="24"/>
  <c r="AP91" i="24"/>
  <c r="AX73" i="24"/>
  <c r="AU74" i="24"/>
  <c r="BD75" i="24"/>
  <c r="BL75" i="24"/>
  <c r="BT75" i="24"/>
  <c r="BH76" i="24"/>
  <c r="BP76" i="24"/>
  <c r="BG79" i="24"/>
  <c r="BO79" i="24"/>
  <c r="BR79" i="24"/>
  <c r="BA80" i="24"/>
  <c r="BI80" i="24"/>
  <c r="AV80" i="24"/>
  <c r="BQ80" i="24"/>
  <c r="AW82" i="24"/>
  <c r="BT82" i="24"/>
  <c r="AU82" i="24"/>
  <c r="BK82" i="24"/>
  <c r="AX83" i="24"/>
  <c r="AV85" i="24"/>
  <c r="BD87" i="24"/>
  <c r="BL87" i="24"/>
  <c r="AW87" i="24"/>
  <c r="BT87" i="24"/>
  <c r="AU87" i="24"/>
  <c r="BO88" i="24"/>
  <c r="BA89" i="24"/>
  <c r="BI89" i="24"/>
  <c r="BQ89" i="24"/>
  <c r="Z90" i="24"/>
  <c r="M4" i="33"/>
  <c r="R4" i="33"/>
  <c r="Q4" i="33"/>
  <c r="P4" i="33"/>
  <c r="N4" i="33"/>
  <c r="M12" i="33"/>
  <c r="R12" i="33"/>
  <c r="Q12" i="33"/>
  <c r="P12" i="33"/>
  <c r="O12" i="33"/>
  <c r="N12" i="33"/>
  <c r="O26" i="33"/>
  <c r="N34" i="33"/>
  <c r="Q40" i="33"/>
  <c r="R40" i="33"/>
  <c r="P40" i="33"/>
  <c r="N40" i="33"/>
  <c r="O42" i="33"/>
  <c r="N42" i="33"/>
  <c r="R42" i="33"/>
  <c r="Q42" i="33"/>
  <c r="P42" i="33"/>
  <c r="M42" i="33"/>
  <c r="W12" i="51"/>
  <c r="W12" i="48"/>
  <c r="W44" i="51"/>
  <c r="W44" i="48"/>
  <c r="M91" i="47"/>
  <c r="W84" i="48"/>
  <c r="W84" i="51"/>
  <c r="W102" i="51"/>
  <c r="W102" i="48"/>
  <c r="W103" i="51"/>
  <c r="W103" i="48"/>
  <c r="P104" i="47"/>
  <c r="W136" i="51"/>
  <c r="W136" i="48"/>
  <c r="W137" i="51"/>
  <c r="W137" i="48"/>
  <c r="W154" i="51"/>
  <c r="W154" i="48"/>
  <c r="W155" i="48"/>
  <c r="W155" i="51"/>
  <c r="M184" i="47"/>
  <c r="W179" i="51"/>
  <c r="W179" i="48"/>
  <c r="W181" i="51"/>
  <c r="W181" i="48"/>
  <c r="W224" i="51"/>
  <c r="W224" i="48"/>
  <c r="W240" i="48"/>
  <c r="W240" i="51"/>
  <c r="W243" i="51"/>
  <c r="W243" i="48"/>
  <c r="W245" i="48"/>
  <c r="W245" i="51"/>
  <c r="BG80" i="24"/>
  <c r="BQ83" i="24"/>
  <c r="P7" i="33"/>
  <c r="R7" i="33"/>
  <c r="Q7" i="33"/>
  <c r="N7" i="33"/>
  <c r="Q24" i="33"/>
  <c r="O24" i="33"/>
  <c r="N24" i="33"/>
  <c r="P24" i="33"/>
  <c r="N21" i="47"/>
  <c r="M21" i="47"/>
  <c r="W18" i="51"/>
  <c r="W18" i="48"/>
  <c r="P45" i="47"/>
  <c r="T14" i="47"/>
  <c r="P75" i="47"/>
  <c r="L91" i="47"/>
  <c r="P91" i="47" s="1"/>
  <c r="W86" i="51"/>
  <c r="W86" i="48"/>
  <c r="W87" i="51"/>
  <c r="W87" i="48"/>
  <c r="W100" i="51"/>
  <c r="W100" i="48"/>
  <c r="W127" i="51"/>
  <c r="W127" i="48"/>
  <c r="W132" i="51"/>
  <c r="W132" i="48"/>
  <c r="P138" i="47"/>
  <c r="T7" i="47"/>
  <c r="L184" i="47"/>
  <c r="P167" i="47"/>
  <c r="W169" i="51" s="1"/>
  <c r="W184" i="51"/>
  <c r="W184" i="48"/>
  <c r="W200" i="51"/>
  <c r="W200" i="48"/>
  <c r="W202" i="51"/>
  <c r="W202" i="48"/>
  <c r="AB91" i="24"/>
  <c r="AR91" i="24"/>
  <c r="BG74" i="24"/>
  <c r="BO74" i="24"/>
  <c r="BP78" i="24"/>
  <c r="AY82" i="24"/>
  <c r="M7" i="33"/>
  <c r="M24" i="33"/>
  <c r="W10" i="51"/>
  <c r="W10" i="48"/>
  <c r="W42" i="51"/>
  <c r="W42" i="48"/>
  <c r="W82" i="51"/>
  <c r="W82" i="48"/>
  <c r="M114" i="47"/>
  <c r="W125" i="51"/>
  <c r="W125" i="48"/>
  <c r="W126" i="51"/>
  <c r="W126" i="48"/>
  <c r="P127" i="47"/>
  <c r="W131" i="51"/>
  <c r="W131" i="48"/>
  <c r="W196" i="48"/>
  <c r="W196" i="51"/>
  <c r="AC90" i="24"/>
  <c r="AK90" i="24"/>
  <c r="AS91" i="24"/>
  <c r="AV77" i="24"/>
  <c r="BQ77" i="24"/>
  <c r="BQ78" i="24"/>
  <c r="AX78" i="24"/>
  <c r="BD80" i="24"/>
  <c r="BL80" i="24"/>
  <c r="BT80" i="24"/>
  <c r="BR83" i="24"/>
  <c r="AY83" i="24"/>
  <c r="AW85" i="24"/>
  <c r="BT85" i="24"/>
  <c r="AU85" i="24"/>
  <c r="BK85" i="24"/>
  <c r="AV86" i="24"/>
  <c r="BG87" i="24"/>
  <c r="BO87" i="24"/>
  <c r="BR87" i="24"/>
  <c r="BA88" i="24"/>
  <c r="BI88" i="24"/>
  <c r="AV88" i="24"/>
  <c r="BQ88" i="24"/>
  <c r="AG90" i="24"/>
  <c r="AC91" i="24"/>
  <c r="O7" i="33"/>
  <c r="R24" i="33"/>
  <c r="O38" i="33"/>
  <c r="P38" i="33"/>
  <c r="N38" i="33"/>
  <c r="Q38" i="33"/>
  <c r="N45" i="33"/>
  <c r="Q45" i="33"/>
  <c r="P45" i="33"/>
  <c r="O45" i="33"/>
  <c r="M45" i="33"/>
  <c r="O21" i="47"/>
  <c r="W16" i="51"/>
  <c r="W16" i="48"/>
  <c r="W35" i="48"/>
  <c r="W35" i="51"/>
  <c r="W67" i="51"/>
  <c r="W67" i="48"/>
  <c r="W80" i="51"/>
  <c r="W80" i="48"/>
  <c r="N114" i="47"/>
  <c r="P121" i="47"/>
  <c r="P160" i="47"/>
  <c r="AH9" i="48"/>
  <c r="N46" i="48"/>
  <c r="W36" i="48"/>
  <c r="O187" i="48"/>
  <c r="AD6" i="48" s="1"/>
  <c r="O186" i="48"/>
  <c r="P13" i="33"/>
  <c r="P15" i="33"/>
  <c r="O15" i="33"/>
  <c r="N15" i="33"/>
  <c r="N29" i="33"/>
  <c r="P29" i="33"/>
  <c r="O29" i="33"/>
  <c r="Q48" i="33"/>
  <c r="R48" i="33"/>
  <c r="P48" i="33"/>
  <c r="M52" i="33"/>
  <c r="P52" i="33"/>
  <c r="O52" i="33"/>
  <c r="W19" i="51"/>
  <c r="W19" i="48"/>
  <c r="W31" i="51"/>
  <c r="W31" i="48"/>
  <c r="W34" i="51"/>
  <c r="W34" i="48"/>
  <c r="W37" i="51"/>
  <c r="W37" i="48"/>
  <c r="W41" i="51"/>
  <c r="W41" i="48"/>
  <c r="W54" i="51"/>
  <c r="W54" i="48"/>
  <c r="W57" i="51"/>
  <c r="W57" i="48"/>
  <c r="W63" i="51"/>
  <c r="W63" i="48"/>
  <c r="W112" i="51"/>
  <c r="W112" i="48"/>
  <c r="M137" i="47"/>
  <c r="W152" i="51"/>
  <c r="W152" i="48"/>
  <c r="W193" i="48"/>
  <c r="W193" i="51"/>
  <c r="W222" i="48"/>
  <c r="W222" i="51"/>
  <c r="W223" i="51"/>
  <c r="W223" i="48"/>
  <c r="P224" i="47"/>
  <c r="W246" i="51"/>
  <c r="W246" i="48"/>
  <c r="P247" i="47"/>
  <c r="T23" i="48"/>
  <c r="T24" i="48"/>
  <c r="T46" i="51"/>
  <c r="U24" i="48"/>
  <c r="U23" i="48"/>
  <c r="T46" i="48"/>
  <c r="T47" i="48"/>
  <c r="P71" i="48"/>
  <c r="P70" i="48"/>
  <c r="T117" i="48"/>
  <c r="M116" i="48"/>
  <c r="AX76" i="24"/>
  <c r="AX84" i="24"/>
  <c r="AY89" i="24"/>
  <c r="O6" i="33"/>
  <c r="P6" i="33"/>
  <c r="N6" i="33"/>
  <c r="R13" i="33"/>
  <c r="Q15" i="33"/>
  <c r="N17" i="33"/>
  <c r="R25" i="33"/>
  <c r="Q25" i="33"/>
  <c r="P25" i="33"/>
  <c r="Q29" i="33"/>
  <c r="N31" i="33"/>
  <c r="P39" i="33"/>
  <c r="R39" i="33"/>
  <c r="Q39" i="33"/>
  <c r="N48" i="33"/>
  <c r="Q52" i="33"/>
  <c r="P22" i="47"/>
  <c r="W40" i="51"/>
  <c r="W40" i="48"/>
  <c r="W56" i="51"/>
  <c r="W56" i="48"/>
  <c r="W85" i="51"/>
  <c r="W85" i="48"/>
  <c r="W91" i="51"/>
  <c r="W91" i="48"/>
  <c r="O137" i="47"/>
  <c r="W148" i="51"/>
  <c r="W148" i="48"/>
  <c r="O184" i="47"/>
  <c r="W183" i="51"/>
  <c r="W183" i="48"/>
  <c r="W194" i="51"/>
  <c r="W194" i="48"/>
  <c r="W217" i="48"/>
  <c r="W217" i="51"/>
  <c r="N252" i="47"/>
  <c r="P236" i="47"/>
  <c r="W239" i="51"/>
  <c r="W239" i="48"/>
  <c r="O71" i="48"/>
  <c r="U94" i="48"/>
  <c r="U93" i="48"/>
  <c r="O204" i="48"/>
  <c r="W221" i="48"/>
  <c r="U187" i="51"/>
  <c r="U186" i="51"/>
  <c r="AU80" i="24"/>
  <c r="AU88" i="24"/>
  <c r="Q2" i="33"/>
  <c r="P2" i="33"/>
  <c r="M6" i="33"/>
  <c r="M8" i="33"/>
  <c r="R15" i="33"/>
  <c r="O17" i="33"/>
  <c r="M20" i="33"/>
  <c r="P20" i="33"/>
  <c r="O20" i="33"/>
  <c r="M25" i="33"/>
  <c r="R29" i="33"/>
  <c r="O31" i="33"/>
  <c r="R33" i="33"/>
  <c r="O33" i="33"/>
  <c r="N33" i="33"/>
  <c r="M39" i="33"/>
  <c r="O48" i="33"/>
  <c r="R52" i="33"/>
  <c r="W11" i="51"/>
  <c r="W11" i="48"/>
  <c r="W32" i="51"/>
  <c r="W32" i="48"/>
  <c r="W81" i="51"/>
  <c r="W81" i="48"/>
  <c r="P136" i="47"/>
  <c r="W153" i="51"/>
  <c r="W153" i="48"/>
  <c r="W160" i="51"/>
  <c r="W160" i="48"/>
  <c r="W172" i="48"/>
  <c r="W172" i="51"/>
  <c r="P175" i="47"/>
  <c r="O201" i="47"/>
  <c r="L230" i="47"/>
  <c r="P230" i="47" s="1"/>
  <c r="P213" i="47"/>
  <c r="W215" i="51" s="1"/>
  <c r="N230" i="47"/>
  <c r="W247" i="51"/>
  <c r="W247" i="48"/>
  <c r="P138" i="48"/>
  <c r="AU75" i="24"/>
  <c r="AU83" i="24"/>
  <c r="AS89" i="24"/>
  <c r="AS90" i="24" s="1"/>
  <c r="Q6" i="33"/>
  <c r="N8" i="33"/>
  <c r="Q16" i="33"/>
  <c r="R16" i="33"/>
  <c r="P16" i="33"/>
  <c r="P17" i="33"/>
  <c r="N25" i="33"/>
  <c r="O30" i="33"/>
  <c r="R30" i="33"/>
  <c r="Q30" i="33"/>
  <c r="Q31" i="33"/>
  <c r="N39" i="33"/>
  <c r="P47" i="33"/>
  <c r="O47" i="33"/>
  <c r="N47" i="33"/>
  <c r="N53" i="33"/>
  <c r="R53" i="33"/>
  <c r="Q53" i="33"/>
  <c r="P18" i="47"/>
  <c r="P20" i="47"/>
  <c r="W68" i="48"/>
  <c r="W68" i="51"/>
  <c r="P76" i="47"/>
  <c r="W79" i="51"/>
  <c r="W79" i="48"/>
  <c r="W134" i="51"/>
  <c r="W134" i="48"/>
  <c r="W182" i="48"/>
  <c r="W182" i="51"/>
  <c r="W219" i="51"/>
  <c r="W219" i="48"/>
  <c r="T71" i="48"/>
  <c r="W149" i="48"/>
  <c r="O163" i="48"/>
  <c r="W178" i="48"/>
  <c r="T204" i="48"/>
  <c r="T205" i="48"/>
  <c r="P232" i="48"/>
  <c r="P233" i="48"/>
  <c r="O10" i="33"/>
  <c r="N10" i="33"/>
  <c r="M44" i="33"/>
  <c r="R44" i="33"/>
  <c r="Q44" i="33"/>
  <c r="P6" i="47"/>
  <c r="W15" i="51"/>
  <c r="W15" i="48"/>
  <c r="M44" i="47"/>
  <c r="W62" i="51"/>
  <c r="W62" i="48"/>
  <c r="P128" i="47"/>
  <c r="W133" i="51"/>
  <c r="W133" i="48"/>
  <c r="L161" i="47"/>
  <c r="P169" i="47"/>
  <c r="W173" i="51"/>
  <c r="W173" i="48"/>
  <c r="P193" i="47"/>
  <c r="W216" i="51"/>
  <c r="W216" i="48"/>
  <c r="P202" i="47"/>
  <c r="W220" i="51"/>
  <c r="W220" i="48"/>
  <c r="W242" i="51"/>
  <c r="W242" i="48"/>
  <c r="P46" i="48"/>
  <c r="N116" i="48"/>
  <c r="P204" i="48"/>
  <c r="O233" i="48"/>
  <c r="O232" i="48"/>
  <c r="P7" i="47"/>
  <c r="P15" i="47"/>
  <c r="P41" i="47"/>
  <c r="L68" i="47"/>
  <c r="P68" i="47" s="1"/>
  <c r="W83" i="51"/>
  <c r="W83" i="48"/>
  <c r="P113" i="47"/>
  <c r="N184" i="47"/>
  <c r="P172" i="47"/>
  <c r="O23" i="48"/>
  <c r="N23" i="48"/>
  <c r="U47" i="48"/>
  <c r="U46" i="48"/>
  <c r="T93" i="48"/>
  <c r="U116" i="48"/>
  <c r="U117" i="48"/>
  <c r="U139" i="48"/>
  <c r="T232" i="48"/>
  <c r="T233" i="48"/>
  <c r="U204" i="51"/>
  <c r="U205" i="51"/>
  <c r="T233" i="51"/>
  <c r="T232" i="51"/>
  <c r="M5" i="33"/>
  <c r="M9" i="33"/>
  <c r="M14" i="33"/>
  <c r="M23" i="33"/>
  <c r="N28" i="33"/>
  <c r="M32" i="33"/>
  <c r="M37" i="33"/>
  <c r="M41" i="33"/>
  <c r="M46" i="33"/>
  <c r="O44" i="47"/>
  <c r="W151" i="51"/>
  <c r="W151" i="48"/>
  <c r="W170" i="48"/>
  <c r="W170" i="51"/>
  <c r="W180" i="48"/>
  <c r="W180" i="51"/>
  <c r="W199" i="51"/>
  <c r="W199" i="48"/>
  <c r="W225" i="48"/>
  <c r="W225" i="51"/>
  <c r="T116" i="48"/>
  <c r="W111" i="48"/>
  <c r="M138" i="48"/>
  <c r="M139" i="48"/>
  <c r="N138" i="48"/>
  <c r="T187" i="48"/>
  <c r="U232" i="48"/>
  <c r="P23" i="51"/>
  <c r="P94" i="51"/>
  <c r="P93" i="51"/>
  <c r="U163" i="51"/>
  <c r="W248" i="48"/>
  <c r="W248" i="51"/>
  <c r="P249" i="47"/>
  <c r="P253" i="47"/>
  <c r="M23" i="48"/>
  <c r="P23" i="48"/>
  <c r="N47" i="48"/>
  <c r="N70" i="48"/>
  <c r="N71" i="48"/>
  <c r="N117" i="48"/>
  <c r="AE7" i="48" s="1"/>
  <c r="AH7" i="48" s="1"/>
  <c r="M164" i="48"/>
  <c r="W197" i="51"/>
  <c r="W197" i="48"/>
  <c r="W201" i="48"/>
  <c r="W201" i="51"/>
  <c r="W230" i="48"/>
  <c r="W230" i="51"/>
  <c r="M252" i="47"/>
  <c r="W241" i="51"/>
  <c r="W241" i="48"/>
  <c r="P242" i="47"/>
  <c r="M24" i="48"/>
  <c r="AC9" i="48" s="1"/>
  <c r="M47" i="48"/>
  <c r="M71" i="48"/>
  <c r="M70" i="48"/>
  <c r="O116" i="48"/>
  <c r="M117" i="48"/>
  <c r="AC7" i="48" s="1"/>
  <c r="AG7" i="48" s="1"/>
  <c r="O138" i="48"/>
  <c r="O139" i="48"/>
  <c r="M187" i="48"/>
  <c r="AC6" i="48" s="1"/>
  <c r="AG6" i="48" s="1"/>
  <c r="T138" i="51"/>
  <c r="T139" i="51"/>
  <c r="P94" i="48"/>
  <c r="U164" i="48"/>
  <c r="U187" i="48"/>
  <c r="U186" i="48"/>
  <c r="U204" i="48"/>
  <c r="U205" i="48"/>
  <c r="M232" i="48"/>
  <c r="M233" i="48"/>
  <c r="N46" i="51"/>
  <c r="T94" i="51"/>
  <c r="T93" i="51"/>
  <c r="M187" i="51"/>
  <c r="T187" i="51"/>
  <c r="O24" i="48"/>
  <c r="AD9" i="48" s="1"/>
  <c r="T94" i="48"/>
  <c r="U253" i="48"/>
  <c r="T24" i="51"/>
  <c r="T23" i="51"/>
  <c r="P70" i="51"/>
  <c r="N70" i="51"/>
  <c r="U94" i="51"/>
  <c r="U93" i="51"/>
  <c r="M204" i="51"/>
  <c r="P254" i="51"/>
  <c r="P253" i="51"/>
  <c r="P24" i="48"/>
  <c r="AF9" i="48" s="1"/>
  <c r="M93" i="48"/>
  <c r="N164" i="48"/>
  <c r="N163" i="48"/>
  <c r="N186" i="48"/>
  <c r="N187" i="48"/>
  <c r="AE6" i="48" s="1"/>
  <c r="M254" i="48"/>
  <c r="AC8" i="48" s="1"/>
  <c r="AG8" i="48" s="1"/>
  <c r="O70" i="51"/>
  <c r="O71" i="51"/>
  <c r="AC6" i="51" s="1"/>
  <c r="O116" i="51"/>
  <c r="M117" i="51"/>
  <c r="AB8" i="51" s="1"/>
  <c r="T163" i="51"/>
  <c r="T186" i="51"/>
  <c r="M230" i="47"/>
  <c r="P227" i="47"/>
  <c r="O46" i="48"/>
  <c r="U70" i="48"/>
  <c r="N94" i="48"/>
  <c r="P93" i="48"/>
  <c r="P116" i="48"/>
  <c r="N254" i="48"/>
  <c r="AE8" i="48" s="1"/>
  <c r="U47" i="51"/>
  <c r="O47" i="51"/>
  <c r="AC7" i="51" s="1"/>
  <c r="P71" i="51"/>
  <c r="AE6" i="51" s="1"/>
  <c r="N117" i="51"/>
  <c r="AD8" i="51" s="1"/>
  <c r="N116" i="51"/>
  <c r="N164" i="51"/>
  <c r="N163" i="51"/>
  <c r="U164" i="51"/>
  <c r="P47" i="48"/>
  <c r="O93" i="48"/>
  <c r="P163" i="48"/>
  <c r="P164" i="48"/>
  <c r="P186" i="48"/>
  <c r="P187" i="48"/>
  <c r="AF6" i="48" s="1"/>
  <c r="N204" i="48"/>
  <c r="N232" i="48"/>
  <c r="O253" i="48"/>
  <c r="U23" i="51"/>
  <c r="M46" i="51"/>
  <c r="M47" i="51"/>
  <c r="AB7" i="51" s="1"/>
  <c r="T70" i="51"/>
  <c r="M71" i="51"/>
  <c r="AB6" i="51" s="1"/>
  <c r="O163" i="51"/>
  <c r="M232" i="51"/>
  <c r="N253" i="48"/>
  <c r="O23" i="51"/>
  <c r="M93" i="51"/>
  <c r="M116" i="51"/>
  <c r="N139" i="51"/>
  <c r="P164" i="51"/>
  <c r="T164" i="51"/>
  <c r="N187" i="51"/>
  <c r="M205" i="51"/>
  <c r="M233" i="51"/>
  <c r="T253" i="51"/>
  <c r="T254" i="51"/>
  <c r="Y24" i="31"/>
  <c r="Y32" i="31"/>
  <c r="U70" i="51"/>
  <c r="N93" i="51"/>
  <c r="N94" i="51"/>
  <c r="T116" i="51"/>
  <c r="O138" i="51"/>
  <c r="O186" i="51"/>
  <c r="O187" i="51"/>
  <c r="N204" i="51"/>
  <c r="O204" i="51"/>
  <c r="U253" i="51"/>
  <c r="N233" i="48"/>
  <c r="P253" i="48"/>
  <c r="P254" i="48"/>
  <c r="AF8" i="48" s="1"/>
  <c r="U24" i="51"/>
  <c r="P46" i="51"/>
  <c r="T71" i="51"/>
  <c r="O94" i="51"/>
  <c r="O93" i="51"/>
  <c r="U117" i="51"/>
  <c r="P139" i="51"/>
  <c r="P138" i="51"/>
  <c r="P187" i="51"/>
  <c r="N205" i="51"/>
  <c r="O232" i="51"/>
  <c r="O233" i="51"/>
  <c r="M253" i="51"/>
  <c r="Y30" i="31"/>
  <c r="U71" i="51"/>
  <c r="P204" i="51"/>
  <c r="P205" i="51"/>
  <c r="P232" i="51"/>
  <c r="P139" i="48"/>
  <c r="M163" i="48"/>
  <c r="U116" i="51"/>
  <c r="M139" i="51"/>
  <c r="M138" i="51"/>
  <c r="P163" i="51"/>
  <c r="O254" i="51"/>
  <c r="O253" i="51"/>
  <c r="Y20" i="31"/>
  <c r="Y28" i="31"/>
  <c r="Y36" i="31"/>
  <c r="T254" i="48"/>
  <c r="T47" i="51"/>
  <c r="O139" i="51"/>
  <c r="M164" i="51"/>
  <c r="N186" i="51"/>
  <c r="P233" i="51"/>
  <c r="N232" i="51"/>
  <c r="Y27" i="31"/>
  <c r="Y35" i="31"/>
  <c r="M163" i="51"/>
  <c r="M186" i="51"/>
  <c r="R39" i="31"/>
  <c r="Y33" i="31" s="1"/>
  <c r="Z39" i="31"/>
  <c r="U254" i="51"/>
  <c r="AA39" i="31"/>
  <c r="M254" i="51"/>
  <c r="P47" i="51"/>
  <c r="AE7" i="51" s="1"/>
  <c r="T117" i="51"/>
  <c r="N254" i="51"/>
  <c r="BA14" i="42" l="1"/>
  <c r="AX14" i="42"/>
  <c r="AX16" i="42"/>
  <c r="AY15" i="42"/>
  <c r="AZ13" i="42"/>
  <c r="AZ12" i="42"/>
  <c r="AY12" i="42"/>
  <c r="BA13" i="42"/>
  <c r="B140" i="42"/>
  <c r="B42" i="42"/>
  <c r="C66" i="42"/>
  <c r="C67" i="42" s="1"/>
  <c r="D42" i="42"/>
  <c r="Q45" i="42" s="1"/>
  <c r="AW61" i="24"/>
  <c r="AF29" i="24"/>
  <c r="AV90" i="24"/>
  <c r="AR29" i="24"/>
  <c r="AN29" i="24"/>
  <c r="AD29" i="24"/>
  <c r="AP29" i="24"/>
  <c r="AE29" i="24"/>
  <c r="BB61" i="24"/>
  <c r="BC91" i="24"/>
  <c r="AY61" i="24"/>
  <c r="AQ29" i="24"/>
  <c r="BD61" i="24"/>
  <c r="AK29" i="24"/>
  <c r="BI61" i="24"/>
  <c r="AM29" i="24"/>
  <c r="BF91" i="24"/>
  <c r="BH61" i="24"/>
  <c r="AW22" i="24"/>
  <c r="BB91" i="24"/>
  <c r="BM91" i="24"/>
  <c r="BH91" i="24"/>
  <c r="BE61" i="24"/>
  <c r="BM61" i="24"/>
  <c r="AB29" i="24"/>
  <c r="BC24" i="24"/>
  <c r="BA91" i="24"/>
  <c r="BE91" i="24"/>
  <c r="BR91" i="24"/>
  <c r="BL61" i="24"/>
  <c r="AT59" i="24"/>
  <c r="AT60" i="24" s="1"/>
  <c r="AW60" i="24" s="1"/>
  <c r="AS26" i="24" a="1"/>
  <c r="AS26" i="24" s="1"/>
  <c r="AT14" i="24"/>
  <c r="AT27" i="24" s="1"/>
  <c r="BS61" i="24"/>
  <c r="BK61" i="24"/>
  <c r="BL91" i="24"/>
  <c r="AS24" i="24"/>
  <c r="BS14" i="24"/>
  <c r="BS24" i="24" s="1"/>
  <c r="BC61" i="24"/>
  <c r="BK91" i="24"/>
  <c r="BJ91" i="24"/>
  <c r="AX91" i="24"/>
  <c r="BA61" i="24"/>
  <c r="BM24" i="24"/>
  <c r="AS23" i="24"/>
  <c r="BG61" i="24"/>
  <c r="AS27" i="24"/>
  <c r="AS29" i="24" s="1"/>
  <c r="BQ24" i="24"/>
  <c r="BR24" i="24"/>
  <c r="BE24" i="24"/>
  <c r="BA24" i="24"/>
  <c r="BQ61" i="24"/>
  <c r="BO91" i="24"/>
  <c r="BD91" i="24"/>
  <c r="BR61" i="24"/>
  <c r="BN91" i="24"/>
  <c r="AX61" i="24"/>
  <c r="AS60" i="24"/>
  <c r="BI91" i="24"/>
  <c r="BG91" i="24"/>
  <c r="BP91" i="24"/>
  <c r="BP61" i="24"/>
  <c r="O43" i="42"/>
  <c r="B141" i="42"/>
  <c r="W164" i="51"/>
  <c r="AC33" i="31"/>
  <c r="AB33" i="31"/>
  <c r="AA33" i="31"/>
  <c r="Z33" i="31"/>
  <c r="AE33" i="31"/>
  <c r="AD33" i="31"/>
  <c r="BO44" i="4"/>
  <c r="O45" i="42"/>
  <c r="B43" i="42"/>
  <c r="H43" i="42" s="1"/>
  <c r="P35" i="42"/>
  <c r="W244" i="48"/>
  <c r="W244" i="51"/>
  <c r="BF61" i="24"/>
  <c r="BB24" i="24"/>
  <c r="BH24" i="24"/>
  <c r="AH29" i="24"/>
  <c r="AO29" i="24"/>
  <c r="S4" i="30"/>
  <c r="AM107" i="30"/>
  <c r="C157" i="42"/>
  <c r="B157" i="42"/>
  <c r="G159" i="42"/>
  <c r="BO35" i="4"/>
  <c r="AA55" i="4"/>
  <c r="P22" i="4"/>
  <c r="O9" i="4" s="1"/>
  <c r="D89" i="42"/>
  <c r="B89" i="42"/>
  <c r="K3" i="15"/>
  <c r="M5" i="15"/>
  <c r="T5" i="30"/>
  <c r="Z55" i="4"/>
  <c r="AO14" i="30"/>
  <c r="AT89" i="24"/>
  <c r="BS89" i="24"/>
  <c r="BS91" i="24" s="1"/>
  <c r="AA24" i="31"/>
  <c r="Z24" i="31"/>
  <c r="AE24" i="31"/>
  <c r="AD24" i="31"/>
  <c r="AC24" i="31"/>
  <c r="AB24" i="31"/>
  <c r="W251" i="51"/>
  <c r="W251" i="48"/>
  <c r="W174" i="51"/>
  <c r="W186" i="51" s="1"/>
  <c r="W174" i="48"/>
  <c r="W186" i="48" s="1"/>
  <c r="W9" i="51"/>
  <c r="W9" i="48"/>
  <c r="W171" i="51"/>
  <c r="W171" i="48"/>
  <c r="W78" i="51"/>
  <c r="W78" i="48"/>
  <c r="W205" i="48"/>
  <c r="W204" i="48"/>
  <c r="P252" i="47"/>
  <c r="BN24" i="24"/>
  <c r="R19" i="30"/>
  <c r="S9" i="30"/>
  <c r="AM37" i="30"/>
  <c r="BI24" i="24"/>
  <c r="R6" i="30"/>
  <c r="AL72" i="30"/>
  <c r="D127" i="42"/>
  <c r="AX24" i="24"/>
  <c r="Z29" i="24"/>
  <c r="R8" i="30"/>
  <c r="BI33" i="4"/>
  <c r="Y55" i="4"/>
  <c r="N22" i="4"/>
  <c r="O7" i="4" s="1"/>
  <c r="D112" i="42"/>
  <c r="C112" i="42"/>
  <c r="B112" i="42"/>
  <c r="W43" i="48"/>
  <c r="W43" i="51"/>
  <c r="AW91" i="24"/>
  <c r="AU91" i="24"/>
  <c r="W17" i="51"/>
  <c r="W17" i="48"/>
  <c r="P184" i="47"/>
  <c r="W77" i="51"/>
  <c r="W77" i="48"/>
  <c r="Y34" i="31"/>
  <c r="BP24" i="24"/>
  <c r="R23" i="30"/>
  <c r="Y37" i="31"/>
  <c r="Y22" i="31"/>
  <c r="W8" i="51"/>
  <c r="W8" i="48"/>
  <c r="W226" i="51"/>
  <c r="W226" i="48"/>
  <c r="W71" i="48"/>
  <c r="W70" i="48"/>
  <c r="W47" i="48"/>
  <c r="W106" i="51"/>
  <c r="W106" i="48"/>
  <c r="W117" i="48" s="1"/>
  <c r="BQ91" i="24"/>
  <c r="BL24" i="24"/>
  <c r="BJ61" i="24"/>
  <c r="Y26" i="31"/>
  <c r="BK24" i="24"/>
  <c r="AI29" i="24"/>
  <c r="U6" i="30"/>
  <c r="AO72" i="30"/>
  <c r="AO60" i="30"/>
  <c r="R24" i="30"/>
  <c r="U4" i="30"/>
  <c r="C140" i="42"/>
  <c r="R38" i="30"/>
  <c r="AN72" i="30"/>
  <c r="K14" i="15"/>
  <c r="M9" i="15" s="1"/>
  <c r="R32" i="30"/>
  <c r="AO88" i="30"/>
  <c r="U5" i="30"/>
  <c r="AO131" i="30"/>
  <c r="D140" i="42"/>
  <c r="W38" i="51"/>
  <c r="W38" i="48"/>
  <c r="AC25" i="31"/>
  <c r="AB25" i="31"/>
  <c r="AA25" i="31"/>
  <c r="Z25" i="31"/>
  <c r="AE25" i="31"/>
  <c r="AD25" i="31"/>
  <c r="AE27" i="31"/>
  <c r="AD27" i="31"/>
  <c r="AC27" i="31"/>
  <c r="AB27" i="31"/>
  <c r="AA27" i="31"/>
  <c r="Z27" i="31"/>
  <c r="W249" i="51"/>
  <c r="W249" i="48"/>
  <c r="P161" i="47"/>
  <c r="W177" i="51"/>
  <c r="W177" i="48"/>
  <c r="W123" i="51"/>
  <c r="W123" i="48"/>
  <c r="Y29" i="31"/>
  <c r="U10" i="30"/>
  <c r="AL14" i="30"/>
  <c r="AG29" i="24"/>
  <c r="AN60" i="30"/>
  <c r="BM26" i="4"/>
  <c r="BJ26" i="4"/>
  <c r="BE27" i="4"/>
  <c r="BP26" i="4"/>
  <c r="AN88" i="30"/>
  <c r="R30" i="30"/>
  <c r="R5" i="30"/>
  <c r="AL88" i="30"/>
  <c r="U8" i="30"/>
  <c r="K24" i="15"/>
  <c r="M4" i="15" s="1"/>
  <c r="M3" i="15" s="1"/>
  <c r="AE35" i="31"/>
  <c r="AD35" i="31"/>
  <c r="AC35" i="31"/>
  <c r="AB35" i="31"/>
  <c r="AA35" i="31"/>
  <c r="Z35" i="31"/>
  <c r="W232" i="51"/>
  <c r="W129" i="51"/>
  <c r="W129" i="48"/>
  <c r="AA32" i="31"/>
  <c r="Z32" i="31"/>
  <c r="AE32" i="31"/>
  <c r="AD32" i="31"/>
  <c r="AC32" i="31"/>
  <c r="AB32" i="31"/>
  <c r="AA28" i="31"/>
  <c r="Z28" i="31"/>
  <c r="AE28" i="31"/>
  <c r="AD28" i="31"/>
  <c r="AC28" i="31"/>
  <c r="AB28" i="31"/>
  <c r="AA20" i="31"/>
  <c r="Z20" i="31"/>
  <c r="AE20" i="31"/>
  <c r="AD20" i="31"/>
  <c r="AC20" i="31"/>
  <c r="AB20" i="31"/>
  <c r="W23" i="51"/>
  <c r="W23" i="48"/>
  <c r="Y31" i="31"/>
  <c r="W229" i="48"/>
  <c r="W229" i="51"/>
  <c r="W233" i="51" s="1"/>
  <c r="W232" i="48"/>
  <c r="W233" i="48"/>
  <c r="W70" i="51"/>
  <c r="W71" i="51"/>
  <c r="W117" i="51"/>
  <c r="W116" i="51"/>
  <c r="BD24" i="24"/>
  <c r="AV91" i="24"/>
  <c r="BF24" i="24"/>
  <c r="BN61" i="24"/>
  <c r="AJ29" i="24"/>
  <c r="AM72" i="30"/>
  <c r="R35" i="30"/>
  <c r="S6" i="30"/>
  <c r="Y21" i="31"/>
  <c r="Y23" i="31"/>
  <c r="AH6" i="48"/>
  <c r="W130" i="51"/>
  <c r="W130" i="48"/>
  <c r="W20" i="48"/>
  <c r="W20" i="51"/>
  <c r="W238" i="51"/>
  <c r="W238" i="48"/>
  <c r="AL29" i="24"/>
  <c r="BO61" i="24"/>
  <c r="BJ24" i="24"/>
  <c r="R18" i="30"/>
  <c r="AL37" i="30"/>
  <c r="R9" i="30"/>
  <c r="BL46" i="4"/>
  <c r="BG24" i="24"/>
  <c r="D157" i="42"/>
  <c r="BI44" i="4"/>
  <c r="BI46" i="4" s="1"/>
  <c r="BI47" i="4" s="1"/>
  <c r="I107" i="4"/>
  <c r="N8" i="4"/>
  <c r="C42" i="42"/>
  <c r="P45" i="42" s="1"/>
  <c r="S5" i="30"/>
  <c r="AM88" i="30"/>
  <c r="R31" i="30"/>
  <c r="B127" i="42"/>
  <c r="R22" i="30"/>
  <c r="J107" i="4"/>
  <c r="AA36" i="31"/>
  <c r="Z36" i="31"/>
  <c r="AE36" i="31"/>
  <c r="AD36" i="31"/>
  <c r="AC36" i="31"/>
  <c r="AB36" i="31"/>
  <c r="AE30" i="31"/>
  <c r="AD30" i="31"/>
  <c r="AC30" i="31"/>
  <c r="AB30" i="31"/>
  <c r="AA30" i="31"/>
  <c r="Z30" i="31"/>
  <c r="AH8" i="48"/>
  <c r="AG9" i="48"/>
  <c r="W187" i="48"/>
  <c r="W195" i="51"/>
  <c r="W204" i="51" s="1"/>
  <c r="W195" i="48"/>
  <c r="W150" i="51"/>
  <c r="W163" i="51" s="1"/>
  <c r="W150" i="48"/>
  <c r="W164" i="48" s="1"/>
  <c r="AY91" i="24"/>
  <c r="AC29" i="24"/>
  <c r="W33" i="51"/>
  <c r="W47" i="51" s="1"/>
  <c r="W33" i="48"/>
  <c r="W46" i="48" s="1"/>
  <c r="AY24" i="24"/>
  <c r="AA29" i="24"/>
  <c r="T9" i="30"/>
  <c r="AN37" i="30"/>
  <c r="R34" i="30"/>
  <c r="BO24" i="24"/>
  <c r="R36" i="30"/>
  <c r="R40" i="30"/>
  <c r="R4" i="30"/>
  <c r="C89" i="42"/>
  <c r="P24" i="53"/>
  <c r="I23" i="53"/>
  <c r="D23" i="53"/>
  <c r="S24" i="53"/>
  <c r="K23" i="53"/>
  <c r="R24" i="53"/>
  <c r="J23" i="53"/>
  <c r="L23" i="53"/>
  <c r="E23" i="53"/>
  <c r="C23" i="53"/>
  <c r="Q24" i="53"/>
  <c r="B23" i="53"/>
  <c r="AO37" i="30"/>
  <c r="U9" i="30"/>
  <c r="R20" i="30"/>
  <c r="AM131" i="30"/>
  <c r="R15" i="30"/>
  <c r="BO46" i="4"/>
  <c r="B66" i="42"/>
  <c r="D66" i="42"/>
  <c r="S10" i="30"/>
  <c r="O22" i="4"/>
  <c r="O8" i="4" s="1"/>
  <c r="C127" i="42"/>
  <c r="AW14" i="24" l="1"/>
  <c r="BA15" i="42"/>
  <c r="AY17" i="42"/>
  <c r="AY14" i="42"/>
  <c r="AZ15" i="42"/>
  <c r="AZ14" i="42"/>
  <c r="BA16" i="42"/>
  <c r="AT23" i="24"/>
  <c r="AW23" i="24" s="1"/>
  <c r="AW59" i="24"/>
  <c r="BT14" i="24"/>
  <c r="BT24" i="24" s="1"/>
  <c r="AT24" i="24"/>
  <c r="AW24" i="24" s="1"/>
  <c r="BT59" i="24"/>
  <c r="BT61" i="24" s="1"/>
  <c r="AT26" i="24" a="1"/>
  <c r="AT26" i="24" s="1"/>
  <c r="AT28" i="24" a="1"/>
  <c r="AT28" i="24" s="1"/>
  <c r="AT29" i="24" s="1"/>
  <c r="P40" i="42"/>
  <c r="C158" i="42"/>
  <c r="C159" i="42"/>
  <c r="O35" i="42"/>
  <c r="H66" i="42"/>
  <c r="B67" i="42"/>
  <c r="H67" i="42" s="1"/>
  <c r="O41" i="42"/>
  <c r="H127" i="42"/>
  <c r="B128" i="42"/>
  <c r="Q40" i="42"/>
  <c r="D158" i="42"/>
  <c r="D159" i="42" s="1"/>
  <c r="W205" i="51"/>
  <c r="AC37" i="31"/>
  <c r="AB37" i="31"/>
  <c r="AA37" i="31"/>
  <c r="Z37" i="31"/>
  <c r="AE37" i="31"/>
  <c r="AD37" i="31"/>
  <c r="O37" i="42"/>
  <c r="H89" i="42"/>
  <c r="B90" i="42"/>
  <c r="H42" i="42"/>
  <c r="W138" i="51"/>
  <c r="W139" i="51"/>
  <c r="W163" i="48"/>
  <c r="H112" i="42"/>
  <c r="O38" i="42"/>
  <c r="B113" i="42"/>
  <c r="Q37" i="42"/>
  <c r="D90" i="42"/>
  <c r="AE22" i="31"/>
  <c r="AD22" i="31"/>
  <c r="AC22" i="31"/>
  <c r="AB22" i="31"/>
  <c r="AA22" i="31"/>
  <c r="Z22" i="31"/>
  <c r="W93" i="51"/>
  <c r="W94" i="51"/>
  <c r="P38" i="42"/>
  <c r="C113" i="42"/>
  <c r="Q41" i="42"/>
  <c r="D128" i="42"/>
  <c r="AW89" i="24"/>
  <c r="AU89" i="24"/>
  <c r="BT89" i="24"/>
  <c r="BT91" i="24" s="1"/>
  <c r="AT90" i="24"/>
  <c r="P37" i="42"/>
  <c r="C90" i="42"/>
  <c r="AE23" i="31"/>
  <c r="AD23" i="31"/>
  <c r="AC23" i="31"/>
  <c r="AC38" i="31" s="1"/>
  <c r="AB23" i="31"/>
  <c r="AA23" i="31"/>
  <c r="Z23" i="31"/>
  <c r="W46" i="51"/>
  <c r="Q38" i="42"/>
  <c r="D113" i="42"/>
  <c r="P41" i="42"/>
  <c r="C128" i="42"/>
  <c r="W253" i="48"/>
  <c r="W254" i="48"/>
  <c r="AC21" i="31"/>
  <c r="AB21" i="31"/>
  <c r="AB38" i="31" s="1"/>
  <c r="AA21" i="31"/>
  <c r="AA38" i="31" s="1"/>
  <c r="Z21" i="31"/>
  <c r="AE21" i="31"/>
  <c r="AD21" i="31"/>
  <c r="AD38" i="31" s="1"/>
  <c r="BJ27" i="4"/>
  <c r="BE28" i="4"/>
  <c r="BP27" i="4"/>
  <c r="BM27" i="4"/>
  <c r="AE34" i="31"/>
  <c r="AD34" i="31"/>
  <c r="AC34" i="31"/>
  <c r="AB34" i="31"/>
  <c r="AA34" i="31"/>
  <c r="Z34" i="31"/>
  <c r="Q35" i="42"/>
  <c r="D67" i="42"/>
  <c r="W253" i="51"/>
  <c r="W254" i="51"/>
  <c r="AE31" i="31"/>
  <c r="AE38" i="31" s="1"/>
  <c r="AD31" i="31"/>
  <c r="AC31" i="31"/>
  <c r="AB31" i="31"/>
  <c r="AA31" i="31"/>
  <c r="Z31" i="31"/>
  <c r="AC29" i="31"/>
  <c r="AB29" i="31"/>
  <c r="AA29" i="31"/>
  <c r="Z29" i="31"/>
  <c r="AE29" i="31"/>
  <c r="AD29" i="31"/>
  <c r="Q43" i="42"/>
  <c r="D141" i="42"/>
  <c r="P43" i="42"/>
  <c r="C141" i="42"/>
  <c r="H141" i="42" s="1"/>
  <c r="AE26" i="31"/>
  <c r="AD26" i="31"/>
  <c r="AC26" i="31"/>
  <c r="AB26" i="31"/>
  <c r="AA26" i="31"/>
  <c r="Z26" i="31"/>
  <c r="Z38" i="31" s="1"/>
  <c r="W116" i="48"/>
  <c r="W24" i="48"/>
  <c r="W187" i="51"/>
  <c r="W139" i="48"/>
  <c r="W138" i="48"/>
  <c r="W24" i="51"/>
  <c r="W94" i="48"/>
  <c r="W93" i="48"/>
  <c r="O40" i="42"/>
  <c r="H157" i="42"/>
  <c r="B158" i="42"/>
  <c r="H158" i="42" s="1"/>
  <c r="H140" i="42"/>
  <c r="B159" i="42" l="1"/>
  <c r="H142" i="42" s="1"/>
  <c r="AY16" i="42"/>
  <c r="BA18" i="42"/>
  <c r="AY19" i="42"/>
  <c r="AZ17" i="42"/>
  <c r="BA17" i="42"/>
  <c r="AZ16" i="42"/>
  <c r="H90" i="42"/>
  <c r="H113" i="42"/>
  <c r="H159" i="42"/>
  <c r="H114" i="42"/>
  <c r="BE29" i="4"/>
  <c r="BP28" i="4"/>
  <c r="BM28" i="4"/>
  <c r="BJ28" i="4"/>
  <c r="AW90" i="24"/>
  <c r="AU90" i="24"/>
  <c r="H128" i="42"/>
  <c r="AZ19" i="42" l="1"/>
  <c r="AZ18" i="42"/>
  <c r="AY18" i="42"/>
  <c r="AY21" i="42"/>
  <c r="AY23" i="42"/>
  <c r="BA20" i="42"/>
  <c r="BA19" i="42"/>
  <c r="BE30" i="4"/>
  <c r="BP29" i="4"/>
  <c r="BM29" i="4"/>
  <c r="BJ29" i="4"/>
  <c r="AY20" i="42" l="1"/>
  <c r="AZ20" i="42"/>
  <c r="BA23" i="42"/>
  <c r="BA21" i="42"/>
  <c r="BA22" i="42"/>
  <c r="BA24" i="42"/>
  <c r="AZ21" i="42"/>
  <c r="AZ23" i="42"/>
  <c r="BM30" i="4"/>
  <c r="BJ30" i="4"/>
  <c r="BE31" i="4"/>
  <c r="BP30" i="4"/>
  <c r="AZ22" i="42" l="1"/>
  <c r="AZ24" i="42"/>
  <c r="AY22" i="42"/>
  <c r="AY24" i="42"/>
  <c r="BJ31" i="4"/>
  <c r="BM31" i="4"/>
  <c r="BE32" i="4"/>
  <c r="BP31" i="4"/>
  <c r="BM32" i="4" l="1"/>
  <c r="BJ32" i="4"/>
  <c r="BE33" i="4"/>
  <c r="BP32" i="4"/>
  <c r="BE34" i="4" l="1"/>
  <c r="BP33" i="4"/>
  <c r="BM33" i="4"/>
  <c r="BJ33" i="4"/>
  <c r="BM34" i="4" l="1"/>
  <c r="BE35" i="4"/>
  <c r="BP34" i="4"/>
  <c r="BJ34" i="4"/>
  <c r="BJ35" i="4" l="1"/>
  <c r="BE36" i="4"/>
  <c r="BM35" i="4"/>
  <c r="BP35" i="4"/>
  <c r="BE37" i="4" l="1"/>
  <c r="BP36" i="4"/>
  <c r="BM36" i="4"/>
  <c r="BJ36" i="4"/>
  <c r="BE38" i="4" l="1"/>
  <c r="BP37" i="4"/>
  <c r="BM37" i="4"/>
  <c r="BJ37" i="4"/>
  <c r="BM38" i="4" l="1"/>
  <c r="BJ38" i="4"/>
  <c r="BE39" i="4"/>
  <c r="BP38" i="4"/>
  <c r="BJ39" i="4" l="1"/>
  <c r="BM39" i="4"/>
  <c r="BE40" i="4"/>
  <c r="BP39" i="4"/>
  <c r="BM40" i="4" l="1"/>
  <c r="BE41" i="4"/>
  <c r="BP40" i="4"/>
  <c r="BJ40" i="4"/>
  <c r="BJ41" i="4" l="1"/>
  <c r="BP41" i="4"/>
  <c r="BM41"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<sst xmlns="http://schemas.openxmlformats.org/spreadsheetml/2006/main" count="11028" uniqueCount="1358">
  <si>
    <t>LAC</t>
  </si>
  <si>
    <t>Latin America and the Caribbean</t>
  </si>
  <si>
    <t>Row Labels</t>
  </si>
  <si>
    <t>Sum of POP2021UN</t>
  </si>
  <si>
    <t>Sum of POP2022UN</t>
  </si>
  <si>
    <t>Sum of POP2023UN</t>
  </si>
  <si>
    <t>isoalpha3</t>
  </si>
  <si>
    <t>year</t>
  </si>
  <si>
    <t>survey</t>
  </si>
  <si>
    <t>levelpob_total</t>
  </si>
  <si>
    <t>ARG</t>
  </si>
  <si>
    <t>EPHC</t>
  </si>
  <si>
    <t>BHS</t>
  </si>
  <si>
    <t>LFS</t>
  </si>
  <si>
    <t>BLZ</t>
  </si>
  <si>
    <t>BOL</t>
  </si>
  <si>
    <t>ECH</t>
  </si>
  <si>
    <t>BRA</t>
  </si>
  <si>
    <t>PNADC</t>
  </si>
  <si>
    <t>BRB</t>
  </si>
  <si>
    <t>CLFS</t>
  </si>
  <si>
    <t>CHL</t>
  </si>
  <si>
    <t>CASEN</t>
  </si>
  <si>
    <t>COL</t>
  </si>
  <si>
    <t>GEIH</t>
  </si>
  <si>
    <t>CRI</t>
  </si>
  <si>
    <t>ENAHO</t>
  </si>
  <si>
    <t>DOM</t>
  </si>
  <si>
    <t>ENCFT</t>
  </si>
  <si>
    <t>ECU</t>
  </si>
  <si>
    <t>ENEMDU</t>
  </si>
  <si>
    <t>GTM</t>
  </si>
  <si>
    <t>ENEI</t>
  </si>
  <si>
    <t>GUY</t>
  </si>
  <si>
    <t>HND</t>
  </si>
  <si>
    <t>EPHPM</t>
  </si>
  <si>
    <t>HTI</t>
  </si>
  <si>
    <t>JAM</t>
  </si>
  <si>
    <t>MEX</t>
  </si>
  <si>
    <t>ENIGH</t>
  </si>
  <si>
    <t>NIC</t>
  </si>
  <si>
    <t>EMNV</t>
  </si>
  <si>
    <t>PAN</t>
  </si>
  <si>
    <t>EHPM</t>
  </si>
  <si>
    <t>PER</t>
  </si>
  <si>
    <t>PRY</t>
  </si>
  <si>
    <t>SLV</t>
  </si>
  <si>
    <t>TTO</t>
  </si>
  <si>
    <t>CSSP</t>
  </si>
  <si>
    <t>SUR</t>
  </si>
  <si>
    <t>URY</t>
  </si>
  <si>
    <t>VEN</t>
  </si>
  <si>
    <t>ENCOVI</t>
  </si>
  <si>
    <t>Grand Total</t>
  </si>
  <si>
    <t>UN</t>
  </si>
  <si>
    <t>Name</t>
  </si>
  <si>
    <t>High Income</t>
  </si>
  <si>
    <t>OECD</t>
  </si>
  <si>
    <t>POP2022WB</t>
  </si>
  <si>
    <t>POP2021UN</t>
  </si>
  <si>
    <t>POP2022UN</t>
  </si>
  <si>
    <t>POP2023UN</t>
  </si>
  <si>
    <t>Index</t>
  </si>
  <si>
    <t>Variant</t>
  </si>
  <si>
    <t>Region, subregion, country or area *</t>
  </si>
  <si>
    <t>Notes</t>
  </si>
  <si>
    <t>Location code</t>
  </si>
  <si>
    <t>ISO3 Alpha-code</t>
  </si>
  <si>
    <t>ISO2 Alpha-code</t>
  </si>
  <si>
    <t>SDMX code**</t>
  </si>
  <si>
    <t>Type</t>
  </si>
  <si>
    <t>Parent code</t>
  </si>
  <si>
    <t>1/</t>
  </si>
  <si>
    <t>2/</t>
  </si>
  <si>
    <t>3/</t>
  </si>
  <si>
    <t>4/</t>
  </si>
  <si>
    <t>5/</t>
  </si>
  <si>
    <t>6/</t>
  </si>
  <si>
    <t>ABW</t>
  </si>
  <si>
    <t>Aruba</t>
  </si>
  <si>
    <t>High income</t>
  </si>
  <si>
    <t/>
  </si>
  <si>
    <t>Estimates</t>
  </si>
  <si>
    <t>Burundi</t>
  </si>
  <si>
    <t>BDI</t>
  </si>
  <si>
    <t>BI</t>
  </si>
  <si>
    <t>Country/Area</t>
  </si>
  <si>
    <t>AFE</t>
  </si>
  <si>
    <t>Africa Eastern and Southern</t>
  </si>
  <si>
    <t>Comoros</t>
  </si>
  <si>
    <t>COM</t>
  </si>
  <si>
    <t>KM</t>
  </si>
  <si>
    <t>AFG</t>
  </si>
  <si>
    <t>Afghanistan</t>
  </si>
  <si>
    <t>Djibouti</t>
  </si>
  <si>
    <t>DJI</t>
  </si>
  <si>
    <t>DJ</t>
  </si>
  <si>
    <t>AFW</t>
  </si>
  <si>
    <t>Africa Western and Central</t>
  </si>
  <si>
    <t>Eritrea</t>
  </si>
  <si>
    <t>ERI</t>
  </si>
  <si>
    <t>ER</t>
  </si>
  <si>
    <t>AGO</t>
  </si>
  <si>
    <t>Angola</t>
  </si>
  <si>
    <t>Ethiopia</t>
  </si>
  <si>
    <t>ETH</t>
  </si>
  <si>
    <t>ET</t>
  </si>
  <si>
    <t>ALB</t>
  </si>
  <si>
    <t>Albania</t>
  </si>
  <si>
    <t>Kenya</t>
  </si>
  <si>
    <t>KEN</t>
  </si>
  <si>
    <t>KE</t>
  </si>
  <si>
    <t>AND</t>
  </si>
  <si>
    <t>Andorra</t>
  </si>
  <si>
    <t>Madagascar</t>
  </si>
  <si>
    <t>MDG</t>
  </si>
  <si>
    <t>MG</t>
  </si>
  <si>
    <t>ARB</t>
  </si>
  <si>
    <t>Arab World</t>
  </si>
  <si>
    <t>Malawi</t>
  </si>
  <si>
    <t>MWI</t>
  </si>
  <si>
    <t>MW</t>
  </si>
  <si>
    <t>ARE</t>
  </si>
  <si>
    <t>United Arab Emirates</t>
  </si>
  <si>
    <t>Mauritius</t>
  </si>
  <si>
    <t>MUS</t>
  </si>
  <si>
    <t>MU</t>
  </si>
  <si>
    <t>Argentina</t>
  </si>
  <si>
    <t>Mayotte</t>
  </si>
  <si>
    <t>MYT</t>
  </si>
  <si>
    <t>YT</t>
  </si>
  <si>
    <t>ARM</t>
  </si>
  <si>
    <t>Armenia</t>
  </si>
  <si>
    <t>Mozambique</t>
  </si>
  <si>
    <t>MOZ</t>
  </si>
  <si>
    <t>MZ</t>
  </si>
  <si>
    <t>ASM</t>
  </si>
  <si>
    <t>American Samoa</t>
  </si>
  <si>
    <t>Réunion</t>
  </si>
  <si>
    <t>REU</t>
  </si>
  <si>
    <t>RE</t>
  </si>
  <si>
    <t>ATG</t>
  </si>
  <si>
    <t>Antigua and Barbuda</t>
  </si>
  <si>
    <t>Rwanda</t>
  </si>
  <si>
    <t>RWA</t>
  </si>
  <si>
    <t>RW</t>
  </si>
  <si>
    <t>AUS</t>
  </si>
  <si>
    <t>Australia</t>
  </si>
  <si>
    <t>Seychelles</t>
  </si>
  <si>
    <t>SYC</t>
  </si>
  <si>
    <t>SC</t>
  </si>
  <si>
    <t>AUT</t>
  </si>
  <si>
    <t>Austria</t>
  </si>
  <si>
    <t>Somalia</t>
  </si>
  <si>
    <t>SOM</t>
  </si>
  <si>
    <t>SO</t>
  </si>
  <si>
    <t>AZE</t>
  </si>
  <si>
    <t>Azerbaijan</t>
  </si>
  <si>
    <t>South Sudan</t>
  </si>
  <si>
    <t>SSD</t>
  </si>
  <si>
    <t>SS</t>
  </si>
  <si>
    <t>Uganda</t>
  </si>
  <si>
    <t>UGA</t>
  </si>
  <si>
    <t>UG</t>
  </si>
  <si>
    <t>BEL</t>
  </si>
  <si>
    <t>Belgium</t>
  </si>
  <si>
    <t>United Republic of Tanzania</t>
  </si>
  <si>
    <t>TZA</t>
  </si>
  <si>
    <t>TZ</t>
  </si>
  <si>
    <t>BEN</t>
  </si>
  <si>
    <t>Benin</t>
  </si>
  <si>
    <t>Zambia</t>
  </si>
  <si>
    <t>ZMB</t>
  </si>
  <si>
    <t>ZM</t>
  </si>
  <si>
    <t>BFA</t>
  </si>
  <si>
    <t>Burkina Faso</t>
  </si>
  <si>
    <t>Zimbabwe</t>
  </si>
  <si>
    <t>ZWE</t>
  </si>
  <si>
    <t>ZW</t>
  </si>
  <si>
    <t>BGD</t>
  </si>
  <si>
    <t>Bangladesh</t>
  </si>
  <si>
    <t>AO</t>
  </si>
  <si>
    <t>BGR</t>
  </si>
  <si>
    <t>Bulgaria</t>
  </si>
  <si>
    <t>Cameroon</t>
  </si>
  <si>
    <t>CMR</t>
  </si>
  <si>
    <t>CM</t>
  </si>
  <si>
    <t>BHR</t>
  </si>
  <si>
    <t>Bahrain</t>
  </si>
  <si>
    <t>Central African Republic</t>
  </si>
  <si>
    <t>CAF</t>
  </si>
  <si>
    <t>CF</t>
  </si>
  <si>
    <t>The Bahamas</t>
  </si>
  <si>
    <t>Chad</t>
  </si>
  <si>
    <t>TCD</t>
  </si>
  <si>
    <t>TD</t>
  </si>
  <si>
    <t>BIH</t>
  </si>
  <si>
    <t>Bosnia and Herzegovina</t>
  </si>
  <si>
    <t>Congo</t>
  </si>
  <si>
    <t>COG</t>
  </si>
  <si>
    <t>CG</t>
  </si>
  <si>
    <t>BLR</t>
  </si>
  <si>
    <t>Belarus</t>
  </si>
  <si>
    <t>Democratic Republic of the Congo</t>
  </si>
  <si>
    <t>COD</t>
  </si>
  <si>
    <t>CD</t>
  </si>
  <si>
    <t>Belize</t>
  </si>
  <si>
    <t>Equatorial Guinea</t>
  </si>
  <si>
    <t>GNQ</t>
  </si>
  <si>
    <t>GQ</t>
  </si>
  <si>
    <t>BMU</t>
  </si>
  <si>
    <t>Bermuda</t>
  </si>
  <si>
    <t>Gabon</t>
  </si>
  <si>
    <t>GAB</t>
  </si>
  <si>
    <t>GA</t>
  </si>
  <si>
    <t>Bolivia</t>
  </si>
  <si>
    <t>Sao Tome and Principe</t>
  </si>
  <si>
    <t>STP</t>
  </si>
  <si>
    <t>ST</t>
  </si>
  <si>
    <t>Brazil</t>
  </si>
  <si>
    <t>Algeria</t>
  </si>
  <si>
    <t>DZA</t>
  </si>
  <si>
    <t>DZ</t>
  </si>
  <si>
    <t>Barbados</t>
  </si>
  <si>
    <t>Egypt</t>
  </si>
  <si>
    <t>EGY</t>
  </si>
  <si>
    <t>EG</t>
  </si>
  <si>
    <t>BRN</t>
  </si>
  <si>
    <t>Brunei Darussalam</t>
  </si>
  <si>
    <t>Libya</t>
  </si>
  <si>
    <t>LBY</t>
  </si>
  <si>
    <t>LY</t>
  </si>
  <si>
    <t>BTN</t>
  </si>
  <si>
    <t>Bhutan</t>
  </si>
  <si>
    <t>Morocco</t>
  </si>
  <si>
    <t>MAR</t>
  </si>
  <si>
    <t>MA</t>
  </si>
  <si>
    <t>BWA</t>
  </si>
  <si>
    <t>Botswana</t>
  </si>
  <si>
    <t>Sudan</t>
  </si>
  <si>
    <t>SDN</t>
  </si>
  <si>
    <t>SD</t>
  </si>
  <si>
    <t>Tunisia</t>
  </si>
  <si>
    <t>TUN</t>
  </si>
  <si>
    <t>TN</t>
  </si>
  <si>
    <t>CAN</t>
  </si>
  <si>
    <t>Canada</t>
  </si>
  <si>
    <t>Western Sahara</t>
  </si>
  <si>
    <t>ESH</t>
  </si>
  <si>
    <t>EH</t>
  </si>
  <si>
    <t>CEB</t>
  </si>
  <si>
    <t>Central Europe and the Baltics</t>
  </si>
  <si>
    <t>BW</t>
  </si>
  <si>
    <t>CHE</t>
  </si>
  <si>
    <t>Switzerland</t>
  </si>
  <si>
    <t>Eswatini</t>
  </si>
  <si>
    <t>SWZ</t>
  </si>
  <si>
    <t>SZ</t>
  </si>
  <si>
    <t>CHI</t>
  </si>
  <si>
    <t>Channel Islands</t>
  </si>
  <si>
    <t>Lesotho</t>
  </si>
  <si>
    <t>LSO</t>
  </si>
  <si>
    <t>LS</t>
  </si>
  <si>
    <t>Chile</t>
  </si>
  <si>
    <t>Namibia</t>
  </si>
  <si>
    <t>NAM</t>
  </si>
  <si>
    <t>NA</t>
  </si>
  <si>
    <t>CHN</t>
  </si>
  <si>
    <t>China</t>
  </si>
  <si>
    <t>South Africa</t>
  </si>
  <si>
    <t>ZAF</t>
  </si>
  <si>
    <t>ZA</t>
  </si>
  <si>
    <t>CIV</t>
  </si>
  <si>
    <t>Cote d'Ivoire</t>
  </si>
  <si>
    <t>BJ</t>
  </si>
  <si>
    <t>BF</t>
  </si>
  <si>
    <t>Congo, Dem. Rep.</t>
  </si>
  <si>
    <t>Cabo Verde</t>
  </si>
  <si>
    <t>CPV</t>
  </si>
  <si>
    <t>CV</t>
  </si>
  <si>
    <t>Congo, Rep.</t>
  </si>
  <si>
    <t>Côte d'Ivoire</t>
  </si>
  <si>
    <t>CI</t>
  </si>
  <si>
    <t>Colombia</t>
  </si>
  <si>
    <t>Gambia</t>
  </si>
  <si>
    <t>GMB</t>
  </si>
  <si>
    <t>GM</t>
  </si>
  <si>
    <t>Ghana</t>
  </si>
  <si>
    <t>GHA</t>
  </si>
  <si>
    <t>GH</t>
  </si>
  <si>
    <t>Guinea</t>
  </si>
  <si>
    <t>GIN</t>
  </si>
  <si>
    <t>GN</t>
  </si>
  <si>
    <t>Costa Rica</t>
  </si>
  <si>
    <t>Guinea-Bissau</t>
  </si>
  <si>
    <t>GNB</t>
  </si>
  <si>
    <t>GW</t>
  </si>
  <si>
    <t>CSS</t>
  </si>
  <si>
    <t>Caribbean small states</t>
  </si>
  <si>
    <t>Liberia</t>
  </si>
  <si>
    <t>LBR</t>
  </si>
  <si>
    <t>LR</t>
  </si>
  <si>
    <t>CUB</t>
  </si>
  <si>
    <t>Cuba</t>
  </si>
  <si>
    <t>Mali</t>
  </si>
  <si>
    <t>MLI</t>
  </si>
  <si>
    <t>ML</t>
  </si>
  <si>
    <t>CUW</t>
  </si>
  <si>
    <t>Curacao</t>
  </si>
  <si>
    <t>Mauritania</t>
  </si>
  <si>
    <t>MRT</t>
  </si>
  <si>
    <t>MR</t>
  </si>
  <si>
    <t>CYM</t>
  </si>
  <si>
    <t>Cayman Islands</t>
  </si>
  <si>
    <t>Niger</t>
  </si>
  <si>
    <t>NER</t>
  </si>
  <si>
    <t>NE</t>
  </si>
  <si>
    <t>CYP</t>
  </si>
  <si>
    <t>Cyprus</t>
  </si>
  <si>
    <t>Nigeria</t>
  </si>
  <si>
    <t>NGA</t>
  </si>
  <si>
    <t>NG</t>
  </si>
  <si>
    <t>CZE</t>
  </si>
  <si>
    <t>Czechia</t>
  </si>
  <si>
    <t>Saint Helena</t>
  </si>
  <si>
    <t>SHN</t>
  </si>
  <si>
    <t>SH</t>
  </si>
  <si>
    <t>DEU</t>
  </si>
  <si>
    <t>Germany</t>
  </si>
  <si>
    <t>Senegal</t>
  </si>
  <si>
    <t>SEN</t>
  </si>
  <si>
    <t>SN</t>
  </si>
  <si>
    <t>Sierra Leone</t>
  </si>
  <si>
    <t>SLE</t>
  </si>
  <si>
    <t>SL</t>
  </si>
  <si>
    <t>DMA</t>
  </si>
  <si>
    <t>Dominica</t>
  </si>
  <si>
    <t>Togo</t>
  </si>
  <si>
    <t>TGO</t>
  </si>
  <si>
    <t>TG</t>
  </si>
  <si>
    <t>DNK</t>
  </si>
  <si>
    <t>Denmark</t>
  </si>
  <si>
    <t>Kazakhstan</t>
  </si>
  <si>
    <t>KAZ</t>
  </si>
  <si>
    <t>KZ</t>
  </si>
  <si>
    <t>Dominican Republic</t>
  </si>
  <si>
    <t>Kyrgyzstan</t>
  </si>
  <si>
    <t>KGZ</t>
  </si>
  <si>
    <t>KG</t>
  </si>
  <si>
    <t>Tajikistan</t>
  </si>
  <si>
    <t>TJK</t>
  </si>
  <si>
    <t>TJ</t>
  </si>
  <si>
    <t>EAP</t>
  </si>
  <si>
    <t>East Asia &amp; Pacific (excluding high income)</t>
  </si>
  <si>
    <t>Turkmenistan</t>
  </si>
  <si>
    <t>TKM</t>
  </si>
  <si>
    <t>TM</t>
  </si>
  <si>
    <t>EAR</t>
  </si>
  <si>
    <t>Early-demographic dividend</t>
  </si>
  <si>
    <t>Uzbekistan</t>
  </si>
  <si>
    <t>UZB</t>
  </si>
  <si>
    <t>UZ</t>
  </si>
  <si>
    <t>EAS</t>
  </si>
  <si>
    <t>East Asia &amp; Pacific</t>
  </si>
  <si>
    <t>CN</t>
  </si>
  <si>
    <t>ECA</t>
  </si>
  <si>
    <t>Europe &amp; Central Asia (excluding high income)</t>
  </si>
  <si>
    <t>China, Hong Kong SAR</t>
  </si>
  <si>
    <t>HKG</t>
  </si>
  <si>
    <t>HK</t>
  </si>
  <si>
    <t>ECS</t>
  </si>
  <si>
    <t>Europe &amp; Central Asia</t>
  </si>
  <si>
    <t>China, Macao SAR</t>
  </si>
  <si>
    <t>MAC</t>
  </si>
  <si>
    <t>MO</t>
  </si>
  <si>
    <t>Ecuador</t>
  </si>
  <si>
    <t>China, Taiwan Province of China</t>
  </si>
  <si>
    <t>TWN</t>
  </si>
  <si>
    <t>TW</t>
  </si>
  <si>
    <t>Egypt, Arab Rep.</t>
  </si>
  <si>
    <t>Dem. People's Republic of Korea</t>
  </si>
  <si>
    <t>PRK</t>
  </si>
  <si>
    <t>KP</t>
  </si>
  <si>
    <t>EMU</t>
  </si>
  <si>
    <t>Euro area</t>
  </si>
  <si>
    <t>Japan</t>
  </si>
  <si>
    <t>JPN</t>
  </si>
  <si>
    <t>JP</t>
  </si>
  <si>
    <t>Mongolia</t>
  </si>
  <si>
    <t>MNG</t>
  </si>
  <si>
    <t>MN</t>
  </si>
  <si>
    <t>ESP</t>
  </si>
  <si>
    <t>Spain</t>
  </si>
  <si>
    <t>Republic of Korea</t>
  </si>
  <si>
    <t>KOR</t>
  </si>
  <si>
    <t>KR</t>
  </si>
  <si>
    <t>EST</t>
  </si>
  <si>
    <t>Estonia</t>
  </si>
  <si>
    <t>AF</t>
  </si>
  <si>
    <t>BD</t>
  </si>
  <si>
    <t>EUU</t>
  </si>
  <si>
    <t>European Union</t>
  </si>
  <si>
    <t>BT</t>
  </si>
  <si>
    <t>FCS</t>
  </si>
  <si>
    <t>Fragile and conflict affected situations</t>
  </si>
  <si>
    <t>India</t>
  </si>
  <si>
    <t>IND</t>
  </si>
  <si>
    <t>IN</t>
  </si>
  <si>
    <t>FIN</t>
  </si>
  <si>
    <t>Finland</t>
  </si>
  <si>
    <t>Iran (Islamic Republic of)</t>
  </si>
  <si>
    <t>IRN</t>
  </si>
  <si>
    <t>IR</t>
  </si>
  <si>
    <t>FJI</t>
  </si>
  <si>
    <t>Fiji</t>
  </si>
  <si>
    <t>Maldives</t>
  </si>
  <si>
    <t>MDV</t>
  </si>
  <si>
    <t>MV</t>
  </si>
  <si>
    <t>FRA</t>
  </si>
  <si>
    <t>France</t>
  </si>
  <si>
    <t>Nepal</t>
  </si>
  <si>
    <t>NPL</t>
  </si>
  <si>
    <t>NP</t>
  </si>
  <si>
    <t>FRO</t>
  </si>
  <si>
    <t>Faroe Islands</t>
  </si>
  <si>
    <t>Pakistan</t>
  </si>
  <si>
    <t>PAK</t>
  </si>
  <si>
    <t>PK</t>
  </si>
  <si>
    <t>FSM</t>
  </si>
  <si>
    <t>Micronesia, Fed. Sts.</t>
  </si>
  <si>
    <t>Sri Lanka</t>
  </si>
  <si>
    <t>LKA</t>
  </si>
  <si>
    <t>LK</t>
  </si>
  <si>
    <t>BN</t>
  </si>
  <si>
    <t>GBR</t>
  </si>
  <si>
    <t>United Kingdom</t>
  </si>
  <si>
    <t>Cambodia</t>
  </si>
  <si>
    <t>KHM</t>
  </si>
  <si>
    <t>KH</t>
  </si>
  <si>
    <t>GEO</t>
  </si>
  <si>
    <t>Georgia</t>
  </si>
  <si>
    <t>Indonesia</t>
  </si>
  <si>
    <t>IDN</t>
  </si>
  <si>
    <t>ID</t>
  </si>
  <si>
    <t>Lao People's Democratic Republic</t>
  </si>
  <si>
    <t>LAO</t>
  </si>
  <si>
    <t>LA</t>
  </si>
  <si>
    <t>GIB</t>
  </si>
  <si>
    <t>Gibraltar</t>
  </si>
  <si>
    <t>Malaysia</t>
  </si>
  <si>
    <t>MYS</t>
  </si>
  <si>
    <t>MY</t>
  </si>
  <si>
    <t>Myanmar</t>
  </si>
  <si>
    <t>MMR</t>
  </si>
  <si>
    <t>MM</t>
  </si>
  <si>
    <t>Gambia, The</t>
  </si>
  <si>
    <t>Philippines</t>
  </si>
  <si>
    <t>PHL</t>
  </si>
  <si>
    <t>PH</t>
  </si>
  <si>
    <t>Singapore</t>
  </si>
  <si>
    <t>SGP</t>
  </si>
  <si>
    <t>SG</t>
  </si>
  <si>
    <t>Thailand</t>
  </si>
  <si>
    <t>THA</t>
  </si>
  <si>
    <t>TH</t>
  </si>
  <si>
    <t>GRC</t>
  </si>
  <si>
    <t>Greece</t>
  </si>
  <si>
    <t>Timor-Leste</t>
  </si>
  <si>
    <t>TLS</t>
  </si>
  <si>
    <t>TL</t>
  </si>
  <si>
    <t>GRD</t>
  </si>
  <si>
    <t>Grenada</t>
  </si>
  <si>
    <t>Viet Nam</t>
  </si>
  <si>
    <t>VNM</t>
  </si>
  <si>
    <t>VN</t>
  </si>
  <si>
    <t>GRL</t>
  </si>
  <si>
    <t>Greenland</t>
  </si>
  <si>
    <t>AM</t>
  </si>
  <si>
    <t>Guatemala</t>
  </si>
  <si>
    <t>AZ</t>
  </si>
  <si>
    <t>GUM</t>
  </si>
  <si>
    <t>Guam</t>
  </si>
  <si>
    <t>BH</t>
  </si>
  <si>
    <t>Guyana</t>
  </si>
  <si>
    <t>CY</t>
  </si>
  <si>
    <t>HIC</t>
  </si>
  <si>
    <t>GE</t>
  </si>
  <si>
    <t>Hong Kong SAR, China</t>
  </si>
  <si>
    <t>Iraq</t>
  </si>
  <si>
    <t>IRQ</t>
  </si>
  <si>
    <t>IQ</t>
  </si>
  <si>
    <t>Honduras</t>
  </si>
  <si>
    <t>Israel</t>
  </si>
  <si>
    <t>ISR</t>
  </si>
  <si>
    <t>IL</t>
  </si>
  <si>
    <t>HPC</t>
  </si>
  <si>
    <t>Heavily indebted poor countries (HIPC)</t>
  </si>
  <si>
    <t>Jordan</t>
  </si>
  <si>
    <t>JOR</t>
  </si>
  <si>
    <t>JO</t>
  </si>
  <si>
    <t>HRV</t>
  </si>
  <si>
    <t>Croatia</t>
  </si>
  <si>
    <t>Kuwait</t>
  </si>
  <si>
    <t>KWT</t>
  </si>
  <si>
    <t>KW</t>
  </si>
  <si>
    <t>Haiti</t>
  </si>
  <si>
    <t>Lebanon</t>
  </si>
  <si>
    <t>LBN</t>
  </si>
  <si>
    <t>LB</t>
  </si>
  <si>
    <t>HUN</t>
  </si>
  <si>
    <t>Hungary</t>
  </si>
  <si>
    <t>Oman</t>
  </si>
  <si>
    <t>OMN</t>
  </si>
  <si>
    <t>OM</t>
  </si>
  <si>
    <t>IBD</t>
  </si>
  <si>
    <t>IBRD only</t>
  </si>
  <si>
    <t>Qatar</t>
  </si>
  <si>
    <t>QAT</t>
  </si>
  <si>
    <t>QA</t>
  </si>
  <si>
    <t>IBT</t>
  </si>
  <si>
    <t>IDA &amp; IBRD total</t>
  </si>
  <si>
    <t>Saudi Arabia</t>
  </si>
  <si>
    <t>SAU</t>
  </si>
  <si>
    <t>SA</t>
  </si>
  <si>
    <t>IDA</t>
  </si>
  <si>
    <t>IDA total</t>
  </si>
  <si>
    <t>State of Palestine</t>
  </si>
  <si>
    <t>PSE</t>
  </si>
  <si>
    <t>PS</t>
  </si>
  <si>
    <t>IDB</t>
  </si>
  <si>
    <t>IDA blend</t>
  </si>
  <si>
    <t>Syrian Arab Republic</t>
  </si>
  <si>
    <t>SYR</t>
  </si>
  <si>
    <t>SY</t>
  </si>
  <si>
    <t>Türkiye</t>
  </si>
  <si>
    <t>TUR</t>
  </si>
  <si>
    <t>TR</t>
  </si>
  <si>
    <t>IDX</t>
  </si>
  <si>
    <t>IDA only</t>
  </si>
  <si>
    <t>AE</t>
  </si>
  <si>
    <t>IMN</t>
  </si>
  <si>
    <t>Isle of Man</t>
  </si>
  <si>
    <t>Yemen</t>
  </si>
  <si>
    <t>YEM</t>
  </si>
  <si>
    <t>YE</t>
  </si>
  <si>
    <t>BY</t>
  </si>
  <si>
    <t>INX</t>
  </si>
  <si>
    <t>Not classified</t>
  </si>
  <si>
    <t>BG</t>
  </si>
  <si>
    <t>IRL</t>
  </si>
  <si>
    <t>Ireland</t>
  </si>
  <si>
    <t>CZ</t>
  </si>
  <si>
    <t>Iran, Islamic Rep.</t>
  </si>
  <si>
    <t>HU</t>
  </si>
  <si>
    <t>Poland</t>
  </si>
  <si>
    <t>POL</t>
  </si>
  <si>
    <t>PL</t>
  </si>
  <si>
    <t>ISL</t>
  </si>
  <si>
    <t>Iceland</t>
  </si>
  <si>
    <t>Republic of Moldova</t>
  </si>
  <si>
    <t>MDA</t>
  </si>
  <si>
    <t>MD</t>
  </si>
  <si>
    <t>Romania</t>
  </si>
  <si>
    <t>ROU</t>
  </si>
  <si>
    <t>RO</t>
  </si>
  <si>
    <t>ITA</t>
  </si>
  <si>
    <t>Italy</t>
  </si>
  <si>
    <t>Russian Federation</t>
  </si>
  <si>
    <t>RUS</t>
  </si>
  <si>
    <t>RU</t>
  </si>
  <si>
    <t>Jamaica</t>
  </si>
  <si>
    <t>Slovakia</t>
  </si>
  <si>
    <t>SVK</t>
  </si>
  <si>
    <t>SK</t>
  </si>
  <si>
    <t>Ukraine</t>
  </si>
  <si>
    <t>UKR</t>
  </si>
  <si>
    <t>UA</t>
  </si>
  <si>
    <t>DK</t>
  </si>
  <si>
    <t>EE</t>
  </si>
  <si>
    <t>FO</t>
  </si>
  <si>
    <t>Kyrgyz Republic</t>
  </si>
  <si>
    <t>FI</t>
  </si>
  <si>
    <t>Guernsey</t>
  </si>
  <si>
    <t>GGY</t>
  </si>
  <si>
    <t>GG</t>
  </si>
  <si>
    <t>KIR</t>
  </si>
  <si>
    <t>Kiribati</t>
  </si>
  <si>
    <t>IS</t>
  </si>
  <si>
    <t>KNA</t>
  </si>
  <si>
    <t>St. Kitts and Nevis</t>
  </si>
  <si>
    <t>IE</t>
  </si>
  <si>
    <t>Korea, Rep.</t>
  </si>
  <si>
    <t>IM</t>
  </si>
  <si>
    <t>Jersey</t>
  </si>
  <si>
    <t>JEY</t>
  </si>
  <si>
    <t>JE</t>
  </si>
  <si>
    <t>Latin America &amp; Caribbean (excluding high income)</t>
  </si>
  <si>
    <t>Latvia</t>
  </si>
  <si>
    <t>LVA</t>
  </si>
  <si>
    <t>LV</t>
  </si>
  <si>
    <t>Lao PDR</t>
  </si>
  <si>
    <t>Lithuania</t>
  </si>
  <si>
    <t>LTU</t>
  </si>
  <si>
    <t>LT</t>
  </si>
  <si>
    <t>Norway</t>
  </si>
  <si>
    <t>NOR</t>
  </si>
  <si>
    <t>NO</t>
  </si>
  <si>
    <t>Sweden</t>
  </si>
  <si>
    <t>SWE</t>
  </si>
  <si>
    <t>SE</t>
  </si>
  <si>
    <t>GB</t>
  </si>
  <si>
    <t>LCA</t>
  </si>
  <si>
    <t>St. Lucia</t>
  </si>
  <si>
    <t>AL</t>
  </si>
  <si>
    <t>LCN</t>
  </si>
  <si>
    <t>Latin America &amp; Caribbean</t>
  </si>
  <si>
    <t>AD</t>
  </si>
  <si>
    <t>LDC</t>
  </si>
  <si>
    <t>Least developed countries: UN classification</t>
  </si>
  <si>
    <t>BA</t>
  </si>
  <si>
    <t>LIC</t>
  </si>
  <si>
    <t>Low income</t>
  </si>
  <si>
    <t>HR</t>
  </si>
  <si>
    <t>LIE</t>
  </si>
  <si>
    <t>Liechtenstein</t>
  </si>
  <si>
    <t>GI</t>
  </si>
  <si>
    <t>GR</t>
  </si>
  <si>
    <t>LMC</t>
  </si>
  <si>
    <t>Lower middle income</t>
  </si>
  <si>
    <t>IT</t>
  </si>
  <si>
    <t>LMY</t>
  </si>
  <si>
    <t>Low &amp; middle income</t>
  </si>
  <si>
    <t>Kosovo (under UNSC res. 1244)</t>
  </si>
  <si>
    <t>XKX</t>
  </si>
  <si>
    <t>XK</t>
  </si>
  <si>
    <t>Malta</t>
  </si>
  <si>
    <t>MLT</t>
  </si>
  <si>
    <t>MT</t>
  </si>
  <si>
    <t>LTE</t>
  </si>
  <si>
    <t>Late-demographic dividend</t>
  </si>
  <si>
    <t>Montenegro</t>
  </si>
  <si>
    <t>MNE</t>
  </si>
  <si>
    <t>ME</t>
  </si>
  <si>
    <t>North Macedonia</t>
  </si>
  <si>
    <t>MKD</t>
  </si>
  <si>
    <t>MK</t>
  </si>
  <si>
    <t>LUX</t>
  </si>
  <si>
    <t>Luxembourg</t>
  </si>
  <si>
    <t>Portugal</t>
  </si>
  <si>
    <t>PRT</t>
  </si>
  <si>
    <t>PT</t>
  </si>
  <si>
    <t>San Marino</t>
  </si>
  <si>
    <t>SMR</t>
  </si>
  <si>
    <t>SM</t>
  </si>
  <si>
    <t>Macao SAR, China</t>
  </si>
  <si>
    <t>Serbia</t>
  </si>
  <si>
    <t>SRB</t>
  </si>
  <si>
    <t>RS</t>
  </si>
  <si>
    <t>MAF</t>
  </si>
  <si>
    <t>St. Martin (French part)</t>
  </si>
  <si>
    <t>Slovenia</t>
  </si>
  <si>
    <t>SVN</t>
  </si>
  <si>
    <t>SI</t>
  </si>
  <si>
    <t>ES</t>
  </si>
  <si>
    <t>MCO</t>
  </si>
  <si>
    <t>Monaco</t>
  </si>
  <si>
    <t>AT</t>
  </si>
  <si>
    <t>Moldova</t>
  </si>
  <si>
    <t>BE</t>
  </si>
  <si>
    <t>FR</t>
  </si>
  <si>
    <t>DE</t>
  </si>
  <si>
    <t>MEA</t>
  </si>
  <si>
    <t>Middle East &amp; North Africa</t>
  </si>
  <si>
    <t>LI</t>
  </si>
  <si>
    <t>Mexico</t>
  </si>
  <si>
    <t>LU</t>
  </si>
  <si>
    <t>MHL</t>
  </si>
  <si>
    <t>Marshall Islands</t>
  </si>
  <si>
    <t>MC</t>
  </si>
  <si>
    <t>MIC</t>
  </si>
  <si>
    <t>Middle income</t>
  </si>
  <si>
    <t>Netherlands</t>
  </si>
  <si>
    <t>NLD</t>
  </si>
  <si>
    <t>NL</t>
  </si>
  <si>
    <t>CH</t>
  </si>
  <si>
    <t>Anguilla</t>
  </si>
  <si>
    <t>AIA</t>
  </si>
  <si>
    <t>AI</t>
  </si>
  <si>
    <t>AG</t>
  </si>
  <si>
    <t>AW</t>
  </si>
  <si>
    <t>MNA</t>
  </si>
  <si>
    <t>Middle East &amp; North Africa (excluding high income)</t>
  </si>
  <si>
    <t>Bahamas</t>
  </si>
  <si>
    <t>BS</t>
  </si>
  <si>
    <t>BB</t>
  </si>
  <si>
    <t>Bonaire, Sint Eustatius and Saba</t>
  </si>
  <si>
    <t>BES</t>
  </si>
  <si>
    <t>BQ</t>
  </si>
  <si>
    <t>MNP</t>
  </si>
  <si>
    <t>Northern Mariana Islands</t>
  </si>
  <si>
    <t>British Virgin Islands</t>
  </si>
  <si>
    <t>VGB</t>
  </si>
  <si>
    <t>VG</t>
  </si>
  <si>
    <t>KY</t>
  </si>
  <si>
    <t>CU</t>
  </si>
  <si>
    <t>Curaçao</t>
  </si>
  <si>
    <t>CW</t>
  </si>
  <si>
    <t>DM</t>
  </si>
  <si>
    <t>DO</t>
  </si>
  <si>
    <t>NAC</t>
  </si>
  <si>
    <t>North America</t>
  </si>
  <si>
    <t>GD</t>
  </si>
  <si>
    <t>Guadeloupe</t>
  </si>
  <si>
    <t>GLP</t>
  </si>
  <si>
    <t>GP</t>
  </si>
  <si>
    <t>NCL</t>
  </si>
  <si>
    <t>New Caledonia</t>
  </si>
  <si>
    <t>HT</t>
  </si>
  <si>
    <t>JM</t>
  </si>
  <si>
    <t>Martinique</t>
  </si>
  <si>
    <t>MTQ</t>
  </si>
  <si>
    <t>MQ</t>
  </si>
  <si>
    <t>Nicaragua</t>
  </si>
  <si>
    <t>Montserrat</t>
  </si>
  <si>
    <t>MSR</t>
  </si>
  <si>
    <t>MS</t>
  </si>
  <si>
    <t>Puerto Rico</t>
  </si>
  <si>
    <t>PRI</t>
  </si>
  <si>
    <t>PR</t>
  </si>
  <si>
    <t>Saint Barthélemy</t>
  </si>
  <si>
    <t>BLM</t>
  </si>
  <si>
    <t>BL</t>
  </si>
  <si>
    <t>Saint Kitts and Nevis</t>
  </si>
  <si>
    <t>KN</t>
  </si>
  <si>
    <t>NRU</t>
  </si>
  <si>
    <t>Nauru</t>
  </si>
  <si>
    <t>Saint Lucia</t>
  </si>
  <si>
    <t>LC</t>
  </si>
  <si>
    <t>NZL</t>
  </si>
  <si>
    <t>New Zealand</t>
  </si>
  <si>
    <t>Saint Martin (French part)</t>
  </si>
  <si>
    <t>MF</t>
  </si>
  <si>
    <t>OED</t>
  </si>
  <si>
    <t>OECD members</t>
  </si>
  <si>
    <t>Saint Vincent and the Grenadines</t>
  </si>
  <si>
    <t>VCT</t>
  </si>
  <si>
    <t>VC</t>
  </si>
  <si>
    <t>Sint Maarten (Dutch part)</t>
  </si>
  <si>
    <t>SXM</t>
  </si>
  <si>
    <t>SX</t>
  </si>
  <si>
    <t>OSS</t>
  </si>
  <si>
    <t>Other small states</t>
  </si>
  <si>
    <t>Trinidad and Tobago</t>
  </si>
  <si>
    <t>TT</t>
  </si>
  <si>
    <t>Turks and Caicos Islands</t>
  </si>
  <si>
    <t>TCA</t>
  </si>
  <si>
    <t>TC</t>
  </si>
  <si>
    <t>Panama</t>
  </si>
  <si>
    <t>United States Virgin Islands</t>
  </si>
  <si>
    <t>VIR</t>
  </si>
  <si>
    <t>VI</t>
  </si>
  <si>
    <t>Peru</t>
  </si>
  <si>
    <t>BZ</t>
  </si>
  <si>
    <t>CR</t>
  </si>
  <si>
    <t>PLW</t>
  </si>
  <si>
    <t>Palau</t>
  </si>
  <si>
    <t>El Salvador</t>
  </si>
  <si>
    <t>SV</t>
  </si>
  <si>
    <t>PNG</t>
  </si>
  <si>
    <t>Papua New Guinea</t>
  </si>
  <si>
    <t>GT</t>
  </si>
  <si>
    <t>HN</t>
  </si>
  <si>
    <t>PRE</t>
  </si>
  <si>
    <t>Pre-demographic dividend</t>
  </si>
  <si>
    <t>MX</t>
  </si>
  <si>
    <t>NI</t>
  </si>
  <si>
    <t>Korea, Dem. People's Rep.</t>
  </si>
  <si>
    <t>PA</t>
  </si>
  <si>
    <t>AR</t>
  </si>
  <si>
    <t>Paraguay</t>
  </si>
  <si>
    <t>Bolivia (Plurinational State of)</t>
  </si>
  <si>
    <t>BO</t>
  </si>
  <si>
    <t>West Bank and Gaza</t>
  </si>
  <si>
    <t>BR</t>
  </si>
  <si>
    <t>PSS</t>
  </si>
  <si>
    <t>Pacific island small states</t>
  </si>
  <si>
    <t>CL</t>
  </si>
  <si>
    <t>PST</t>
  </si>
  <si>
    <t>Post-demographic dividend</t>
  </si>
  <si>
    <t>CO</t>
  </si>
  <si>
    <t>PYF</t>
  </si>
  <si>
    <t>French Polynesia</t>
  </si>
  <si>
    <t>EC</t>
  </si>
  <si>
    <t>Falkland Islands (Malvinas)</t>
  </si>
  <si>
    <t>FLK</t>
  </si>
  <si>
    <t>FK</t>
  </si>
  <si>
    <t>French Guiana</t>
  </si>
  <si>
    <t>GUF</t>
  </si>
  <si>
    <t>GF</t>
  </si>
  <si>
    <t>GY</t>
  </si>
  <si>
    <t>PY</t>
  </si>
  <si>
    <t>SAS</t>
  </si>
  <si>
    <t>South Asia</t>
  </si>
  <si>
    <t>PE</t>
  </si>
  <si>
    <t>Suriname</t>
  </si>
  <si>
    <t>SR</t>
  </si>
  <si>
    <t>Uruguay</t>
  </si>
  <si>
    <t>UY</t>
  </si>
  <si>
    <t>Venezuela (Bolivarian Republic of)</t>
  </si>
  <si>
    <t>VE</t>
  </si>
  <si>
    <t>BM</t>
  </si>
  <si>
    <t>SLB</t>
  </si>
  <si>
    <t>Solomon Islands</t>
  </si>
  <si>
    <t>CA</t>
  </si>
  <si>
    <t>GL</t>
  </si>
  <si>
    <t>Saint Pierre and Miquelon</t>
  </si>
  <si>
    <t>SPM</t>
  </si>
  <si>
    <t>PM</t>
  </si>
  <si>
    <t>United States of America</t>
  </si>
  <si>
    <t>USA</t>
  </si>
  <si>
    <t>US</t>
  </si>
  <si>
    <t>AU</t>
  </si>
  <si>
    <t>NZ</t>
  </si>
  <si>
    <t>SSA</t>
  </si>
  <si>
    <t>Sub-Saharan Africa (excluding high income)</t>
  </si>
  <si>
    <t>FJ</t>
  </si>
  <si>
    <t>NC</t>
  </si>
  <si>
    <t>SSF</t>
  </si>
  <si>
    <t>Sub-Saharan Africa</t>
  </si>
  <si>
    <t>PG</t>
  </si>
  <si>
    <t>SST</t>
  </si>
  <si>
    <t>Small states</t>
  </si>
  <si>
    <t>SB</t>
  </si>
  <si>
    <t>Vanuatu</t>
  </si>
  <si>
    <t>VUT</t>
  </si>
  <si>
    <t>VU</t>
  </si>
  <si>
    <t>GU</t>
  </si>
  <si>
    <t>Slovak Republic</t>
  </si>
  <si>
    <t>KI</t>
  </si>
  <si>
    <t>MH</t>
  </si>
  <si>
    <t>Micronesia (Fed. States of)</t>
  </si>
  <si>
    <t>FM</t>
  </si>
  <si>
    <t>NR</t>
  </si>
  <si>
    <t>MP</t>
  </si>
  <si>
    <t>PW</t>
  </si>
  <si>
    <t>AS</t>
  </si>
  <si>
    <t>Cook Islands</t>
  </si>
  <si>
    <t>COK</t>
  </si>
  <si>
    <t>CK</t>
  </si>
  <si>
    <t>PF</t>
  </si>
  <si>
    <t>TEA</t>
  </si>
  <si>
    <t>East Asia &amp; Pacific (IDA &amp; IBRD countries)</t>
  </si>
  <si>
    <t>Niue</t>
  </si>
  <si>
    <t>NIU</t>
  </si>
  <si>
    <t>NU</t>
  </si>
  <si>
    <t>TEC</t>
  </si>
  <si>
    <t>Europe &amp; Central Asia (IDA &amp; IBRD countries)</t>
  </si>
  <si>
    <t>Samoa</t>
  </si>
  <si>
    <t>WSM</t>
  </si>
  <si>
    <t>WS</t>
  </si>
  <si>
    <t>Tokelau</t>
  </si>
  <si>
    <t>TKL</t>
  </si>
  <si>
    <t>TK</t>
  </si>
  <si>
    <t>Tonga</t>
  </si>
  <si>
    <t>TON</t>
  </si>
  <si>
    <t>TO</t>
  </si>
  <si>
    <t>Tuvalu</t>
  </si>
  <si>
    <t>TUV</t>
  </si>
  <si>
    <t>TV</t>
  </si>
  <si>
    <t>Wallis and Futuna Islands</t>
  </si>
  <si>
    <t>WLF</t>
  </si>
  <si>
    <t>WF</t>
  </si>
  <si>
    <t>TLA</t>
  </si>
  <si>
    <t>Latin America &amp; the Caribbean (IDA &amp; IBRD countries)</t>
  </si>
  <si>
    <t>TMN</t>
  </si>
  <si>
    <t>Middle East &amp; North Africa (IDA &amp; IBRD countries)</t>
  </si>
  <si>
    <t>TSA</t>
  </si>
  <si>
    <t>South Asia (IDA &amp; IBRD)</t>
  </si>
  <si>
    <t>TSS</t>
  </si>
  <si>
    <t>Sub-Saharan Africa (IDA &amp; IBRD countries)</t>
  </si>
  <si>
    <t>Turkey</t>
  </si>
  <si>
    <t>Tanzania</t>
  </si>
  <si>
    <t>UMC</t>
  </si>
  <si>
    <t>Upper middle income</t>
  </si>
  <si>
    <t>United States</t>
  </si>
  <si>
    <t>St. Vincent and the Grenadines</t>
  </si>
  <si>
    <t>Venezuela</t>
  </si>
  <si>
    <t>Virgin Islands (U.S.)</t>
  </si>
  <si>
    <t>Kosovo</t>
  </si>
  <si>
    <t>Yemen, Rep.</t>
  </si>
  <si>
    <t>Taiwan, China</t>
  </si>
  <si>
    <t>WLD</t>
  </si>
  <si>
    <t>World</t>
  </si>
  <si>
    <t>Source</t>
  </si>
  <si>
    <t>High Income countries according to the World Bank country group classification.  https://datahelpdesk.worldbank.org/knowledgebase/articles/906519-world-bank-country-and-lending-groups#:~:text=For%20the%20current%202024%20fiscal,those%20with%20a%20GNI%20per</t>
  </si>
  <si>
    <t>Latin America and the Caribbean countries acoording the IDB country group classification.</t>
  </si>
  <si>
    <t>The following countries are excluded: Chile, Colombia, Costa Rica, Mexico, and Turkey. OECD country list : https://www.oecd.org/about/document/ratification-oecd-convention.htm</t>
  </si>
  <si>
    <t>World Bank 2022. World Development Indicators. Source ( 1 ) United Nations Population Division. World Population Prospects: 2022 Revision. ( 2 ) Census reports and other statistical publications from national statistical offices, ( 3 ) Eurostat: Demographic Statistics, ( 4 ) United Nations Statistical Division. Population and Vital Statistics Reprot ( various years ), ( 5 ) U.S. Census Bureau: International Database, and ( 6 ) Secretariat of the Pacific Community: Statistics and Demography Programme.</t>
  </si>
  <si>
    <t>United Nations, Department of Economic and Social Affairs, Population Division (2022). World Population Prospects 2022, Online Edition. Estimates</t>
  </si>
  <si>
    <t>United Nations, Department of Economic and Social Affairs, Population Division (2022). World Population Prospects 2022, Online Edition. The projection for years 2022 and 2023 considered a medium fertility variant scenario.</t>
  </si>
  <si>
    <t>Extreme</t>
  </si>
  <si>
    <t>Total</t>
  </si>
  <si>
    <t>Selection</t>
  </si>
  <si>
    <t>Macro Report</t>
  </si>
  <si>
    <t>Country</t>
  </si>
  <si>
    <t>WB</t>
  </si>
  <si>
    <t xml:space="preserve"> Por qué se elimina</t>
  </si>
  <si>
    <t>WB source</t>
  </si>
  <si>
    <t>Alternative source</t>
  </si>
  <si>
    <t> </t>
  </si>
  <si>
    <t>*VEN</t>
  </si>
  <si>
    <t>x</t>
  </si>
  <si>
    <t>income</t>
  </si>
  <si>
    <t>EHM</t>
  </si>
  <si>
    <t>Anova 2023 85% pobreza total y 65% pobreza extrema</t>
  </si>
  <si>
    <t>* HND</t>
  </si>
  <si>
    <t>* GTM</t>
  </si>
  <si>
    <t>* BRA</t>
  </si>
  <si>
    <t>PNADC-E1</t>
  </si>
  <si>
    <t>* COL</t>
  </si>
  <si>
    <t>* ECU</t>
  </si>
  <si>
    <t>* SLV</t>
  </si>
  <si>
    <t>* PRY</t>
  </si>
  <si>
    <t>* BOL</t>
  </si>
  <si>
    <t>* PAN</t>
  </si>
  <si>
    <t>* MEX</t>
  </si>
  <si>
    <t>* PER</t>
  </si>
  <si>
    <t>* DOM</t>
  </si>
  <si>
    <t>* CRI</t>
  </si>
  <si>
    <t>* ARG</t>
  </si>
  <si>
    <t>* URY</t>
  </si>
  <si>
    <t>* CHL</t>
  </si>
  <si>
    <t>* countries included in the Macro Report</t>
  </si>
  <si>
    <t>countries that will be included despite the gaps (SUR to be defined)</t>
  </si>
  <si>
    <t>countries that will be not included</t>
  </si>
  <si>
    <t>actualizado a junio de 2024</t>
  </si>
  <si>
    <t>Extreme Poverty and Total Poverty by groups</t>
  </si>
  <si>
    <t xml:space="preserve">ISO3 Alpha-code 
BID LAC </t>
  </si>
  <si>
    <t>Year</t>
  </si>
  <si>
    <t>Poverty rates (%) 1/</t>
  </si>
  <si>
    <t>Population 2023 (thousands) 2/</t>
  </si>
  <si>
    <t xml:space="preserve">Extreme poverty </t>
  </si>
  <si>
    <t>Total poverty</t>
  </si>
  <si>
    <t xml:space="preserve">Total </t>
  </si>
  <si>
    <t xml:space="preserve">Extreme Poverty </t>
  </si>
  <si>
    <t>ARE2018</t>
  </si>
  <si>
    <t>AUS2018</t>
  </si>
  <si>
    <t>AUT2021</t>
  </si>
  <si>
    <t>BEL2021</t>
  </si>
  <si>
    <t>CAN2019</t>
  </si>
  <si>
    <t>CHE2020</t>
  </si>
  <si>
    <t>CHL2022</t>
  </si>
  <si>
    <t>COL2022</t>
  </si>
  <si>
    <t>CYP2021</t>
  </si>
  <si>
    <t>CRI2022</t>
  </si>
  <si>
    <t>CZE2021</t>
  </si>
  <si>
    <t>DEU2019</t>
  </si>
  <si>
    <t>DNK2021</t>
  </si>
  <si>
    <t>ESP2021</t>
  </si>
  <si>
    <t>EST2021</t>
  </si>
  <si>
    <t>FIN2021</t>
  </si>
  <si>
    <t>FRA2021</t>
  </si>
  <si>
    <t>GBR2021</t>
  </si>
  <si>
    <t>GRC2021</t>
  </si>
  <si>
    <t>GUY1998</t>
  </si>
  <si>
    <t>HUN2021</t>
  </si>
  <si>
    <t>HRV2021</t>
  </si>
  <si>
    <t>IRL2021</t>
  </si>
  <si>
    <t>ISL2017</t>
  </si>
  <si>
    <t>ISR2021</t>
  </si>
  <si>
    <t>ITA2021</t>
  </si>
  <si>
    <t>JPN2013</t>
  </si>
  <si>
    <t>KOR2016</t>
  </si>
  <si>
    <t>LTU2021</t>
  </si>
  <si>
    <t>LUX2021</t>
  </si>
  <si>
    <t>LVA2021</t>
  </si>
  <si>
    <t>MEX2022</t>
  </si>
  <si>
    <t>NLD2021</t>
  </si>
  <si>
    <t>MLT2020</t>
  </si>
  <si>
    <t>NOR2019</t>
  </si>
  <si>
    <t>POL2021</t>
  </si>
  <si>
    <t>PRT2021</t>
  </si>
  <si>
    <t>NRU2012</t>
  </si>
  <si>
    <t>SVK2021</t>
  </si>
  <si>
    <t>PAN2023</t>
  </si>
  <si>
    <t>SVN2021</t>
  </si>
  <si>
    <t>SWE2021</t>
  </si>
  <si>
    <t>TUR2021</t>
  </si>
  <si>
    <t>Turkiye</t>
  </si>
  <si>
    <t>ROU2021</t>
  </si>
  <si>
    <t>USA2021</t>
  </si>
  <si>
    <t>SYC2018</t>
  </si>
  <si>
    <t>TTO1992</t>
  </si>
  <si>
    <t>TWN2021</t>
  </si>
  <si>
    <t>URY2022</t>
  </si>
  <si>
    <t>pais_c</t>
  </si>
  <si>
    <t>anio_c</t>
  </si>
  <si>
    <t>rate_extreme</t>
  </si>
  <si>
    <t>rate_moderate</t>
  </si>
  <si>
    <t>rate_poor_under5</t>
  </si>
  <si>
    <t>rate_Notpoor</t>
  </si>
  <si>
    <t>extreme</t>
  </si>
  <si>
    <t>moderate</t>
  </si>
  <si>
    <t>poor_under5</t>
  </si>
  <si>
    <t>Notpoor</t>
  </si>
  <si>
    <t>pop2023un</t>
  </si>
  <si>
    <t>pob</t>
  </si>
  <si>
    <t>value2005</t>
  </si>
  <si>
    <t>value2006</t>
  </si>
  <si>
    <t>Fact 1</t>
  </si>
  <si>
    <t>People Living in Poverty</t>
  </si>
  <si>
    <t>Poverty</t>
  </si>
  <si>
    <t>Rate 
(%)</t>
  </si>
  <si>
    <t>Headcounts (millions)</t>
  </si>
  <si>
    <t>Moderate</t>
  </si>
  <si>
    <t>agregar un raking de población total</t>
  </si>
  <si>
    <t>Fact 2</t>
  </si>
  <si>
    <t>Poverty rates (%)</t>
  </si>
  <si>
    <t>Population 2023 (millions)</t>
  </si>
  <si>
    <t>Extrema</t>
  </si>
  <si>
    <t>Moderada</t>
  </si>
  <si>
    <t>macro report</t>
  </si>
  <si>
    <t>N</t>
  </si>
  <si>
    <t>Moderate poverty</t>
  </si>
  <si>
    <t>Total Poverty</t>
  </si>
  <si>
    <t>Population 2023 (millions) 2/</t>
  </si>
  <si>
    <t>y</t>
  </si>
  <si>
    <t>Antigua &amp; Barbuda</t>
  </si>
  <si>
    <t xml:space="preserve"> IDB staff calculations based on data from the United Nations’ World Population Prospects 2022 database and the IDB’s Data and Indicators from Latin America and the Caribbean database. https://www.iadb.org/en/knowledge-resources/data/social-data.</t>
  </si>
  <si>
    <t>Note</t>
  </si>
  <si>
    <t>Extreme poverty rate is defined as the percentage of the population living in households with income per capita below the international poverty line of $3.1 per person per day adjusted to 2011 Purchasing Power Parity (PPP). Moderate poverty rate is defined as the percentage of the population living in households with income per capita between $3.1 and $5.0 per person per day adjusted to 2011 Purchasing Power Parity (PPP). The reported values of this figure are population-weighted averages that include Argentina, The Bahamas, Bolivia, Brazil, Chile, Barbados, Colombia, Costa Rica, Dominican Republic, Ecuador, El Salvador, Guatemala, Guyana, Honduras, Mexico, Panama, Paraguay, Peru, Venezuela, and Uruguay.</t>
  </si>
  <si>
    <t>St. Kitts &amp; Nevis</t>
  </si>
  <si>
    <t>ponderado por población en pobreza extrema, moderada y total</t>
  </si>
  <si>
    <t>St. Vincent &amp; Grenadines</t>
  </si>
  <si>
    <t>Turks &amp; Caicos Islands</t>
  </si>
  <si>
    <t>U.S. Virgin Islands</t>
  </si>
  <si>
    <t>Extreme Poverty</t>
  </si>
  <si>
    <t>Moderate Poverty</t>
  </si>
  <si>
    <t>Extreme poverty rate is defined as the percentage of the population living in households with income per capita below the international poverty line of $3.1 per person per day adjusted to 2011 Purchasing Power Parity (PPP). Moderate poverty rate is defined as the percentage of the population living in households with income per capita between $3.1 and $5.0 per person per day adjusted to 2011 Purchasing Power Parity (PPP). The reported values of this figure are population-weighted averages. In the case of LAC, the countries included are Argentina, The Bahamas, Bolivia, Brazil, Chile, Barbados, Colombia, Costa Rica, Dominican Republic, Ecuador, El Salvador, Guatemala, Guyana, Honduras, Mexico, Panama, Paraguay, Peru, Venezuela, Uruguay, and Suriname. In the case of the OECD, the countries included are Australia, Austria, Belgium, Canada, Switzerland, Chile, Colombia, Costa Rica, Czechia, Germany, Denmark, Spain, Estonia, Finland, France, United Kingdom, Greece, Hungary, Ireland, Iceland, Israel, Italy, Japan, Republic of Korea, Lithuania, Luxembourg, Latvia, Mexico, Netherlands, Norway, Poland, Portugal, Slovak Republic, Slovenia, Sweden, Turkey, and The United States.</t>
  </si>
  <si>
    <t>Population 2020 (thousands)</t>
  </si>
  <si>
    <t>Population UN 2022 proyection</t>
  </si>
  <si>
    <t>Population IDB last year</t>
  </si>
  <si>
    <t>Others</t>
  </si>
  <si>
    <t>urbano</t>
  </si>
  <si>
    <t>-</t>
  </si>
  <si>
    <t>niv_ingreso_g</t>
  </si>
  <si>
    <t>women_ci</t>
  </si>
  <si>
    <t>migrante_ci</t>
  </si>
  <si>
    <t>afro</t>
  </si>
  <si>
    <t>indi</t>
  </si>
  <si>
    <t>dis_ci</t>
  </si>
  <si>
    <t>_merge</t>
  </si>
  <si>
    <t>Matched (3)</t>
  </si>
  <si>
    <t>notpoor</t>
  </si>
  <si>
    <t>max_anio</t>
  </si>
  <si>
    <t>variable</t>
  </si>
  <si>
    <t>pobx variable</t>
  </si>
  <si>
    <t>Extreme poverty</t>
  </si>
  <si>
    <t>Not poor</t>
  </si>
  <si>
    <t>Indigenous people</t>
  </si>
  <si>
    <t>People with disabilities</t>
  </si>
  <si>
    <t>Migrants</t>
  </si>
  <si>
    <t>Women</t>
  </si>
  <si>
    <t>value</t>
  </si>
  <si>
    <t>prangoedad_00_15</t>
  </si>
  <si>
    <t>prangoedad_16_30</t>
  </si>
  <si>
    <t>prangoedad_31_45</t>
  </si>
  <si>
    <t>prangoedad_46_60</t>
  </si>
  <si>
    <t>prangoedad_61_75</t>
  </si>
  <si>
    <t>prangoedad_76_mas</t>
  </si>
  <si>
    <t>value2003</t>
  </si>
  <si>
    <t>value2004</t>
  </si>
  <si>
    <t>value2007</t>
  </si>
  <si>
    <t>value2008</t>
  </si>
  <si>
    <t>value2009</t>
  </si>
  <si>
    <t>value2010</t>
  </si>
  <si>
    <t>value2011</t>
  </si>
  <si>
    <t>value2012</t>
  </si>
  <si>
    <t>value2013</t>
  </si>
  <si>
    <t>value2014</t>
  </si>
  <si>
    <t>value2015</t>
  </si>
  <si>
    <t>value2016</t>
  </si>
  <si>
    <t>value2017</t>
  </si>
  <si>
    <t>value2018</t>
  </si>
  <si>
    <t>value2019</t>
  </si>
  <si>
    <t>value2020</t>
  </si>
  <si>
    <t>value2021</t>
  </si>
  <si>
    <t>value2022</t>
  </si>
  <si>
    <t>value2023</t>
  </si>
  <si>
    <t>promedio simple</t>
  </si>
  <si>
    <t>promedio ponderado</t>
  </si>
  <si>
    <t>median</t>
  </si>
  <si>
    <t>&gt;0</t>
  </si>
  <si>
    <t>sum</t>
  </si>
  <si>
    <t xml:space="preserve">simple average </t>
  </si>
  <si>
    <t>prangoedad_15_64</t>
  </si>
  <si>
    <t>00-15</t>
  </si>
  <si>
    <t>16-30</t>
  </si>
  <si>
    <t>31-45</t>
  </si>
  <si>
    <t>46-60</t>
  </si>
  <si>
    <t>61-75</t>
  </si>
  <si>
    <t>15_64</t>
  </si>
  <si>
    <t>Not Poor</t>
  </si>
  <si>
    <t>edad</t>
  </si>
  <si>
    <t>nmayor18_chh</t>
  </si>
  <si>
    <t>nmenor18_chh</t>
  </si>
  <si>
    <t>nmayor51_chh</t>
  </si>
  <si>
    <t>working age</t>
  </si>
  <si>
    <t>Sum of levelpobreza_under5</t>
  </si>
  <si>
    <t>Column Labels</t>
  </si>
  <si>
    <t>Sum of valuepobreza31</t>
  </si>
  <si>
    <t>(blank)</t>
  </si>
  <si>
    <t>Escenario considerando todos los miembros - escenario considerando miembros que no son parientes</t>
  </si>
  <si>
    <t>(cambio%)</t>
  </si>
  <si>
    <t>rate_poor31</t>
  </si>
  <si>
    <t>rate_poor</t>
  </si>
  <si>
    <t>rate_vulnerable</t>
  </si>
  <si>
    <t>qué tan por debajo del umbral de pobreza se encuentra una persona o un hogar profundidad de la pobreza</t>
  </si>
  <si>
    <t>https://datanalytics.worldbank.org/PIP-Methodology/surveyestimates.html</t>
  </si>
  <si>
    <t>https://ourworldindata.org/grapher/poverty-gap-index-at-190-int-per-day-povcal</t>
  </si>
  <si>
    <t>https://ourworldindata.org/grapher/total-population-in-extreme-poverty</t>
  </si>
  <si>
    <t>https://ourworldindata.org/grapher/share-living-with-less-than-320-int--per-day</t>
  </si>
  <si>
    <t>edad_grupo</t>
  </si>
  <si>
    <t>NotPoor</t>
  </si>
  <si>
    <t>Extrema pobreza</t>
  </si>
  <si>
    <t>Nombre del País</t>
  </si>
  <si>
    <t>País</t>
  </si>
  <si>
    <t>poblacion</t>
  </si>
  <si>
    <t>pond</t>
  </si>
  <si>
    <t>Fact 4: how much of poverty in the region is chronic versus transitory</t>
  </si>
  <si>
    <t>Fact 8: Earnings and Employment</t>
  </si>
  <si>
    <t>Fact 9: Education and Health</t>
  </si>
  <si>
    <t>Fact 9: Social Programs</t>
  </si>
  <si>
    <t>Figure 1</t>
  </si>
  <si>
    <t>Figure 2</t>
  </si>
  <si>
    <r>
      <t>3.1.1</t>
    </r>
    <r>
      <rPr>
        <b/>
        <sz val="7"/>
        <rFont val="Times New Roman"/>
        <family val="1"/>
      </rPr>
      <t xml:space="preserve">        </t>
    </r>
    <r>
      <rPr>
        <b/>
        <sz val="12"/>
        <rFont val="Calibri"/>
        <family val="2"/>
      </rPr>
      <t>How many people in the region are poor?</t>
    </r>
  </si>
  <si>
    <t>Urban</t>
  </si>
  <si>
    <t>Formal Employment</t>
  </si>
  <si>
    <t>Working Hours</t>
  </si>
  <si>
    <t xml:space="preserve">Hourly Wage* </t>
  </si>
  <si>
    <t>Schooling</t>
  </si>
  <si>
    <t>Extreme Poor</t>
  </si>
  <si>
    <t>Moderate Poor</t>
  </si>
  <si>
    <t xml:space="preserve">Rural </t>
  </si>
  <si>
    <t>Fact 2: How the poor are distributed geographically within countries</t>
  </si>
  <si>
    <t>LAC (weighted)</t>
  </si>
  <si>
    <t>age0_15</t>
  </si>
  <si>
    <t>age65_mas</t>
  </si>
  <si>
    <t>totalpoor</t>
  </si>
  <si>
    <t>People aged 0-15 years old</t>
  </si>
  <si>
    <t>People aged 65+ years old</t>
  </si>
  <si>
    <t>quité bolivia</t>
  </si>
  <si>
    <t>Total Poor</t>
  </si>
  <si>
    <t>People aged 0 to 15 years old</t>
  </si>
  <si>
    <t>Afro-descendant people</t>
  </si>
  <si>
    <t>ratio_dependecy</t>
  </si>
  <si>
    <t>nhijos_ch</t>
  </si>
  <si>
    <t>nmiembros</t>
  </si>
  <si>
    <t>ratio_edad_00_14</t>
  </si>
  <si>
    <t>ratio_edad_15_64</t>
  </si>
  <si>
    <t>ratio_65_mas</t>
  </si>
  <si>
    <t>mean</t>
  </si>
  <si>
    <t>level</t>
  </si>
  <si>
    <t>mean_ratio_dependecy</t>
  </si>
  <si>
    <t>mean_nhijos_ch</t>
  </si>
  <si>
    <t>mean_nmiembros</t>
  </si>
  <si>
    <t>ratio_joven_viejo</t>
  </si>
  <si>
    <t>Values</t>
  </si>
  <si>
    <t>Average of mean_nhijos_ch</t>
  </si>
  <si>
    <t>mean ratio_dependecy</t>
  </si>
  <si>
    <t>nhijos</t>
  </si>
  <si>
    <t>Average of mean_nmiembros</t>
  </si>
  <si>
    <t>Ratio joven/viejo</t>
  </si>
  <si>
    <t>Average of ratio_joven_viejo</t>
  </si>
  <si>
    <t>Population</t>
  </si>
  <si>
    <t>Sum of ratio_edad_00_14</t>
  </si>
  <si>
    <t>Sum of ratio_edad_15_64</t>
  </si>
  <si>
    <t>Sum of ratio_65_mas</t>
  </si>
  <si>
    <t>Dependency Ratio</t>
  </si>
  <si>
    <t>0-14 years old</t>
  </si>
  <si>
    <t>15-64 years old</t>
  </si>
  <si>
    <t>65+ years old</t>
  </si>
  <si>
    <t>Age estructure by household</t>
  </si>
  <si>
    <t>Household size</t>
  </si>
  <si>
    <t>Number of children</t>
  </si>
  <si>
    <t>Dependecy ratio</t>
  </si>
  <si>
    <t>Maximum value</t>
  </si>
  <si>
    <t>1</t>
  </si>
  <si>
    <t>2</t>
  </si>
  <si>
    <t>3</t>
  </si>
  <si>
    <t xml:space="preserve">  ARG</t>
  </si>
  <si>
    <t xml:space="preserve">  BOL</t>
  </si>
  <si>
    <t xml:space="preserve">  BRA</t>
  </si>
  <si>
    <t xml:space="preserve">  CHL</t>
  </si>
  <si>
    <t xml:space="preserve">  COL</t>
  </si>
  <si>
    <t xml:space="preserve">  CRI</t>
  </si>
  <si>
    <t xml:space="preserve">  DOM</t>
  </si>
  <si>
    <t xml:space="preserve">  ECU</t>
  </si>
  <si>
    <t xml:space="preserve">  GUY</t>
  </si>
  <si>
    <t xml:space="preserve">  HND</t>
  </si>
  <si>
    <t xml:space="preserve">  PAN</t>
  </si>
  <si>
    <t xml:space="preserve">  PER</t>
  </si>
  <si>
    <t xml:space="preserve">  PRY</t>
  </si>
  <si>
    <t xml:space="preserve">  VEN</t>
  </si>
  <si>
    <t xml:space="preserve">  GTM</t>
  </si>
  <si>
    <t xml:space="preserve">  MEX</t>
  </si>
  <si>
    <t xml:space="preserve">  SLV</t>
  </si>
  <si>
    <t xml:space="preserve">  URY</t>
  </si>
  <si>
    <t>Personas con discapacidad</t>
  </si>
  <si>
    <t>Con Discapacidad</t>
  </si>
  <si>
    <t>million</t>
  </si>
  <si>
    <t>Materiales de construcción de las paredes</t>
  </si>
  <si>
    <t>techo_ch</t>
  </si>
  <si>
    <t>Materiales_permanentes</t>
  </si>
  <si>
    <t>Materiales de construcción del piso</t>
  </si>
  <si>
    <t>El hogar posee refrigerador o heladera</t>
  </si>
  <si>
    <t>El hogar posee automovil particular</t>
  </si>
  <si>
    <t>El hogar tiene servicio telefónico fijo</t>
  </si>
  <si>
    <t>El hogar posee computador</t>
  </si>
  <si>
    <t>El hogar posee conexión a internet</t>
  </si>
  <si>
    <t>La principal fuente de iluminación es electricidad</t>
  </si>
  <si>
    <t>sanred_ch</t>
  </si>
  <si>
    <t>Acceso a fuente de agua por red</t>
  </si>
  <si>
    <t>Cuarto separado y exclusivo para cocinar</t>
  </si>
  <si>
    <t>population</t>
  </si>
  <si>
    <t>0</t>
  </si>
  <si>
    <t xml:space="preserve">  AVG</t>
  </si>
  <si>
    <t xml:space="preserve">LAC </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</si>
  <si>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</si>
  <si>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</si>
  <si>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</si>
  <si>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</si>
  <si>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</si>
  <si>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</si>
  <si>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</si>
  <si>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</si>
  <si>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</si>
  <si>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</si>
  <si>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</si>
  <si>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</si>
  <si>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</si>
  <si>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</si>
  <si>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</si>
  <si>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</si>
  <si>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</si>
  <si>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</si>
  <si>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</si>
  <si>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</si>
  <si>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</si>
  <si>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 xml:space="preserve"> LAC without VEN</t>
  </si>
  <si>
    <t>VEN lineas anteriores</t>
  </si>
  <si>
    <t xml:space="preserve"> LAC</t>
  </si>
  <si>
    <t>Extreme Poverty Rate</t>
  </si>
  <si>
    <t>Moderate Poverty Rate</t>
  </si>
  <si>
    <t>Total Poverty Rate</t>
  </si>
  <si>
    <t>aguamejorada_chh</t>
  </si>
  <si>
    <t>cel_chh</t>
  </si>
  <si>
    <t>UNpop</t>
  </si>
  <si>
    <t>Zona del pais</t>
  </si>
  <si>
    <t>rural</t>
  </si>
  <si>
    <t>urbana</t>
  </si>
  <si>
    <t>LAC (simple)</t>
  </si>
  <si>
    <t>Refrigerator</t>
  </si>
  <si>
    <t>Private car</t>
  </si>
  <si>
    <t>Landline telephone</t>
  </si>
  <si>
    <t>Computer</t>
  </si>
  <si>
    <t>Mobile phone</t>
  </si>
  <si>
    <t>Internet access</t>
  </si>
  <si>
    <t>Electricity</t>
  </si>
  <si>
    <t>Sewerage connected to the network</t>
  </si>
  <si>
    <t>Piped water</t>
  </si>
  <si>
    <t>cuarto exclusivo par cocinar</t>
  </si>
  <si>
    <t>agua mejorada</t>
  </si>
  <si>
    <t>Rural</t>
  </si>
  <si>
    <t>poor-notpoor</t>
  </si>
  <si>
    <t>Topic</t>
  </si>
  <si>
    <t>Gender Gap</t>
  </si>
  <si>
    <t>estos gráficos son lo mismo presentado de diferente manera</t>
  </si>
  <si>
    <t>no va</t>
  </si>
  <si>
    <t>urbano rural</t>
  </si>
  <si>
    <t>Diff</t>
  </si>
  <si>
    <t>hacinamiento_ch</t>
  </si>
  <si>
    <t>mean_hacinamiento_ch</t>
  </si>
  <si>
    <t>a</t>
  </si>
  <si>
    <t>BID versus World Bank</t>
  </si>
  <si>
    <t>Encuesta Nacional de Condiciones de Vida</t>
  </si>
  <si>
    <t>Guyana Living Standards Measurement Survey</t>
  </si>
  <si>
    <t>GLSMS</t>
  </si>
  <si>
    <t>Pesquisa Nacional por Amostra de Domicilios Continua - entrevista I</t>
  </si>
  <si>
    <t>PNADC I</t>
  </si>
  <si>
    <t>Encuesta de Hogares por Muestreo 2006</t>
  </si>
  <si>
    <t>Encuesta Permanente de Hogares de Propósitos Múltiples 2019</t>
  </si>
  <si>
    <t>Gran Encuesta Integrada de Hogares 2022</t>
  </si>
  <si>
    <t>Encuesta de Empleo, Desempleo y Subempleo</t>
  </si>
  <si>
    <t>Encuesta de Hogares de Propósitos Múltiples</t>
  </si>
  <si>
    <t>Encuesta Permanente de Hogares</t>
  </si>
  <si>
    <t>EPH</t>
  </si>
  <si>
    <t>Encuesta de Hogares 2021</t>
  </si>
  <si>
    <t>Encuesta de Hogares</t>
  </si>
  <si>
    <t>Encuesta Nacional de Ingresos y Gastos de los Hogares 2022</t>
  </si>
  <si>
    <t>Encuesta Nacional de Hogares sobre Condiciones de Vida y Pobreza 2022</t>
  </si>
  <si>
    <t>Encuesta Nacional Continua de Fuerza de Trabajo - Trimestre III</t>
  </si>
  <si>
    <t>Encuesta Nacional de Hogares 2022, Julio</t>
  </si>
  <si>
    <t>Encuesta Permanente de Hogares Continua - semestre II</t>
  </si>
  <si>
    <t>Encuesta Continua de Hogares</t>
  </si>
  <si>
    <t>Encuesta de Caracterización Socioeconómica Nacional en Pandemia</t>
  </si>
  <si>
    <t>Extreme poor (rate)</t>
  </si>
  <si>
    <t>Total Poor (rate)</t>
  </si>
  <si>
    <t>ENCFT Q3</t>
  </si>
  <si>
    <t>ENCFT Q4</t>
  </si>
  <si>
    <t>EPHC S2</t>
  </si>
  <si>
    <t>o afro</t>
  </si>
  <si>
    <t>total</t>
  </si>
  <si>
    <t>1 afro</t>
  </si>
  <si>
    <t>Nombre del</t>
  </si>
  <si>
    <t>no indi</t>
  </si>
  <si>
    <t>Indígena</t>
  </si>
  <si>
    <t>Afro-descendiente</t>
  </si>
  <si>
    <t>Otros</t>
  </si>
  <si>
    <t>bra</t>
  </si>
  <si>
    <t>pobres</t>
  </si>
  <si>
    <t>permamente</t>
  </si>
  <si>
    <t>no permanente</t>
  </si>
  <si>
    <t>ADOBE</t>
  </si>
  <si>
    <t>3 es adobe o quincha</t>
  </si>
  <si>
    <t>2019-2020</t>
  </si>
  <si>
    <t>2003-2023</t>
  </si>
  <si>
    <t>covid</t>
  </si>
  <si>
    <t>34% sin PRYGUY BRA</t>
  </si>
  <si>
    <t>2019-2021</t>
  </si>
  <si>
    <t>gen pared_ch=0 if p102==3 | p102==4
replace pared_ch=1 if p102==1 | p102==2 | p102==5 | p102==6 | p102==7
replace pared_ch=2 if p102&gt;=8</t>
  </si>
  <si>
    <t>IDB (a)</t>
  </si>
  <si>
    <t>WB (b)</t>
  </si>
  <si>
    <t>(a)-(b)</t>
  </si>
  <si>
    <t>Latin America</t>
  </si>
  <si>
    <t>Año</t>
  </si>
  <si>
    <t>IDB-WB</t>
  </si>
  <si>
    <t>IDB-Cepal</t>
  </si>
  <si>
    <t>WB-Cepal</t>
  </si>
  <si>
    <t>ya estaba aqsi</t>
  </si>
  <si>
    <t>se corrige asi</t>
  </si>
  <si>
    <t>LAC simple</t>
  </si>
  <si>
    <t>ECLAC (2018). Income poverty measurement: Updated methodology and results</t>
  </si>
  <si>
    <t>https://repositorio.cepal.org/server/api/core/bitstreams/b2dd4899-f5b4-4d6e-998c-64a916cb1eff/content</t>
  </si>
  <si>
    <t xml:space="preserve">ENCFT </t>
  </si>
  <si>
    <t>Note:</t>
  </si>
  <si>
    <t>ECLAC (2024). Household surveys in the countries. Household Survey Data Bank (BADEHOG). https://repositorio.cepal.org/handle/11362/31828?show=full</t>
  </si>
  <si>
    <t>1/ It is assumed that BASEHOG uses the surveys described in its methodological note ECLAC (2018).</t>
  </si>
  <si>
    <t>Source:</t>
  </si>
  <si>
    <t>ECLAC (b)</t>
  </si>
  <si>
    <t>ECLAC (c)</t>
  </si>
  <si>
    <t>National</t>
  </si>
  <si>
    <t>Level</t>
  </si>
  <si>
    <t>TOTAL</t>
  </si>
  <si>
    <t>0-15 years old</t>
  </si>
  <si>
    <t>Afro-descendants</t>
  </si>
  <si>
    <t>total population</t>
  </si>
  <si>
    <t>ECLAC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</si>
</sst>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
    <numFmt numFmtId="165" formatCode="0.0%"/>
    <numFmt numFmtId="166" formatCode="#,##0.0"/>
    <numFmt numFmtId="167" formatCode="0.0000"/>
    <numFmt numFmtId="168" formatCode="0.000%"/>
    <numFmt numFmtId="169" formatCode="0.#######"/>
  </numFmts>
  <fonts count="8664">
    <font>
      <sz val="11"/>
      <name val="Calibri"/>
    </font>
    <font>
      <sz val="11"/>
      <color theme="1"/>
      <name val="Aptos Narrow"/>
      <family val="2"/>
      <scheme val="minor"/>
    </font>
    <font>
      <sz val="11"/>
      <name val="Calibri"/>
      <family val="2"/>
    </font>
    <font>
      <b/>
      <sz val="11"/>
      <name val="Calibri"/>
      <family val="2"/>
    </font>
    <font>
      <sz val="11"/>
      <name val="Calibri"/>
      <family val="2"/>
    </font>
    <font>
      <sz val="8"/>
      <color rgb="FF4D5156"/>
      <name val="Arial"/>
      <family val="2"/>
    </font>
    <font>
      <sz val="11"/>
      <color rgb="FF000000"/>
      <name val="Aptos Narrow"/>
      <family val="2"/>
      <scheme val="minor"/>
    </font>
    <font>
      <b/>
      <sz val="11"/>
      <color rgb="FF000000"/>
      <name val="Aptos Narrow"/>
      <family val="2"/>
      <scheme val="minor"/>
    </font>
    <font>
      <sz val="11"/>
      <color indexed="8"/>
      <name val="Aptos Narrow"/>
      <family val="2"/>
      <scheme val="minor"/>
    </font>
    <font>
      <sz val="11"/>
      <color rgb="FF000000"/>
      <name val="Calibri"/>
      <family val="2"/>
    </font>
    <font>
      <u/>
      <sz val="11"/>
      <color theme="10"/>
      <name val="Aptos Narrow"/>
      <family val="2"/>
      <scheme val="minor"/>
    </font>
    <font>
      <sz val="12"/>
      <name val="Calibri"/>
      <family val="2"/>
    </font>
    <font>
      <sz val="6"/>
      <color rgb="FF333333"/>
      <name val="Arial"/>
      <family val="2"/>
    </font>
    <font>
      <sz val="8"/>
      <color rgb="FF7F7F7F"/>
      <name val="Montserrat"/>
    </font>
    <font>
      <b/>
      <sz val="11"/>
      <color theme="1"/>
      <name val="Aptos Narrow"/>
      <family val="2"/>
      <scheme val="minor"/>
    </font>
    <font>
      <sz val="10"/>
      <name val="Arial"/>
      <family val="2"/>
    </font>
    <font>
      <b/>
      <sz val="10"/>
      <name val="Arial"/>
      <family val="2"/>
    </font>
    <font>
      <sz val="10"/>
      <color rgb="FFFF0000"/>
      <name val="Arial"/>
      <family val="2"/>
    </font>
    <font>
      <sz val="8"/>
      <name val="Arial"/>
      <family val="2"/>
    </font>
    <font>
      <sz val="6"/>
      <color rgb="FF292C33"/>
      <name val="Arial"/>
      <family val="2"/>
    </font>
    <font>
      <sz val="11"/>
      <color rgb="FFC00000"/>
      <name val="Calibri"/>
      <family val="2"/>
    </font>
    <font>
      <b/>
      <sz val="11"/>
      <color rgb="FFC00000"/>
      <name val="Calibri"/>
      <family val="2"/>
    </font>
    <font>
      <sz val="11"/>
      <color theme="0" tint="-0.14999847407452621"/>
      <name val="Calibri"/>
      <family val="2"/>
    </font>
    <font>
      <b/>
      <sz val="11"/>
      <color theme="0" tint="-0.14999847407452621"/>
      <name val="Calibri"/>
      <family val="2"/>
    </font>
    <font>
      <sz val="11"/>
      <color rgb="FFFF0000"/>
      <name val="Calibri"/>
      <family val="2"/>
    </font>
    <font>
      <sz val="28"/>
      <color rgb="FF000000"/>
      <name val="Calibri Light"/>
      <family val="2"/>
    </font>
    <font>
      <b/>
      <sz val="7"/>
      <name val="Times New Roman"/>
      <family val="1"/>
    </font>
    <font>
      <b/>
      <sz val="12"/>
      <name val="Calibri"/>
      <family val="2"/>
    </font>
    <font>
      <sz val="9"/>
      <name val="Calibri"/>
      <family val="2"/>
    </font>
    <font>
      <sz val="10"/>
      <name val="Arial Unicode MS"/>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0"/>
      <color theme="1"/>
      <name val="Century Gothic"/>
      <family val="2"/>
    </font>
    <font>
      <sz val="10"/>
      <color rgb="FFC00000"/>
      <name val="Century Gothic"/>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color rgb="FFFFFFFF"/>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b/>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7"/>
      <color rgb="FF000000"/>
      <name val="OpenSans"/>
    </font>
    <font>
      <sz val="10"/>
      <color rgb="FF001D35"/>
      <name val="Arial"/>
      <family val="2"/>
    </font>
    <font>
      <sz val="8"/>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b/>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b/>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s>
  <fills count="50">
    <fill>
      <patternFill patternType="none"/>
    </fill>
    <fill>
      <patternFill patternType="gray125"/>
    </fill>
    <fill>
      <patternFill patternType="solid">
        <fgColor theme="3" tint="0.89999084444715716"/>
        <bgColor indexed="64"/>
      </patternFill>
    </fill>
    <fill>
      <patternFill patternType="solid">
        <fgColor rgb="FFFFFF00"/>
        <bgColor indexed="64"/>
      </patternFill>
    </fill>
    <fill>
      <patternFill patternType="solid">
        <fgColor rgb="FFF9F9F9"/>
        <bgColor indexed="64"/>
      </patternFill>
    </fill>
    <fill>
      <patternFill patternType="solid">
        <fgColor theme="8" tint="0.59996337778862885"/>
        <bgColor indexed="64"/>
      </patternFill>
    </fill>
    <fill>
      <patternFill patternType="solid">
        <fgColor theme="0" tint="-0.14999847407452621"/>
        <bgColor indexed="64"/>
      </patternFill>
    </fill>
    <fill>
      <patternFill patternType="solid">
        <fgColor theme="0"/>
        <bgColor indexed="64"/>
      </patternFill>
    </fill>
    <fill>
      <patternFill patternType="solid">
        <fgColor rgb="FFDFEEF9"/>
        <bgColor indexed="64"/>
      </patternFill>
    </fill>
    <fill>
      <patternFill patternType="solid">
        <fgColor theme="0" tint="-4.88906521805475E-2"/>
        <bgColor indexed="64"/>
      </patternFill>
    </fill>
    <fill>
      <patternFill patternType="solid">
        <fgColor theme="6" tint="0.59996337778862885"/>
        <bgColor indexed="64"/>
      </patternFill>
    </fill>
    <fill>
      <patternFill patternType="solid">
        <fgColor theme="0" tint="-0.49995422223578601"/>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3" tint="0.79995117038483843"/>
        <bgColor indexed="64"/>
      </patternFill>
    </fill>
    <fill>
      <patternFill patternType="solid">
        <fgColor theme="6" tint="0.79995117038483843"/>
        <bgColor indexed="64"/>
      </patternFill>
    </fill>
    <fill>
      <patternFill patternType="solid">
        <fgColor theme="9" tint="0.79995117038483843"/>
        <bgColor indexed="64"/>
      </patternFill>
    </fill>
    <fill>
      <patternFill patternType="solid">
        <fgColor theme="3" tint="0.79995117038483843"/>
        <bgColor indexed="64"/>
      </patternFill>
    </fill>
    <fill>
      <patternFill patternType="solid">
        <fgColor theme="0"/>
        <bgColor theme="6" tint="0.79995117038483843"/>
      </patternFill>
    </fill>
    <fill>
      <patternFill patternType="solid">
        <fgColor theme="0" tint="-4.88906521805475E-2"/>
        <bgColor indexed="64"/>
      </patternFill>
    </fill>
    <fill>
      <patternFill patternType="solid">
        <fgColor theme="1" tint="0.49995422223578601"/>
        <bgColor indexed="64"/>
      </patternFill>
    </fill>
    <fill>
      <patternFill patternType="solid">
        <fgColor rgb="FFC00000"/>
        <bgColor indexed="64"/>
      </patternFill>
    </fill>
    <fill>
      <patternFill patternType="solid">
        <fgColor theme="4" tint="0.79995117038483843"/>
        <bgColor indexed="64"/>
      </patternFill>
    </fill>
    <fill>
      <patternFill patternType="solid">
        <fgColor rgb="FF004E70"/>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4.986724448377941E-2"/>
        <bgColor indexed="64"/>
      </patternFill>
    </fill>
    <fill>
      <patternFill patternType="solid">
        <fgColor theme="5" tint="0.79995117038483843"/>
        <bgColor indexed="64"/>
      </patternFill>
    </fill>
    <fill>
      <patternFill patternType="solid">
        <fgColor theme="9" tint="0.59996337778862885"/>
        <bgColor indexed="64"/>
      </patternFill>
    </fill>
    <fill>
      <patternFill patternType="solid">
        <fgColor theme="7" tint="0.59996337778862885"/>
        <bgColor indexed="64"/>
      </patternFill>
    </fill>
    <fill>
      <patternFill patternType="solid">
        <fgColor theme="0" tint="-0.24994659260841701"/>
        <bgColor indexed="64"/>
      </patternFill>
    </fill>
    <fill>
      <patternFill patternType="solid">
        <fgColor rgb="FF8FC5ED"/>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FFF00"/>
        <bgColor indexed="64"/>
      </patternFill>
    </fill>
    <fill>
      <patternFill patternType="solid">
        <fgColor rgb="FFFFFF00"/>
        <bgColor indexed="64"/>
      </patternFill>
    </fill>
    <fill>
      <patternFill patternType="solid">
        <fgColor rgb="FFFFFF00"/>
        <bgColor indexed="64"/>
      </patternFill>
    </fill>
    <fill>
      <patternFill patternType="solid">
        <fgColor rgb="FFFFFF00"/>
        <bgColor indexed="64"/>
      </patternFill>
    </fill>
    <fill>
      <patternFill patternType="solid">
        <fgColor rgb="FFFFFF00"/>
        <bgColor indexed="64"/>
      </patternFill>
    </fill>
    <fill>
      <patternFill patternType="solid">
        <fgColor rgb="FFFFFF00"/>
        <bgColor indexed="64"/>
      </patternFill>
    </fill>
    <fill>
      <patternFill patternType="solid">
        <fgColor rgb="FFFFFF00"/>
        <bgColor indexed="64"/>
      </patternFill>
    </fill>
    <fill>
      <patternFill patternType="solid">
        <fgColor rgb="FFFFFF00"/>
        <bgColor indexed="64"/>
      </patternFill>
    </fill>
    <fill>
      <patternFill patternType="solid">
        <fgColor rgb="FFFFFF00"/>
        <bgColor indexed="64"/>
      </patternFill>
    </fill>
    <fill>
      <patternFill patternType="solid">
        <fgColor rgb="FFFFFF00"/>
        <bgColor indexed="64"/>
      </patternFill>
    </fill>
    <fill>
      <patternFill patternType="solid">
        <fgColor rgb="FFFFFF00"/>
        <bgColor indexed="64"/>
      </patternFill>
    </fill>
    <fill>
      <patternFill patternType="solid">
        <fgColor rgb="FFFFFF00"/>
        <bgColor indexed="64"/>
      </patternFill>
    </fill>
    <fill>
      <patternFill patternType="solid">
        <fgColor rgb="FFFFFF00"/>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s>
  <borders count="8235">
    <border>
      <left/>
      <right/>
      <top/>
      <bottom/>
      <diagonal/>
    </border>
    <border>
      <left/>
      <right/>
      <top/>
      <bottom/>
      <diagonal/>
    </border>
    <border>
      <left/>
      <right/>
      <top/>
      <bottom style="thin">
        <color indexed="64"/>
      </bottom>
      <diagonal/>
    </border>
    <border>
      <left/>
      <right/>
      <top/>
      <bottom style="double">
        <color indexed="64"/>
      </bottom>
      <diagonal/>
    </border>
    <border>
      <left/>
      <right/>
      <top style="double">
        <color indexed="64"/>
      </top>
      <bottom/>
      <diagonal/>
    </border>
    <border>
      <left/>
      <right/>
      <top style="double">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style="double">
        <color indexed="64"/>
      </bottom>
      <diagonal/>
    </border>
    <border>
      <left/>
      <right style="thick">
        <color auto="1"/>
      </right>
      <top/>
      <bottom style="thick">
        <color auto="1"/>
      </bottom>
      <diagonal/>
    </border>
    <border>
      <left/>
      <right style="thick">
        <color auto="1"/>
      </right>
      <top style="thick">
        <color auto="1"/>
      </top>
      <bottom/>
      <diagonal/>
    </border>
    <border>
      <left/>
      <right/>
      <top style="thick">
        <color auto="1"/>
      </top>
      <bottom/>
      <diagonal/>
    </border>
    <border>
      <left style="thick">
        <color auto="1"/>
      </left>
      <right/>
      <top/>
      <bottom style="thick">
        <color auto="1"/>
      </bottom>
      <diagonal/>
    </border>
    <border>
      <left style="thick">
        <color auto="1"/>
      </left>
      <right/>
      <top/>
      <bottom/>
      <diagonal/>
    </border>
    <border>
      <left style="thick">
        <color auto="1"/>
      </left>
      <right/>
      <top style="thick">
        <color auto="1"/>
      </top>
      <bottom/>
      <diagonal/>
    </border>
    <border>
      <left/>
      <right style="thick">
        <color auto="1"/>
      </right>
      <top/>
      <bottom/>
      <diagonal/>
    </border>
    <border>
      <left/>
      <right/>
      <top/>
      <bottom style="thick">
        <color auto="1"/>
      </bottom>
      <diagonal/>
    </border>
    <border>
      <left/>
      <right/>
      <top/>
      <bottom/>
      <diagonal/>
    </border>
    <border>
      <left/>
      <right style="thin">
        <color auto="1"/>
      </right>
      <top style="thin">
        <color auto="1"/>
      </top>
      <bottom/>
      <diagonal/>
    </border>
    <border>
      <left/>
      <right/>
      <top style="thin">
        <color auto="1"/>
      </top>
      <bottom/>
      <diagonal/>
    </border>
    <border>
      <left/>
      <right style="thin">
        <color auto="1"/>
      </right>
      <top/>
      <bottom style="thin">
        <color auto="1"/>
      </bottom>
      <diagonal/>
    </border>
    <border>
      <left/>
      <right/>
      <top/>
      <bottom style="thin">
        <color auto="1"/>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bottom/>
      <diagonal/>
    </border>
    <border>
      <left/>
      <right/>
      <top/>
      <bottom/>
      <diagonal/>
    </border>
    <border>
      <left/>
      <right style="thin">
        <color auto="1"/>
      </right>
      <top style="thin">
        <color auto="1"/>
      </top>
      <bottom/>
      <diagonal/>
    </border>
    <border>
      <left/>
      <right/>
      <top style="thin">
        <color auto="1"/>
      </top>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style="thin">
        <color auto="1"/>
      </right>
      <top/>
      <bottom/>
      <diagonal/>
    </border>
    <border>
      <left/>
      <right style="thin">
        <color auto="1"/>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style="thin">
        <color auto="1"/>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style="thin">
        <color auto="1"/>
      </right>
      <top/>
      <bottom/>
      <diagonal/>
    </border>
    <border>
      <left/>
      <right style="thin">
        <color auto="1"/>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style="thin">
        <color auto="1"/>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style="thin">
        <color auto="1"/>
      </right>
      <top/>
      <bottom/>
      <diagonal/>
    </border>
    <border>
      <left/>
      <right style="thin">
        <color auto="1"/>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style="thin">
        <color auto="1"/>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style="thin">
        <color auto="1"/>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style="thin">
        <color auto="1"/>
      </right>
      <top/>
      <bottom/>
      <diagonal/>
    </border>
    <border>
      <left/>
      <right style="thin">
        <color auto="1"/>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style="thin">
        <color auto="1"/>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style="thin">
        <color auto="1"/>
      </right>
      <top/>
      <bottom/>
      <diagonal/>
    </border>
    <border>
      <left/>
      <right style="thin">
        <color auto="1"/>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style="thin">
        <color auto="1"/>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diagonal/>
    </border>
    <border>
      <left/>
      <right style="thin">
        <color auto="1"/>
      </right>
      <top/>
      <bottom/>
      <diagonal/>
    </border>
    <border>
      <left/>
      <right style="thin">
        <color auto="1"/>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diagonal/>
    </border>
    <border>
      <left/>
      <right/>
      <top/>
      <bottom style="thin">
        <color auto="1"/>
      </bottom>
      <diagonal/>
    </border>
    <border>
      <left/>
      <right/>
      <top style="thin">
        <color auto="1"/>
      </top>
      <bottom/>
      <diagonal/>
    </border>
    <border>
      <left/>
      <right/>
      <top/>
      <bottom/>
      <diagonal/>
    </border>
    <border>
      <left/>
      <right/>
      <top/>
      <bottom style="thin">
        <color auto="1"/>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diagonal/>
    </border>
    <border>
      <left/>
      <right/>
      <top/>
      <bottom style="thin">
        <color auto="1"/>
      </bottom>
      <diagonal/>
    </border>
    <border>
      <left style="medium">
        <color indexed="64"/>
      </left>
      <right style="medium">
        <color indexed="64"/>
      </right>
      <top style="medium">
        <color indexed="64"/>
      </top>
      <bottom style="medium">
        <color indexed="64"/>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diagonal/>
    </border>
    <border>
      <left/>
      <right/>
      <top/>
      <bottom/>
      <diagonal/>
    </border>
    <border>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style="thin">
        <color auto="1"/>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top style="thin">
        <color auto="1"/>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auto="1"/>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s>
  <cellStyleXfs count="26">
    <xf numFmtId="0" fontId="0" fillId="0" borderId="0"/>
    <xf numFmtId="9" fontId="2" fillId="0" borderId="0" applyFont="0" applyFill="0" applyBorder="0" applyAlignment="0" applyProtection="0"/>
    <xf numFmtId="0" fontId="6" fillId="0" borderId="1"/>
    <xf numFmtId="0" fontId="9" fillId="0" borderId="1"/>
    <xf numFmtId="0" fontId="1" fillId="0" borderId="1"/>
    <xf numFmtId="0" fontId="1" fillId="0" borderId="1"/>
    <xf numFmtId="0" fontId="1" fillId="0" borderId="1"/>
    <xf numFmtId="0" fontId="6" fillId="0" borderId="1"/>
    <xf numFmtId="0" fontId="1" fillId="0" borderId="1"/>
    <xf numFmtId="0" fontId="1" fillId="0" borderId="1"/>
    <xf numFmtId="0" fontId="8" fillId="0" borderId="1"/>
    <xf numFmtId="9" fontId="6" fillId="0" borderId="1" applyFont="0" applyFill="0" applyBorder="0" applyAlignment="0" applyProtection="0"/>
    <xf numFmtId="0" fontId="1" fillId="0" borderId="1"/>
    <xf numFmtId="9" fontId="1" fillId="0" borderId="1" applyFont="0" applyFill="0" applyBorder="0" applyAlignment="0" applyProtection="0"/>
    <xf numFmtId="0" fontId="1" fillId="0" borderId="1"/>
    <xf numFmtId="43" fontId="6" fillId="0" borderId="1" applyFont="0" applyFill="0" applyBorder="0" applyAlignment="0" applyProtection="0"/>
    <xf numFmtId="9" fontId="1" fillId="0" borderId="1" applyFont="0" applyFill="0" applyBorder="0" applyAlignment="0" applyProtection="0"/>
    <xf numFmtId="0" fontId="1" fillId="0" borderId="1"/>
    <xf numFmtId="0" fontId="1" fillId="0" borderId="1"/>
    <xf numFmtId="0" fontId="1" fillId="0" borderId="1"/>
    <xf numFmtId="0" fontId="1" fillId="0" borderId="1"/>
    <xf numFmtId="0" fontId="4" fillId="0" borderId="1"/>
    <xf numFmtId="0" fontId="11" fillId="0" borderId="1"/>
    <xf numFmtId="0" fontId="10" fillId="0" borderId="1" applyNumberFormat="0" applyFill="0" applyBorder="0" applyAlignment="0" applyProtection="0"/>
    <xf numFmtId="0" fontId="4" fillId="0" borderId="1"/>
    <xf numFmtId="9" fontId="4" fillId="0" borderId="1" applyFont="0" applyFill="0" applyBorder="0" applyAlignment="0" applyProtection="0"/>
  </cellStyleXfs>
  <cellXfs count="9374">
    <xf numFmtId="0" fontId="0" fillId="0" borderId="0" xfId="0"/>
    <xf numFmtId="0" fontId="0" fillId="0" borderId="0" xfId="0" pivotButton="1"/>
    <xf numFmtId="165" fontId="0" fillId="0" borderId="0" xfId="1" applyNumberFormat="1" applyFont="1"/>
    <xf numFmtId="0" fontId="3" fillId="0" borderId="0" xfId="0" applyFont="1"/>
    <xf numFmtId="3" fontId="0" fillId="0" borderId="1" xfId="0" applyNumberFormat="1" applyBorder="1"/>
    <xf numFmtId="3" fontId="0" fillId="0" borderId="0" xfId="0" applyNumberFormat="1"/>
    <xf numFmtId="0" fontId="5" fillId="0" borderId="0" xfId="0" applyFont="1"/>
    <xf numFmtId="0" fontId="0" fillId="2" borderId="0" xfId="0" applyFill="1"/>
    <xf numFmtId="1" fontId="0" fillId="0" borderId="0" xfId="0" applyNumberFormat="1"/>
    <xf numFmtId="0" fontId="6" fillId="0" borderId="1" xfId="2"/>
    <xf numFmtId="0" fontId="7" fillId="0" borderId="1" xfId="2" applyFont="1"/>
    <xf numFmtId="0" fontId="6" fillId="3" borderId="1" xfId="2" applyFill="1"/>
    <xf numFmtId="0" fontId="12" fillId="4" borderId="0" xfId="0" applyFont="1" applyFill="1" applyAlignment="1">
      <alignment horizontal="left" vertical="top" wrapText="1"/>
    </xf>
    <xf numFmtId="164" fontId="0" fillId="0" borderId="0" xfId="0" applyNumberFormat="1"/>
    <xf numFmtId="0" fontId="0" fillId="0" borderId="0" xfId="0" applyAlignment="1">
      <alignment horizontal="center"/>
    </xf>
    <xf numFmtId="0" fontId="3" fillId="0" borderId="0" xfId="0" applyFont="1" applyAlignment="1">
      <alignment vertical="center" wrapText="1"/>
    </xf>
    <xf numFmtId="0" fontId="3" fillId="0" borderId="0" xfId="0" applyFont="1" applyAlignment="1">
      <alignment horizontal="left" vertical="center" wrapText="1"/>
    </xf>
    <xf numFmtId="1" fontId="3" fillId="0" borderId="0" xfId="0" applyNumberFormat="1" applyFont="1" applyAlignment="1">
      <alignment vertical="center" wrapText="1"/>
    </xf>
    <xf numFmtId="0" fontId="3" fillId="0" borderId="0" xfId="0" applyFont="1" applyAlignment="1">
      <alignment horizontal="center" vertical="center" wrapText="1"/>
    </xf>
    <xf numFmtId="0" fontId="3" fillId="0" borderId="0" xfId="0" applyFont="1" applyAlignment="1">
      <alignment horizontal="center"/>
    </xf>
    <xf numFmtId="0" fontId="3" fillId="0" borderId="2" xfId="0" applyFont="1" applyBorder="1" applyAlignment="1">
      <alignment horizontal="center" vertical="center" wrapText="1"/>
    </xf>
    <xf numFmtId="0" fontId="0" fillId="0" borderId="3" xfId="0" applyBorder="1"/>
    <xf numFmtId="0" fontId="0" fillId="0" borderId="3" xfId="0" applyBorder="1" applyAlignment="1">
      <alignment horizontal="center"/>
    </xf>
    <xf numFmtId="0" fontId="13" fillId="0" borderId="0" xfId="0" applyFont="1"/>
    <xf numFmtId="166" fontId="3" fillId="0" borderId="0" xfId="0" applyNumberFormat="1" applyFont="1"/>
    <xf numFmtId="1" fontId="3" fillId="0" borderId="2" xfId="0" applyNumberFormat="1" applyFont="1" applyBorder="1" applyAlignment="1">
      <alignment horizontal="center" vertical="center" wrapText="1"/>
    </xf>
    <xf numFmtId="0" fontId="0" fillId="0" borderId="0" xfId="0" applyAlignment="1">
      <alignment horizontal="left"/>
    </xf>
    <xf numFmtId="3" fontId="3" fillId="0" borderId="0" xfId="0" applyNumberFormat="1" applyFont="1" applyAlignment="1">
      <alignment vertical="center" wrapText="1"/>
    </xf>
    <xf numFmtId="0" fontId="0" fillId="0" borderId="0" xfId="0" applyAlignment="1">
      <alignment horizontal="right"/>
    </xf>
    <xf numFmtId="0" fontId="3" fillId="0" borderId="5" xfId="0" applyFont="1" applyBorder="1" applyAlignment="1">
      <alignment horizontal="center"/>
    </xf>
    <xf numFmtId="3" fontId="0" fillId="0" borderId="3" xfId="0" applyNumberFormat="1" applyBorder="1"/>
    <xf numFmtId="0" fontId="3" fillId="0" borderId="5" xfId="0" applyFont="1" applyBorder="1" applyAlignment="1">
      <alignment vertical="center"/>
    </xf>
    <xf numFmtId="0" fontId="0" fillId="0" borderId="5" xfId="0" applyBorder="1" applyAlignment="1">
      <alignment vertical="center"/>
    </xf>
    <xf numFmtId="164" fontId="3" fillId="0" borderId="0" xfId="0" applyNumberFormat="1" applyFont="1" applyAlignment="1">
      <alignment vertical="center" wrapText="1"/>
    </xf>
    <xf numFmtId="166" fontId="3" fillId="0" borderId="0" xfId="0" applyNumberFormat="1" applyFont="1" applyAlignment="1">
      <alignment vertical="center" wrapText="1"/>
    </xf>
    <xf numFmtId="9" fontId="0" fillId="0" borderId="0" xfId="1" applyFont="1"/>
    <xf numFmtId="0" fontId="0" fillId="6" borderId="0" xfId="0" applyFill="1"/>
    <xf numFmtId="1" fontId="0" fillId="0" borderId="0" xfId="0" applyNumberFormat="1" applyAlignment="1">
      <alignment horizontal="center"/>
    </xf>
    <xf numFmtId="0" fontId="13" fillId="0" borderId="0" xfId="0" applyFont="1" applyAlignment="1">
      <alignment horizontal="left" vertical="center" readingOrder="1"/>
    </xf>
    <xf numFmtId="0" fontId="15" fillId="0" borderId="0" xfId="0" applyFont="1"/>
    <xf numFmtId="0" fontId="15" fillId="0" borderId="2" xfId="0" applyFont="1" applyBorder="1"/>
    <xf numFmtId="0" fontId="16" fillId="0" borderId="0" xfId="0" applyFont="1"/>
    <xf numFmtId="0" fontId="16" fillId="0" borderId="2" xfId="0" applyFont="1" applyBorder="1"/>
    <xf numFmtId="0" fontId="15" fillId="8" borderId="0" xfId="0" applyFont="1" applyFill="1" applyAlignment="1">
      <alignment horizontal="center"/>
    </xf>
    <xf numFmtId="0" fontId="15" fillId="8" borderId="0" xfId="0" applyFont="1" applyFill="1"/>
    <xf numFmtId="0" fontId="17" fillId="0" borderId="0" xfId="0" applyFont="1"/>
    <xf numFmtId="0" fontId="15" fillId="7" borderId="0" xfId="0" applyFont="1" applyFill="1" applyAlignment="1">
      <alignment horizontal="center"/>
    </xf>
    <xf numFmtId="0" fontId="15" fillId="7" borderId="0" xfId="0" applyFont="1" applyFill="1"/>
    <xf numFmtId="164" fontId="15" fillId="7" borderId="0" xfId="0" applyNumberFormat="1" applyFont="1" applyFill="1"/>
    <xf numFmtId="9" fontId="15" fillId="0" borderId="0" xfId="0" applyNumberFormat="1" applyFont="1"/>
    <xf numFmtId="164" fontId="15" fillId="0" borderId="0" xfId="0" applyNumberFormat="1" applyFont="1"/>
    <xf numFmtId="0" fontId="18" fillId="0" borderId="0" xfId="0" applyFont="1"/>
    <xf numFmtId="0" fontId="18" fillId="8" borderId="0" xfId="0" applyFont="1" applyFill="1"/>
    <xf numFmtId="0" fontId="18" fillId="6" borderId="0" xfId="0" applyFont="1" applyFill="1"/>
    <xf numFmtId="0" fontId="14" fillId="0" borderId="0" xfId="0" applyFont="1"/>
    <xf numFmtId="164" fontId="14" fillId="0" borderId="0" xfId="0" applyNumberFormat="1" applyFont="1"/>
    <xf numFmtId="3" fontId="14" fillId="0" borderId="0" xfId="0" applyNumberFormat="1" applyFont="1"/>
    <xf numFmtId="3" fontId="0" fillId="6" borderId="0" xfId="0" applyNumberFormat="1" applyFill="1"/>
    <xf numFmtId="0" fontId="19" fillId="0" borderId="0" xfId="0" applyFont="1"/>
    <xf numFmtId="0" fontId="0" fillId="9" borderId="0" xfId="0" applyFill="1"/>
    <xf numFmtId="3" fontId="0" fillId="9" borderId="0" xfId="0" applyNumberFormat="1" applyFill="1"/>
    <xf numFmtId="0" fontId="3" fillId="6" borderId="0" xfId="0" applyFont="1" applyFill="1" applyAlignment="1">
      <alignment vertical="center" wrapText="1"/>
    </xf>
    <xf numFmtId="0" fontId="0" fillId="6" borderId="0" xfId="0" applyFill="1" applyAlignment="1">
      <alignment horizontal="left"/>
    </xf>
    <xf numFmtId="0" fontId="0" fillId="9" borderId="0" xfId="0" applyFill="1" applyAlignment="1">
      <alignment horizontal="left"/>
    </xf>
    <xf numFmtId="0" fontId="0" fillId="10" borderId="0" xfId="0" applyFill="1"/>
    <xf numFmtId="9" fontId="0" fillId="10" borderId="0" xfId="1" applyFont="1" applyFill="1"/>
    <xf numFmtId="0" fontId="15" fillId="0" borderId="0" xfId="0" applyFont="1" applyAlignment="1">
      <alignment horizontal="center"/>
    </xf>
    <xf numFmtId="164" fontId="20" fillId="0" borderId="0" xfId="0" applyNumberFormat="1" applyFont="1"/>
    <xf numFmtId="164" fontId="21" fillId="0" borderId="0" xfId="0" applyNumberFormat="1" applyFont="1"/>
    <xf numFmtId="0" fontId="21" fillId="0" borderId="0" xfId="0" applyFont="1"/>
    <xf numFmtId="1" fontId="21" fillId="0" borderId="0" xfId="0" applyNumberFormat="1" applyFont="1"/>
    <xf numFmtId="1" fontId="21" fillId="0" borderId="0" xfId="0" applyNumberFormat="1" applyFont="1" applyAlignment="1">
      <alignment horizontal="center"/>
    </xf>
    <xf numFmtId="3" fontId="21" fillId="0" borderId="0" xfId="0" applyNumberFormat="1" applyFont="1"/>
    <xf numFmtId="1" fontId="2" fillId="0" borderId="0" xfId="0" applyNumberFormat="1" applyFont="1"/>
    <xf numFmtId="164" fontId="2" fillId="0" borderId="0" xfId="0" applyNumberFormat="1" applyFont="1"/>
    <xf numFmtId="164" fontId="0" fillId="0" borderId="3" xfId="0" applyNumberFormat="1" applyBorder="1"/>
    <xf numFmtId="0" fontId="2" fillId="0" borderId="0" xfId="0" applyFont="1"/>
    <xf numFmtId="3" fontId="2" fillId="0" borderId="0" xfId="0" applyNumberFormat="1" applyFont="1"/>
    <xf numFmtId="0" fontId="2" fillId="0" borderId="3" xfId="0" applyFont="1" applyBorder="1"/>
    <xf numFmtId="1" fontId="2" fillId="0" borderId="3" xfId="0" applyNumberFormat="1" applyFont="1" applyBorder="1"/>
    <xf numFmtId="164" fontId="2" fillId="0" borderId="3" xfId="0" applyNumberFormat="1" applyFont="1" applyBorder="1"/>
    <xf numFmtId="0" fontId="22" fillId="0" borderId="0" xfId="0" applyFont="1"/>
    <xf numFmtId="1" fontId="22" fillId="0" borderId="0" xfId="0" applyNumberFormat="1" applyFont="1"/>
    <xf numFmtId="0" fontId="23" fillId="0" borderId="0" xfId="0" applyFont="1"/>
    <xf numFmtId="0" fontId="0" fillId="0" borderId="2" xfId="0" applyBorder="1"/>
    <xf numFmtId="1" fontId="0" fillId="0" borderId="3" xfId="0" applyNumberFormat="1" applyBorder="1"/>
    <xf numFmtId="1" fontId="0" fillId="0" borderId="3" xfId="0" applyNumberFormat="1" applyBorder="1" applyAlignment="1">
      <alignment horizontal="center"/>
    </xf>
    <xf numFmtId="0" fontId="2" fillId="6" borderId="0" xfId="0" applyFont="1" applyFill="1"/>
    <xf numFmtId="1" fontId="0" fillId="6" borderId="0" xfId="0" applyNumberFormat="1" applyFill="1"/>
    <xf numFmtId="1" fontId="0" fillId="6" borderId="0" xfId="0" applyNumberFormat="1" applyFill="1" applyAlignment="1">
      <alignment horizontal="center"/>
    </xf>
    <xf numFmtId="0" fontId="3" fillId="6" borderId="0" xfId="0" applyFont="1" applyFill="1" applyAlignment="1">
      <alignment horizontal="right"/>
    </xf>
    <xf numFmtId="0" fontId="3" fillId="6" borderId="0" xfId="0" applyFont="1" applyFill="1"/>
    <xf numFmtId="0" fontId="3" fillId="6" borderId="0" xfId="0" applyFont="1" applyFill="1" applyAlignment="1">
      <alignment horizontal="center"/>
    </xf>
    <xf numFmtId="164" fontId="3" fillId="6" borderId="0" xfId="0" applyNumberFormat="1" applyFont="1" applyFill="1"/>
    <xf numFmtId="0" fontId="0" fillId="11" borderId="0" xfId="0" applyFill="1"/>
    <xf numFmtId="0" fontId="3" fillId="11" borderId="0" xfId="0" applyFont="1" applyFill="1" applyAlignment="1">
      <alignment vertical="center" wrapText="1"/>
    </xf>
    <xf numFmtId="3" fontId="0" fillId="11" borderId="0" xfId="0" applyNumberFormat="1" applyFill="1"/>
    <xf numFmtId="0" fontId="0" fillId="11" borderId="0" xfId="0" applyFill="1" applyAlignment="1">
      <alignment horizontal="left"/>
    </xf>
    <xf numFmtId="0" fontId="0" fillId="6" borderId="10" xfId="0" applyFill="1" applyBorder="1"/>
    <xf numFmtId="0" fontId="2" fillId="6" borderId="10" xfId="0" applyFont="1" applyFill="1" applyBorder="1"/>
    <xf numFmtId="164" fontId="3" fillId="0" borderId="0" xfId="0" applyNumberFormat="1" applyFont="1"/>
    <xf numFmtId="166" fontId="0" fillId="0" borderId="0" xfId="0" applyNumberFormat="1"/>
    <xf numFmtId="166" fontId="2" fillId="0" borderId="0" xfId="0" applyNumberFormat="1" applyFont="1"/>
    <xf numFmtId="166" fontId="0" fillId="0" borderId="3" xfId="0" applyNumberFormat="1" applyBorder="1"/>
    <xf numFmtId="166" fontId="2" fillId="0" borderId="3" xfId="0" applyNumberFormat="1" applyFont="1" applyBorder="1"/>
    <xf numFmtId="0" fontId="2" fillId="0" borderId="2" xfId="0" applyFont="1" applyBorder="1"/>
    <xf numFmtId="166" fontId="0" fillId="0" borderId="2" xfId="0" applyNumberFormat="1" applyBorder="1"/>
    <xf numFmtId="0" fontId="3" fillId="0" borderId="2" xfId="0" applyFont="1" applyBorder="1" applyAlignment="1">
      <alignment vertical="center"/>
    </xf>
    <xf numFmtId="0" fontId="3" fillId="0" borderId="11" xfId="0" applyFont="1" applyBorder="1"/>
    <xf numFmtId="166" fontId="3" fillId="0" borderId="11" xfId="0" applyNumberFormat="1" applyFont="1" applyBorder="1"/>
    <xf numFmtId="166" fontId="0" fillId="6" borderId="0" xfId="0" applyNumberFormat="1" applyFill="1"/>
    <xf numFmtId="166" fontId="0" fillId="9" borderId="0" xfId="0" applyNumberFormat="1" applyFill="1"/>
    <xf numFmtId="166" fontId="0" fillId="11" borderId="0" xfId="0" applyNumberFormat="1" applyFill="1"/>
    <xf numFmtId="9" fontId="0" fillId="0" borderId="0" xfId="0" applyNumberFormat="1"/>
    <xf numFmtId="167" fontId="0" fillId="0" borderId="0" xfId="0" applyNumberFormat="1"/>
    <xf numFmtId="2" fontId="0" fillId="0" borderId="0" xfId="0" applyNumberFormat="1"/>
    <xf numFmtId="2" fontId="22" fillId="0" borderId="0" xfId="0" applyNumberFormat="1" applyFont="1"/>
    <xf numFmtId="0" fontId="0" fillId="12" borderId="0" xfId="0" applyFill="1"/>
    <xf numFmtId="0" fontId="2" fillId="12" borderId="0" xfId="0" applyFont="1" applyFill="1"/>
    <xf numFmtId="164" fontId="0" fillId="12" borderId="0" xfId="0" applyNumberFormat="1" applyFill="1"/>
    <xf numFmtId="0" fontId="0" fillId="0" borderId="20" xfId="0" applyBorder="1" applyAlignment="1">
      <alignment horizontal="right"/>
    </xf>
    <xf numFmtId="168" fontId="0" fillId="0" borderId="0" xfId="1" applyNumberFormat="1" applyFont="1"/>
    <xf numFmtId="1" fontId="0" fillId="0" borderId="20" xfId="0" applyNumberFormat="1" applyBorder="1"/>
    <xf numFmtId="10" fontId="0" fillId="0" borderId="0" xfId="1" applyNumberFormat="1" applyFont="1"/>
    <xf numFmtId="1" fontId="2" fillId="0" borderId="20" xfId="1" applyNumberFormat="1" applyFont="1" applyFill="1" applyBorder="1"/>
    <xf numFmtId="0" fontId="0" fillId="13" borderId="0" xfId="0" applyFill="1"/>
    <xf numFmtId="0" fontId="2" fillId="13" borderId="0" xfId="0" applyFont="1" applyFill="1"/>
    <xf numFmtId="1" fontId="0" fillId="13" borderId="20" xfId="0" applyNumberFormat="1" applyFill="1" applyBorder="1"/>
    <xf numFmtId="9" fontId="0" fillId="13" borderId="20" xfId="1" applyFont="1" applyFill="1" applyBorder="1"/>
    <xf numFmtId="1" fontId="0" fillId="6" borderId="0" xfId="0" applyNumberFormat="1" applyFill="1" applyAlignment="1">
      <alignment horizontal="right"/>
    </xf>
    <xf numFmtId="1" fontId="24" fillId="6" borderId="0" xfId="0" applyNumberFormat="1" applyFont="1" applyFill="1" applyAlignment="1">
      <alignment horizontal="right"/>
    </xf>
    <xf numFmtId="0" fontId="3" fillId="13" borderId="0" xfId="0" applyFont="1" applyFill="1"/>
    <xf numFmtId="0" fontId="3" fillId="13" borderId="0" xfId="0" applyFont="1" applyFill="1" applyAlignment="1">
      <alignment horizontal="center"/>
    </xf>
    <xf numFmtId="0" fontId="0" fillId="13" borderId="0" xfId="0" applyFill="1" applyAlignment="1">
      <alignment horizontal="center"/>
    </xf>
    <xf numFmtId="0" fontId="2" fillId="13" borderId="0" xfId="0" applyFont="1" applyFill="1" applyAlignment="1">
      <alignment horizontal="left"/>
    </xf>
    <xf numFmtId="0" fontId="2" fillId="13" borderId="0" xfId="0" applyFont="1" applyFill="1" applyAlignment="1">
      <alignment horizontal="center"/>
    </xf>
    <xf numFmtId="0" fontId="2" fillId="0" borderId="0" xfId="0" applyFont="1" applyAlignment="1">
      <alignment horizontal="right"/>
    </xf>
    <xf numFmtId="0" fontId="10" fillId="0" borderId="20" xfId="23" applyFill="1" applyBorder="1" applyAlignment="1">
      <alignment horizontal="right" vertical="top" wrapText="1"/>
    </xf>
    <xf numFmtId="14" fontId="10" fillId="0" borderId="20" xfId="23" applyNumberFormat="1" applyFill="1" applyBorder="1" applyAlignment="1">
      <alignment horizontal="left" vertical="top" wrapText="1"/>
    </xf>
    <xf numFmtId="0" fontId="10" fillId="0" borderId="20" xfId="23" applyFill="1" applyBorder="1" applyAlignment="1">
      <alignment horizontal="left" vertical="top" wrapText="1"/>
    </xf>
    <xf numFmtId="0" fontId="10" fillId="4" borderId="20" xfId="23" applyFill="1" applyBorder="1" applyAlignment="1">
      <alignment horizontal="left" vertical="top" wrapText="1"/>
    </xf>
    <xf numFmtId="0" fontId="0" fillId="0" borderId="20" xfId="0" applyBorder="1"/>
    <xf numFmtId="0" fontId="15" fillId="0" borderId="20" xfId="0" applyFont="1" applyBorder="1"/>
    <xf numFmtId="0" fontId="16" fillId="0" borderId="20" xfId="0" applyFont="1" applyBorder="1"/>
    <xf numFmtId="164" fontId="15" fillId="7" borderId="20" xfId="0" applyNumberFormat="1" applyFont="1" applyFill="1" applyBorder="1"/>
    <xf numFmtId="0" fontId="2" fillId="0" borderId="20" xfId="0" applyFont="1" applyBorder="1"/>
    <xf numFmtId="0" fontId="14" fillId="0" borderId="20" xfId="0" applyFont="1" applyBorder="1"/>
    <xf numFmtId="3" fontId="2" fillId="0" borderId="20" xfId="0" applyNumberFormat="1" applyFont="1" applyBorder="1"/>
    <xf numFmtId="3" fontId="0" fillId="0" borderId="20" xfId="0" applyNumberFormat="1" applyBorder="1"/>
    <xf numFmtId="2" fontId="0" fillId="0" borderId="20" xfId="0" applyNumberFormat="1" applyBorder="1"/>
    <xf numFmtId="2" fontId="0" fillId="0" borderId="20" xfId="1" applyNumberFormat="1" applyFont="1" applyBorder="1"/>
    <xf numFmtId="1" fontId="0" fillId="5" borderId="20" xfId="0" applyNumberFormat="1" applyFill="1" applyBorder="1"/>
    <xf numFmtId="0" fontId="22" fillId="0" borderId="20" xfId="0" applyFont="1" applyBorder="1" applyAlignment="1">
      <alignment horizontal="center"/>
    </xf>
    <xf numFmtId="0" fontId="22" fillId="0" borderId="20" xfId="0" applyFont="1" applyBorder="1"/>
    <xf numFmtId="0" fontId="23" fillId="0" borderId="20" xfId="0" applyFont="1" applyBorder="1" applyAlignment="1">
      <alignment horizontal="center" vertical="center" wrapText="1"/>
    </xf>
    <xf numFmtId="0" fontId="3" fillId="0" borderId="20" xfId="0" applyFont="1" applyBorder="1" applyAlignment="1">
      <alignment horizontal="center"/>
    </xf>
    <xf numFmtId="0" fontId="3" fillId="0" borderId="20" xfId="0" applyFont="1" applyBorder="1" applyAlignment="1">
      <alignment horizontal="left" vertical="center"/>
    </xf>
    <xf numFmtId="0" fontId="23" fillId="0" borderId="20" xfId="0" applyFont="1" applyBorder="1" applyAlignment="1">
      <alignment vertical="center" wrapText="1"/>
    </xf>
    <xf numFmtId="1" fontId="3" fillId="0" borderId="20" xfId="0" applyNumberFormat="1" applyFont="1" applyBorder="1" applyAlignment="1">
      <alignment vertical="center" wrapText="1"/>
    </xf>
    <xf numFmtId="0" fontId="3" fillId="6" borderId="20" xfId="0" applyFont="1" applyFill="1" applyBorder="1" applyAlignment="1">
      <alignment horizontal="center" vertical="center" wrapText="1"/>
    </xf>
    <xf numFmtId="0" fontId="0" fillId="6" borderId="20" xfId="0" applyFill="1" applyBorder="1"/>
    <xf numFmtId="1" fontId="3" fillId="9" borderId="20" xfId="0" applyNumberFormat="1" applyFont="1" applyFill="1" applyBorder="1" applyAlignment="1">
      <alignment horizontal="center" vertical="center" wrapText="1"/>
    </xf>
    <xf numFmtId="0" fontId="0" fillId="9" borderId="20" xfId="0" applyFill="1" applyBorder="1"/>
    <xf numFmtId="1" fontId="3" fillId="11" borderId="20" xfId="0" applyNumberFormat="1" applyFont="1" applyFill="1" applyBorder="1" applyAlignment="1">
      <alignment horizontal="center" vertical="center" wrapText="1"/>
    </xf>
    <xf numFmtId="0" fontId="0" fillId="11" borderId="20" xfId="0" applyFill="1" applyBorder="1"/>
    <xf numFmtId="0" fontId="3" fillId="6" borderId="20" xfId="0" applyFont="1" applyFill="1" applyBorder="1" applyAlignment="1">
      <alignment vertical="center" wrapText="1"/>
    </xf>
    <xf numFmtId="0" fontId="3" fillId="11" borderId="20" xfId="0" applyFont="1" applyFill="1" applyBorder="1" applyAlignment="1">
      <alignment vertical="center" wrapText="1"/>
    </xf>
    <xf numFmtId="0" fontId="2" fillId="11" borderId="0" xfId="0" applyFont="1" applyFill="1"/>
    <xf numFmtId="0" fontId="23" fillId="0" borderId="20" xfId="0" applyFont="1" applyBorder="1"/>
    <xf numFmtId="1" fontId="0" fillId="0" borderId="20" xfId="0" applyNumberFormat="1" applyBorder="1" applyAlignment="1">
      <alignment horizontal="center"/>
    </xf>
    <xf numFmtId="1" fontId="2" fillId="0" borderId="20" xfId="0" applyNumberFormat="1" applyFont="1" applyBorder="1"/>
    <xf numFmtId="164" fontId="0" fillId="0" borderId="20" xfId="0" applyNumberFormat="1" applyBorder="1"/>
    <xf numFmtId="164" fontId="2" fillId="0" borderId="20" xfId="0" applyNumberFormat="1" applyFont="1" applyBorder="1"/>
    <xf numFmtId="0" fontId="2" fillId="6" borderId="20" xfId="0" applyFont="1" applyFill="1" applyBorder="1"/>
    <xf numFmtId="1" fontId="22" fillId="0" borderId="20" xfId="0" applyNumberFormat="1" applyFont="1" applyBorder="1"/>
    <xf numFmtId="1" fontId="2" fillId="0" borderId="20" xfId="0" applyNumberFormat="1" applyFont="1" applyBorder="1" applyAlignment="1">
      <alignment horizontal="center"/>
    </xf>
    <xf numFmtId="1" fontId="2" fillId="0" borderId="0" xfId="0" applyNumberFormat="1" applyFont="1" applyAlignment="1">
      <alignment horizontal="center"/>
    </xf>
    <xf numFmtId="0" fontId="0" fillId="0" borderId="20" xfId="0" applyBorder="1" applyAlignment="1">
      <alignment horizontal="center"/>
    </xf>
    <xf numFmtId="0" fontId="2" fillId="0" borderId="20" xfId="0" applyFont="1" applyBorder="1" applyAlignment="1">
      <alignment horizontal="center"/>
    </xf>
    <xf numFmtId="3" fontId="0" fillId="13" borderId="0" xfId="0" applyNumberFormat="1" applyFill="1"/>
    <xf numFmtId="0" fontId="3" fillId="0" borderId="20" xfId="0" applyFont="1" applyBorder="1"/>
    <xf numFmtId="3" fontId="3" fillId="0" borderId="20" xfId="0" applyNumberFormat="1" applyFont="1" applyBorder="1"/>
    <xf numFmtId="3" fontId="3" fillId="13" borderId="20" xfId="0" applyNumberFormat="1" applyFont="1" applyFill="1" applyBorder="1"/>
    <xf numFmtId="3" fontId="2" fillId="0" borderId="3" xfId="0" applyNumberFormat="1" applyFont="1" applyBorder="1"/>
    <xf numFmtId="0" fontId="3" fillId="0" borderId="12" xfId="0" applyFont="1" applyBorder="1" applyAlignment="1">
      <alignment horizontal="right"/>
    </xf>
    <xf numFmtId="0" fontId="2" fillId="0" borderId="19" xfId="0" applyFont="1" applyBorder="1" applyAlignment="1">
      <alignment horizontal="right"/>
    </xf>
    <xf numFmtId="0" fontId="3" fillId="0" borderId="15" xfId="0" applyFont="1" applyBorder="1" applyAlignment="1">
      <alignment horizontal="right"/>
    </xf>
    <xf numFmtId="0" fontId="2" fillId="0" borderId="18" xfId="0" applyFont="1" applyBorder="1" applyAlignment="1">
      <alignment horizontal="right"/>
    </xf>
    <xf numFmtId="0" fontId="2" fillId="0" borderId="20" xfId="0" applyFont="1" applyBorder="1" applyAlignment="1">
      <alignment horizontal="right"/>
    </xf>
    <xf numFmtId="0" fontId="3" fillId="0" borderId="16" xfId="0" applyFont="1" applyBorder="1" applyAlignment="1">
      <alignment horizontal="right"/>
    </xf>
    <xf numFmtId="0" fontId="3" fillId="0" borderId="13" xfId="0" applyFont="1" applyBorder="1" applyAlignment="1">
      <alignment horizontal="right"/>
    </xf>
    <xf numFmtId="0" fontId="3" fillId="0" borderId="14" xfId="0" applyFont="1" applyBorder="1" applyAlignment="1">
      <alignment horizontal="right"/>
    </xf>
    <xf numFmtId="0" fontId="3" fillId="0" borderId="17" xfId="0" applyFont="1" applyBorder="1" applyAlignment="1">
      <alignment horizontal="right"/>
    </xf>
    <xf numFmtId="165" fontId="0" fillId="13" borderId="0" xfId="1" applyNumberFormat="1" applyFont="1" applyFill="1"/>
    <xf numFmtId="9" fontId="0" fillId="13" borderId="0" xfId="1" applyFont="1" applyFill="1"/>
    <xf numFmtId="0" fontId="25" fillId="0" borderId="0" xfId="0" applyFont="1"/>
    <xf numFmtId="0" fontId="0" fillId="3" borderId="0" xfId="0" applyFill="1"/>
    <xf numFmtId="0" fontId="27" fillId="0" borderId="0" xfId="0" applyFont="1" applyAlignment="1">
      <alignment horizontal="left" vertical="center" indent="4"/>
    </xf>
    <xf numFmtId="2" fontId="0" fillId="0" borderId="0" xfId="0" applyNumberFormat="1" applyAlignment="1">
      <alignment horizontal="center" vertical="center"/>
    </xf>
    <xf numFmtId="0" fontId="0" fillId="0" borderId="0" xfId="0" applyAlignment="1">
      <alignment horizontal="center" vertical="center"/>
    </xf>
    <xf numFmtId="0" fontId="28" fillId="0" borderId="0" xfId="0" applyFont="1" applyAlignment="1">
      <alignment horizontal="center" vertical="center"/>
    </xf>
    <xf numFmtId="0" fontId="2" fillId="14" borderId="0" xfId="0" applyFont="1" applyFill="1"/>
    <xf numFmtId="9" fontId="0" fillId="14" borderId="0" xfId="1" applyFont="1" applyFill="1" applyAlignment="1">
      <alignment horizontal="center" vertical="center"/>
    </xf>
    <xf numFmtId="3" fontId="0" fillId="14" borderId="0" xfId="1" applyNumberFormat="1" applyFont="1" applyFill="1" applyAlignment="1">
      <alignment horizontal="center" vertical="center"/>
    </xf>
    <xf numFmtId="166" fontId="0" fillId="14" borderId="0" xfId="1" applyNumberFormat="1" applyFont="1" applyFill="1" applyAlignment="1">
      <alignment horizontal="center" vertical="center"/>
    </xf>
    <xf numFmtId="0" fontId="0" fillId="0" borderId="20" xfId="0" applyBorder="1" applyAlignment="1">
      <alignment horizontal="left"/>
    </xf>
    <xf numFmtId="165" fontId="29" fillId="0" borderId="0" xfId="0" applyNumberFormat="1" applyFont="1" applyAlignment="1">
      <alignment horizontal="center" vertical="center"/>
    </xf>
    <xf numFmtId="165" fontId="0" fillId="0" borderId="0" xfId="0" applyNumberFormat="1" applyAlignment="1">
      <alignment horizontal="center" vertical="center"/>
    </xf>
    <xf numFmtId="0" fontId="0" fillId="0" borderId="20" xfId="0" applyBorder="1" applyAlignment="1">
      <alignment horizontal="center" vertical="center"/>
    </xf>
    <xf numFmtId="0" fontId="3" fillId="0" borderId="20" xfId="0" applyFont="1" applyBorder="1" applyAlignment="1">
      <alignment horizontal="left"/>
    </xf>
    <xf numFmtId="0" fontId="3" fillId="0" borderId="0" xfId="0" applyFont="1" applyAlignment="1">
      <alignment vertical="top" wrapText="1"/>
    </xf>
    <xf numFmtId="164" fontId="3" fillId="0" borderId="20" xfId="1" applyNumberFormat="1" applyFont="1" applyBorder="1" applyAlignment="1">
      <alignment vertical="top"/>
    </xf>
    <xf numFmtId="0" fontId="3" fillId="0" borderId="3" xfId="0" applyFont="1" applyBorder="1"/>
    <xf numFmtId="0" fontId="3" fillId="0" borderId="2" xfId="0" applyFont="1" applyBorder="1"/>
    <xf numFmtId="164" fontId="3" fillId="0" borderId="2" xfId="0" applyNumberFormat="1" applyFont="1" applyBorder="1"/>
    <xf numFmtId="0" fontId="0" fillId="0" borderId="2" xfId="0" applyBorder="1" applyAlignment="1">
      <alignment horizontal="left"/>
    </xf>
    <xf numFmtId="1" fontId="3" fillId="0" borderId="2" xfId="0" applyNumberFormat="1" applyFont="1" applyBorder="1" applyAlignment="1">
      <alignment horizontal="left"/>
    </xf>
    <xf numFmtId="0" fontId="3" fillId="0" borderId="0" xfId="0" applyFont="1" applyAlignment="1">
      <alignment horizontal="left"/>
    </xf>
    <xf numFmtId="0" fontId="3" fillId="0" borderId="3" xfId="0" applyFont="1" applyBorder="1" applyAlignment="1">
      <alignment horizontal="left"/>
    </xf>
    <xf numFmtId="0" fontId="0" fillId="0" borderId="3" xfId="0" applyBorder="1" applyAlignment="1">
      <alignment horizontal="left"/>
    </xf>
    <xf numFmtId="0" fontId="2" fillId="0" borderId="20" xfId="0" applyFont="1" applyBorder="1" applyAlignment="1">
      <alignment horizontal="left"/>
    </xf>
    <xf numFmtId="164" fontId="0" fillId="6" borderId="0" xfId="0" applyNumberFormat="1" applyFill="1"/>
    <xf numFmtId="164" fontId="0" fillId="15" borderId="0" xfId="0" applyNumberFormat="1" applyFill="1"/>
    <xf numFmtId="164" fontId="2" fillId="16" borderId="0" xfId="0" applyNumberFormat="1" applyFont="1" applyFill="1"/>
    <xf numFmtId="1" fontId="0" fillId="17" borderId="0" xfId="0" applyNumberFormat="1" applyFill="1"/>
    <xf numFmtId="1" fontId="2" fillId="15" borderId="0" xfId="0" applyNumberFormat="1" applyFont="1" applyFill="1"/>
    <xf numFmtId="1" fontId="2" fillId="6" borderId="0" xfId="0" applyNumberFormat="1" applyFont="1" applyFill="1"/>
    <xf numFmtId="1" fontId="2" fillId="16" borderId="0" xfId="0" applyNumberFormat="1" applyFont="1" applyFill="1"/>
    <xf numFmtId="1" fontId="2" fillId="17" borderId="0" xfId="0" applyNumberFormat="1" applyFont="1" applyFill="1"/>
    <xf numFmtId="0" fontId="0" fillId="7" borderId="20" xfId="0" applyFill="1" applyBorder="1"/>
    <xf numFmtId="1" fontId="0" fillId="7" borderId="20" xfId="0" applyNumberFormat="1" applyFill="1" applyBorder="1"/>
    <xf numFmtId="164" fontId="0" fillId="0" borderId="0" xfId="1" applyNumberFormat="1" applyFont="1"/>
    <xf numFmtId="0" fontId="0" fillId="7" borderId="0" xfId="0" applyFill="1"/>
    <xf numFmtId="164" fontId="0" fillId="7" borderId="0" xfId="0" applyNumberFormat="1" applyFill="1"/>
    <xf numFmtId="0" fontId="0" fillId="7" borderId="25" xfId="0" applyFill="1" applyBorder="1"/>
    <xf numFmtId="164" fontId="2" fillId="7" borderId="22" xfId="0" applyNumberFormat="1" applyFont="1" applyFill="1" applyBorder="1"/>
    <xf numFmtId="164" fontId="0" fillId="7" borderId="22" xfId="0" applyNumberFormat="1" applyFill="1" applyBorder="1"/>
    <xf numFmtId="164" fontId="0" fillId="7" borderId="21" xfId="0" applyNumberFormat="1" applyFill="1" applyBorder="1"/>
    <xf numFmtId="0" fontId="0" fillId="7" borderId="10" xfId="0" applyFill="1" applyBorder="1"/>
    <xf numFmtId="0" fontId="0" fillId="7" borderId="26" xfId="0" applyFill="1" applyBorder="1"/>
    <xf numFmtId="9" fontId="0" fillId="7" borderId="24" xfId="0" applyNumberFormat="1" applyFill="1" applyBorder="1"/>
    <xf numFmtId="9" fontId="0" fillId="7" borderId="23" xfId="0" applyNumberFormat="1" applyFill="1" applyBorder="1"/>
    <xf numFmtId="164" fontId="0" fillId="7" borderId="25" xfId="0" applyNumberFormat="1" applyFill="1" applyBorder="1"/>
    <xf numFmtId="0" fontId="0" fillId="7" borderId="24" xfId="0" applyFill="1" applyBorder="1"/>
    <xf numFmtId="0" fontId="0" fillId="7" borderId="23" xfId="0" applyFill="1" applyBorder="1"/>
    <xf numFmtId="0" fontId="2" fillId="7" borderId="25" xfId="0" applyFont="1" applyFill="1" applyBorder="1"/>
    <xf numFmtId="0" fontId="0" fillId="7" borderId="22" xfId="0" applyFill="1" applyBorder="1"/>
    <xf numFmtId="0" fontId="0" fillId="7" borderId="21" xfId="0" applyFill="1" applyBorder="1"/>
    <xf numFmtId="164" fontId="0" fillId="7" borderId="26" xfId="0" applyNumberFormat="1" applyFill="1" applyBorder="1"/>
    <xf numFmtId="164" fontId="0" fillId="7" borderId="24" xfId="0" applyNumberFormat="1" applyFill="1" applyBorder="1"/>
    <xf numFmtId="164" fontId="0" fillId="7" borderId="23" xfId="0" applyNumberFormat="1" applyFill="1" applyBorder="1"/>
    <xf numFmtId="1" fontId="0" fillId="7" borderId="22" xfId="0" applyNumberFormat="1" applyFill="1" applyBorder="1"/>
    <xf numFmtId="1" fontId="0" fillId="7" borderId="21" xfId="0" applyNumberFormat="1" applyFill="1" applyBorder="1"/>
    <xf numFmtId="9" fontId="0" fillId="7" borderId="26" xfId="1" applyFont="1" applyFill="1" applyBorder="1"/>
    <xf numFmtId="9" fontId="0" fillId="7" borderId="24" xfId="1" applyFont="1" applyFill="1" applyBorder="1"/>
    <xf numFmtId="9" fontId="0" fillId="7" borderId="23" xfId="1" applyFont="1" applyFill="1" applyBorder="1"/>
    <xf numFmtId="1" fontId="0" fillId="7" borderId="27" xfId="0" applyNumberFormat="1" applyFill="1" applyBorder="1"/>
    <xf numFmtId="0" fontId="2" fillId="7" borderId="28" xfId="0" applyFont="1" applyFill="1" applyBorder="1" applyAlignment="1">
      <alignment horizontal="left"/>
    </xf>
    <xf numFmtId="0" fontId="2" fillId="7" borderId="27" xfId="0" applyFont="1" applyFill="1" applyBorder="1"/>
    <xf numFmtId="9" fontId="0" fillId="7" borderId="22" xfId="0" applyNumberFormat="1" applyFill="1" applyBorder="1"/>
    <xf numFmtId="9" fontId="0" fillId="7" borderId="21" xfId="0" applyNumberFormat="1" applyFill="1" applyBorder="1"/>
    <xf numFmtId="9" fontId="0" fillId="7" borderId="25" xfId="1" applyFont="1" applyFill="1" applyBorder="1"/>
    <xf numFmtId="9" fontId="0" fillId="7" borderId="22" xfId="1" applyFont="1" applyFill="1" applyBorder="1"/>
    <xf numFmtId="9" fontId="0" fillId="7" borderId="21" xfId="1" applyFont="1" applyFill="1" applyBorder="1"/>
    <xf numFmtId="1" fontId="0" fillId="7" borderId="28" xfId="0" applyNumberFormat="1" applyFill="1" applyBorder="1"/>
    <xf numFmtId="9" fontId="0" fillId="7" borderId="10" xfId="0" applyNumberFormat="1" applyFill="1" applyBorder="1"/>
    <xf numFmtId="9" fontId="0" fillId="7" borderId="26" xfId="0" applyNumberFormat="1" applyFill="1" applyBorder="1"/>
    <xf numFmtId="164" fontId="0" fillId="7" borderId="6" xfId="0" applyNumberFormat="1" applyFill="1" applyBorder="1"/>
    <xf numFmtId="164" fontId="0" fillId="7" borderId="7" xfId="0" applyNumberFormat="1" applyFill="1" applyBorder="1"/>
    <xf numFmtId="164" fontId="0" fillId="7" borderId="8" xfId="0" applyNumberFormat="1" applyFill="1" applyBorder="1"/>
    <xf numFmtId="9" fontId="0" fillId="7" borderId="25" xfId="0" applyNumberFormat="1" applyFill="1" applyBorder="1"/>
    <xf numFmtId="0" fontId="2" fillId="7" borderId="22" xfId="0" applyFont="1" applyFill="1" applyBorder="1"/>
    <xf numFmtId="1" fontId="0" fillId="7" borderId="7" xfId="0" applyNumberFormat="1" applyFill="1" applyBorder="1"/>
    <xf numFmtId="0" fontId="0" fillId="7" borderId="8" xfId="0" applyFill="1" applyBorder="1"/>
    <xf numFmtId="0" fontId="0" fillId="7" borderId="6" xfId="0" applyFill="1" applyBorder="1"/>
    <xf numFmtId="0" fontId="0" fillId="7" borderId="7" xfId="0" applyFill="1" applyBorder="1"/>
    <xf numFmtId="1" fontId="0" fillId="7" borderId="8" xfId="0" applyNumberFormat="1" applyFill="1" applyBorder="1"/>
    <xf numFmtId="169" fontId="0" fillId="0" borderId="0" xfId="0" applyNumberFormat="1"/>
    <xf numFmtId="0" fontId="30" fillId="0" borderId="29" xfId="0" applyFont="1" applyBorder="1"/>
    <xf numFmtId="0" fontId="33" fillId="0" borderId="33" xfId="0" applyFont="1" applyBorder="1" applyAlignment="1">
      <alignment horizontal="right"/>
    </xf>
    <xf numFmtId="0" fontId="34" fillId="0" borderId="34" xfId="0" applyFont="1" applyBorder="1"/>
    <xf numFmtId="0" fontId="36" fillId="0" borderId="36" xfId="0" applyFont="1" applyBorder="1"/>
    <xf numFmtId="0" fontId="38" fillId="0" borderId="38" xfId="0" applyFont="1" applyBorder="1"/>
    <xf numFmtId="0" fontId="39" fillId="0" borderId="39" xfId="0" applyFont="1" applyBorder="1" applyAlignment="1">
      <alignment horizontal="right"/>
    </xf>
    <xf numFmtId="0" fontId="40" fillId="0" borderId="40" xfId="0" applyFont="1" applyBorder="1" applyAlignment="1">
      <alignment horizontal="right"/>
    </xf>
    <xf numFmtId="0" fontId="41" fillId="0" borderId="41" xfId="0" applyFont="1" applyBorder="1" applyAlignment="1">
      <alignment horizontal="right"/>
    </xf>
    <xf numFmtId="0" fontId="42" fillId="0" borderId="42" xfId="0" applyFont="1" applyBorder="1" applyAlignment="1">
      <alignment horizontal="left"/>
    </xf>
    <xf numFmtId="0" fontId="43" fillId="0" borderId="43" xfId="0" applyFont="1" applyBorder="1"/>
    <xf numFmtId="0" fontId="44" fillId="0" borderId="44" xfId="0" applyFont="1" applyBorder="1"/>
    <xf numFmtId="0" fontId="45" fillId="0" borderId="45" xfId="0" applyFont="1" applyBorder="1"/>
    <xf numFmtId="0" fontId="46" fillId="0" borderId="46" xfId="0" applyFont="1" applyBorder="1"/>
    <xf numFmtId="0" fontId="47" fillId="0" borderId="47" xfId="0" applyFont="1" applyBorder="1" applyAlignment="1">
      <alignment horizontal="left"/>
    </xf>
    <xf numFmtId="169" fontId="48" fillId="0" borderId="48" xfId="0" applyNumberFormat="1" applyFont="1" applyBorder="1" applyAlignment="1">
      <alignment horizontal="right"/>
    </xf>
    <xf numFmtId="169" fontId="49" fillId="0" borderId="49" xfId="0" applyNumberFormat="1" applyFont="1" applyBorder="1" applyAlignment="1">
      <alignment horizontal="right"/>
    </xf>
    <xf numFmtId="169" fontId="50" fillId="0" borderId="50" xfId="0" applyNumberFormat="1" applyFont="1" applyBorder="1" applyAlignment="1">
      <alignment horizontal="right"/>
    </xf>
    <xf numFmtId="169" fontId="51" fillId="0" borderId="51" xfId="0" applyNumberFormat="1" applyFont="1" applyBorder="1" applyAlignment="1">
      <alignment horizontal="right"/>
    </xf>
    <xf numFmtId="0" fontId="52" fillId="0" borderId="52" xfId="0" applyFont="1" applyBorder="1" applyAlignment="1">
      <alignment horizontal="left"/>
    </xf>
    <xf numFmtId="169" fontId="53" fillId="0" borderId="53" xfId="0" applyNumberFormat="1" applyFont="1" applyBorder="1" applyAlignment="1">
      <alignment horizontal="right"/>
    </xf>
    <xf numFmtId="169" fontId="54" fillId="0" borderId="54" xfId="0" applyNumberFormat="1" applyFont="1" applyBorder="1" applyAlignment="1">
      <alignment horizontal="right"/>
    </xf>
    <xf numFmtId="169" fontId="55" fillId="0" borderId="55" xfId="0" applyNumberFormat="1" applyFont="1" applyBorder="1" applyAlignment="1">
      <alignment horizontal="right"/>
    </xf>
    <xf numFmtId="169" fontId="56" fillId="0" borderId="56" xfId="0" applyNumberFormat="1" applyFont="1" applyBorder="1" applyAlignment="1">
      <alignment horizontal="right"/>
    </xf>
    <xf numFmtId="0" fontId="57" fillId="0" borderId="57" xfId="0" applyFont="1" applyBorder="1" applyAlignment="1">
      <alignment horizontal="left"/>
    </xf>
    <xf numFmtId="169" fontId="58" fillId="0" borderId="58" xfId="0" applyNumberFormat="1" applyFont="1" applyBorder="1" applyAlignment="1">
      <alignment horizontal="right"/>
    </xf>
    <xf numFmtId="169" fontId="59" fillId="0" borderId="59" xfId="0" applyNumberFormat="1" applyFont="1" applyBorder="1" applyAlignment="1">
      <alignment horizontal="right"/>
    </xf>
    <xf numFmtId="169" fontId="60" fillId="0" borderId="60" xfId="0" applyNumberFormat="1" applyFont="1" applyBorder="1" applyAlignment="1">
      <alignment horizontal="right"/>
    </xf>
    <xf numFmtId="169" fontId="61" fillId="0" borderId="61" xfId="0" applyNumberFormat="1" applyFont="1" applyBorder="1" applyAlignment="1">
      <alignment horizontal="right"/>
    </xf>
    <xf numFmtId="0" fontId="62" fillId="0" borderId="62" xfId="0" applyFont="1" applyBorder="1" applyAlignment="1">
      <alignment horizontal="left"/>
    </xf>
    <xf numFmtId="169" fontId="63" fillId="0" borderId="63" xfId="0" applyNumberFormat="1" applyFont="1" applyBorder="1" applyAlignment="1">
      <alignment horizontal="right"/>
    </xf>
    <xf numFmtId="169" fontId="64" fillId="0" borderId="64" xfId="0" applyNumberFormat="1" applyFont="1" applyBorder="1" applyAlignment="1">
      <alignment horizontal="right"/>
    </xf>
    <xf numFmtId="169" fontId="65" fillId="0" borderId="65" xfId="0" applyNumberFormat="1" applyFont="1" applyBorder="1" applyAlignment="1">
      <alignment horizontal="right"/>
    </xf>
    <xf numFmtId="169" fontId="66" fillId="0" borderId="66" xfId="0" applyNumberFormat="1" applyFont="1" applyBorder="1" applyAlignment="1">
      <alignment horizontal="right"/>
    </xf>
    <xf numFmtId="0" fontId="67" fillId="0" borderId="67" xfId="0" applyFont="1" applyBorder="1" applyAlignment="1">
      <alignment horizontal="left"/>
    </xf>
    <xf numFmtId="169" fontId="68" fillId="0" borderId="68" xfId="0" applyNumberFormat="1" applyFont="1" applyBorder="1" applyAlignment="1">
      <alignment horizontal="right"/>
    </xf>
    <xf numFmtId="169" fontId="69" fillId="0" borderId="69" xfId="0" applyNumberFormat="1" applyFont="1" applyBorder="1" applyAlignment="1">
      <alignment horizontal="right"/>
    </xf>
    <xf numFmtId="169" fontId="70" fillId="0" borderId="70" xfId="0" applyNumberFormat="1" applyFont="1" applyBorder="1" applyAlignment="1">
      <alignment horizontal="right"/>
    </xf>
    <xf numFmtId="169" fontId="71" fillId="0" borderId="71" xfId="0" applyNumberFormat="1" applyFont="1" applyBorder="1" applyAlignment="1">
      <alignment horizontal="right"/>
    </xf>
    <xf numFmtId="0" fontId="72" fillId="0" borderId="72" xfId="0" applyFont="1" applyBorder="1" applyAlignment="1">
      <alignment horizontal="left"/>
    </xf>
    <xf numFmtId="169" fontId="73" fillId="0" borderId="73" xfId="0" applyNumberFormat="1" applyFont="1" applyBorder="1" applyAlignment="1">
      <alignment horizontal="right"/>
    </xf>
    <xf numFmtId="169" fontId="74" fillId="0" borderId="74" xfId="0" applyNumberFormat="1" applyFont="1" applyBorder="1" applyAlignment="1">
      <alignment horizontal="right"/>
    </xf>
    <xf numFmtId="169" fontId="75" fillId="0" borderId="75" xfId="0" applyNumberFormat="1" applyFont="1" applyBorder="1" applyAlignment="1">
      <alignment horizontal="right"/>
    </xf>
    <xf numFmtId="169" fontId="76" fillId="0" borderId="76" xfId="0" applyNumberFormat="1" applyFont="1" applyBorder="1" applyAlignment="1">
      <alignment horizontal="right"/>
    </xf>
    <xf numFmtId="0" fontId="77" fillId="0" borderId="77" xfId="0" applyFont="1" applyBorder="1" applyAlignment="1">
      <alignment horizontal="left"/>
    </xf>
    <xf numFmtId="169" fontId="78" fillId="0" borderId="78" xfId="0" applyNumberFormat="1" applyFont="1" applyBorder="1" applyAlignment="1">
      <alignment horizontal="right"/>
    </xf>
    <xf numFmtId="169" fontId="79" fillId="0" borderId="79" xfId="0" applyNumberFormat="1" applyFont="1" applyBorder="1" applyAlignment="1">
      <alignment horizontal="right"/>
    </xf>
    <xf numFmtId="169" fontId="80" fillId="0" borderId="80" xfId="0" applyNumberFormat="1" applyFont="1" applyBorder="1" applyAlignment="1">
      <alignment horizontal="right"/>
    </xf>
    <xf numFmtId="169" fontId="81" fillId="0" borderId="81" xfId="0" applyNumberFormat="1" applyFont="1" applyBorder="1" applyAlignment="1">
      <alignment horizontal="right"/>
    </xf>
    <xf numFmtId="0" fontId="82" fillId="0" borderId="82" xfId="0" applyFont="1" applyBorder="1" applyAlignment="1">
      <alignment horizontal="left"/>
    </xf>
    <xf numFmtId="169" fontId="83" fillId="0" borderId="83" xfId="0" applyNumberFormat="1" applyFont="1" applyBorder="1" applyAlignment="1">
      <alignment horizontal="right"/>
    </xf>
    <xf numFmtId="169" fontId="84" fillId="0" borderId="84" xfId="0" applyNumberFormat="1" applyFont="1" applyBorder="1" applyAlignment="1">
      <alignment horizontal="right"/>
    </xf>
    <xf numFmtId="169" fontId="85" fillId="0" borderId="85" xfId="0" applyNumberFormat="1" applyFont="1" applyBorder="1" applyAlignment="1">
      <alignment horizontal="right"/>
    </xf>
    <xf numFmtId="169" fontId="86" fillId="0" borderId="86" xfId="0" applyNumberFormat="1" applyFont="1" applyBorder="1" applyAlignment="1">
      <alignment horizontal="right"/>
    </xf>
    <xf numFmtId="0" fontId="87" fillId="0" borderId="87" xfId="0" applyFont="1" applyBorder="1" applyAlignment="1">
      <alignment horizontal="left"/>
    </xf>
    <xf numFmtId="169" fontId="88" fillId="0" borderId="88" xfId="0" applyNumberFormat="1" applyFont="1" applyBorder="1" applyAlignment="1">
      <alignment horizontal="right"/>
    </xf>
    <xf numFmtId="169" fontId="89" fillId="0" borderId="89" xfId="0" applyNumberFormat="1" applyFont="1" applyBorder="1" applyAlignment="1">
      <alignment horizontal="right"/>
    </xf>
    <xf numFmtId="169" fontId="90" fillId="0" borderId="90" xfId="0" applyNumberFormat="1" applyFont="1" applyBorder="1" applyAlignment="1">
      <alignment horizontal="right"/>
    </xf>
    <xf numFmtId="169" fontId="91" fillId="0" borderId="91" xfId="0" applyNumberFormat="1" applyFont="1" applyBorder="1" applyAlignment="1">
      <alignment horizontal="right"/>
    </xf>
    <xf numFmtId="0" fontId="92" fillId="0" borderId="92" xfId="0" applyFont="1" applyBorder="1" applyAlignment="1">
      <alignment horizontal="left"/>
    </xf>
    <xf numFmtId="169" fontId="93" fillId="0" borderId="93" xfId="0" applyNumberFormat="1" applyFont="1" applyBorder="1" applyAlignment="1">
      <alignment horizontal="right"/>
    </xf>
    <xf numFmtId="169" fontId="94" fillId="0" borderId="94" xfId="0" applyNumberFormat="1" applyFont="1" applyBorder="1" applyAlignment="1">
      <alignment horizontal="right"/>
    </xf>
    <xf numFmtId="169" fontId="95" fillId="0" borderId="95" xfId="0" applyNumberFormat="1" applyFont="1" applyBorder="1" applyAlignment="1">
      <alignment horizontal="right"/>
    </xf>
    <xf numFmtId="169" fontId="96" fillId="0" borderId="96" xfId="0" applyNumberFormat="1" applyFont="1" applyBorder="1" applyAlignment="1">
      <alignment horizontal="right"/>
    </xf>
    <xf numFmtId="0" fontId="97" fillId="0" borderId="97" xfId="0" applyFont="1" applyBorder="1" applyAlignment="1">
      <alignment horizontal="left"/>
    </xf>
    <xf numFmtId="169" fontId="98" fillId="0" borderId="98" xfId="0" applyNumberFormat="1" applyFont="1" applyBorder="1" applyAlignment="1">
      <alignment horizontal="right"/>
    </xf>
    <xf numFmtId="169" fontId="99" fillId="0" borderId="99" xfId="0" applyNumberFormat="1" applyFont="1" applyBorder="1" applyAlignment="1">
      <alignment horizontal="right"/>
    </xf>
    <xf numFmtId="169" fontId="100" fillId="0" borderId="100" xfId="0" applyNumberFormat="1" applyFont="1" applyBorder="1" applyAlignment="1">
      <alignment horizontal="right"/>
    </xf>
    <xf numFmtId="169" fontId="101" fillId="0" borderId="101" xfId="0" applyNumberFormat="1" applyFont="1" applyBorder="1" applyAlignment="1">
      <alignment horizontal="right"/>
    </xf>
    <xf numFmtId="0" fontId="102" fillId="0" borderId="102" xfId="0" applyFont="1" applyBorder="1" applyAlignment="1">
      <alignment horizontal="left"/>
    </xf>
    <xf numFmtId="169" fontId="103" fillId="0" borderId="103" xfId="0" applyNumberFormat="1" applyFont="1" applyBorder="1" applyAlignment="1">
      <alignment horizontal="right"/>
    </xf>
    <xf numFmtId="169" fontId="104" fillId="0" borderId="104" xfId="0" applyNumberFormat="1" applyFont="1" applyBorder="1" applyAlignment="1">
      <alignment horizontal="right"/>
    </xf>
    <xf numFmtId="169" fontId="105" fillId="0" borderId="105" xfId="0" applyNumberFormat="1" applyFont="1" applyBorder="1" applyAlignment="1">
      <alignment horizontal="right"/>
    </xf>
    <xf numFmtId="169" fontId="106" fillId="0" borderId="106" xfId="0" applyNumberFormat="1" applyFont="1" applyBorder="1" applyAlignment="1">
      <alignment horizontal="right"/>
    </xf>
    <xf numFmtId="0" fontId="107" fillId="0" borderId="107" xfId="0" applyFont="1" applyBorder="1" applyAlignment="1">
      <alignment horizontal="left"/>
    </xf>
    <xf numFmtId="169" fontId="108" fillId="0" borderId="108" xfId="0" applyNumberFormat="1" applyFont="1" applyBorder="1" applyAlignment="1">
      <alignment horizontal="right"/>
    </xf>
    <xf numFmtId="169" fontId="109" fillId="0" borderId="109" xfId="0" applyNumberFormat="1" applyFont="1" applyBorder="1" applyAlignment="1">
      <alignment horizontal="right"/>
    </xf>
    <xf numFmtId="169" fontId="110" fillId="0" borderId="110" xfId="0" applyNumberFormat="1" applyFont="1" applyBorder="1" applyAlignment="1">
      <alignment horizontal="right"/>
    </xf>
    <xf numFmtId="169" fontId="111" fillId="0" borderId="111" xfId="0" applyNumberFormat="1" applyFont="1" applyBorder="1" applyAlignment="1">
      <alignment horizontal="right"/>
    </xf>
    <xf numFmtId="0" fontId="112" fillId="0" borderId="112" xfId="0" applyFont="1" applyBorder="1" applyAlignment="1">
      <alignment horizontal="left"/>
    </xf>
    <xf numFmtId="169" fontId="113" fillId="0" borderId="113" xfId="0" applyNumberFormat="1" applyFont="1" applyBorder="1" applyAlignment="1">
      <alignment horizontal="right"/>
    </xf>
    <xf numFmtId="169" fontId="114" fillId="0" borderId="114" xfId="0" applyNumberFormat="1" applyFont="1" applyBorder="1" applyAlignment="1">
      <alignment horizontal="right"/>
    </xf>
    <xf numFmtId="169" fontId="115" fillId="0" borderId="115" xfId="0" applyNumberFormat="1" applyFont="1" applyBorder="1" applyAlignment="1">
      <alignment horizontal="right"/>
    </xf>
    <xf numFmtId="169" fontId="116" fillId="0" borderId="116" xfId="0" applyNumberFormat="1" applyFont="1" applyBorder="1" applyAlignment="1">
      <alignment horizontal="right"/>
    </xf>
    <xf numFmtId="0" fontId="117" fillId="0" borderId="117" xfId="0" applyFont="1" applyBorder="1" applyAlignment="1">
      <alignment horizontal="left"/>
    </xf>
    <xf numFmtId="169" fontId="118" fillId="0" borderId="118" xfId="0" applyNumberFormat="1" applyFont="1" applyBorder="1" applyAlignment="1">
      <alignment horizontal="right"/>
    </xf>
    <xf numFmtId="169" fontId="119" fillId="0" borderId="119" xfId="0" applyNumberFormat="1" applyFont="1" applyBorder="1" applyAlignment="1">
      <alignment horizontal="right"/>
    </xf>
    <xf numFmtId="169" fontId="120" fillId="0" borderId="120" xfId="0" applyNumberFormat="1" applyFont="1" applyBorder="1" applyAlignment="1">
      <alignment horizontal="right"/>
    </xf>
    <xf numFmtId="169" fontId="121" fillId="0" borderId="121" xfId="0" applyNumberFormat="1" applyFont="1" applyBorder="1" applyAlignment="1">
      <alignment horizontal="right"/>
    </xf>
    <xf numFmtId="0" fontId="122" fillId="0" borderId="122" xfId="0" applyFont="1" applyBorder="1" applyAlignment="1">
      <alignment horizontal="left"/>
    </xf>
    <xf numFmtId="169" fontId="123" fillId="0" borderId="123" xfId="0" applyNumberFormat="1" applyFont="1" applyBorder="1" applyAlignment="1">
      <alignment horizontal="right"/>
    </xf>
    <xf numFmtId="169" fontId="124" fillId="0" borderId="124" xfId="0" applyNumberFormat="1" applyFont="1" applyBorder="1" applyAlignment="1">
      <alignment horizontal="right"/>
    </xf>
    <xf numFmtId="169" fontId="125" fillId="0" borderId="125" xfId="0" applyNumberFormat="1" applyFont="1" applyBorder="1" applyAlignment="1">
      <alignment horizontal="right"/>
    </xf>
    <xf numFmtId="169" fontId="126" fillId="0" borderId="126" xfId="0" applyNumberFormat="1" applyFont="1" applyBorder="1" applyAlignment="1">
      <alignment horizontal="right"/>
    </xf>
    <xf numFmtId="0" fontId="127" fillId="0" borderId="127" xfId="0" applyFont="1" applyBorder="1"/>
    <xf numFmtId="0" fontId="131" fillId="0" borderId="131" xfId="0" applyFont="1" applyBorder="1" applyAlignment="1">
      <alignment horizontal="right"/>
    </xf>
    <xf numFmtId="0" fontId="132" fillId="0" borderId="132" xfId="0" applyFont="1" applyBorder="1"/>
    <xf numFmtId="0" fontId="134" fillId="0" borderId="134" xfId="0" applyFont="1" applyBorder="1"/>
    <xf numFmtId="0" fontId="136" fillId="0" borderId="136" xfId="0" applyFont="1" applyBorder="1"/>
    <xf numFmtId="0" fontId="137" fillId="0" borderId="137" xfId="0" applyFont="1" applyBorder="1" applyAlignment="1">
      <alignment horizontal="right"/>
    </xf>
    <xf numFmtId="0" fontId="138" fillId="0" borderId="138" xfId="0" applyFont="1" applyBorder="1" applyAlignment="1">
      <alignment horizontal="right"/>
    </xf>
    <xf numFmtId="0" fontId="139" fillId="0" borderId="139" xfId="0" applyFont="1" applyBorder="1" applyAlignment="1">
      <alignment horizontal="right"/>
    </xf>
    <xf numFmtId="0" fontId="140" fillId="0" borderId="140" xfId="0" applyFont="1" applyBorder="1" applyAlignment="1">
      <alignment horizontal="left"/>
    </xf>
    <xf numFmtId="0" fontId="141" fillId="0" borderId="141" xfId="0" applyFont="1" applyBorder="1"/>
    <xf numFmtId="0" fontId="142" fillId="0" borderId="142" xfId="0" applyFont="1" applyBorder="1"/>
    <xf numFmtId="0" fontId="143" fillId="0" borderId="143" xfId="0" applyFont="1" applyBorder="1"/>
    <xf numFmtId="0" fontId="144" fillId="0" borderId="144" xfId="0" applyFont="1" applyBorder="1"/>
    <xf numFmtId="0" fontId="145" fillId="0" borderId="145" xfId="0" applyFont="1" applyBorder="1" applyAlignment="1">
      <alignment horizontal="left"/>
    </xf>
    <xf numFmtId="169" fontId="146" fillId="0" borderId="146" xfId="0" applyNumberFormat="1" applyFont="1" applyBorder="1" applyAlignment="1">
      <alignment horizontal="right"/>
    </xf>
    <xf numFmtId="169" fontId="147" fillId="0" borderId="147" xfId="0" applyNumberFormat="1" applyFont="1" applyBorder="1" applyAlignment="1">
      <alignment horizontal="right"/>
    </xf>
    <xf numFmtId="169" fontId="148" fillId="0" borderId="148" xfId="0" applyNumberFormat="1" applyFont="1" applyBorder="1" applyAlignment="1">
      <alignment horizontal="right"/>
    </xf>
    <xf numFmtId="169" fontId="149" fillId="0" borderId="149" xfId="0" applyNumberFormat="1" applyFont="1" applyBorder="1" applyAlignment="1">
      <alignment horizontal="right"/>
    </xf>
    <xf numFmtId="0" fontId="150" fillId="0" borderId="150" xfId="0" applyFont="1" applyBorder="1" applyAlignment="1">
      <alignment horizontal="left"/>
    </xf>
    <xf numFmtId="169" fontId="151" fillId="0" borderId="151" xfId="0" applyNumberFormat="1" applyFont="1" applyBorder="1" applyAlignment="1">
      <alignment horizontal="right"/>
    </xf>
    <xf numFmtId="169" fontId="152" fillId="0" borderId="152" xfId="0" applyNumberFormat="1" applyFont="1" applyBorder="1" applyAlignment="1">
      <alignment horizontal="right"/>
    </xf>
    <xf numFmtId="169" fontId="153" fillId="0" borderId="153" xfId="0" applyNumberFormat="1" applyFont="1" applyBorder="1" applyAlignment="1">
      <alignment horizontal="right"/>
    </xf>
    <xf numFmtId="169" fontId="154" fillId="0" borderId="154" xfId="0" applyNumberFormat="1" applyFont="1" applyBorder="1" applyAlignment="1">
      <alignment horizontal="right"/>
    </xf>
    <xf numFmtId="0" fontId="155" fillId="0" borderId="155" xfId="0" applyFont="1" applyBorder="1" applyAlignment="1">
      <alignment horizontal="left"/>
    </xf>
    <xf numFmtId="169" fontId="156" fillId="0" borderId="156" xfId="0" applyNumberFormat="1" applyFont="1" applyBorder="1" applyAlignment="1">
      <alignment horizontal="right"/>
    </xf>
    <xf numFmtId="169" fontId="157" fillId="0" borderId="157" xfId="0" applyNumberFormat="1" applyFont="1" applyBorder="1" applyAlignment="1">
      <alignment horizontal="right"/>
    </xf>
    <xf numFmtId="169" fontId="158" fillId="0" borderId="158" xfId="0" applyNumberFormat="1" applyFont="1" applyBorder="1" applyAlignment="1">
      <alignment horizontal="right"/>
    </xf>
    <xf numFmtId="169" fontId="159" fillId="0" borderId="159" xfId="0" applyNumberFormat="1" applyFont="1" applyBorder="1" applyAlignment="1">
      <alignment horizontal="right"/>
    </xf>
    <xf numFmtId="0" fontId="160" fillId="0" borderId="160" xfId="0" applyFont="1" applyBorder="1" applyAlignment="1">
      <alignment horizontal="left"/>
    </xf>
    <xf numFmtId="169" fontId="161" fillId="0" borderId="161" xfId="0" applyNumberFormat="1" applyFont="1" applyBorder="1" applyAlignment="1">
      <alignment horizontal="right"/>
    </xf>
    <xf numFmtId="169" fontId="162" fillId="0" borderId="162" xfId="0" applyNumberFormat="1" applyFont="1" applyBorder="1" applyAlignment="1">
      <alignment horizontal="right"/>
    </xf>
    <xf numFmtId="169" fontId="163" fillId="0" borderId="163" xfId="0" applyNumberFormat="1" applyFont="1" applyBorder="1" applyAlignment="1">
      <alignment horizontal="right"/>
    </xf>
    <xf numFmtId="169" fontId="164" fillId="0" borderId="164" xfId="0" applyNumberFormat="1" applyFont="1" applyBorder="1" applyAlignment="1">
      <alignment horizontal="right"/>
    </xf>
    <xf numFmtId="0" fontId="165" fillId="0" borderId="165" xfId="0" applyFont="1" applyBorder="1" applyAlignment="1">
      <alignment horizontal="left"/>
    </xf>
    <xf numFmtId="169" fontId="166" fillId="0" borderId="166" xfId="0" applyNumberFormat="1" applyFont="1" applyBorder="1" applyAlignment="1">
      <alignment horizontal="right"/>
    </xf>
    <xf numFmtId="169" fontId="167" fillId="0" borderId="167" xfId="0" applyNumberFormat="1" applyFont="1" applyBorder="1" applyAlignment="1">
      <alignment horizontal="right"/>
    </xf>
    <xf numFmtId="169" fontId="168" fillId="0" borderId="168" xfId="0" applyNumberFormat="1" applyFont="1" applyBorder="1" applyAlignment="1">
      <alignment horizontal="right"/>
    </xf>
    <xf numFmtId="169" fontId="169" fillId="0" borderId="169" xfId="0" applyNumberFormat="1" applyFont="1" applyBorder="1" applyAlignment="1">
      <alignment horizontal="right"/>
    </xf>
    <xf numFmtId="0" fontId="170" fillId="0" borderId="170" xfId="0" applyFont="1" applyBorder="1" applyAlignment="1">
      <alignment horizontal="left"/>
    </xf>
    <xf numFmtId="169" fontId="171" fillId="0" borderId="171" xfId="0" applyNumberFormat="1" applyFont="1" applyBorder="1" applyAlignment="1">
      <alignment horizontal="right"/>
    </xf>
    <xf numFmtId="169" fontId="172" fillId="0" borderId="172" xfId="0" applyNumberFormat="1" applyFont="1" applyBorder="1" applyAlignment="1">
      <alignment horizontal="right"/>
    </xf>
    <xf numFmtId="169" fontId="173" fillId="0" borderId="173" xfId="0" applyNumberFormat="1" applyFont="1" applyBorder="1" applyAlignment="1">
      <alignment horizontal="right"/>
    </xf>
    <xf numFmtId="169" fontId="174" fillId="0" borderId="174" xfId="0" applyNumberFormat="1" applyFont="1" applyBorder="1" applyAlignment="1">
      <alignment horizontal="right"/>
    </xf>
    <xf numFmtId="0" fontId="175" fillId="0" borderId="175" xfId="0" applyFont="1" applyBorder="1" applyAlignment="1">
      <alignment horizontal="left"/>
    </xf>
    <xf numFmtId="169" fontId="176" fillId="0" borderId="176" xfId="0" applyNumberFormat="1" applyFont="1" applyBorder="1" applyAlignment="1">
      <alignment horizontal="right"/>
    </xf>
    <xf numFmtId="169" fontId="177" fillId="0" borderId="177" xfId="0" applyNumberFormat="1" applyFont="1" applyBorder="1" applyAlignment="1">
      <alignment horizontal="right"/>
    </xf>
    <xf numFmtId="169" fontId="178" fillId="0" borderId="178" xfId="0" applyNumberFormat="1" applyFont="1" applyBorder="1" applyAlignment="1">
      <alignment horizontal="right"/>
    </xf>
    <xf numFmtId="169" fontId="179" fillId="0" borderId="179" xfId="0" applyNumberFormat="1" applyFont="1" applyBorder="1" applyAlignment="1">
      <alignment horizontal="right"/>
    </xf>
    <xf numFmtId="0" fontId="180" fillId="0" borderId="180" xfId="0" applyFont="1" applyBorder="1" applyAlignment="1">
      <alignment horizontal="left"/>
    </xf>
    <xf numFmtId="169" fontId="181" fillId="0" borderId="181" xfId="0" applyNumberFormat="1" applyFont="1" applyBorder="1" applyAlignment="1">
      <alignment horizontal="right"/>
    </xf>
    <xf numFmtId="169" fontId="182" fillId="0" borderId="182" xfId="0" applyNumberFormat="1" applyFont="1" applyBorder="1" applyAlignment="1">
      <alignment horizontal="right"/>
    </xf>
    <xf numFmtId="169" fontId="183" fillId="0" borderId="183" xfId="0" applyNumberFormat="1" applyFont="1" applyBorder="1" applyAlignment="1">
      <alignment horizontal="right"/>
    </xf>
    <xf numFmtId="169" fontId="184" fillId="0" borderId="184" xfId="0" applyNumberFormat="1" applyFont="1" applyBorder="1" applyAlignment="1">
      <alignment horizontal="right"/>
    </xf>
    <xf numFmtId="0" fontId="185" fillId="0" borderId="185" xfId="0" applyFont="1" applyBorder="1" applyAlignment="1">
      <alignment horizontal="left"/>
    </xf>
    <xf numFmtId="169" fontId="186" fillId="0" borderId="186" xfId="0" applyNumberFormat="1" applyFont="1" applyBorder="1" applyAlignment="1">
      <alignment horizontal="right"/>
    </xf>
    <xf numFmtId="169" fontId="187" fillId="0" borderId="187" xfId="0" applyNumberFormat="1" applyFont="1" applyBorder="1" applyAlignment="1">
      <alignment horizontal="right"/>
    </xf>
    <xf numFmtId="169" fontId="188" fillId="0" borderId="188" xfId="0" applyNumberFormat="1" applyFont="1" applyBorder="1" applyAlignment="1">
      <alignment horizontal="right"/>
    </xf>
    <xf numFmtId="169" fontId="189" fillId="0" borderId="189" xfId="0" applyNumberFormat="1" applyFont="1" applyBorder="1" applyAlignment="1">
      <alignment horizontal="right"/>
    </xf>
    <xf numFmtId="0" fontId="190" fillId="0" borderId="190" xfId="0" applyFont="1" applyBorder="1" applyAlignment="1">
      <alignment horizontal="left"/>
    </xf>
    <xf numFmtId="169" fontId="191" fillId="0" borderId="191" xfId="0" applyNumberFormat="1" applyFont="1" applyBorder="1" applyAlignment="1">
      <alignment horizontal="right"/>
    </xf>
    <xf numFmtId="169" fontId="192" fillId="0" borderId="192" xfId="0" applyNumberFormat="1" applyFont="1" applyBorder="1" applyAlignment="1">
      <alignment horizontal="right"/>
    </xf>
    <xf numFmtId="169" fontId="193" fillId="0" borderId="193" xfId="0" applyNumberFormat="1" applyFont="1" applyBorder="1" applyAlignment="1">
      <alignment horizontal="right"/>
    </xf>
    <xf numFmtId="169" fontId="194" fillId="0" borderId="194" xfId="0" applyNumberFormat="1" applyFont="1" applyBorder="1" applyAlignment="1">
      <alignment horizontal="right"/>
    </xf>
    <xf numFmtId="0" fontId="195" fillId="0" borderId="195" xfId="0" applyFont="1" applyBorder="1" applyAlignment="1">
      <alignment horizontal="left"/>
    </xf>
    <xf numFmtId="169" fontId="196" fillId="0" borderId="196" xfId="0" applyNumberFormat="1" applyFont="1" applyBorder="1" applyAlignment="1">
      <alignment horizontal="right"/>
    </xf>
    <xf numFmtId="169" fontId="197" fillId="0" borderId="197" xfId="0" applyNumberFormat="1" applyFont="1" applyBorder="1" applyAlignment="1">
      <alignment horizontal="right"/>
    </xf>
    <xf numFmtId="169" fontId="198" fillId="0" borderId="198" xfId="0" applyNumberFormat="1" applyFont="1" applyBorder="1" applyAlignment="1">
      <alignment horizontal="right"/>
    </xf>
    <xf numFmtId="169" fontId="199" fillId="0" borderId="199" xfId="0" applyNumberFormat="1" applyFont="1" applyBorder="1" applyAlignment="1">
      <alignment horizontal="right"/>
    </xf>
    <xf numFmtId="0" fontId="200" fillId="0" borderId="200" xfId="0" applyFont="1" applyBorder="1" applyAlignment="1">
      <alignment horizontal="left"/>
    </xf>
    <xf numFmtId="169" fontId="201" fillId="0" borderId="201" xfId="0" applyNumberFormat="1" applyFont="1" applyBorder="1" applyAlignment="1">
      <alignment horizontal="right"/>
    </xf>
    <xf numFmtId="169" fontId="202" fillId="0" borderId="202" xfId="0" applyNumberFormat="1" applyFont="1" applyBorder="1" applyAlignment="1">
      <alignment horizontal="right"/>
    </xf>
    <xf numFmtId="169" fontId="203" fillId="0" borderId="203" xfId="0" applyNumberFormat="1" applyFont="1" applyBorder="1" applyAlignment="1">
      <alignment horizontal="right"/>
    </xf>
    <xf numFmtId="169" fontId="204" fillId="0" borderId="204" xfId="0" applyNumberFormat="1" applyFont="1" applyBorder="1" applyAlignment="1">
      <alignment horizontal="right"/>
    </xf>
    <xf numFmtId="0" fontId="205" fillId="0" borderId="205" xfId="0" applyFont="1" applyBorder="1" applyAlignment="1">
      <alignment horizontal="left"/>
    </xf>
    <xf numFmtId="169" fontId="206" fillId="0" borderId="206" xfId="0" applyNumberFormat="1" applyFont="1" applyBorder="1" applyAlignment="1">
      <alignment horizontal="right"/>
    </xf>
    <xf numFmtId="169" fontId="207" fillId="0" borderId="207" xfId="0" applyNumberFormat="1" applyFont="1" applyBorder="1" applyAlignment="1">
      <alignment horizontal="right"/>
    </xf>
    <xf numFmtId="169" fontId="208" fillId="0" borderId="208" xfId="0" applyNumberFormat="1" applyFont="1" applyBorder="1" applyAlignment="1">
      <alignment horizontal="right"/>
    </xf>
    <xf numFmtId="169" fontId="209" fillId="0" borderId="209" xfId="0" applyNumberFormat="1" applyFont="1" applyBorder="1" applyAlignment="1">
      <alignment horizontal="right"/>
    </xf>
    <xf numFmtId="0" fontId="210" fillId="0" borderId="210" xfId="0" applyFont="1" applyBorder="1" applyAlignment="1">
      <alignment horizontal="left"/>
    </xf>
    <xf numFmtId="169" fontId="211" fillId="0" borderId="211" xfId="0" applyNumberFormat="1" applyFont="1" applyBorder="1" applyAlignment="1">
      <alignment horizontal="right"/>
    </xf>
    <xf numFmtId="169" fontId="212" fillId="0" borderId="212" xfId="0" applyNumberFormat="1" applyFont="1" applyBorder="1" applyAlignment="1">
      <alignment horizontal="right"/>
    </xf>
    <xf numFmtId="169" fontId="213" fillId="0" borderId="213" xfId="0" applyNumberFormat="1" applyFont="1" applyBorder="1" applyAlignment="1">
      <alignment horizontal="right"/>
    </xf>
    <xf numFmtId="169" fontId="214" fillId="0" borderId="214" xfId="0" applyNumberFormat="1" applyFont="1" applyBorder="1" applyAlignment="1">
      <alignment horizontal="right"/>
    </xf>
    <xf numFmtId="0" fontId="215" fillId="0" borderId="215" xfId="0" applyFont="1" applyBorder="1" applyAlignment="1">
      <alignment horizontal="left"/>
    </xf>
    <xf numFmtId="169" fontId="216" fillId="0" borderId="216" xfId="0" applyNumberFormat="1" applyFont="1" applyBorder="1" applyAlignment="1">
      <alignment horizontal="right"/>
    </xf>
    <xf numFmtId="169" fontId="217" fillId="0" borderId="217" xfId="0" applyNumberFormat="1" applyFont="1" applyBorder="1" applyAlignment="1">
      <alignment horizontal="right"/>
    </xf>
    <xf numFmtId="169" fontId="218" fillId="0" borderId="218" xfId="0" applyNumberFormat="1" applyFont="1" applyBorder="1" applyAlignment="1">
      <alignment horizontal="right"/>
    </xf>
    <xf numFmtId="169" fontId="219" fillId="0" borderId="219" xfId="0" applyNumberFormat="1" applyFont="1" applyBorder="1" applyAlignment="1">
      <alignment horizontal="right"/>
    </xf>
    <xf numFmtId="0" fontId="220" fillId="0" borderId="220" xfId="0" applyFont="1" applyBorder="1" applyAlignment="1">
      <alignment horizontal="left"/>
    </xf>
    <xf numFmtId="169" fontId="221" fillId="0" borderId="221" xfId="0" applyNumberFormat="1" applyFont="1" applyBorder="1" applyAlignment="1">
      <alignment horizontal="right"/>
    </xf>
    <xf numFmtId="169" fontId="222" fillId="0" borderId="222" xfId="0" applyNumberFormat="1" applyFont="1" applyBorder="1" applyAlignment="1">
      <alignment horizontal="right"/>
    </xf>
    <xf numFmtId="169" fontId="223" fillId="0" borderId="223" xfId="0" applyNumberFormat="1" applyFont="1" applyBorder="1" applyAlignment="1">
      <alignment horizontal="right"/>
    </xf>
    <xf numFmtId="169" fontId="224" fillId="0" borderId="224" xfId="0" applyNumberFormat="1" applyFont="1" applyBorder="1" applyAlignment="1">
      <alignment horizontal="right"/>
    </xf>
    <xf numFmtId="0" fontId="225" fillId="0" borderId="225" xfId="0" applyFont="1" applyBorder="1"/>
    <xf numFmtId="0" fontId="229" fillId="0" borderId="229" xfId="0" applyFont="1" applyBorder="1" applyAlignment="1">
      <alignment horizontal="right"/>
    </xf>
    <xf numFmtId="0" fontId="230" fillId="0" borderId="230" xfId="0" applyFont="1" applyBorder="1"/>
    <xf numFmtId="0" fontId="232" fillId="0" borderId="232" xfId="0" applyFont="1" applyBorder="1"/>
    <xf numFmtId="0" fontId="234" fillId="0" borderId="234" xfId="0" applyFont="1" applyBorder="1"/>
    <xf numFmtId="0" fontId="235" fillId="0" borderId="235" xfId="0" applyFont="1" applyBorder="1" applyAlignment="1">
      <alignment horizontal="right"/>
    </xf>
    <xf numFmtId="0" fontId="236" fillId="0" borderId="236" xfId="0" applyFont="1" applyBorder="1" applyAlignment="1">
      <alignment horizontal="right"/>
    </xf>
    <xf numFmtId="0" fontId="237" fillId="0" borderId="237" xfId="0" applyFont="1" applyBorder="1" applyAlignment="1">
      <alignment horizontal="right"/>
    </xf>
    <xf numFmtId="0" fontId="238" fillId="0" borderId="238" xfId="0" applyFont="1" applyBorder="1" applyAlignment="1">
      <alignment horizontal="left"/>
    </xf>
    <xf numFmtId="0" fontId="239" fillId="0" borderId="239" xfId="0" applyFont="1" applyBorder="1"/>
    <xf numFmtId="0" fontId="240" fillId="0" borderId="240" xfId="0" applyFont="1" applyBorder="1"/>
    <xf numFmtId="0" fontId="241" fillId="0" borderId="241" xfId="0" applyFont="1" applyBorder="1"/>
    <xf numFmtId="0" fontId="242" fillId="0" borderId="242" xfId="0" applyFont="1" applyBorder="1"/>
    <xf numFmtId="0" fontId="243" fillId="0" borderId="243" xfId="0" applyFont="1" applyBorder="1" applyAlignment="1">
      <alignment horizontal="left"/>
    </xf>
    <xf numFmtId="169" fontId="244" fillId="0" borderId="244" xfId="0" applyNumberFormat="1" applyFont="1" applyBorder="1" applyAlignment="1">
      <alignment horizontal="right"/>
    </xf>
    <xf numFmtId="169" fontId="245" fillId="0" borderId="245" xfId="0" applyNumberFormat="1" applyFont="1" applyBorder="1" applyAlignment="1">
      <alignment horizontal="right"/>
    </xf>
    <xf numFmtId="169" fontId="246" fillId="0" borderId="246" xfId="0" applyNumberFormat="1" applyFont="1" applyBorder="1" applyAlignment="1">
      <alignment horizontal="right"/>
    </xf>
    <xf numFmtId="169" fontId="247" fillId="0" borderId="247" xfId="0" applyNumberFormat="1" applyFont="1" applyBorder="1" applyAlignment="1">
      <alignment horizontal="right"/>
    </xf>
    <xf numFmtId="0" fontId="248" fillId="0" borderId="248" xfId="0" applyFont="1" applyBorder="1" applyAlignment="1">
      <alignment horizontal="left"/>
    </xf>
    <xf numFmtId="169" fontId="249" fillId="0" borderId="249" xfId="0" applyNumberFormat="1" applyFont="1" applyBorder="1" applyAlignment="1">
      <alignment horizontal="right"/>
    </xf>
    <xf numFmtId="169" fontId="250" fillId="0" borderId="250" xfId="0" applyNumberFormat="1" applyFont="1" applyBorder="1" applyAlignment="1">
      <alignment horizontal="right"/>
    </xf>
    <xf numFmtId="169" fontId="251" fillId="0" borderId="251" xfId="0" applyNumberFormat="1" applyFont="1" applyBorder="1" applyAlignment="1">
      <alignment horizontal="right"/>
    </xf>
    <xf numFmtId="169" fontId="252" fillId="0" borderId="252" xfId="0" applyNumberFormat="1" applyFont="1" applyBorder="1" applyAlignment="1">
      <alignment horizontal="right"/>
    </xf>
    <xf numFmtId="0" fontId="253" fillId="0" borderId="253" xfId="0" applyFont="1" applyBorder="1" applyAlignment="1">
      <alignment horizontal="left"/>
    </xf>
    <xf numFmtId="169" fontId="254" fillId="0" borderId="254" xfId="0" applyNumberFormat="1" applyFont="1" applyBorder="1" applyAlignment="1">
      <alignment horizontal="right"/>
    </xf>
    <xf numFmtId="169" fontId="255" fillId="0" borderId="255" xfId="0" applyNumberFormat="1" applyFont="1" applyBorder="1" applyAlignment="1">
      <alignment horizontal="right"/>
    </xf>
    <xf numFmtId="169" fontId="256" fillId="0" borderId="256" xfId="0" applyNumberFormat="1" applyFont="1" applyBorder="1" applyAlignment="1">
      <alignment horizontal="right"/>
    </xf>
    <xf numFmtId="169" fontId="257" fillId="0" borderId="257" xfId="0" applyNumberFormat="1" applyFont="1" applyBorder="1" applyAlignment="1">
      <alignment horizontal="right"/>
    </xf>
    <xf numFmtId="0" fontId="258" fillId="0" borderId="258" xfId="0" applyFont="1" applyBorder="1" applyAlignment="1">
      <alignment horizontal="left"/>
    </xf>
    <xf numFmtId="169" fontId="259" fillId="0" borderId="259" xfId="0" applyNumberFormat="1" applyFont="1" applyBorder="1" applyAlignment="1">
      <alignment horizontal="right"/>
    </xf>
    <xf numFmtId="169" fontId="260" fillId="0" borderId="260" xfId="0" applyNumberFormat="1" applyFont="1" applyBorder="1" applyAlignment="1">
      <alignment horizontal="right"/>
    </xf>
    <xf numFmtId="169" fontId="261" fillId="0" borderId="261" xfId="0" applyNumberFormat="1" applyFont="1" applyBorder="1" applyAlignment="1">
      <alignment horizontal="right"/>
    </xf>
    <xf numFmtId="169" fontId="262" fillId="0" borderId="262" xfId="0" applyNumberFormat="1" applyFont="1" applyBorder="1" applyAlignment="1">
      <alignment horizontal="right"/>
    </xf>
    <xf numFmtId="0" fontId="263" fillId="0" borderId="263" xfId="0" applyFont="1" applyBorder="1" applyAlignment="1">
      <alignment horizontal="left"/>
    </xf>
    <xf numFmtId="169" fontId="264" fillId="0" borderId="264" xfId="0" applyNumberFormat="1" applyFont="1" applyBorder="1" applyAlignment="1">
      <alignment horizontal="right"/>
    </xf>
    <xf numFmtId="169" fontId="265" fillId="0" borderId="265" xfId="0" applyNumberFormat="1" applyFont="1" applyBorder="1" applyAlignment="1">
      <alignment horizontal="right"/>
    </xf>
    <xf numFmtId="169" fontId="266" fillId="0" borderId="266" xfId="0" applyNumberFormat="1" applyFont="1" applyBorder="1" applyAlignment="1">
      <alignment horizontal="right"/>
    </xf>
    <xf numFmtId="169" fontId="267" fillId="0" borderId="267" xfId="0" applyNumberFormat="1" applyFont="1" applyBorder="1" applyAlignment="1">
      <alignment horizontal="right"/>
    </xf>
    <xf numFmtId="0" fontId="268" fillId="0" borderId="268" xfId="0" applyFont="1" applyBorder="1" applyAlignment="1">
      <alignment horizontal="left"/>
    </xf>
    <xf numFmtId="169" fontId="269" fillId="0" borderId="269" xfId="0" applyNumberFormat="1" applyFont="1" applyBorder="1" applyAlignment="1">
      <alignment horizontal="right"/>
    </xf>
    <xf numFmtId="169" fontId="270" fillId="0" borderId="270" xfId="0" applyNumberFormat="1" applyFont="1" applyBorder="1" applyAlignment="1">
      <alignment horizontal="right"/>
    </xf>
    <xf numFmtId="169" fontId="271" fillId="0" borderId="271" xfId="0" applyNumberFormat="1" applyFont="1" applyBorder="1" applyAlignment="1">
      <alignment horizontal="right"/>
    </xf>
    <xf numFmtId="169" fontId="272" fillId="0" borderId="272" xfId="0" applyNumberFormat="1" applyFont="1" applyBorder="1" applyAlignment="1">
      <alignment horizontal="right"/>
    </xf>
    <xf numFmtId="0" fontId="273" fillId="0" borderId="273" xfId="0" applyFont="1" applyBorder="1" applyAlignment="1">
      <alignment horizontal="left"/>
    </xf>
    <xf numFmtId="169" fontId="274" fillId="0" borderId="274" xfId="0" applyNumberFormat="1" applyFont="1" applyBorder="1" applyAlignment="1">
      <alignment horizontal="right"/>
    </xf>
    <xf numFmtId="169" fontId="275" fillId="0" borderId="275" xfId="0" applyNumberFormat="1" applyFont="1" applyBorder="1" applyAlignment="1">
      <alignment horizontal="right"/>
    </xf>
    <xf numFmtId="169" fontId="276" fillId="0" borderId="276" xfId="0" applyNumberFormat="1" applyFont="1" applyBorder="1" applyAlignment="1">
      <alignment horizontal="right"/>
    </xf>
    <xf numFmtId="169" fontId="277" fillId="0" borderId="277" xfId="0" applyNumberFormat="1" applyFont="1" applyBorder="1" applyAlignment="1">
      <alignment horizontal="right"/>
    </xf>
    <xf numFmtId="0" fontId="278" fillId="0" borderId="278" xfId="0" applyFont="1" applyBorder="1" applyAlignment="1">
      <alignment horizontal="left"/>
    </xf>
    <xf numFmtId="169" fontId="279" fillId="0" borderId="279" xfId="0" applyNumberFormat="1" applyFont="1" applyBorder="1" applyAlignment="1">
      <alignment horizontal="right"/>
    </xf>
    <xf numFmtId="169" fontId="280" fillId="0" borderId="280" xfId="0" applyNumberFormat="1" applyFont="1" applyBorder="1" applyAlignment="1">
      <alignment horizontal="right"/>
    </xf>
    <xf numFmtId="169" fontId="281" fillId="0" borderId="281" xfId="0" applyNumberFormat="1" applyFont="1" applyBorder="1" applyAlignment="1">
      <alignment horizontal="right"/>
    </xf>
    <xf numFmtId="169" fontId="282" fillId="0" borderId="282" xfId="0" applyNumberFormat="1" applyFont="1" applyBorder="1" applyAlignment="1">
      <alignment horizontal="right"/>
    </xf>
    <xf numFmtId="0" fontId="283" fillId="0" borderId="283" xfId="0" applyFont="1" applyBorder="1" applyAlignment="1">
      <alignment horizontal="left"/>
    </xf>
    <xf numFmtId="169" fontId="284" fillId="0" borderId="284" xfId="0" applyNumberFormat="1" applyFont="1" applyBorder="1" applyAlignment="1">
      <alignment horizontal="right"/>
    </xf>
    <xf numFmtId="169" fontId="285" fillId="0" borderId="285" xfId="0" applyNumberFormat="1" applyFont="1" applyBorder="1" applyAlignment="1">
      <alignment horizontal="right"/>
    </xf>
    <xf numFmtId="169" fontId="286" fillId="0" borderId="286" xfId="0" applyNumberFormat="1" applyFont="1" applyBorder="1" applyAlignment="1">
      <alignment horizontal="right"/>
    </xf>
    <xf numFmtId="169" fontId="287" fillId="0" borderId="287" xfId="0" applyNumberFormat="1" applyFont="1" applyBorder="1" applyAlignment="1">
      <alignment horizontal="right"/>
    </xf>
    <xf numFmtId="0" fontId="288" fillId="0" borderId="288" xfId="0" applyFont="1" applyBorder="1" applyAlignment="1">
      <alignment horizontal="left"/>
    </xf>
    <xf numFmtId="169" fontId="289" fillId="0" borderId="289" xfId="0" applyNumberFormat="1" applyFont="1" applyBorder="1" applyAlignment="1">
      <alignment horizontal="right"/>
    </xf>
    <xf numFmtId="169" fontId="290" fillId="0" borderId="290" xfId="0" applyNumberFormat="1" applyFont="1" applyBorder="1" applyAlignment="1">
      <alignment horizontal="right"/>
    </xf>
    <xf numFmtId="169" fontId="291" fillId="0" borderId="291" xfId="0" applyNumberFormat="1" applyFont="1" applyBorder="1" applyAlignment="1">
      <alignment horizontal="right"/>
    </xf>
    <xf numFmtId="169" fontId="292" fillId="0" borderId="292" xfId="0" applyNumberFormat="1" applyFont="1" applyBorder="1" applyAlignment="1">
      <alignment horizontal="right"/>
    </xf>
    <xf numFmtId="0" fontId="293" fillId="0" borderId="293" xfId="0" applyFont="1" applyBorder="1" applyAlignment="1">
      <alignment horizontal="left"/>
    </xf>
    <xf numFmtId="169" fontId="294" fillId="0" borderId="294" xfId="0" applyNumberFormat="1" applyFont="1" applyBorder="1" applyAlignment="1">
      <alignment horizontal="right"/>
    </xf>
    <xf numFmtId="169" fontId="295" fillId="0" borderId="295" xfId="0" applyNumberFormat="1" applyFont="1" applyBorder="1" applyAlignment="1">
      <alignment horizontal="right"/>
    </xf>
    <xf numFmtId="169" fontId="296" fillId="0" borderId="296" xfId="0" applyNumberFormat="1" applyFont="1" applyBorder="1" applyAlignment="1">
      <alignment horizontal="right"/>
    </xf>
    <xf numFmtId="169" fontId="297" fillId="0" borderId="297" xfId="0" applyNumberFormat="1" applyFont="1" applyBorder="1" applyAlignment="1">
      <alignment horizontal="right"/>
    </xf>
    <xf numFmtId="0" fontId="298" fillId="0" borderId="298" xfId="0" applyFont="1" applyBorder="1" applyAlignment="1">
      <alignment horizontal="left"/>
    </xf>
    <xf numFmtId="169" fontId="299" fillId="0" borderId="299" xfId="0" applyNumberFormat="1" applyFont="1" applyBorder="1" applyAlignment="1">
      <alignment horizontal="right"/>
    </xf>
    <xf numFmtId="169" fontId="300" fillId="0" borderId="300" xfId="0" applyNumberFormat="1" applyFont="1" applyBorder="1" applyAlignment="1">
      <alignment horizontal="right"/>
    </xf>
    <xf numFmtId="169" fontId="301" fillId="0" borderId="301" xfId="0" applyNumberFormat="1" applyFont="1" applyBorder="1" applyAlignment="1">
      <alignment horizontal="right"/>
    </xf>
    <xf numFmtId="169" fontId="302" fillId="0" borderId="302" xfId="0" applyNumberFormat="1" applyFont="1" applyBorder="1" applyAlignment="1">
      <alignment horizontal="right"/>
    </xf>
    <xf numFmtId="0" fontId="303" fillId="0" borderId="303" xfId="0" applyFont="1" applyBorder="1" applyAlignment="1">
      <alignment horizontal="left"/>
    </xf>
    <xf numFmtId="169" fontId="304" fillId="0" borderId="304" xfId="0" applyNumberFormat="1" applyFont="1" applyBorder="1" applyAlignment="1">
      <alignment horizontal="right"/>
    </xf>
    <xf numFmtId="169" fontId="305" fillId="0" borderId="305" xfId="0" applyNumberFormat="1" applyFont="1" applyBorder="1" applyAlignment="1">
      <alignment horizontal="right"/>
    </xf>
    <xf numFmtId="169" fontId="306" fillId="0" borderId="306" xfId="0" applyNumberFormat="1" applyFont="1" applyBorder="1" applyAlignment="1">
      <alignment horizontal="right"/>
    </xf>
    <xf numFmtId="169" fontId="307" fillId="0" borderId="307" xfId="0" applyNumberFormat="1" applyFont="1" applyBorder="1" applyAlignment="1">
      <alignment horizontal="right"/>
    </xf>
    <xf numFmtId="0" fontId="308" fillId="0" borderId="308" xfId="0" applyFont="1" applyBorder="1" applyAlignment="1">
      <alignment horizontal="left"/>
    </xf>
    <xf numFmtId="169" fontId="309" fillId="0" borderId="309" xfId="0" applyNumberFormat="1" applyFont="1" applyBorder="1" applyAlignment="1">
      <alignment horizontal="right"/>
    </xf>
    <xf numFmtId="169" fontId="310" fillId="0" borderId="310" xfId="0" applyNumberFormat="1" applyFont="1" applyBorder="1" applyAlignment="1">
      <alignment horizontal="right"/>
    </xf>
    <xf numFmtId="169" fontId="311" fillId="0" borderId="311" xfId="0" applyNumberFormat="1" applyFont="1" applyBorder="1" applyAlignment="1">
      <alignment horizontal="right"/>
    </xf>
    <xf numFmtId="169" fontId="312" fillId="0" borderId="312" xfId="0" applyNumberFormat="1" applyFont="1" applyBorder="1" applyAlignment="1">
      <alignment horizontal="right"/>
    </xf>
    <xf numFmtId="0" fontId="313" fillId="0" borderId="313" xfId="0" applyFont="1" applyBorder="1" applyAlignment="1">
      <alignment horizontal="left"/>
    </xf>
    <xf numFmtId="169" fontId="314" fillId="0" borderId="314" xfId="0" applyNumberFormat="1" applyFont="1" applyBorder="1" applyAlignment="1">
      <alignment horizontal="right"/>
    </xf>
    <xf numFmtId="169" fontId="315" fillId="0" borderId="315" xfId="0" applyNumberFormat="1" applyFont="1" applyBorder="1" applyAlignment="1">
      <alignment horizontal="right"/>
    </xf>
    <xf numFmtId="169" fontId="316" fillId="0" borderId="316" xfId="0" applyNumberFormat="1" applyFont="1" applyBorder="1" applyAlignment="1">
      <alignment horizontal="right"/>
    </xf>
    <xf numFmtId="169" fontId="317" fillId="0" borderId="317" xfId="0" applyNumberFormat="1" applyFont="1" applyBorder="1" applyAlignment="1">
      <alignment horizontal="right"/>
    </xf>
    <xf numFmtId="0" fontId="318" fillId="0" borderId="318" xfId="0" applyFont="1" applyBorder="1" applyAlignment="1">
      <alignment horizontal="left"/>
    </xf>
    <xf numFmtId="169" fontId="319" fillId="0" borderId="319" xfId="0" applyNumberFormat="1" applyFont="1" applyBorder="1" applyAlignment="1">
      <alignment horizontal="right"/>
    </xf>
    <xf numFmtId="169" fontId="320" fillId="0" borderId="320" xfId="0" applyNumberFormat="1" applyFont="1" applyBorder="1" applyAlignment="1">
      <alignment horizontal="right"/>
    </xf>
    <xf numFmtId="169" fontId="321" fillId="0" borderId="321" xfId="0" applyNumberFormat="1" applyFont="1" applyBorder="1" applyAlignment="1">
      <alignment horizontal="right"/>
    </xf>
    <xf numFmtId="169" fontId="322" fillId="0" borderId="322" xfId="0" applyNumberFormat="1" applyFont="1" applyBorder="1" applyAlignment="1">
      <alignment horizontal="right"/>
    </xf>
    <xf numFmtId="0" fontId="323" fillId="0" borderId="323" xfId="0" applyFont="1" applyBorder="1" applyAlignment="1">
      <alignment horizontal="left"/>
    </xf>
    <xf numFmtId="169" fontId="324" fillId="0" borderId="324" xfId="0" applyNumberFormat="1" applyFont="1" applyBorder="1" applyAlignment="1">
      <alignment horizontal="right"/>
    </xf>
    <xf numFmtId="169" fontId="325" fillId="0" borderId="325" xfId="0" applyNumberFormat="1" applyFont="1" applyBorder="1" applyAlignment="1">
      <alignment horizontal="right"/>
    </xf>
    <xf numFmtId="169" fontId="326" fillId="0" borderId="326" xfId="0" applyNumberFormat="1" applyFont="1" applyBorder="1" applyAlignment="1">
      <alignment horizontal="right"/>
    </xf>
    <xf numFmtId="169" fontId="327" fillId="0" borderId="327" xfId="0" applyNumberFormat="1" applyFont="1" applyBorder="1" applyAlignment="1">
      <alignment horizontal="right"/>
    </xf>
    <xf numFmtId="0" fontId="231" fillId="0" borderId="231" xfId="0" applyFont="1" applyBorder="1"/>
    <xf numFmtId="0" fontId="35" fillId="0" borderId="35" xfId="0" applyFont="1" applyBorder="1"/>
    <xf numFmtId="0" fontId="133" fillId="0" borderId="133" xfId="0" applyFont="1" applyBorder="1"/>
    <xf numFmtId="2" fontId="0" fillId="0" borderId="0" xfId="0" applyNumberFormat="1" applyAlignment="1">
      <alignment horizontal="left"/>
    </xf>
    <xf numFmtId="2" fontId="2" fillId="0" borderId="329" xfId="0" applyNumberFormat="1" applyFont="1" applyBorder="1" applyAlignment="1">
      <alignment horizontal="left"/>
    </xf>
    <xf numFmtId="0" fontId="2" fillId="0" borderId="328" xfId="0" applyFont="1" applyBorder="1" applyAlignment="1">
      <alignment horizontal="left"/>
    </xf>
    <xf numFmtId="0" fontId="328" fillId="0" borderId="330" xfId="0" applyFont="1" applyBorder="1"/>
    <xf numFmtId="0" fontId="329" fillId="0" borderId="331" xfId="0" applyFont="1" applyBorder="1" applyAlignment="1">
      <alignment horizontal="right"/>
    </xf>
    <xf numFmtId="0" fontId="330" fillId="0" borderId="332" xfId="0" applyFont="1" applyBorder="1" applyAlignment="1">
      <alignment horizontal="left"/>
    </xf>
    <xf numFmtId="0" fontId="331" fillId="0" borderId="333" xfId="0" applyFont="1" applyBorder="1"/>
    <xf numFmtId="0" fontId="332" fillId="0" borderId="334" xfId="0" applyFont="1" applyBorder="1" applyAlignment="1">
      <alignment horizontal="left"/>
    </xf>
    <xf numFmtId="169" fontId="333" fillId="0" borderId="335" xfId="0" applyNumberFormat="1" applyFont="1" applyBorder="1" applyAlignment="1">
      <alignment horizontal="right"/>
    </xf>
    <xf numFmtId="0" fontId="334" fillId="0" borderId="336" xfId="0" applyFont="1" applyBorder="1" applyAlignment="1">
      <alignment horizontal="left"/>
    </xf>
    <xf numFmtId="169" fontId="335" fillId="0" borderId="337" xfId="0" applyNumberFormat="1" applyFont="1" applyBorder="1" applyAlignment="1">
      <alignment horizontal="right"/>
    </xf>
    <xf numFmtId="0" fontId="336" fillId="0" borderId="338" xfId="0" applyFont="1" applyBorder="1" applyAlignment="1">
      <alignment horizontal="left"/>
    </xf>
    <xf numFmtId="169" fontId="337" fillId="0" borderId="339" xfId="0" applyNumberFormat="1" applyFont="1" applyBorder="1" applyAlignment="1">
      <alignment horizontal="right"/>
    </xf>
    <xf numFmtId="0" fontId="338" fillId="0" borderId="340" xfId="0" applyFont="1" applyBorder="1" applyAlignment="1">
      <alignment horizontal="left"/>
    </xf>
    <xf numFmtId="169" fontId="339" fillId="0" borderId="341" xfId="0" applyNumberFormat="1" applyFont="1" applyBorder="1" applyAlignment="1">
      <alignment horizontal="right"/>
    </xf>
    <xf numFmtId="0" fontId="340" fillId="0" borderId="342" xfId="0" applyFont="1" applyBorder="1" applyAlignment="1">
      <alignment horizontal="left"/>
    </xf>
    <xf numFmtId="169" fontId="341" fillId="0" borderId="343" xfId="0" applyNumberFormat="1" applyFont="1" applyBorder="1" applyAlignment="1">
      <alignment horizontal="right"/>
    </xf>
    <xf numFmtId="0" fontId="342" fillId="0" borderId="344" xfId="0" applyFont="1" applyBorder="1" applyAlignment="1">
      <alignment horizontal="left"/>
    </xf>
    <xf numFmtId="169" fontId="343" fillId="0" borderId="345" xfId="0" applyNumberFormat="1" applyFont="1" applyBorder="1" applyAlignment="1">
      <alignment horizontal="right"/>
    </xf>
    <xf numFmtId="0" fontId="344" fillId="0" borderId="346" xfId="0" applyFont="1" applyBorder="1" applyAlignment="1">
      <alignment horizontal="left"/>
    </xf>
    <xf numFmtId="169" fontId="345" fillId="0" borderId="347" xfId="0" applyNumberFormat="1" applyFont="1" applyBorder="1" applyAlignment="1">
      <alignment horizontal="right"/>
    </xf>
    <xf numFmtId="0" fontId="346" fillId="0" borderId="348" xfId="0" applyFont="1" applyBorder="1" applyAlignment="1">
      <alignment horizontal="left"/>
    </xf>
    <xf numFmtId="169" fontId="347" fillId="0" borderId="349" xfId="0" applyNumberFormat="1" applyFont="1" applyBorder="1" applyAlignment="1">
      <alignment horizontal="right"/>
    </xf>
    <xf numFmtId="0" fontId="348" fillId="0" borderId="350" xfId="0" applyFont="1" applyBorder="1" applyAlignment="1">
      <alignment horizontal="left"/>
    </xf>
    <xf numFmtId="169" fontId="349" fillId="0" borderId="351" xfId="0" applyNumberFormat="1" applyFont="1" applyBorder="1" applyAlignment="1">
      <alignment horizontal="right"/>
    </xf>
    <xf numFmtId="0" fontId="350" fillId="0" borderId="352" xfId="0" applyFont="1" applyBorder="1" applyAlignment="1">
      <alignment horizontal="left"/>
    </xf>
    <xf numFmtId="169" fontId="351" fillId="0" borderId="353" xfId="0" applyNumberFormat="1" applyFont="1" applyBorder="1" applyAlignment="1">
      <alignment horizontal="right"/>
    </xf>
    <xf numFmtId="0" fontId="352" fillId="0" borderId="354" xfId="0" applyFont="1" applyBorder="1" applyAlignment="1">
      <alignment horizontal="left"/>
    </xf>
    <xf numFmtId="169" fontId="353" fillId="0" borderId="355" xfId="0" applyNumberFormat="1" applyFont="1" applyBorder="1" applyAlignment="1">
      <alignment horizontal="right"/>
    </xf>
    <xf numFmtId="0" fontId="354" fillId="0" borderId="356" xfId="0" applyFont="1" applyBorder="1" applyAlignment="1">
      <alignment horizontal="left"/>
    </xf>
    <xf numFmtId="169" fontId="355" fillId="0" borderId="357" xfId="0" applyNumberFormat="1" applyFont="1" applyBorder="1" applyAlignment="1">
      <alignment horizontal="right"/>
    </xf>
    <xf numFmtId="0" fontId="356" fillId="0" borderId="358" xfId="0" applyFont="1" applyBorder="1" applyAlignment="1">
      <alignment horizontal="left"/>
    </xf>
    <xf numFmtId="169" fontId="357" fillId="0" borderId="359" xfId="0" applyNumberFormat="1" applyFont="1" applyBorder="1" applyAlignment="1">
      <alignment horizontal="right"/>
    </xf>
    <xf numFmtId="0" fontId="358" fillId="0" borderId="360" xfId="0" applyFont="1" applyBorder="1" applyAlignment="1">
      <alignment horizontal="left"/>
    </xf>
    <xf numFmtId="169" fontId="359" fillId="0" borderId="361" xfId="0" applyNumberFormat="1" applyFont="1" applyBorder="1" applyAlignment="1">
      <alignment horizontal="right"/>
    </xf>
    <xf numFmtId="0" fontId="360" fillId="0" borderId="362" xfId="0" applyFont="1" applyBorder="1" applyAlignment="1">
      <alignment horizontal="left"/>
    </xf>
    <xf numFmtId="169" fontId="361" fillId="0" borderId="363" xfId="0" applyNumberFormat="1" applyFont="1" applyBorder="1" applyAlignment="1">
      <alignment horizontal="right"/>
    </xf>
    <xf numFmtId="0" fontId="362" fillId="0" borderId="364" xfId="0" applyFont="1" applyBorder="1" applyAlignment="1">
      <alignment horizontal="left"/>
    </xf>
    <xf numFmtId="169" fontId="363" fillId="0" borderId="365" xfId="0" applyNumberFormat="1" applyFont="1" applyBorder="1" applyAlignment="1">
      <alignment horizontal="right"/>
    </xf>
    <xf numFmtId="0" fontId="364" fillId="0" borderId="366" xfId="0" applyFont="1" applyBorder="1"/>
    <xf numFmtId="0" fontId="365" fillId="0" borderId="368" xfId="0" applyFont="1" applyBorder="1"/>
    <xf numFmtId="0" fontId="367" fillId="0" borderId="370" xfId="0" applyFont="1" applyBorder="1"/>
    <xf numFmtId="0" fontId="369" fillId="0" borderId="372" xfId="0" applyFont="1" applyBorder="1"/>
    <xf numFmtId="0" fontId="371" fillId="0" borderId="374" xfId="0" applyFont="1" applyBorder="1" applyAlignment="1">
      <alignment horizontal="left"/>
    </xf>
    <xf numFmtId="0" fontId="373" fillId="0" borderId="376" xfId="0" applyFont="1" applyBorder="1" applyAlignment="1">
      <alignment horizontal="left"/>
    </xf>
    <xf numFmtId="0" fontId="375" fillId="0" borderId="378" xfId="0" applyFont="1" applyBorder="1" applyAlignment="1">
      <alignment horizontal="left"/>
    </xf>
    <xf numFmtId="0" fontId="377" fillId="0" borderId="380" xfId="0" applyFont="1" applyBorder="1" applyAlignment="1">
      <alignment horizontal="left"/>
    </xf>
    <xf numFmtId="0" fontId="379" fillId="0" borderId="382" xfId="0" applyFont="1" applyBorder="1" applyAlignment="1">
      <alignment horizontal="left"/>
    </xf>
    <xf numFmtId="0" fontId="381" fillId="0" borderId="384" xfId="0" applyFont="1" applyBorder="1" applyAlignment="1">
      <alignment horizontal="left"/>
    </xf>
    <xf numFmtId="0" fontId="383" fillId="0" borderId="386" xfId="0" applyFont="1" applyBorder="1" applyAlignment="1">
      <alignment horizontal="left"/>
    </xf>
    <xf numFmtId="0" fontId="385" fillId="0" borderId="388" xfId="0" applyFont="1" applyBorder="1" applyAlignment="1">
      <alignment horizontal="left"/>
    </xf>
    <xf numFmtId="0" fontId="387" fillId="0" borderId="390" xfId="0" applyFont="1" applyBorder="1" applyAlignment="1">
      <alignment horizontal="left"/>
    </xf>
    <xf numFmtId="0" fontId="389" fillId="0" borderId="392" xfId="0" applyFont="1" applyBorder="1" applyAlignment="1">
      <alignment horizontal="left"/>
    </xf>
    <xf numFmtId="0" fontId="391" fillId="0" borderId="394" xfId="0" applyFont="1" applyBorder="1" applyAlignment="1">
      <alignment horizontal="left"/>
    </xf>
    <xf numFmtId="0" fontId="393" fillId="0" borderId="396" xfId="0" applyFont="1" applyBorder="1" applyAlignment="1">
      <alignment horizontal="left"/>
    </xf>
    <xf numFmtId="0" fontId="395" fillId="0" borderId="398" xfId="0" applyFont="1" applyBorder="1" applyAlignment="1">
      <alignment horizontal="left"/>
    </xf>
    <xf numFmtId="0" fontId="397" fillId="0" borderId="400" xfId="0" applyFont="1" applyBorder="1" applyAlignment="1">
      <alignment horizontal="left"/>
    </xf>
    <xf numFmtId="0" fontId="399" fillId="0" borderId="402" xfId="0" applyFont="1" applyBorder="1" applyAlignment="1">
      <alignment horizontal="left"/>
    </xf>
    <xf numFmtId="0" fontId="401" fillId="0" borderId="404" xfId="0" applyFont="1" applyBorder="1" applyAlignment="1">
      <alignment horizontal="left"/>
    </xf>
    <xf numFmtId="0" fontId="403" fillId="0" borderId="406" xfId="0" applyFont="1" applyBorder="1"/>
    <xf numFmtId="0" fontId="405" fillId="0" borderId="408" xfId="0" applyFont="1" applyBorder="1"/>
    <xf numFmtId="0" fontId="407" fillId="0" borderId="410" xfId="0" applyFont="1" applyBorder="1"/>
    <xf numFmtId="0" fontId="409" fillId="0" borderId="412" xfId="0" applyFont="1" applyBorder="1"/>
    <xf numFmtId="0" fontId="411" fillId="0" borderId="414" xfId="0" applyFont="1" applyBorder="1" applyAlignment="1">
      <alignment horizontal="left"/>
    </xf>
    <xf numFmtId="0" fontId="413" fillId="0" borderId="416" xfId="0" applyFont="1" applyBorder="1" applyAlignment="1">
      <alignment horizontal="left"/>
    </xf>
    <xf numFmtId="0" fontId="415" fillId="0" borderId="418" xfId="0" applyFont="1" applyBorder="1" applyAlignment="1">
      <alignment horizontal="left"/>
    </xf>
    <xf numFmtId="0" fontId="417" fillId="0" borderId="420" xfId="0" applyFont="1" applyBorder="1" applyAlignment="1">
      <alignment horizontal="left"/>
    </xf>
    <xf numFmtId="0" fontId="419" fillId="0" borderId="422" xfId="0" applyFont="1" applyBorder="1" applyAlignment="1">
      <alignment horizontal="left"/>
    </xf>
    <xf numFmtId="0" fontId="421" fillId="0" borderId="424" xfId="0" applyFont="1" applyBorder="1" applyAlignment="1">
      <alignment horizontal="left"/>
    </xf>
    <xf numFmtId="0" fontId="423" fillId="0" borderId="426" xfId="0" applyFont="1" applyBorder="1" applyAlignment="1">
      <alignment horizontal="left"/>
    </xf>
    <xf numFmtId="0" fontId="425" fillId="0" borderId="428" xfId="0" applyFont="1" applyBorder="1" applyAlignment="1">
      <alignment horizontal="left"/>
    </xf>
    <xf numFmtId="0" fontId="427" fillId="0" borderId="430" xfId="0" applyFont="1" applyBorder="1" applyAlignment="1">
      <alignment horizontal="left"/>
    </xf>
    <xf numFmtId="0" fontId="429" fillId="0" borderId="432" xfId="0" applyFont="1" applyBorder="1" applyAlignment="1">
      <alignment horizontal="left"/>
    </xf>
    <xf numFmtId="0" fontId="431" fillId="0" borderId="434" xfId="0" applyFont="1" applyBorder="1" applyAlignment="1">
      <alignment horizontal="left"/>
    </xf>
    <xf numFmtId="0" fontId="433" fillId="0" borderId="436" xfId="0" applyFont="1" applyBorder="1" applyAlignment="1">
      <alignment horizontal="left"/>
    </xf>
    <xf numFmtId="0" fontId="435" fillId="0" borderId="438" xfId="0" applyFont="1" applyBorder="1" applyAlignment="1">
      <alignment horizontal="left"/>
    </xf>
    <xf numFmtId="0" fontId="437" fillId="0" borderId="440" xfId="0" applyFont="1" applyBorder="1" applyAlignment="1">
      <alignment horizontal="left"/>
    </xf>
    <xf numFmtId="0" fontId="439" fillId="0" borderId="442" xfId="0" applyFont="1" applyBorder="1" applyAlignment="1">
      <alignment horizontal="left"/>
    </xf>
    <xf numFmtId="0" fontId="441" fillId="0" borderId="444" xfId="0" applyFont="1" applyBorder="1" applyAlignment="1">
      <alignment horizontal="left"/>
    </xf>
    <xf numFmtId="0" fontId="443" fillId="0" borderId="446" xfId="0" applyFont="1" applyBorder="1"/>
    <xf numFmtId="0" fontId="445" fillId="0" borderId="448" xfId="0" applyFont="1" applyBorder="1"/>
    <xf numFmtId="0" fontId="447" fillId="0" borderId="450" xfId="0" applyFont="1" applyBorder="1"/>
    <xf numFmtId="0" fontId="449" fillId="0" borderId="452" xfId="0" applyFont="1" applyBorder="1"/>
    <xf numFmtId="0" fontId="451" fillId="0" borderId="454" xfId="0" applyFont="1" applyBorder="1" applyAlignment="1">
      <alignment horizontal="left"/>
    </xf>
    <xf numFmtId="0" fontId="453" fillId="0" borderId="456" xfId="0" applyFont="1" applyBorder="1" applyAlignment="1">
      <alignment horizontal="left"/>
    </xf>
    <xf numFmtId="0" fontId="455" fillId="0" borderId="458" xfId="0" applyFont="1" applyBorder="1" applyAlignment="1">
      <alignment horizontal="left"/>
    </xf>
    <xf numFmtId="0" fontId="457" fillId="0" borderId="460" xfId="0" applyFont="1" applyBorder="1" applyAlignment="1">
      <alignment horizontal="left"/>
    </xf>
    <xf numFmtId="0" fontId="459" fillId="0" borderId="462" xfId="0" applyFont="1" applyBorder="1" applyAlignment="1">
      <alignment horizontal="left"/>
    </xf>
    <xf numFmtId="0" fontId="461" fillId="0" borderId="464" xfId="0" applyFont="1" applyBorder="1" applyAlignment="1">
      <alignment horizontal="left"/>
    </xf>
    <xf numFmtId="0" fontId="463" fillId="0" borderId="466" xfId="0" applyFont="1" applyBorder="1" applyAlignment="1">
      <alignment horizontal="left"/>
    </xf>
    <xf numFmtId="0" fontId="465" fillId="0" borderId="468" xfId="0" applyFont="1" applyBorder="1" applyAlignment="1">
      <alignment horizontal="left"/>
    </xf>
    <xf numFmtId="0" fontId="467" fillId="0" borderId="470" xfId="0" applyFont="1" applyBorder="1" applyAlignment="1">
      <alignment horizontal="left"/>
    </xf>
    <xf numFmtId="0" fontId="469" fillId="0" borderId="472" xfId="0" applyFont="1" applyBorder="1" applyAlignment="1">
      <alignment horizontal="left"/>
    </xf>
    <xf numFmtId="0" fontId="471" fillId="0" borderId="474" xfId="0" applyFont="1" applyBorder="1" applyAlignment="1">
      <alignment horizontal="left"/>
    </xf>
    <xf numFmtId="0" fontId="473" fillId="0" borderId="476" xfId="0" applyFont="1" applyBorder="1" applyAlignment="1">
      <alignment horizontal="left"/>
    </xf>
    <xf numFmtId="0" fontId="475" fillId="0" borderId="478" xfId="0" applyFont="1" applyBorder="1" applyAlignment="1">
      <alignment horizontal="left"/>
    </xf>
    <xf numFmtId="0" fontId="477" fillId="0" borderId="480" xfId="0" applyFont="1" applyBorder="1" applyAlignment="1">
      <alignment horizontal="left"/>
    </xf>
    <xf numFmtId="0" fontId="479" fillId="0" borderId="482" xfId="0" applyFont="1" applyBorder="1" applyAlignment="1">
      <alignment horizontal="left"/>
    </xf>
    <xf numFmtId="0" fontId="481" fillId="0" borderId="484" xfId="0" applyFont="1" applyBorder="1" applyAlignment="1">
      <alignment horizontal="left"/>
    </xf>
    <xf numFmtId="0" fontId="483" fillId="0" borderId="486" xfId="0" applyFont="1" applyBorder="1" applyAlignment="1">
      <alignment horizontal="left"/>
    </xf>
    <xf numFmtId="0" fontId="485" fillId="0" borderId="488" xfId="0" applyFont="1" applyBorder="1"/>
    <xf numFmtId="0" fontId="487" fillId="0" borderId="490" xfId="0" applyFont="1" applyBorder="1"/>
    <xf numFmtId="0" fontId="489" fillId="0" borderId="492" xfId="0" applyFont="1" applyBorder="1"/>
    <xf numFmtId="0" fontId="491" fillId="0" borderId="494" xfId="0" applyFont="1" applyBorder="1"/>
    <xf numFmtId="0" fontId="493" fillId="0" borderId="496" xfId="0" applyFont="1" applyBorder="1" applyAlignment="1">
      <alignment horizontal="left"/>
    </xf>
    <xf numFmtId="0" fontId="495" fillId="0" borderId="498" xfId="0" applyFont="1" applyBorder="1" applyAlignment="1">
      <alignment horizontal="left"/>
    </xf>
    <xf numFmtId="0" fontId="497" fillId="0" borderId="500" xfId="0" applyFont="1" applyBorder="1" applyAlignment="1">
      <alignment horizontal="left"/>
    </xf>
    <xf numFmtId="0" fontId="499" fillId="0" borderId="502" xfId="0" applyFont="1" applyBorder="1" applyAlignment="1">
      <alignment horizontal="left"/>
    </xf>
    <xf numFmtId="0" fontId="501" fillId="0" borderId="504" xfId="0" applyFont="1" applyBorder="1" applyAlignment="1">
      <alignment horizontal="left"/>
    </xf>
    <xf numFmtId="0" fontId="503" fillId="0" borderId="506" xfId="0" applyFont="1" applyBorder="1" applyAlignment="1">
      <alignment horizontal="left"/>
    </xf>
    <xf numFmtId="0" fontId="505" fillId="0" borderId="508" xfId="0" applyFont="1" applyBorder="1" applyAlignment="1">
      <alignment horizontal="left"/>
    </xf>
    <xf numFmtId="0" fontId="507" fillId="0" borderId="510" xfId="0" applyFont="1" applyBorder="1" applyAlignment="1">
      <alignment horizontal="left"/>
    </xf>
    <xf numFmtId="0" fontId="509" fillId="0" borderId="512" xfId="0" applyFont="1" applyBorder="1" applyAlignment="1">
      <alignment horizontal="left"/>
    </xf>
    <xf numFmtId="0" fontId="511" fillId="0" borderId="514" xfId="0" applyFont="1" applyBorder="1" applyAlignment="1">
      <alignment horizontal="left"/>
    </xf>
    <xf numFmtId="0" fontId="513" fillId="0" borderId="516" xfId="0" applyFont="1" applyBorder="1" applyAlignment="1">
      <alignment horizontal="left"/>
    </xf>
    <xf numFmtId="0" fontId="515" fillId="0" borderId="518" xfId="0" applyFont="1" applyBorder="1" applyAlignment="1">
      <alignment horizontal="left"/>
    </xf>
    <xf numFmtId="0" fontId="517" fillId="0" borderId="520" xfId="0" applyFont="1" applyBorder="1" applyAlignment="1">
      <alignment horizontal="left"/>
    </xf>
    <xf numFmtId="0" fontId="519" fillId="0" borderId="522" xfId="0" applyFont="1" applyBorder="1" applyAlignment="1">
      <alignment horizontal="left"/>
    </xf>
    <xf numFmtId="0" fontId="521" fillId="0" borderId="524" xfId="0" applyFont="1" applyBorder="1" applyAlignment="1">
      <alignment horizontal="left"/>
    </xf>
    <xf numFmtId="0" fontId="523" fillId="0" borderId="526" xfId="0" applyFont="1" applyBorder="1" applyAlignment="1">
      <alignment horizontal="left"/>
    </xf>
    <xf numFmtId="0" fontId="525" fillId="0" borderId="528" xfId="0" applyFont="1" applyBorder="1" applyAlignment="1">
      <alignment horizontal="left"/>
    </xf>
    <xf numFmtId="0" fontId="527" fillId="0" borderId="530" xfId="0" applyFont="1" applyBorder="1"/>
    <xf numFmtId="0" fontId="529" fillId="0" borderId="532" xfId="0" applyFont="1" applyBorder="1"/>
    <xf numFmtId="0" fontId="531" fillId="0" borderId="534" xfId="0" applyFont="1" applyBorder="1"/>
    <xf numFmtId="0" fontId="533" fillId="0" borderId="536" xfId="0" applyFont="1" applyBorder="1"/>
    <xf numFmtId="0" fontId="535" fillId="0" borderId="538" xfId="0" applyFont="1" applyBorder="1" applyAlignment="1">
      <alignment horizontal="left"/>
    </xf>
    <xf numFmtId="0" fontId="537" fillId="0" borderId="540" xfId="0" applyFont="1" applyBorder="1" applyAlignment="1">
      <alignment horizontal="left"/>
    </xf>
    <xf numFmtId="0" fontId="539" fillId="0" borderId="542" xfId="0" applyFont="1" applyBorder="1" applyAlignment="1">
      <alignment horizontal="left"/>
    </xf>
    <xf numFmtId="0" fontId="541" fillId="0" borderId="544" xfId="0" applyFont="1" applyBorder="1" applyAlignment="1">
      <alignment horizontal="left"/>
    </xf>
    <xf numFmtId="0" fontId="543" fillId="0" borderId="546" xfId="0" applyFont="1" applyBorder="1" applyAlignment="1">
      <alignment horizontal="left"/>
    </xf>
    <xf numFmtId="0" fontId="545" fillId="0" borderId="548" xfId="0" applyFont="1" applyBorder="1" applyAlignment="1">
      <alignment horizontal="left"/>
    </xf>
    <xf numFmtId="0" fontId="547" fillId="0" borderId="550" xfId="0" applyFont="1" applyBorder="1" applyAlignment="1">
      <alignment horizontal="left"/>
    </xf>
    <xf numFmtId="0" fontId="549" fillId="0" borderId="552" xfId="0" applyFont="1" applyBorder="1" applyAlignment="1">
      <alignment horizontal="left"/>
    </xf>
    <xf numFmtId="0" fontId="551" fillId="0" borderId="554" xfId="0" applyFont="1" applyBorder="1" applyAlignment="1">
      <alignment horizontal="left"/>
    </xf>
    <xf numFmtId="0" fontId="553" fillId="0" borderId="556" xfId="0" applyFont="1" applyBorder="1" applyAlignment="1">
      <alignment horizontal="left"/>
    </xf>
    <xf numFmtId="0" fontId="555" fillId="0" borderId="558" xfId="0" applyFont="1" applyBorder="1" applyAlignment="1">
      <alignment horizontal="left"/>
    </xf>
    <xf numFmtId="0" fontId="557" fillId="0" borderId="560" xfId="0" applyFont="1" applyBorder="1" applyAlignment="1">
      <alignment horizontal="left"/>
    </xf>
    <xf numFmtId="0" fontId="559" fillId="0" borderId="562" xfId="0" applyFont="1" applyBorder="1" applyAlignment="1">
      <alignment horizontal="left"/>
    </xf>
    <xf numFmtId="0" fontId="561" fillId="0" borderId="564" xfId="0" applyFont="1" applyBorder="1" applyAlignment="1">
      <alignment horizontal="left"/>
    </xf>
    <xf numFmtId="0" fontId="563" fillId="0" borderId="566" xfId="0" applyFont="1" applyBorder="1" applyAlignment="1">
      <alignment horizontal="left"/>
    </xf>
    <xf numFmtId="0" fontId="565" fillId="0" borderId="568" xfId="0" applyFont="1" applyBorder="1" applyAlignment="1">
      <alignment horizontal="left"/>
    </xf>
    <xf numFmtId="0" fontId="567" fillId="0" borderId="570" xfId="0" applyFont="1" applyBorder="1" applyAlignment="1">
      <alignment horizontal="left"/>
    </xf>
    <xf numFmtId="0" fontId="569" fillId="0" borderId="572" xfId="0" applyFont="1" applyBorder="1"/>
    <xf numFmtId="0" fontId="571" fillId="0" borderId="574" xfId="0" applyFont="1" applyBorder="1"/>
    <xf numFmtId="0" fontId="573" fillId="0" borderId="576" xfId="0" applyFont="1" applyBorder="1"/>
    <xf numFmtId="0" fontId="575" fillId="0" borderId="578" xfId="0" applyFont="1" applyBorder="1"/>
    <xf numFmtId="0" fontId="577" fillId="0" borderId="580" xfId="0" applyFont="1" applyBorder="1" applyAlignment="1">
      <alignment horizontal="left"/>
    </xf>
    <xf numFmtId="0" fontId="579" fillId="0" borderId="582" xfId="0" applyFont="1" applyBorder="1" applyAlignment="1">
      <alignment horizontal="left"/>
    </xf>
    <xf numFmtId="0" fontId="581" fillId="0" borderId="584" xfId="0" applyFont="1" applyBorder="1" applyAlignment="1">
      <alignment horizontal="left"/>
    </xf>
    <xf numFmtId="0" fontId="583" fillId="0" borderId="586" xfId="0" applyFont="1" applyBorder="1" applyAlignment="1">
      <alignment horizontal="left"/>
    </xf>
    <xf numFmtId="0" fontId="585" fillId="0" borderId="588" xfId="0" applyFont="1" applyBorder="1" applyAlignment="1">
      <alignment horizontal="left"/>
    </xf>
    <xf numFmtId="0" fontId="587" fillId="0" borderId="590" xfId="0" applyFont="1" applyBorder="1" applyAlignment="1">
      <alignment horizontal="left"/>
    </xf>
    <xf numFmtId="0" fontId="589" fillId="0" borderId="592" xfId="0" applyFont="1" applyBorder="1" applyAlignment="1">
      <alignment horizontal="left"/>
    </xf>
    <xf numFmtId="0" fontId="591" fillId="0" borderId="594" xfId="0" applyFont="1" applyBorder="1" applyAlignment="1">
      <alignment horizontal="left"/>
    </xf>
    <xf numFmtId="0" fontId="593" fillId="0" borderId="596" xfId="0" applyFont="1" applyBorder="1" applyAlignment="1">
      <alignment horizontal="left"/>
    </xf>
    <xf numFmtId="0" fontId="595" fillId="0" borderId="598" xfId="0" applyFont="1" applyBorder="1" applyAlignment="1">
      <alignment horizontal="left"/>
    </xf>
    <xf numFmtId="0" fontId="597" fillId="0" borderId="600" xfId="0" applyFont="1" applyBorder="1" applyAlignment="1">
      <alignment horizontal="left"/>
    </xf>
    <xf numFmtId="0" fontId="599" fillId="0" borderId="602" xfId="0" applyFont="1" applyBorder="1" applyAlignment="1">
      <alignment horizontal="left"/>
    </xf>
    <xf numFmtId="0" fontId="601" fillId="0" borderId="604" xfId="0" applyFont="1" applyBorder="1" applyAlignment="1">
      <alignment horizontal="left"/>
    </xf>
    <xf numFmtId="0" fontId="603" fillId="0" borderId="606" xfId="0" applyFont="1" applyBorder="1" applyAlignment="1">
      <alignment horizontal="left"/>
    </xf>
    <xf numFmtId="0" fontId="605" fillId="0" borderId="608" xfId="0" applyFont="1" applyBorder="1" applyAlignment="1">
      <alignment horizontal="left"/>
    </xf>
    <xf numFmtId="0" fontId="607" fillId="0" borderId="610" xfId="0" applyFont="1" applyBorder="1" applyAlignment="1">
      <alignment horizontal="left"/>
    </xf>
    <xf numFmtId="0" fontId="609" fillId="0" borderId="612" xfId="0" applyFont="1" applyBorder="1" applyAlignment="1">
      <alignment horizontal="left"/>
    </xf>
    <xf numFmtId="0" fontId="611" fillId="0" borderId="614" xfId="0" applyFont="1" applyBorder="1"/>
    <xf numFmtId="0" fontId="613" fillId="0" borderId="616" xfId="0" applyFont="1" applyBorder="1"/>
    <xf numFmtId="0" fontId="615" fillId="0" borderId="618" xfId="0" applyFont="1" applyBorder="1"/>
    <xf numFmtId="0" fontId="617" fillId="0" borderId="620" xfId="0" applyFont="1" applyBorder="1"/>
    <xf numFmtId="0" fontId="619" fillId="0" borderId="622" xfId="0" applyFont="1" applyBorder="1" applyAlignment="1">
      <alignment horizontal="left"/>
    </xf>
    <xf numFmtId="0" fontId="621" fillId="0" borderId="624" xfId="0" applyFont="1" applyBorder="1" applyAlignment="1">
      <alignment horizontal="left"/>
    </xf>
    <xf numFmtId="0" fontId="623" fillId="0" borderId="626" xfId="0" applyFont="1" applyBorder="1" applyAlignment="1">
      <alignment horizontal="left"/>
    </xf>
    <xf numFmtId="0" fontId="625" fillId="0" borderId="628" xfId="0" applyFont="1" applyBorder="1" applyAlignment="1">
      <alignment horizontal="left"/>
    </xf>
    <xf numFmtId="0" fontId="627" fillId="0" borderId="630" xfId="0" applyFont="1" applyBorder="1" applyAlignment="1">
      <alignment horizontal="left"/>
    </xf>
    <xf numFmtId="0" fontId="629" fillId="0" borderId="632" xfId="0" applyFont="1" applyBorder="1" applyAlignment="1">
      <alignment horizontal="left"/>
    </xf>
    <xf numFmtId="0" fontId="631" fillId="0" borderId="634" xfId="0" applyFont="1" applyBorder="1" applyAlignment="1">
      <alignment horizontal="left"/>
    </xf>
    <xf numFmtId="0" fontId="633" fillId="0" borderId="636" xfId="0" applyFont="1" applyBorder="1" applyAlignment="1">
      <alignment horizontal="left"/>
    </xf>
    <xf numFmtId="0" fontId="635" fillId="0" borderId="638" xfId="0" applyFont="1" applyBorder="1" applyAlignment="1">
      <alignment horizontal="left"/>
    </xf>
    <xf numFmtId="0" fontId="637" fillId="0" borderId="640" xfId="0" applyFont="1" applyBorder="1" applyAlignment="1">
      <alignment horizontal="left"/>
    </xf>
    <xf numFmtId="0" fontId="639" fillId="0" borderId="642" xfId="0" applyFont="1" applyBorder="1" applyAlignment="1">
      <alignment horizontal="left"/>
    </xf>
    <xf numFmtId="0" fontId="641" fillId="0" borderId="644" xfId="0" applyFont="1" applyBorder="1" applyAlignment="1">
      <alignment horizontal="left"/>
    </xf>
    <xf numFmtId="0" fontId="643" fillId="0" borderId="646" xfId="0" applyFont="1" applyBorder="1" applyAlignment="1">
      <alignment horizontal="left"/>
    </xf>
    <xf numFmtId="0" fontId="645" fillId="0" borderId="648" xfId="0" applyFont="1" applyBorder="1" applyAlignment="1">
      <alignment horizontal="left"/>
    </xf>
    <xf numFmtId="0" fontId="647" fillId="0" borderId="650" xfId="0" applyFont="1" applyBorder="1" applyAlignment="1">
      <alignment horizontal="left"/>
    </xf>
    <xf numFmtId="0" fontId="649" fillId="0" borderId="652" xfId="0" applyFont="1" applyBorder="1" applyAlignment="1">
      <alignment horizontal="left"/>
    </xf>
    <xf numFmtId="0" fontId="651" fillId="0" borderId="654" xfId="0" applyFont="1" applyBorder="1" applyAlignment="1">
      <alignment horizontal="left"/>
    </xf>
    <xf numFmtId="0" fontId="653" fillId="0" borderId="656" xfId="0" applyFont="1" applyBorder="1" applyAlignment="1">
      <alignment horizontal="left"/>
    </xf>
    <xf numFmtId="0" fontId="655" fillId="0" borderId="658" xfId="0" applyFont="1" applyBorder="1"/>
    <xf numFmtId="0" fontId="657" fillId="0" borderId="660" xfId="0" applyFont="1" applyBorder="1"/>
    <xf numFmtId="0" fontId="659" fillId="0" borderId="662" xfId="0" applyFont="1" applyBorder="1"/>
    <xf numFmtId="0" fontId="661" fillId="0" borderId="664" xfId="0" applyFont="1" applyBorder="1"/>
    <xf numFmtId="0" fontId="663" fillId="0" borderId="666" xfId="0" applyFont="1" applyBorder="1" applyAlignment="1">
      <alignment horizontal="left"/>
    </xf>
    <xf numFmtId="0" fontId="665" fillId="0" borderId="668" xfId="0" applyFont="1" applyBorder="1" applyAlignment="1">
      <alignment horizontal="left"/>
    </xf>
    <xf numFmtId="0" fontId="667" fillId="0" borderId="670" xfId="0" applyFont="1" applyBorder="1" applyAlignment="1">
      <alignment horizontal="left"/>
    </xf>
    <xf numFmtId="0" fontId="669" fillId="0" borderId="672" xfId="0" applyFont="1" applyBorder="1" applyAlignment="1">
      <alignment horizontal="left"/>
    </xf>
    <xf numFmtId="0" fontId="671" fillId="0" borderId="674" xfId="0" applyFont="1" applyBorder="1" applyAlignment="1">
      <alignment horizontal="left"/>
    </xf>
    <xf numFmtId="0" fontId="673" fillId="0" borderId="676" xfId="0" applyFont="1" applyBorder="1" applyAlignment="1">
      <alignment horizontal="left"/>
    </xf>
    <xf numFmtId="0" fontId="675" fillId="0" borderId="678" xfId="0" applyFont="1" applyBorder="1" applyAlignment="1">
      <alignment horizontal="left"/>
    </xf>
    <xf numFmtId="0" fontId="677" fillId="0" borderId="680" xfId="0" applyFont="1" applyBorder="1" applyAlignment="1">
      <alignment horizontal="left"/>
    </xf>
    <xf numFmtId="0" fontId="679" fillId="0" borderId="682" xfId="0" applyFont="1" applyBorder="1" applyAlignment="1">
      <alignment horizontal="left"/>
    </xf>
    <xf numFmtId="0" fontId="681" fillId="0" borderId="684" xfId="0" applyFont="1" applyBorder="1" applyAlignment="1">
      <alignment horizontal="left"/>
    </xf>
    <xf numFmtId="0" fontId="683" fillId="0" borderId="686" xfId="0" applyFont="1" applyBorder="1" applyAlignment="1">
      <alignment horizontal="left"/>
    </xf>
    <xf numFmtId="0" fontId="685" fillId="0" borderId="688" xfId="0" applyFont="1" applyBorder="1" applyAlignment="1">
      <alignment horizontal="left"/>
    </xf>
    <xf numFmtId="0" fontId="687" fillId="0" borderId="690" xfId="0" applyFont="1" applyBorder="1" applyAlignment="1">
      <alignment horizontal="left"/>
    </xf>
    <xf numFmtId="0" fontId="689" fillId="0" borderId="692" xfId="0" applyFont="1" applyBorder="1" applyAlignment="1">
      <alignment horizontal="left"/>
    </xf>
    <xf numFmtId="0" fontId="691" fillId="0" borderId="694" xfId="0" applyFont="1" applyBorder="1" applyAlignment="1">
      <alignment horizontal="left"/>
    </xf>
    <xf numFmtId="0" fontId="693" fillId="0" borderId="696" xfId="0" applyFont="1" applyBorder="1" applyAlignment="1">
      <alignment horizontal="left"/>
    </xf>
    <xf numFmtId="0" fontId="695" fillId="0" borderId="698" xfId="0" applyFont="1" applyBorder="1" applyAlignment="1">
      <alignment horizontal="left"/>
    </xf>
    <xf numFmtId="0" fontId="697" fillId="0" borderId="700" xfId="0" applyFont="1" applyBorder="1" applyAlignment="1">
      <alignment horizontal="left"/>
    </xf>
    <xf numFmtId="0" fontId="699" fillId="0" borderId="702" xfId="0" applyFont="1" applyBorder="1"/>
    <xf numFmtId="0" fontId="701" fillId="0" borderId="704" xfId="0" applyFont="1" applyBorder="1"/>
    <xf numFmtId="0" fontId="703" fillId="0" borderId="706" xfId="0" applyFont="1" applyBorder="1"/>
    <xf numFmtId="0" fontId="705" fillId="0" borderId="708" xfId="0" applyFont="1" applyBorder="1"/>
    <xf numFmtId="0" fontId="707" fillId="0" borderId="710" xfId="0" applyFont="1" applyBorder="1" applyAlignment="1">
      <alignment horizontal="left"/>
    </xf>
    <xf numFmtId="0" fontId="709" fillId="0" borderId="712" xfId="0" applyFont="1" applyBorder="1" applyAlignment="1">
      <alignment horizontal="left"/>
    </xf>
    <xf numFmtId="0" fontId="711" fillId="0" borderId="714" xfId="0" applyFont="1" applyBorder="1" applyAlignment="1">
      <alignment horizontal="left"/>
    </xf>
    <xf numFmtId="0" fontId="713" fillId="0" borderId="716" xfId="0" applyFont="1" applyBorder="1" applyAlignment="1">
      <alignment horizontal="left"/>
    </xf>
    <xf numFmtId="0" fontId="715" fillId="0" borderId="718" xfId="0" applyFont="1" applyBorder="1" applyAlignment="1">
      <alignment horizontal="left"/>
    </xf>
    <xf numFmtId="0" fontId="717" fillId="0" borderId="720" xfId="0" applyFont="1" applyBorder="1" applyAlignment="1">
      <alignment horizontal="left"/>
    </xf>
    <xf numFmtId="0" fontId="719" fillId="0" borderId="722" xfId="0" applyFont="1" applyBorder="1" applyAlignment="1">
      <alignment horizontal="left"/>
    </xf>
    <xf numFmtId="0" fontId="721" fillId="0" borderId="724" xfId="0" applyFont="1" applyBorder="1" applyAlignment="1">
      <alignment horizontal="left"/>
    </xf>
    <xf numFmtId="0" fontId="723" fillId="0" borderId="726" xfId="0" applyFont="1" applyBorder="1" applyAlignment="1">
      <alignment horizontal="left"/>
    </xf>
    <xf numFmtId="0" fontId="725" fillId="0" borderId="728" xfId="0" applyFont="1" applyBorder="1" applyAlignment="1">
      <alignment horizontal="left"/>
    </xf>
    <xf numFmtId="0" fontId="727" fillId="0" borderId="730" xfId="0" applyFont="1" applyBorder="1" applyAlignment="1">
      <alignment horizontal="left"/>
    </xf>
    <xf numFmtId="0" fontId="729" fillId="0" borderId="732" xfId="0" applyFont="1" applyBorder="1" applyAlignment="1">
      <alignment horizontal="left"/>
    </xf>
    <xf numFmtId="2" fontId="366" fillId="0" borderId="369" xfId="0" applyNumberFormat="1" applyFont="1" applyBorder="1"/>
    <xf numFmtId="2" fontId="368" fillId="0" borderId="371" xfId="0" applyNumberFormat="1" applyFont="1" applyBorder="1"/>
    <xf numFmtId="2" fontId="370" fillId="0" borderId="373" xfId="0" applyNumberFormat="1" applyFont="1" applyBorder="1" applyAlignment="1">
      <alignment horizontal="right"/>
    </xf>
    <xf numFmtId="2" fontId="372" fillId="0" borderId="375" xfId="0" applyNumberFormat="1" applyFont="1" applyBorder="1"/>
    <xf numFmtId="2" fontId="374" fillId="0" borderId="377" xfId="0" applyNumberFormat="1" applyFont="1" applyBorder="1" applyAlignment="1">
      <alignment horizontal="right"/>
    </xf>
    <xf numFmtId="2" fontId="376" fillId="0" borderId="379" xfId="0" applyNumberFormat="1" applyFont="1" applyBorder="1" applyAlignment="1">
      <alignment horizontal="right"/>
    </xf>
    <xf numFmtId="2" fontId="378" fillId="0" borderId="381" xfId="0" applyNumberFormat="1" applyFont="1" applyBorder="1" applyAlignment="1">
      <alignment horizontal="right"/>
    </xf>
    <xf numFmtId="2" fontId="380" fillId="0" borderId="383" xfId="0" applyNumberFormat="1" applyFont="1" applyBorder="1" applyAlignment="1">
      <alignment horizontal="right"/>
    </xf>
    <xf numFmtId="2" fontId="382" fillId="0" borderId="385" xfId="0" applyNumberFormat="1" applyFont="1" applyBorder="1" applyAlignment="1">
      <alignment horizontal="right"/>
    </xf>
    <xf numFmtId="2" fontId="384" fillId="0" borderId="387" xfId="0" applyNumberFormat="1" applyFont="1" applyBorder="1" applyAlignment="1">
      <alignment horizontal="right"/>
    </xf>
    <xf numFmtId="2" fontId="386" fillId="0" borderId="389" xfId="0" applyNumberFormat="1" applyFont="1" applyBorder="1" applyAlignment="1">
      <alignment horizontal="right"/>
    </xf>
    <xf numFmtId="2" fontId="388" fillId="0" borderId="391" xfId="0" applyNumberFormat="1" applyFont="1" applyBorder="1" applyAlignment="1">
      <alignment horizontal="right"/>
    </xf>
    <xf numFmtId="2" fontId="390" fillId="0" borderId="393" xfId="0" applyNumberFormat="1" applyFont="1" applyBorder="1" applyAlignment="1">
      <alignment horizontal="right"/>
    </xf>
    <xf numFmtId="2" fontId="392" fillId="0" borderId="395" xfId="0" applyNumberFormat="1" applyFont="1" applyBorder="1" applyAlignment="1">
      <alignment horizontal="right"/>
    </xf>
    <xf numFmtId="2" fontId="394" fillId="0" borderId="397" xfId="0" applyNumberFormat="1" applyFont="1" applyBorder="1" applyAlignment="1">
      <alignment horizontal="right"/>
    </xf>
    <xf numFmtId="2" fontId="396" fillId="0" borderId="399" xfId="0" applyNumberFormat="1" applyFont="1" applyBorder="1" applyAlignment="1">
      <alignment horizontal="right"/>
    </xf>
    <xf numFmtId="2" fontId="398" fillId="0" borderId="401" xfId="0" applyNumberFormat="1" applyFont="1" applyBorder="1" applyAlignment="1">
      <alignment horizontal="right"/>
    </xf>
    <xf numFmtId="2" fontId="400" fillId="0" borderId="403" xfId="0" applyNumberFormat="1" applyFont="1" applyBorder="1" applyAlignment="1">
      <alignment horizontal="right"/>
    </xf>
    <xf numFmtId="2" fontId="402" fillId="0" borderId="405" xfId="0" applyNumberFormat="1" applyFont="1" applyBorder="1" applyAlignment="1">
      <alignment horizontal="right"/>
    </xf>
    <xf numFmtId="2" fontId="404" fillId="0" borderId="407" xfId="0" applyNumberFormat="1" applyFont="1" applyBorder="1"/>
    <xf numFmtId="2" fontId="406" fillId="0" borderId="409" xfId="0" applyNumberFormat="1" applyFont="1" applyBorder="1"/>
    <xf numFmtId="2" fontId="408" fillId="0" borderId="411" xfId="0" applyNumberFormat="1" applyFont="1" applyBorder="1"/>
    <xf numFmtId="2" fontId="410" fillId="0" borderId="413" xfId="0" applyNumberFormat="1" applyFont="1" applyBorder="1" applyAlignment="1">
      <alignment horizontal="right"/>
    </xf>
    <xf numFmtId="2" fontId="412" fillId="0" borderId="415" xfId="0" applyNumberFormat="1" applyFont="1" applyBorder="1"/>
    <xf numFmtId="2" fontId="414" fillId="0" borderId="417" xfId="0" applyNumberFormat="1" applyFont="1" applyBorder="1" applyAlignment="1">
      <alignment horizontal="right"/>
    </xf>
    <xf numFmtId="2" fontId="416" fillId="0" borderId="419" xfId="0" applyNumberFormat="1" applyFont="1" applyBorder="1" applyAlignment="1">
      <alignment horizontal="right"/>
    </xf>
    <xf numFmtId="2" fontId="418" fillId="0" borderId="421" xfId="0" applyNumberFormat="1" applyFont="1" applyBorder="1" applyAlignment="1">
      <alignment horizontal="right"/>
    </xf>
    <xf numFmtId="2" fontId="420" fillId="0" borderId="423" xfId="0" applyNumberFormat="1" applyFont="1" applyBorder="1" applyAlignment="1">
      <alignment horizontal="right"/>
    </xf>
    <xf numFmtId="2" fontId="422" fillId="0" borderId="425" xfId="0" applyNumberFormat="1" applyFont="1" applyBorder="1" applyAlignment="1">
      <alignment horizontal="right"/>
    </xf>
    <xf numFmtId="2" fontId="424" fillId="0" borderId="427" xfId="0" applyNumberFormat="1" applyFont="1" applyBorder="1" applyAlignment="1">
      <alignment horizontal="right"/>
    </xf>
    <xf numFmtId="2" fontId="426" fillId="0" borderId="429" xfId="0" applyNumberFormat="1" applyFont="1" applyBorder="1" applyAlignment="1">
      <alignment horizontal="right"/>
    </xf>
    <xf numFmtId="2" fontId="428" fillId="0" borderId="431" xfId="0" applyNumberFormat="1" applyFont="1" applyBorder="1" applyAlignment="1">
      <alignment horizontal="right"/>
    </xf>
    <xf numFmtId="2" fontId="430" fillId="0" borderId="433" xfId="0" applyNumberFormat="1" applyFont="1" applyBorder="1" applyAlignment="1">
      <alignment horizontal="right"/>
    </xf>
    <xf numFmtId="2" fontId="432" fillId="0" borderId="435" xfId="0" applyNumberFormat="1" applyFont="1" applyBorder="1" applyAlignment="1">
      <alignment horizontal="right"/>
    </xf>
    <xf numFmtId="2" fontId="434" fillId="0" borderId="437" xfId="0" applyNumberFormat="1" applyFont="1" applyBorder="1" applyAlignment="1">
      <alignment horizontal="right"/>
    </xf>
    <xf numFmtId="2" fontId="436" fillId="0" borderId="439" xfId="0" applyNumberFormat="1" applyFont="1" applyBorder="1" applyAlignment="1">
      <alignment horizontal="right"/>
    </xf>
    <xf numFmtId="2" fontId="438" fillId="0" borderId="441" xfId="0" applyNumberFormat="1" applyFont="1" applyBorder="1" applyAlignment="1">
      <alignment horizontal="right"/>
    </xf>
    <xf numFmtId="2" fontId="440" fillId="0" borderId="443" xfId="0" applyNumberFormat="1" applyFont="1" applyBorder="1" applyAlignment="1">
      <alignment horizontal="right"/>
    </xf>
    <xf numFmtId="2" fontId="442" fillId="0" borderId="445" xfId="0" applyNumberFormat="1" applyFont="1" applyBorder="1" applyAlignment="1">
      <alignment horizontal="right"/>
    </xf>
    <xf numFmtId="2" fontId="444" fillId="0" borderId="447" xfId="0" applyNumberFormat="1" applyFont="1" applyBorder="1"/>
    <xf numFmtId="2" fontId="446" fillId="0" borderId="449" xfId="0" applyNumberFormat="1" applyFont="1" applyBorder="1"/>
    <xf numFmtId="2" fontId="448" fillId="0" borderId="451" xfId="0" applyNumberFormat="1" applyFont="1" applyBorder="1"/>
    <xf numFmtId="2" fontId="450" fillId="0" borderId="453" xfId="0" applyNumberFormat="1" applyFont="1" applyBorder="1" applyAlignment="1">
      <alignment horizontal="right"/>
    </xf>
    <xf numFmtId="2" fontId="452" fillId="0" borderId="455" xfId="0" applyNumberFormat="1" applyFont="1" applyBorder="1"/>
    <xf numFmtId="2" fontId="454" fillId="0" borderId="457" xfId="0" applyNumberFormat="1" applyFont="1" applyBorder="1" applyAlignment="1">
      <alignment horizontal="right"/>
    </xf>
    <xf numFmtId="2" fontId="456" fillId="0" borderId="459" xfId="0" applyNumberFormat="1" applyFont="1" applyBorder="1" applyAlignment="1">
      <alignment horizontal="right"/>
    </xf>
    <xf numFmtId="2" fontId="458" fillId="0" borderId="461" xfId="0" applyNumberFormat="1" applyFont="1" applyBorder="1" applyAlignment="1">
      <alignment horizontal="right"/>
    </xf>
    <xf numFmtId="2" fontId="460" fillId="0" borderId="463" xfId="0" applyNumberFormat="1" applyFont="1" applyBorder="1" applyAlignment="1">
      <alignment horizontal="right"/>
    </xf>
    <xf numFmtId="2" fontId="462" fillId="0" borderId="465" xfId="0" applyNumberFormat="1" applyFont="1" applyBorder="1" applyAlignment="1">
      <alignment horizontal="right"/>
    </xf>
    <xf numFmtId="2" fontId="464" fillId="0" borderId="467" xfId="0" applyNumberFormat="1" applyFont="1" applyBorder="1" applyAlignment="1">
      <alignment horizontal="right"/>
    </xf>
    <xf numFmtId="2" fontId="466" fillId="0" borderId="469" xfId="0" applyNumberFormat="1" applyFont="1" applyBorder="1" applyAlignment="1">
      <alignment horizontal="right"/>
    </xf>
    <xf numFmtId="2" fontId="468" fillId="0" borderId="471" xfId="0" applyNumberFormat="1" applyFont="1" applyBorder="1" applyAlignment="1">
      <alignment horizontal="right"/>
    </xf>
    <xf numFmtId="2" fontId="470" fillId="0" borderId="473" xfId="0" applyNumberFormat="1" applyFont="1" applyBorder="1" applyAlignment="1">
      <alignment horizontal="right"/>
    </xf>
    <xf numFmtId="2" fontId="472" fillId="0" borderId="475" xfId="0" applyNumberFormat="1" applyFont="1" applyBorder="1" applyAlignment="1">
      <alignment horizontal="right"/>
    </xf>
    <xf numFmtId="2" fontId="474" fillId="0" borderId="477" xfId="0" applyNumberFormat="1" applyFont="1" applyBorder="1" applyAlignment="1">
      <alignment horizontal="right"/>
    </xf>
    <xf numFmtId="2" fontId="476" fillId="0" borderId="479" xfId="0" applyNumberFormat="1" applyFont="1" applyBorder="1" applyAlignment="1">
      <alignment horizontal="right"/>
    </xf>
    <xf numFmtId="2" fontId="478" fillId="0" borderId="481" xfId="0" applyNumberFormat="1" applyFont="1" applyBorder="1" applyAlignment="1">
      <alignment horizontal="right"/>
    </xf>
    <xf numFmtId="2" fontId="480" fillId="0" borderId="483" xfId="0" applyNumberFormat="1" applyFont="1" applyBorder="1" applyAlignment="1">
      <alignment horizontal="right"/>
    </xf>
    <xf numFmtId="2" fontId="482" fillId="0" borderId="485" xfId="0" applyNumberFormat="1" applyFont="1" applyBorder="1" applyAlignment="1">
      <alignment horizontal="right"/>
    </xf>
    <xf numFmtId="2" fontId="484" fillId="0" borderId="487" xfId="0" applyNumberFormat="1" applyFont="1" applyBorder="1" applyAlignment="1">
      <alignment horizontal="right"/>
    </xf>
    <xf numFmtId="2" fontId="486" fillId="0" borderId="489" xfId="0" applyNumberFormat="1" applyFont="1" applyBorder="1"/>
    <xf numFmtId="2" fontId="488" fillId="0" borderId="491" xfId="0" applyNumberFormat="1" applyFont="1" applyBorder="1"/>
    <xf numFmtId="2" fontId="490" fillId="0" borderId="493" xfId="0" applyNumberFormat="1" applyFont="1" applyBorder="1"/>
    <xf numFmtId="2" fontId="492" fillId="0" borderId="495" xfId="0" applyNumberFormat="1" applyFont="1" applyBorder="1" applyAlignment="1">
      <alignment horizontal="right"/>
    </xf>
    <xf numFmtId="2" fontId="494" fillId="0" borderId="497" xfId="0" applyNumberFormat="1" applyFont="1" applyBorder="1"/>
    <xf numFmtId="2" fontId="496" fillId="0" borderId="499" xfId="0" applyNumberFormat="1" applyFont="1" applyBorder="1" applyAlignment="1">
      <alignment horizontal="right"/>
    </xf>
    <xf numFmtId="2" fontId="498" fillId="0" borderId="501" xfId="0" applyNumberFormat="1" applyFont="1" applyBorder="1" applyAlignment="1">
      <alignment horizontal="right"/>
    </xf>
    <xf numFmtId="2" fontId="500" fillId="0" borderId="503" xfId="0" applyNumberFormat="1" applyFont="1" applyBorder="1" applyAlignment="1">
      <alignment horizontal="right"/>
    </xf>
    <xf numFmtId="2" fontId="502" fillId="0" borderId="505" xfId="0" applyNumberFormat="1" applyFont="1" applyBorder="1" applyAlignment="1">
      <alignment horizontal="right"/>
    </xf>
    <xf numFmtId="2" fontId="504" fillId="0" borderId="507" xfId="0" applyNumberFormat="1" applyFont="1" applyBorder="1" applyAlignment="1">
      <alignment horizontal="right"/>
    </xf>
    <xf numFmtId="2" fontId="506" fillId="0" borderId="509" xfId="0" applyNumberFormat="1" applyFont="1" applyBorder="1" applyAlignment="1">
      <alignment horizontal="right"/>
    </xf>
    <xf numFmtId="2" fontId="508" fillId="0" borderId="511" xfId="0" applyNumberFormat="1" applyFont="1" applyBorder="1" applyAlignment="1">
      <alignment horizontal="right"/>
    </xf>
    <xf numFmtId="2" fontId="510" fillId="0" borderId="513" xfId="0" applyNumberFormat="1" applyFont="1" applyBorder="1" applyAlignment="1">
      <alignment horizontal="right"/>
    </xf>
    <xf numFmtId="2" fontId="512" fillId="0" borderId="515" xfId="0" applyNumberFormat="1" applyFont="1" applyBorder="1" applyAlignment="1">
      <alignment horizontal="right"/>
    </xf>
    <xf numFmtId="2" fontId="514" fillId="0" borderId="517" xfId="0" applyNumberFormat="1" applyFont="1" applyBorder="1" applyAlignment="1">
      <alignment horizontal="right"/>
    </xf>
    <xf numFmtId="2" fontId="516" fillId="0" borderId="519" xfId="0" applyNumberFormat="1" applyFont="1" applyBorder="1" applyAlignment="1">
      <alignment horizontal="right"/>
    </xf>
    <xf numFmtId="2" fontId="518" fillId="0" borderId="521" xfId="0" applyNumberFormat="1" applyFont="1" applyBorder="1" applyAlignment="1">
      <alignment horizontal="right"/>
    </xf>
    <xf numFmtId="2" fontId="520" fillId="0" borderId="523" xfId="0" applyNumberFormat="1" applyFont="1" applyBorder="1" applyAlignment="1">
      <alignment horizontal="right"/>
    </xf>
    <xf numFmtId="2" fontId="522" fillId="0" borderId="525" xfId="0" applyNumberFormat="1" applyFont="1" applyBorder="1" applyAlignment="1">
      <alignment horizontal="right"/>
    </xf>
    <xf numFmtId="2" fontId="524" fillId="0" borderId="527" xfId="0" applyNumberFormat="1" applyFont="1" applyBorder="1" applyAlignment="1">
      <alignment horizontal="right"/>
    </xf>
    <xf numFmtId="2" fontId="526" fillId="0" borderId="529" xfId="0" applyNumberFormat="1" applyFont="1" applyBorder="1" applyAlignment="1">
      <alignment horizontal="right"/>
    </xf>
    <xf numFmtId="2" fontId="528" fillId="0" borderId="531" xfId="0" applyNumberFormat="1" applyFont="1" applyBorder="1"/>
    <xf numFmtId="2" fontId="530" fillId="0" borderId="533" xfId="0" applyNumberFormat="1" applyFont="1" applyBorder="1"/>
    <xf numFmtId="2" fontId="532" fillId="0" borderId="535" xfId="0" applyNumberFormat="1" applyFont="1" applyBorder="1"/>
    <xf numFmtId="2" fontId="534" fillId="0" borderId="537" xfId="0" applyNumberFormat="1" applyFont="1" applyBorder="1" applyAlignment="1">
      <alignment horizontal="right"/>
    </xf>
    <xf numFmtId="2" fontId="536" fillId="0" borderId="539" xfId="0" applyNumberFormat="1" applyFont="1" applyBorder="1"/>
    <xf numFmtId="2" fontId="538" fillId="0" borderId="541" xfId="0" applyNumberFormat="1" applyFont="1" applyBorder="1" applyAlignment="1">
      <alignment horizontal="right"/>
    </xf>
    <xf numFmtId="2" fontId="540" fillId="0" borderId="543" xfId="0" applyNumberFormat="1" applyFont="1" applyBorder="1" applyAlignment="1">
      <alignment horizontal="right"/>
    </xf>
    <xf numFmtId="2" fontId="542" fillId="0" borderId="545" xfId="0" applyNumberFormat="1" applyFont="1" applyBorder="1" applyAlignment="1">
      <alignment horizontal="right"/>
    </xf>
    <xf numFmtId="2" fontId="544" fillId="0" borderId="547" xfId="0" applyNumberFormat="1" applyFont="1" applyBorder="1" applyAlignment="1">
      <alignment horizontal="right"/>
    </xf>
    <xf numFmtId="2" fontId="546" fillId="0" borderId="549" xfId="0" applyNumberFormat="1" applyFont="1" applyBorder="1" applyAlignment="1">
      <alignment horizontal="right"/>
    </xf>
    <xf numFmtId="2" fontId="548" fillId="0" borderId="551" xfId="0" applyNumberFormat="1" applyFont="1" applyBorder="1" applyAlignment="1">
      <alignment horizontal="right"/>
    </xf>
    <xf numFmtId="2" fontId="550" fillId="0" borderId="553" xfId="0" applyNumberFormat="1" applyFont="1" applyBorder="1" applyAlignment="1">
      <alignment horizontal="right"/>
    </xf>
    <xf numFmtId="2" fontId="552" fillId="0" borderId="555" xfId="0" applyNumberFormat="1" applyFont="1" applyBorder="1" applyAlignment="1">
      <alignment horizontal="right"/>
    </xf>
    <xf numFmtId="2" fontId="554" fillId="0" borderId="557" xfId="0" applyNumberFormat="1" applyFont="1" applyBorder="1" applyAlignment="1">
      <alignment horizontal="right"/>
    </xf>
    <xf numFmtId="2" fontId="556" fillId="0" borderId="559" xfId="0" applyNumberFormat="1" applyFont="1" applyBorder="1" applyAlignment="1">
      <alignment horizontal="right"/>
    </xf>
    <xf numFmtId="2" fontId="558" fillId="0" borderId="561" xfId="0" applyNumberFormat="1" applyFont="1" applyBorder="1" applyAlignment="1">
      <alignment horizontal="right"/>
    </xf>
    <xf numFmtId="2" fontId="560" fillId="0" borderId="563" xfId="0" applyNumberFormat="1" applyFont="1" applyBorder="1" applyAlignment="1">
      <alignment horizontal="right"/>
    </xf>
    <xf numFmtId="2" fontId="562" fillId="0" borderId="565" xfId="0" applyNumberFormat="1" applyFont="1" applyBorder="1" applyAlignment="1">
      <alignment horizontal="right"/>
    </xf>
    <xf numFmtId="2" fontId="564" fillId="0" borderId="567" xfId="0" applyNumberFormat="1" applyFont="1" applyBorder="1" applyAlignment="1">
      <alignment horizontal="right"/>
    </xf>
    <xf numFmtId="2" fontId="566" fillId="0" borderId="569" xfId="0" applyNumberFormat="1" applyFont="1" applyBorder="1" applyAlignment="1">
      <alignment horizontal="right"/>
    </xf>
    <xf numFmtId="2" fontId="568" fillId="0" borderId="571" xfId="0" applyNumberFormat="1" applyFont="1" applyBorder="1" applyAlignment="1">
      <alignment horizontal="right"/>
    </xf>
    <xf numFmtId="2" fontId="570" fillId="0" borderId="573" xfId="0" applyNumberFormat="1" applyFont="1" applyBorder="1"/>
    <xf numFmtId="2" fontId="572" fillId="0" borderId="575" xfId="0" applyNumberFormat="1" applyFont="1" applyBorder="1"/>
    <xf numFmtId="2" fontId="574" fillId="0" borderId="577" xfId="0" applyNumberFormat="1" applyFont="1" applyBorder="1"/>
    <xf numFmtId="2" fontId="576" fillId="0" borderId="579" xfId="0" applyNumberFormat="1" applyFont="1" applyBorder="1" applyAlignment="1">
      <alignment horizontal="right"/>
    </xf>
    <xf numFmtId="2" fontId="578" fillId="0" borderId="581" xfId="0" applyNumberFormat="1" applyFont="1" applyBorder="1"/>
    <xf numFmtId="2" fontId="580" fillId="0" borderId="583" xfId="0" applyNumberFormat="1" applyFont="1" applyBorder="1" applyAlignment="1">
      <alignment horizontal="right"/>
    </xf>
    <xf numFmtId="2" fontId="582" fillId="0" borderId="585" xfId="0" applyNumberFormat="1" applyFont="1" applyBorder="1" applyAlignment="1">
      <alignment horizontal="right"/>
    </xf>
    <xf numFmtId="2" fontId="584" fillId="0" borderId="587" xfId="0" applyNumberFormat="1" applyFont="1" applyBorder="1" applyAlignment="1">
      <alignment horizontal="right"/>
    </xf>
    <xf numFmtId="2" fontId="586" fillId="0" borderId="589" xfId="0" applyNumberFormat="1" applyFont="1" applyBorder="1" applyAlignment="1">
      <alignment horizontal="right"/>
    </xf>
    <xf numFmtId="2" fontId="588" fillId="0" borderId="591" xfId="0" applyNumberFormat="1" applyFont="1" applyBorder="1" applyAlignment="1">
      <alignment horizontal="right"/>
    </xf>
    <xf numFmtId="2" fontId="590" fillId="0" borderId="593" xfId="0" applyNumberFormat="1" applyFont="1" applyBorder="1" applyAlignment="1">
      <alignment horizontal="right"/>
    </xf>
    <xf numFmtId="2" fontId="592" fillId="0" borderId="595" xfId="0" applyNumberFormat="1" applyFont="1" applyBorder="1" applyAlignment="1">
      <alignment horizontal="right"/>
    </xf>
    <xf numFmtId="2" fontId="594" fillId="0" borderId="597" xfId="0" applyNumberFormat="1" applyFont="1" applyBorder="1" applyAlignment="1">
      <alignment horizontal="right"/>
    </xf>
    <xf numFmtId="2" fontId="596" fillId="0" borderId="599" xfId="0" applyNumberFormat="1" applyFont="1" applyBorder="1" applyAlignment="1">
      <alignment horizontal="right"/>
    </xf>
    <xf numFmtId="2" fontId="598" fillId="0" borderId="601" xfId="0" applyNumberFormat="1" applyFont="1" applyBorder="1" applyAlignment="1">
      <alignment horizontal="right"/>
    </xf>
    <xf numFmtId="2" fontId="600" fillId="0" borderId="603" xfId="0" applyNumberFormat="1" applyFont="1" applyBorder="1" applyAlignment="1">
      <alignment horizontal="right"/>
    </xf>
    <xf numFmtId="2" fontId="602" fillId="0" borderId="605" xfId="0" applyNumberFormat="1" applyFont="1" applyBorder="1" applyAlignment="1">
      <alignment horizontal="right"/>
    </xf>
    <xf numFmtId="2" fontId="604" fillId="0" borderId="607" xfId="0" applyNumberFormat="1" applyFont="1" applyBorder="1" applyAlignment="1">
      <alignment horizontal="right"/>
    </xf>
    <xf numFmtId="2" fontId="606" fillId="0" borderId="609" xfId="0" applyNumberFormat="1" applyFont="1" applyBorder="1" applyAlignment="1">
      <alignment horizontal="right"/>
    </xf>
    <xf numFmtId="2" fontId="608" fillId="0" borderId="611" xfId="0" applyNumberFormat="1" applyFont="1" applyBorder="1" applyAlignment="1">
      <alignment horizontal="right"/>
    </xf>
    <xf numFmtId="2" fontId="610" fillId="0" borderId="613" xfId="0" applyNumberFormat="1" applyFont="1" applyBorder="1" applyAlignment="1">
      <alignment horizontal="right"/>
    </xf>
    <xf numFmtId="2" fontId="612" fillId="0" borderId="615" xfId="0" applyNumberFormat="1" applyFont="1" applyBorder="1"/>
    <xf numFmtId="2" fontId="614" fillId="0" borderId="617" xfId="0" applyNumberFormat="1" applyFont="1" applyBorder="1"/>
    <xf numFmtId="2" fontId="616" fillId="0" borderId="619" xfId="0" applyNumberFormat="1" applyFont="1" applyBorder="1"/>
    <xf numFmtId="2" fontId="618" fillId="0" borderId="621" xfId="0" applyNumberFormat="1" applyFont="1" applyBorder="1" applyAlignment="1">
      <alignment horizontal="right"/>
    </xf>
    <xf numFmtId="2" fontId="620" fillId="0" borderId="623" xfId="0" applyNumberFormat="1" applyFont="1" applyBorder="1"/>
    <xf numFmtId="2" fontId="622" fillId="0" borderId="625" xfId="0" applyNumberFormat="1" applyFont="1" applyBorder="1" applyAlignment="1">
      <alignment horizontal="right"/>
    </xf>
    <xf numFmtId="2" fontId="624" fillId="0" borderId="627" xfId="0" applyNumberFormat="1" applyFont="1" applyBorder="1" applyAlignment="1">
      <alignment horizontal="right"/>
    </xf>
    <xf numFmtId="2" fontId="626" fillId="0" borderId="629" xfId="0" applyNumberFormat="1" applyFont="1" applyBorder="1" applyAlignment="1">
      <alignment horizontal="right"/>
    </xf>
    <xf numFmtId="2" fontId="628" fillId="0" borderId="631" xfId="0" applyNumberFormat="1" applyFont="1" applyBorder="1" applyAlignment="1">
      <alignment horizontal="right"/>
    </xf>
    <xf numFmtId="2" fontId="630" fillId="0" borderId="633" xfId="0" applyNumberFormat="1" applyFont="1" applyBorder="1" applyAlignment="1">
      <alignment horizontal="right"/>
    </xf>
    <xf numFmtId="2" fontId="632" fillId="0" borderId="635" xfId="0" applyNumberFormat="1" applyFont="1" applyBorder="1" applyAlignment="1">
      <alignment horizontal="right"/>
    </xf>
    <xf numFmtId="2" fontId="634" fillId="0" borderId="637" xfId="0" applyNumberFormat="1" applyFont="1" applyBorder="1" applyAlignment="1">
      <alignment horizontal="right"/>
    </xf>
    <xf numFmtId="2" fontId="636" fillId="0" borderId="639" xfId="0" applyNumberFormat="1" applyFont="1" applyBorder="1" applyAlignment="1">
      <alignment horizontal="right"/>
    </xf>
    <xf numFmtId="2" fontId="638" fillId="0" borderId="641" xfId="0" applyNumberFormat="1" applyFont="1" applyBorder="1" applyAlignment="1">
      <alignment horizontal="right"/>
    </xf>
    <xf numFmtId="2" fontId="640" fillId="0" borderId="643" xfId="0" applyNumberFormat="1" applyFont="1" applyBorder="1" applyAlignment="1">
      <alignment horizontal="right"/>
    </xf>
    <xf numFmtId="2" fontId="642" fillId="0" borderId="645" xfId="0" applyNumberFormat="1" applyFont="1" applyBorder="1" applyAlignment="1">
      <alignment horizontal="right"/>
    </xf>
    <xf numFmtId="2" fontId="644" fillId="0" borderId="647" xfId="0" applyNumberFormat="1" applyFont="1" applyBorder="1" applyAlignment="1">
      <alignment horizontal="right"/>
    </xf>
    <xf numFmtId="2" fontId="646" fillId="0" borderId="649" xfId="0" applyNumberFormat="1" applyFont="1" applyBorder="1" applyAlignment="1">
      <alignment horizontal="right"/>
    </xf>
    <xf numFmtId="2" fontId="648" fillId="0" borderId="651" xfId="0" applyNumberFormat="1" applyFont="1" applyBorder="1" applyAlignment="1">
      <alignment horizontal="right"/>
    </xf>
    <xf numFmtId="2" fontId="650" fillId="0" borderId="653" xfId="0" applyNumberFormat="1" applyFont="1" applyBorder="1" applyAlignment="1">
      <alignment horizontal="right"/>
    </xf>
    <xf numFmtId="2" fontId="652" fillId="0" borderId="655" xfId="0" applyNumberFormat="1" applyFont="1" applyBorder="1" applyAlignment="1">
      <alignment horizontal="right"/>
    </xf>
    <xf numFmtId="2" fontId="654" fillId="0" borderId="657" xfId="0" applyNumberFormat="1" applyFont="1" applyBorder="1" applyAlignment="1">
      <alignment horizontal="right"/>
    </xf>
    <xf numFmtId="2" fontId="656" fillId="0" borderId="659" xfId="0" applyNumberFormat="1" applyFont="1" applyBorder="1"/>
    <xf numFmtId="2" fontId="658" fillId="0" borderId="661" xfId="0" applyNumberFormat="1" applyFont="1" applyBorder="1"/>
    <xf numFmtId="2" fontId="660" fillId="0" borderId="663" xfId="0" applyNumberFormat="1" applyFont="1" applyBorder="1"/>
    <xf numFmtId="2" fontId="662" fillId="0" borderId="665" xfId="0" applyNumberFormat="1" applyFont="1" applyBorder="1" applyAlignment="1">
      <alignment horizontal="right"/>
    </xf>
    <xf numFmtId="2" fontId="664" fillId="0" borderId="667" xfId="0" applyNumberFormat="1" applyFont="1" applyBorder="1"/>
    <xf numFmtId="2" fontId="666" fillId="0" borderId="669" xfId="0" applyNumberFormat="1" applyFont="1" applyBorder="1" applyAlignment="1">
      <alignment horizontal="right"/>
    </xf>
    <xf numFmtId="2" fontId="668" fillId="0" borderId="671" xfId="0" applyNumberFormat="1" applyFont="1" applyBorder="1" applyAlignment="1">
      <alignment horizontal="right"/>
    </xf>
    <xf numFmtId="2" fontId="670" fillId="0" borderId="673" xfId="0" applyNumberFormat="1" applyFont="1" applyBorder="1" applyAlignment="1">
      <alignment horizontal="right"/>
    </xf>
    <xf numFmtId="2" fontId="672" fillId="0" borderId="675" xfId="0" applyNumberFormat="1" applyFont="1" applyBorder="1" applyAlignment="1">
      <alignment horizontal="right"/>
    </xf>
    <xf numFmtId="2" fontId="674" fillId="0" borderId="677" xfId="0" applyNumberFormat="1" applyFont="1" applyBorder="1" applyAlignment="1">
      <alignment horizontal="right"/>
    </xf>
    <xf numFmtId="2" fontId="676" fillId="0" borderId="679" xfId="0" applyNumberFormat="1" applyFont="1" applyBorder="1" applyAlignment="1">
      <alignment horizontal="right"/>
    </xf>
    <xf numFmtId="2" fontId="678" fillId="0" borderId="681" xfId="0" applyNumberFormat="1" applyFont="1" applyBorder="1" applyAlignment="1">
      <alignment horizontal="right"/>
    </xf>
    <xf numFmtId="2" fontId="680" fillId="0" borderId="683" xfId="0" applyNumberFormat="1" applyFont="1" applyBorder="1" applyAlignment="1">
      <alignment horizontal="right"/>
    </xf>
    <xf numFmtId="2" fontId="682" fillId="0" borderId="685" xfId="0" applyNumberFormat="1" applyFont="1" applyBorder="1" applyAlignment="1">
      <alignment horizontal="right"/>
    </xf>
    <xf numFmtId="2" fontId="684" fillId="0" borderId="687" xfId="0" applyNumberFormat="1" applyFont="1" applyBorder="1" applyAlignment="1">
      <alignment horizontal="right"/>
    </xf>
    <xf numFmtId="2" fontId="686" fillId="0" borderId="689" xfId="0" applyNumberFormat="1" applyFont="1" applyBorder="1" applyAlignment="1">
      <alignment horizontal="right"/>
    </xf>
    <xf numFmtId="2" fontId="688" fillId="0" borderId="691" xfId="0" applyNumberFormat="1" applyFont="1" applyBorder="1" applyAlignment="1">
      <alignment horizontal="right"/>
    </xf>
    <xf numFmtId="2" fontId="690" fillId="0" borderId="693" xfId="0" applyNumberFormat="1" applyFont="1" applyBorder="1" applyAlignment="1">
      <alignment horizontal="right"/>
    </xf>
    <xf numFmtId="2" fontId="692" fillId="0" borderId="695" xfId="0" applyNumberFormat="1" applyFont="1" applyBorder="1" applyAlignment="1">
      <alignment horizontal="right"/>
    </xf>
    <xf numFmtId="2" fontId="694" fillId="0" borderId="697" xfId="0" applyNumberFormat="1" applyFont="1" applyBorder="1" applyAlignment="1">
      <alignment horizontal="right"/>
    </xf>
    <xf numFmtId="2" fontId="696" fillId="0" borderId="699" xfId="0" applyNumberFormat="1" applyFont="1" applyBorder="1" applyAlignment="1">
      <alignment horizontal="right"/>
    </xf>
    <xf numFmtId="2" fontId="698" fillId="0" borderId="701" xfId="0" applyNumberFormat="1" applyFont="1" applyBorder="1" applyAlignment="1">
      <alignment horizontal="right"/>
    </xf>
    <xf numFmtId="2" fontId="700" fillId="0" borderId="703" xfId="0" applyNumberFormat="1" applyFont="1" applyBorder="1"/>
    <xf numFmtId="2" fontId="702" fillId="0" borderId="705" xfId="0" applyNumberFormat="1" applyFont="1" applyBorder="1"/>
    <xf numFmtId="2" fontId="704" fillId="0" borderId="707" xfId="0" applyNumberFormat="1" applyFont="1" applyBorder="1"/>
    <xf numFmtId="2" fontId="706" fillId="0" borderId="709" xfId="0" applyNumberFormat="1" applyFont="1" applyBorder="1" applyAlignment="1">
      <alignment horizontal="right"/>
    </xf>
    <xf numFmtId="2" fontId="708" fillId="0" borderId="711" xfId="0" applyNumberFormat="1" applyFont="1" applyBorder="1"/>
    <xf numFmtId="2" fontId="710" fillId="0" borderId="713" xfId="0" applyNumberFormat="1" applyFont="1" applyBorder="1" applyAlignment="1">
      <alignment horizontal="right"/>
    </xf>
    <xf numFmtId="2" fontId="712" fillId="0" borderId="715" xfId="0" applyNumberFormat="1" applyFont="1" applyBorder="1" applyAlignment="1">
      <alignment horizontal="right"/>
    </xf>
    <xf numFmtId="2" fontId="714" fillId="0" borderId="717" xfId="0" applyNumberFormat="1" applyFont="1" applyBorder="1" applyAlignment="1">
      <alignment horizontal="right"/>
    </xf>
    <xf numFmtId="2" fontId="716" fillId="0" borderId="719" xfId="0" applyNumberFormat="1" applyFont="1" applyBorder="1" applyAlignment="1">
      <alignment horizontal="right"/>
    </xf>
    <xf numFmtId="2" fontId="718" fillId="0" borderId="721" xfId="0" applyNumberFormat="1" applyFont="1" applyBorder="1" applyAlignment="1">
      <alignment horizontal="right"/>
    </xf>
    <xf numFmtId="2" fontId="720" fillId="0" borderId="723" xfId="0" applyNumberFormat="1" applyFont="1" applyBorder="1" applyAlignment="1">
      <alignment horizontal="right"/>
    </xf>
    <xf numFmtId="2" fontId="722" fillId="0" borderId="725" xfId="0" applyNumberFormat="1" applyFont="1" applyBorder="1" applyAlignment="1">
      <alignment horizontal="right"/>
    </xf>
    <xf numFmtId="2" fontId="724" fillId="0" borderId="727" xfId="0" applyNumberFormat="1" applyFont="1" applyBorder="1" applyAlignment="1">
      <alignment horizontal="right"/>
    </xf>
    <xf numFmtId="2" fontId="726" fillId="0" borderId="729" xfId="0" applyNumberFormat="1" applyFont="1" applyBorder="1" applyAlignment="1">
      <alignment horizontal="right"/>
    </xf>
    <xf numFmtId="2" fontId="728" fillId="0" borderId="731" xfId="0" applyNumberFormat="1" applyFont="1" applyBorder="1" applyAlignment="1">
      <alignment horizontal="right"/>
    </xf>
    <xf numFmtId="2" fontId="730" fillId="0" borderId="733" xfId="0" applyNumberFormat="1" applyFont="1" applyBorder="1" applyAlignment="1">
      <alignment horizontal="right"/>
    </xf>
    <xf numFmtId="2" fontId="2" fillId="0" borderId="367" xfId="0" applyNumberFormat="1" applyFont="1" applyBorder="1"/>
    <xf numFmtId="2" fontId="3" fillId="0" borderId="3" xfId="0" applyNumberFormat="1" applyFont="1" applyBorder="1"/>
    <xf numFmtId="0" fontId="731" fillId="0" borderId="734" xfId="0" applyFont="1" applyBorder="1"/>
    <xf numFmtId="0" fontId="732" fillId="0" borderId="735" xfId="0" applyFont="1" applyBorder="1" applyAlignment="1">
      <alignment horizontal="right"/>
    </xf>
    <xf numFmtId="0" fontId="733" fillId="0" borderId="736" xfId="0" applyFont="1" applyBorder="1" applyAlignment="1">
      <alignment horizontal="left"/>
    </xf>
    <xf numFmtId="0" fontId="734" fillId="0" borderId="737" xfId="0" applyFont="1" applyBorder="1" applyAlignment="1">
      <alignment horizontal="left"/>
    </xf>
    <xf numFmtId="0" fontId="735" fillId="0" borderId="738" xfId="0" applyFont="1" applyBorder="1" applyAlignment="1">
      <alignment horizontal="left"/>
    </xf>
    <xf numFmtId="169" fontId="736" fillId="0" borderId="739" xfId="0" applyNumberFormat="1" applyFont="1" applyBorder="1" applyAlignment="1">
      <alignment horizontal="right"/>
    </xf>
    <xf numFmtId="0" fontId="737" fillId="0" borderId="740" xfId="0" applyFont="1" applyBorder="1" applyAlignment="1">
      <alignment horizontal="left"/>
    </xf>
    <xf numFmtId="169" fontId="738" fillId="0" borderId="741" xfId="0" applyNumberFormat="1" applyFont="1" applyBorder="1" applyAlignment="1">
      <alignment horizontal="right"/>
    </xf>
    <xf numFmtId="0" fontId="739" fillId="0" borderId="742" xfId="0" applyFont="1" applyBorder="1" applyAlignment="1">
      <alignment horizontal="left"/>
    </xf>
    <xf numFmtId="169" fontId="740" fillId="0" borderId="743" xfId="0" applyNumberFormat="1" applyFont="1" applyBorder="1" applyAlignment="1">
      <alignment horizontal="right"/>
    </xf>
    <xf numFmtId="0" fontId="741" fillId="0" borderId="744" xfId="0" applyFont="1" applyBorder="1" applyAlignment="1">
      <alignment horizontal="left"/>
    </xf>
    <xf numFmtId="169" fontId="742" fillId="0" borderId="745" xfId="0" applyNumberFormat="1" applyFont="1" applyBorder="1" applyAlignment="1">
      <alignment horizontal="right"/>
    </xf>
    <xf numFmtId="0" fontId="743" fillId="0" borderId="746" xfId="0" applyFont="1" applyBorder="1" applyAlignment="1">
      <alignment horizontal="left"/>
    </xf>
    <xf numFmtId="169" fontId="744" fillId="0" borderId="747" xfId="0" applyNumberFormat="1" applyFont="1" applyBorder="1" applyAlignment="1">
      <alignment horizontal="right"/>
    </xf>
    <xf numFmtId="0" fontId="745" fillId="0" borderId="748" xfId="0" applyFont="1" applyBorder="1" applyAlignment="1">
      <alignment horizontal="left"/>
    </xf>
    <xf numFmtId="169" fontId="746" fillId="0" borderId="749" xfId="0" applyNumberFormat="1" applyFont="1" applyBorder="1" applyAlignment="1">
      <alignment horizontal="right"/>
    </xf>
    <xf numFmtId="0" fontId="747" fillId="0" borderId="750" xfId="0" applyFont="1" applyBorder="1" applyAlignment="1">
      <alignment horizontal="left"/>
    </xf>
    <xf numFmtId="169" fontId="748" fillId="0" borderId="751" xfId="0" applyNumberFormat="1" applyFont="1" applyBorder="1" applyAlignment="1">
      <alignment horizontal="right"/>
    </xf>
    <xf numFmtId="0" fontId="749" fillId="0" borderId="752" xfId="0" applyFont="1" applyBorder="1" applyAlignment="1">
      <alignment horizontal="left"/>
    </xf>
    <xf numFmtId="169" fontId="750" fillId="0" borderId="753" xfId="0" applyNumberFormat="1" applyFont="1" applyBorder="1" applyAlignment="1">
      <alignment horizontal="right"/>
    </xf>
    <xf numFmtId="0" fontId="751" fillId="0" borderId="754" xfId="0" applyFont="1" applyBorder="1" applyAlignment="1">
      <alignment horizontal="left"/>
    </xf>
    <xf numFmtId="169" fontId="752" fillId="0" borderId="755" xfId="0" applyNumberFormat="1" applyFont="1" applyBorder="1" applyAlignment="1">
      <alignment horizontal="right"/>
    </xf>
    <xf numFmtId="0" fontId="753" fillId="0" borderId="756" xfId="0" applyFont="1" applyBorder="1" applyAlignment="1">
      <alignment horizontal="left"/>
    </xf>
    <xf numFmtId="169" fontId="754" fillId="0" borderId="757" xfId="0" applyNumberFormat="1" applyFont="1" applyBorder="1" applyAlignment="1">
      <alignment horizontal="right"/>
    </xf>
    <xf numFmtId="0" fontId="755" fillId="0" borderId="758" xfId="0" applyFont="1" applyBorder="1" applyAlignment="1">
      <alignment horizontal="left"/>
    </xf>
    <xf numFmtId="169" fontId="756" fillId="0" borderId="759" xfId="0" applyNumberFormat="1" applyFont="1" applyBorder="1" applyAlignment="1">
      <alignment horizontal="right"/>
    </xf>
    <xf numFmtId="0" fontId="757" fillId="0" borderId="760" xfId="0" applyFont="1" applyBorder="1" applyAlignment="1">
      <alignment horizontal="left"/>
    </xf>
    <xf numFmtId="169" fontId="758" fillId="0" borderId="761" xfId="0" applyNumberFormat="1" applyFont="1" applyBorder="1" applyAlignment="1">
      <alignment horizontal="right"/>
    </xf>
    <xf numFmtId="0" fontId="759" fillId="0" borderId="762" xfId="0" applyFont="1" applyBorder="1" applyAlignment="1">
      <alignment horizontal="left"/>
    </xf>
    <xf numFmtId="169" fontId="760" fillId="0" borderId="763" xfId="0" applyNumberFormat="1" applyFont="1" applyBorder="1" applyAlignment="1">
      <alignment horizontal="right"/>
    </xf>
    <xf numFmtId="0" fontId="761" fillId="0" borderId="764" xfId="0" applyFont="1" applyBorder="1" applyAlignment="1">
      <alignment horizontal="left"/>
    </xf>
    <xf numFmtId="169" fontId="762" fillId="0" borderId="765" xfId="0" applyNumberFormat="1" applyFont="1" applyBorder="1" applyAlignment="1">
      <alignment horizontal="right"/>
    </xf>
    <xf numFmtId="0" fontId="763" fillId="0" borderId="766" xfId="0" applyFont="1" applyBorder="1" applyAlignment="1">
      <alignment horizontal="left"/>
    </xf>
    <xf numFmtId="169" fontId="764" fillId="0" borderId="767" xfId="0" applyNumberFormat="1" applyFont="1" applyBorder="1" applyAlignment="1">
      <alignment horizontal="right"/>
    </xf>
    <xf numFmtId="0" fontId="765" fillId="0" borderId="768" xfId="0" applyFont="1" applyBorder="1" applyAlignment="1">
      <alignment horizontal="left"/>
    </xf>
    <xf numFmtId="169" fontId="766" fillId="0" borderId="769" xfId="0" applyNumberFormat="1" applyFont="1" applyBorder="1" applyAlignment="1">
      <alignment horizontal="right"/>
    </xf>
    <xf numFmtId="0" fontId="767" fillId="0" borderId="770" xfId="0" applyFont="1" applyBorder="1"/>
    <xf numFmtId="0" fontId="768" fillId="0" borderId="771" xfId="0" applyFont="1" applyBorder="1" applyAlignment="1">
      <alignment horizontal="right"/>
    </xf>
    <xf numFmtId="0" fontId="769" fillId="0" borderId="772" xfId="0" applyFont="1" applyBorder="1" applyAlignment="1">
      <alignment horizontal="left"/>
    </xf>
    <xf numFmtId="0" fontId="770" fillId="0" borderId="773" xfId="0" applyFont="1" applyBorder="1"/>
    <xf numFmtId="0" fontId="771" fillId="0" borderId="774" xfId="0" applyFont="1" applyBorder="1" applyAlignment="1">
      <alignment horizontal="left"/>
    </xf>
    <xf numFmtId="169" fontId="772" fillId="0" borderId="775" xfId="0" applyNumberFormat="1" applyFont="1" applyBorder="1" applyAlignment="1">
      <alignment horizontal="right"/>
    </xf>
    <xf numFmtId="0" fontId="773" fillId="0" borderId="776" xfId="0" applyFont="1" applyBorder="1" applyAlignment="1">
      <alignment horizontal="left"/>
    </xf>
    <xf numFmtId="169" fontId="774" fillId="0" borderId="777" xfId="0" applyNumberFormat="1" applyFont="1" applyBorder="1" applyAlignment="1">
      <alignment horizontal="right"/>
    </xf>
    <xf numFmtId="0" fontId="775" fillId="0" borderId="778" xfId="0" applyFont="1" applyBorder="1" applyAlignment="1">
      <alignment horizontal="left"/>
    </xf>
    <xf numFmtId="169" fontId="776" fillId="0" borderId="779" xfId="0" applyNumberFormat="1" applyFont="1" applyBorder="1" applyAlignment="1">
      <alignment horizontal="right"/>
    </xf>
    <xf numFmtId="0" fontId="777" fillId="0" borderId="780" xfId="0" applyFont="1" applyBorder="1" applyAlignment="1">
      <alignment horizontal="left"/>
    </xf>
    <xf numFmtId="169" fontId="778" fillId="0" borderId="781" xfId="0" applyNumberFormat="1" applyFont="1" applyBorder="1" applyAlignment="1">
      <alignment horizontal="right"/>
    </xf>
    <xf numFmtId="0" fontId="779" fillId="0" borderId="782" xfId="0" applyFont="1" applyBorder="1" applyAlignment="1">
      <alignment horizontal="left"/>
    </xf>
    <xf numFmtId="169" fontId="780" fillId="0" borderId="783" xfId="0" applyNumberFormat="1" applyFont="1" applyBorder="1" applyAlignment="1">
      <alignment horizontal="right"/>
    </xf>
    <xf numFmtId="0" fontId="781" fillId="0" borderId="784" xfId="0" applyFont="1" applyBorder="1" applyAlignment="1">
      <alignment horizontal="left"/>
    </xf>
    <xf numFmtId="169" fontId="782" fillId="0" borderId="785" xfId="0" applyNumberFormat="1" applyFont="1" applyBorder="1" applyAlignment="1">
      <alignment horizontal="right"/>
    </xf>
    <xf numFmtId="0" fontId="783" fillId="0" borderId="786" xfId="0" applyFont="1" applyBorder="1" applyAlignment="1">
      <alignment horizontal="left"/>
    </xf>
    <xf numFmtId="169" fontId="784" fillId="0" borderId="787" xfId="0" applyNumberFormat="1" applyFont="1" applyBorder="1" applyAlignment="1">
      <alignment horizontal="right"/>
    </xf>
    <xf numFmtId="0" fontId="785" fillId="0" borderId="788" xfId="0" applyFont="1" applyBorder="1" applyAlignment="1">
      <alignment horizontal="left"/>
    </xf>
    <xf numFmtId="169" fontId="786" fillId="0" borderId="789" xfId="0" applyNumberFormat="1" applyFont="1" applyBorder="1" applyAlignment="1">
      <alignment horizontal="right"/>
    </xf>
    <xf numFmtId="0" fontId="787" fillId="0" borderId="790" xfId="0" applyFont="1" applyBorder="1" applyAlignment="1">
      <alignment horizontal="left"/>
    </xf>
    <xf numFmtId="169" fontId="788" fillId="0" borderId="791" xfId="0" applyNumberFormat="1" applyFont="1" applyBorder="1" applyAlignment="1">
      <alignment horizontal="right"/>
    </xf>
    <xf numFmtId="0" fontId="789" fillId="0" borderId="792" xfId="0" applyFont="1" applyBorder="1" applyAlignment="1">
      <alignment horizontal="left"/>
    </xf>
    <xf numFmtId="169" fontId="790" fillId="0" borderId="793" xfId="0" applyNumberFormat="1" applyFont="1" applyBorder="1" applyAlignment="1">
      <alignment horizontal="right"/>
    </xf>
    <xf numFmtId="0" fontId="791" fillId="0" borderId="794" xfId="0" applyFont="1" applyBorder="1" applyAlignment="1">
      <alignment horizontal="left"/>
    </xf>
    <xf numFmtId="169" fontId="792" fillId="0" borderId="795" xfId="0" applyNumberFormat="1" applyFont="1" applyBorder="1" applyAlignment="1">
      <alignment horizontal="right"/>
    </xf>
    <xf numFmtId="0" fontId="793" fillId="0" borderId="796" xfId="0" applyFont="1" applyBorder="1" applyAlignment="1">
      <alignment horizontal="left"/>
    </xf>
    <xf numFmtId="169" fontId="794" fillId="0" borderId="797" xfId="0" applyNumberFormat="1" applyFont="1" applyBorder="1" applyAlignment="1">
      <alignment horizontal="right"/>
    </xf>
    <xf numFmtId="0" fontId="795" fillId="0" borderId="798" xfId="0" applyFont="1" applyBorder="1" applyAlignment="1">
      <alignment horizontal="left"/>
    </xf>
    <xf numFmtId="169" fontId="796" fillId="0" borderId="799" xfId="0" applyNumberFormat="1" applyFont="1" applyBorder="1" applyAlignment="1">
      <alignment horizontal="right"/>
    </xf>
    <xf numFmtId="0" fontId="797" fillId="0" borderId="800" xfId="0" applyFont="1" applyBorder="1" applyAlignment="1">
      <alignment horizontal="left"/>
    </xf>
    <xf numFmtId="169" fontId="798" fillId="0" borderId="801" xfId="0" applyNumberFormat="1" applyFont="1" applyBorder="1" applyAlignment="1">
      <alignment horizontal="right"/>
    </xf>
    <xf numFmtId="0" fontId="799" fillId="0" borderId="802" xfId="0" applyFont="1" applyBorder="1" applyAlignment="1">
      <alignment horizontal="left"/>
    </xf>
    <xf numFmtId="169" fontId="800" fillId="0" borderId="803" xfId="0" applyNumberFormat="1" applyFont="1" applyBorder="1" applyAlignment="1">
      <alignment horizontal="right"/>
    </xf>
    <xf numFmtId="0" fontId="801" fillId="0" borderId="804" xfId="0" applyFont="1" applyBorder="1" applyAlignment="1">
      <alignment horizontal="left"/>
    </xf>
    <xf numFmtId="169" fontId="802" fillId="0" borderId="805" xfId="0" applyNumberFormat="1" applyFont="1" applyBorder="1" applyAlignment="1">
      <alignment horizontal="right"/>
    </xf>
    <xf numFmtId="0" fontId="803" fillId="0" borderId="806" xfId="0" applyFont="1" applyBorder="1"/>
    <xf numFmtId="0" fontId="805" fillId="0" borderId="807" xfId="0" applyFont="1" applyBorder="1" applyAlignment="1">
      <alignment horizontal="right"/>
    </xf>
    <xf numFmtId="0" fontId="806" fillId="0" borderId="808" xfId="0" applyFont="1" applyBorder="1"/>
    <xf numFmtId="2" fontId="807" fillId="0" borderId="809" xfId="0" applyNumberFormat="1" applyFont="1" applyBorder="1" applyAlignment="1">
      <alignment horizontal="center"/>
    </xf>
    <xf numFmtId="0" fontId="808" fillId="0" borderId="810" xfId="0" applyFont="1" applyBorder="1"/>
    <xf numFmtId="2" fontId="809" fillId="0" borderId="811" xfId="0" applyNumberFormat="1" applyFont="1" applyBorder="1" applyAlignment="1">
      <alignment horizontal="center"/>
    </xf>
    <xf numFmtId="0" fontId="810" fillId="0" borderId="812" xfId="0" applyFont="1" applyBorder="1"/>
    <xf numFmtId="2" fontId="811" fillId="0" borderId="813" xfId="0" applyNumberFormat="1" applyFont="1" applyBorder="1" applyAlignment="1">
      <alignment horizontal="right"/>
    </xf>
    <xf numFmtId="2" fontId="812" fillId="0" borderId="814" xfId="0" applyNumberFormat="1" applyFont="1" applyBorder="1" applyAlignment="1">
      <alignment horizontal="right"/>
    </xf>
    <xf numFmtId="2" fontId="813" fillId="0" borderId="815" xfId="0" applyNumberFormat="1" applyFont="1" applyBorder="1" applyAlignment="1">
      <alignment horizontal="right"/>
    </xf>
    <xf numFmtId="0" fontId="814" fillId="0" borderId="816" xfId="0" applyFont="1" applyBorder="1" applyAlignment="1">
      <alignment horizontal="left"/>
    </xf>
    <xf numFmtId="2" fontId="815" fillId="0" borderId="817" xfId="0" applyNumberFormat="1" applyFont="1" applyBorder="1" applyAlignment="1">
      <alignment horizontal="left"/>
    </xf>
    <xf numFmtId="2" fontId="816" fillId="0" borderId="818" xfId="0" applyNumberFormat="1" applyFont="1" applyBorder="1" applyAlignment="1">
      <alignment horizontal="left"/>
    </xf>
    <xf numFmtId="2" fontId="817" fillId="0" borderId="819" xfId="0" applyNumberFormat="1" applyFont="1" applyBorder="1" applyAlignment="1">
      <alignment horizontal="left"/>
    </xf>
    <xf numFmtId="0" fontId="818" fillId="0" borderId="820" xfId="0" applyFont="1" applyBorder="1"/>
    <xf numFmtId="0" fontId="819" fillId="0" borderId="821" xfId="0" applyFont="1" applyBorder="1" applyAlignment="1">
      <alignment horizontal="left"/>
    </xf>
    <xf numFmtId="169" fontId="820" fillId="0" borderId="822" xfId="0" applyNumberFormat="1" applyFont="1" applyBorder="1" applyAlignment="1">
      <alignment horizontal="right"/>
    </xf>
    <xf numFmtId="169" fontId="821" fillId="0" borderId="823" xfId="0" applyNumberFormat="1" applyFont="1" applyBorder="1" applyAlignment="1">
      <alignment horizontal="right"/>
    </xf>
    <xf numFmtId="169" fontId="822" fillId="0" borderId="824" xfId="0" applyNumberFormat="1" applyFont="1" applyBorder="1" applyAlignment="1">
      <alignment horizontal="right"/>
    </xf>
    <xf numFmtId="169" fontId="823" fillId="0" borderId="825" xfId="0" applyNumberFormat="1" applyFont="1" applyBorder="1" applyAlignment="1">
      <alignment horizontal="right"/>
    </xf>
    <xf numFmtId="0" fontId="824" fillId="0" borderId="826" xfId="0" applyFont="1" applyBorder="1" applyAlignment="1">
      <alignment horizontal="left"/>
    </xf>
    <xf numFmtId="169" fontId="825" fillId="0" borderId="827" xfId="0" applyNumberFormat="1" applyFont="1" applyBorder="1" applyAlignment="1">
      <alignment horizontal="right"/>
    </xf>
    <xf numFmtId="169" fontId="826" fillId="0" borderId="828" xfId="0" applyNumberFormat="1" applyFont="1" applyBorder="1" applyAlignment="1">
      <alignment horizontal="right"/>
    </xf>
    <xf numFmtId="169" fontId="827" fillId="0" borderId="829" xfId="0" applyNumberFormat="1" applyFont="1" applyBorder="1" applyAlignment="1">
      <alignment horizontal="right"/>
    </xf>
    <xf numFmtId="169" fontId="828" fillId="0" borderId="830" xfId="0" applyNumberFormat="1" applyFont="1" applyBorder="1" applyAlignment="1">
      <alignment horizontal="right"/>
    </xf>
    <xf numFmtId="0" fontId="829" fillId="0" borderId="831" xfId="0" applyFont="1" applyBorder="1" applyAlignment="1">
      <alignment horizontal="left"/>
    </xf>
    <xf numFmtId="169" fontId="830" fillId="0" borderId="832" xfId="0" applyNumberFormat="1" applyFont="1" applyBorder="1" applyAlignment="1">
      <alignment horizontal="right"/>
    </xf>
    <xf numFmtId="169" fontId="831" fillId="0" borderId="833" xfId="0" applyNumberFormat="1" applyFont="1" applyBorder="1" applyAlignment="1">
      <alignment horizontal="right"/>
    </xf>
    <xf numFmtId="169" fontId="832" fillId="0" borderId="834" xfId="0" applyNumberFormat="1" applyFont="1" applyBorder="1" applyAlignment="1">
      <alignment horizontal="right"/>
    </xf>
    <xf numFmtId="169" fontId="833" fillId="0" borderId="835" xfId="0" applyNumberFormat="1" applyFont="1" applyBorder="1" applyAlignment="1">
      <alignment horizontal="right"/>
    </xf>
    <xf numFmtId="0" fontId="834" fillId="0" borderId="836" xfId="0" applyFont="1" applyBorder="1" applyAlignment="1">
      <alignment horizontal="left"/>
    </xf>
    <xf numFmtId="169" fontId="835" fillId="0" borderId="837" xfId="0" applyNumberFormat="1" applyFont="1" applyBorder="1" applyAlignment="1">
      <alignment horizontal="right"/>
    </xf>
    <xf numFmtId="169" fontId="836" fillId="0" borderId="838" xfId="0" applyNumberFormat="1" applyFont="1" applyBorder="1" applyAlignment="1">
      <alignment horizontal="right"/>
    </xf>
    <xf numFmtId="169" fontId="837" fillId="0" borderId="839" xfId="0" applyNumberFormat="1" applyFont="1" applyBorder="1" applyAlignment="1">
      <alignment horizontal="right"/>
    </xf>
    <xf numFmtId="169" fontId="838" fillId="0" borderId="840" xfId="0" applyNumberFormat="1" applyFont="1" applyBorder="1" applyAlignment="1">
      <alignment horizontal="right"/>
    </xf>
    <xf numFmtId="0" fontId="839" fillId="0" borderId="841" xfId="0" applyFont="1" applyBorder="1" applyAlignment="1">
      <alignment horizontal="left"/>
    </xf>
    <xf numFmtId="169" fontId="840" fillId="0" borderId="842" xfId="0" applyNumberFormat="1" applyFont="1" applyBorder="1" applyAlignment="1">
      <alignment horizontal="right"/>
    </xf>
    <xf numFmtId="169" fontId="841" fillId="0" borderId="843" xfId="0" applyNumberFormat="1" applyFont="1" applyBorder="1" applyAlignment="1">
      <alignment horizontal="right"/>
    </xf>
    <xf numFmtId="169" fontId="842" fillId="0" borderId="844" xfId="0" applyNumberFormat="1" applyFont="1" applyBorder="1" applyAlignment="1">
      <alignment horizontal="right"/>
    </xf>
    <xf numFmtId="169" fontId="843" fillId="0" borderId="845" xfId="0" applyNumberFormat="1" applyFont="1" applyBorder="1" applyAlignment="1">
      <alignment horizontal="right"/>
    </xf>
    <xf numFmtId="0" fontId="844" fillId="0" borderId="846" xfId="0" applyFont="1" applyBorder="1" applyAlignment="1">
      <alignment horizontal="left"/>
    </xf>
    <xf numFmtId="169" fontId="845" fillId="0" borderId="847" xfId="0" applyNumberFormat="1" applyFont="1" applyBorder="1" applyAlignment="1">
      <alignment horizontal="right"/>
    </xf>
    <xf numFmtId="169" fontId="846" fillId="0" borderId="848" xfId="0" applyNumberFormat="1" applyFont="1" applyBorder="1" applyAlignment="1">
      <alignment horizontal="right"/>
    </xf>
    <xf numFmtId="169" fontId="847" fillId="0" borderId="849" xfId="0" applyNumberFormat="1" applyFont="1" applyBorder="1" applyAlignment="1">
      <alignment horizontal="right"/>
    </xf>
    <xf numFmtId="169" fontId="848" fillId="0" borderId="850" xfId="0" applyNumberFormat="1" applyFont="1" applyBorder="1" applyAlignment="1">
      <alignment horizontal="right"/>
    </xf>
    <xf numFmtId="0" fontId="849" fillId="0" borderId="851" xfId="0" applyFont="1" applyBorder="1" applyAlignment="1">
      <alignment horizontal="left"/>
    </xf>
    <xf numFmtId="169" fontId="850" fillId="0" borderId="852" xfId="0" applyNumberFormat="1" applyFont="1" applyBorder="1" applyAlignment="1">
      <alignment horizontal="right"/>
    </xf>
    <xf numFmtId="169" fontId="851" fillId="0" borderId="853" xfId="0" applyNumberFormat="1" applyFont="1" applyBorder="1" applyAlignment="1">
      <alignment horizontal="right"/>
    </xf>
    <xf numFmtId="169" fontId="852" fillId="0" borderId="854" xfId="0" applyNumberFormat="1" applyFont="1" applyBorder="1" applyAlignment="1">
      <alignment horizontal="right"/>
    </xf>
    <xf numFmtId="169" fontId="853" fillId="0" borderId="855" xfId="0" applyNumberFormat="1" applyFont="1" applyBorder="1" applyAlignment="1">
      <alignment horizontal="right"/>
    </xf>
    <xf numFmtId="0" fontId="854" fillId="0" borderId="856" xfId="0" applyFont="1" applyBorder="1" applyAlignment="1">
      <alignment horizontal="left"/>
    </xf>
    <xf numFmtId="169" fontId="855" fillId="0" borderId="857" xfId="0" applyNumberFormat="1" applyFont="1" applyBorder="1" applyAlignment="1">
      <alignment horizontal="right"/>
    </xf>
    <xf numFmtId="169" fontId="856" fillId="0" borderId="858" xfId="0" applyNumberFormat="1" applyFont="1" applyBorder="1" applyAlignment="1">
      <alignment horizontal="right"/>
    </xf>
    <xf numFmtId="169" fontId="857" fillId="0" borderId="859" xfId="0" applyNumberFormat="1" applyFont="1" applyBorder="1" applyAlignment="1">
      <alignment horizontal="right"/>
    </xf>
    <xf numFmtId="169" fontId="858" fillId="0" borderId="860" xfId="0" applyNumberFormat="1" applyFont="1" applyBorder="1" applyAlignment="1">
      <alignment horizontal="right"/>
    </xf>
    <xf numFmtId="0" fontId="859" fillId="0" borderId="861" xfId="0" applyFont="1" applyBorder="1" applyAlignment="1">
      <alignment horizontal="left"/>
    </xf>
    <xf numFmtId="169" fontId="860" fillId="0" borderId="862" xfId="0" applyNumberFormat="1" applyFont="1" applyBorder="1" applyAlignment="1">
      <alignment horizontal="right"/>
    </xf>
    <xf numFmtId="169" fontId="861" fillId="0" borderId="863" xfId="0" applyNumberFormat="1" applyFont="1" applyBorder="1" applyAlignment="1">
      <alignment horizontal="right"/>
    </xf>
    <xf numFmtId="169" fontId="862" fillId="0" borderId="864" xfId="0" applyNumberFormat="1" applyFont="1" applyBorder="1" applyAlignment="1">
      <alignment horizontal="right"/>
    </xf>
    <xf numFmtId="169" fontId="863" fillId="0" borderId="865" xfId="0" applyNumberFormat="1" applyFont="1" applyBorder="1" applyAlignment="1">
      <alignment horizontal="right"/>
    </xf>
    <xf numFmtId="0" fontId="864" fillId="0" borderId="866" xfId="0" applyFont="1" applyBorder="1" applyAlignment="1">
      <alignment horizontal="left"/>
    </xf>
    <xf numFmtId="169" fontId="865" fillId="0" borderId="867" xfId="0" applyNumberFormat="1" applyFont="1" applyBorder="1" applyAlignment="1">
      <alignment horizontal="right"/>
    </xf>
    <xf numFmtId="169" fontId="866" fillId="0" borderId="868" xfId="0" applyNumberFormat="1" applyFont="1" applyBorder="1" applyAlignment="1">
      <alignment horizontal="right"/>
    </xf>
    <xf numFmtId="169" fontId="867" fillId="0" borderId="869" xfId="0" applyNumberFormat="1" applyFont="1" applyBorder="1" applyAlignment="1">
      <alignment horizontal="right"/>
    </xf>
    <xf numFmtId="169" fontId="868" fillId="0" borderId="870" xfId="0" applyNumberFormat="1" applyFont="1" applyBorder="1" applyAlignment="1">
      <alignment horizontal="right"/>
    </xf>
    <xf numFmtId="0" fontId="869" fillId="0" borderId="871" xfId="0" applyFont="1" applyBorder="1" applyAlignment="1">
      <alignment horizontal="left"/>
    </xf>
    <xf numFmtId="169" fontId="870" fillId="0" borderId="872" xfId="0" applyNumberFormat="1" applyFont="1" applyBorder="1" applyAlignment="1">
      <alignment horizontal="right"/>
    </xf>
    <xf numFmtId="169" fontId="871" fillId="0" borderId="873" xfId="0" applyNumberFormat="1" applyFont="1" applyBorder="1" applyAlignment="1">
      <alignment horizontal="right"/>
    </xf>
    <xf numFmtId="169" fontId="872" fillId="0" borderId="874" xfId="0" applyNumberFormat="1" applyFont="1" applyBorder="1" applyAlignment="1">
      <alignment horizontal="right"/>
    </xf>
    <xf numFmtId="169" fontId="873" fillId="0" borderId="875" xfId="0" applyNumberFormat="1" applyFont="1" applyBorder="1" applyAlignment="1">
      <alignment horizontal="right"/>
    </xf>
    <xf numFmtId="0" fontId="874" fillId="0" borderId="876" xfId="0" applyFont="1" applyBorder="1" applyAlignment="1">
      <alignment horizontal="left"/>
    </xf>
    <xf numFmtId="169" fontId="875" fillId="0" borderId="877" xfId="0" applyNumberFormat="1" applyFont="1" applyBorder="1" applyAlignment="1">
      <alignment horizontal="right"/>
    </xf>
    <xf numFmtId="169" fontId="876" fillId="0" borderId="878" xfId="0" applyNumberFormat="1" applyFont="1" applyBorder="1" applyAlignment="1">
      <alignment horizontal="right"/>
    </xf>
    <xf numFmtId="169" fontId="877" fillId="0" borderId="879" xfId="0" applyNumberFormat="1" applyFont="1" applyBorder="1" applyAlignment="1">
      <alignment horizontal="right"/>
    </xf>
    <xf numFmtId="169" fontId="878" fillId="0" borderId="880" xfId="0" applyNumberFormat="1" applyFont="1" applyBorder="1" applyAlignment="1">
      <alignment horizontal="right"/>
    </xf>
    <xf numFmtId="0" fontId="879" fillId="0" borderId="881" xfId="0" applyFont="1" applyBorder="1" applyAlignment="1">
      <alignment horizontal="left"/>
    </xf>
    <xf numFmtId="169" fontId="880" fillId="0" borderId="882" xfId="0" applyNumberFormat="1" applyFont="1" applyBorder="1" applyAlignment="1">
      <alignment horizontal="right"/>
    </xf>
    <xf numFmtId="169" fontId="881" fillId="0" borderId="883" xfId="0" applyNumberFormat="1" applyFont="1" applyBorder="1" applyAlignment="1">
      <alignment horizontal="right"/>
    </xf>
    <xf numFmtId="169" fontId="882" fillId="0" borderId="884" xfId="0" applyNumberFormat="1" applyFont="1" applyBorder="1" applyAlignment="1">
      <alignment horizontal="right"/>
    </xf>
    <xf numFmtId="169" fontId="883" fillId="0" borderId="885" xfId="0" applyNumberFormat="1" applyFont="1" applyBorder="1" applyAlignment="1">
      <alignment horizontal="right"/>
    </xf>
    <xf numFmtId="0" fontId="884" fillId="0" borderId="886" xfId="0" applyFont="1" applyBorder="1" applyAlignment="1">
      <alignment horizontal="left"/>
    </xf>
    <xf numFmtId="169" fontId="885" fillId="0" borderId="887" xfId="0" applyNumberFormat="1" applyFont="1" applyBorder="1" applyAlignment="1">
      <alignment horizontal="right"/>
    </xf>
    <xf numFmtId="169" fontId="886" fillId="0" borderId="888" xfId="0" applyNumberFormat="1" applyFont="1" applyBorder="1" applyAlignment="1">
      <alignment horizontal="right"/>
    </xf>
    <xf numFmtId="169" fontId="887" fillId="0" borderId="889" xfId="0" applyNumberFormat="1" applyFont="1" applyBorder="1" applyAlignment="1">
      <alignment horizontal="right"/>
    </xf>
    <xf numFmtId="169" fontId="888" fillId="0" borderId="890" xfId="0" applyNumberFormat="1" applyFont="1" applyBorder="1" applyAlignment="1">
      <alignment horizontal="right"/>
    </xf>
    <xf numFmtId="0" fontId="889" fillId="0" borderId="891" xfId="0" applyFont="1" applyBorder="1" applyAlignment="1">
      <alignment horizontal="left"/>
    </xf>
    <xf numFmtId="169" fontId="890" fillId="0" borderId="892" xfId="0" applyNumberFormat="1" applyFont="1" applyBorder="1" applyAlignment="1">
      <alignment horizontal="right"/>
    </xf>
    <xf numFmtId="169" fontId="891" fillId="0" borderId="893" xfId="0" applyNumberFormat="1" applyFont="1" applyBorder="1" applyAlignment="1">
      <alignment horizontal="right"/>
    </xf>
    <xf numFmtId="169" fontId="892" fillId="0" borderId="894" xfId="0" applyNumberFormat="1" applyFont="1" applyBorder="1" applyAlignment="1">
      <alignment horizontal="right"/>
    </xf>
    <xf numFmtId="169" fontId="893" fillId="0" borderId="895" xfId="0" applyNumberFormat="1" applyFont="1" applyBorder="1" applyAlignment="1">
      <alignment horizontal="right"/>
    </xf>
    <xf numFmtId="2" fontId="894" fillId="0" borderId="896" xfId="0" applyNumberFormat="1" applyFont="1" applyBorder="1"/>
    <xf numFmtId="0" fontId="895" fillId="0" borderId="897" xfId="0" applyFont="1" applyBorder="1" applyAlignment="1">
      <alignment horizontal="center"/>
    </xf>
    <xf numFmtId="0" fontId="896" fillId="0" borderId="898" xfId="0" applyFont="1" applyBorder="1" applyAlignment="1">
      <alignment horizontal="center"/>
    </xf>
    <xf numFmtId="0" fontId="897" fillId="0" borderId="899" xfId="0" applyFont="1" applyBorder="1" applyAlignment="1">
      <alignment horizontal="right"/>
    </xf>
    <xf numFmtId="2" fontId="898" fillId="0" borderId="900" xfId="0" applyNumberFormat="1" applyFont="1" applyBorder="1"/>
    <xf numFmtId="0" fontId="899" fillId="0" borderId="901" xfId="0" applyFont="1" applyBorder="1" applyAlignment="1">
      <alignment horizontal="center"/>
    </xf>
    <xf numFmtId="2" fontId="900" fillId="0" borderId="902" xfId="0" applyNumberFormat="1" applyFont="1" applyBorder="1"/>
    <xf numFmtId="0" fontId="901" fillId="0" borderId="903" xfId="0" applyFont="1" applyBorder="1" applyAlignment="1">
      <alignment horizontal="center"/>
    </xf>
    <xf numFmtId="2" fontId="902" fillId="0" borderId="904" xfId="0" applyNumberFormat="1" applyFont="1" applyBorder="1" applyAlignment="1">
      <alignment horizontal="right"/>
    </xf>
    <xf numFmtId="0" fontId="903" fillId="0" borderId="905" xfId="0" applyFont="1" applyBorder="1" applyAlignment="1">
      <alignment horizontal="right"/>
    </xf>
    <xf numFmtId="0" fontId="904" fillId="0" borderId="906" xfId="0" applyFont="1" applyBorder="1" applyAlignment="1">
      <alignment horizontal="right"/>
    </xf>
    <xf numFmtId="2" fontId="905" fillId="0" borderId="907" xfId="0" applyNumberFormat="1" applyFont="1" applyBorder="1" applyAlignment="1">
      <alignment horizontal="left"/>
    </xf>
    <xf numFmtId="0" fontId="906" fillId="0" borderId="908" xfId="0" applyFont="1" applyBorder="1"/>
    <xf numFmtId="0" fontId="907" fillId="0" borderId="909" xfId="0" applyFont="1" applyBorder="1"/>
    <xf numFmtId="0" fontId="908" fillId="0" borderId="910" xfId="0" applyFont="1" applyBorder="1"/>
    <xf numFmtId="2" fontId="909" fillId="0" borderId="911" xfId="0" applyNumberFormat="1" applyFont="1" applyBorder="1" applyAlignment="1">
      <alignment horizontal="left"/>
    </xf>
    <xf numFmtId="169" fontId="910" fillId="0" borderId="912" xfId="0" applyNumberFormat="1" applyFont="1" applyBorder="1" applyAlignment="1">
      <alignment horizontal="right"/>
    </xf>
    <xf numFmtId="169" fontId="911" fillId="0" borderId="913" xfId="0" applyNumberFormat="1" applyFont="1" applyBorder="1" applyAlignment="1">
      <alignment horizontal="right"/>
    </xf>
    <xf numFmtId="169" fontId="912" fillId="0" borderId="914" xfId="0" applyNumberFormat="1" applyFont="1" applyBorder="1" applyAlignment="1">
      <alignment horizontal="right"/>
    </xf>
    <xf numFmtId="2" fontId="913" fillId="0" borderId="915" xfId="0" applyNumberFormat="1" applyFont="1" applyBorder="1" applyAlignment="1">
      <alignment horizontal="left"/>
    </xf>
    <xf numFmtId="169" fontId="914" fillId="0" borderId="916" xfId="0" applyNumberFormat="1" applyFont="1" applyBorder="1" applyAlignment="1">
      <alignment horizontal="right"/>
    </xf>
    <xf numFmtId="169" fontId="915" fillId="0" borderId="917" xfId="0" applyNumberFormat="1" applyFont="1" applyBorder="1" applyAlignment="1">
      <alignment horizontal="right"/>
    </xf>
    <xf numFmtId="169" fontId="916" fillId="0" borderId="918" xfId="0" applyNumberFormat="1" applyFont="1" applyBorder="1" applyAlignment="1">
      <alignment horizontal="right"/>
    </xf>
    <xf numFmtId="2" fontId="917" fillId="0" borderId="919" xfId="0" applyNumberFormat="1" applyFont="1" applyBorder="1" applyAlignment="1">
      <alignment horizontal="left"/>
    </xf>
    <xf numFmtId="169" fontId="918" fillId="0" borderId="920" xfId="0" applyNumberFormat="1" applyFont="1" applyBorder="1" applyAlignment="1">
      <alignment horizontal="right"/>
    </xf>
    <xf numFmtId="169" fontId="919" fillId="0" borderId="921" xfId="0" applyNumberFormat="1" applyFont="1" applyBorder="1" applyAlignment="1">
      <alignment horizontal="right"/>
    </xf>
    <xf numFmtId="169" fontId="920" fillId="0" borderId="922" xfId="0" applyNumberFormat="1" applyFont="1" applyBorder="1" applyAlignment="1">
      <alignment horizontal="right"/>
    </xf>
    <xf numFmtId="2" fontId="921" fillId="0" borderId="923" xfId="0" applyNumberFormat="1" applyFont="1" applyBorder="1" applyAlignment="1">
      <alignment horizontal="left"/>
    </xf>
    <xf numFmtId="169" fontId="922" fillId="0" borderId="924" xfId="0" applyNumberFormat="1" applyFont="1" applyBorder="1" applyAlignment="1">
      <alignment horizontal="right"/>
    </xf>
    <xf numFmtId="169" fontId="923" fillId="0" borderId="925" xfId="0" applyNumberFormat="1" applyFont="1" applyBorder="1" applyAlignment="1">
      <alignment horizontal="right"/>
    </xf>
    <xf numFmtId="169" fontId="924" fillId="0" borderId="926" xfId="0" applyNumberFormat="1" applyFont="1" applyBorder="1" applyAlignment="1">
      <alignment horizontal="right"/>
    </xf>
    <xf numFmtId="2" fontId="925" fillId="0" borderId="927" xfId="0" applyNumberFormat="1" applyFont="1" applyBorder="1" applyAlignment="1">
      <alignment horizontal="left"/>
    </xf>
    <xf numFmtId="169" fontId="926" fillId="0" borderId="928" xfId="0" applyNumberFormat="1" applyFont="1" applyBorder="1" applyAlignment="1">
      <alignment horizontal="right"/>
    </xf>
    <xf numFmtId="169" fontId="927" fillId="0" borderId="929" xfId="0" applyNumberFormat="1" applyFont="1" applyBorder="1" applyAlignment="1">
      <alignment horizontal="right"/>
    </xf>
    <xf numFmtId="169" fontId="928" fillId="0" borderId="930" xfId="0" applyNumberFormat="1" applyFont="1" applyBorder="1" applyAlignment="1">
      <alignment horizontal="right"/>
    </xf>
    <xf numFmtId="2" fontId="929" fillId="0" borderId="931" xfId="0" applyNumberFormat="1" applyFont="1" applyBorder="1" applyAlignment="1">
      <alignment horizontal="left"/>
    </xf>
    <xf numFmtId="169" fontId="930" fillId="0" borderId="932" xfId="0" applyNumberFormat="1" applyFont="1" applyBorder="1" applyAlignment="1">
      <alignment horizontal="right"/>
    </xf>
    <xf numFmtId="169" fontId="931" fillId="0" borderId="933" xfId="0" applyNumberFormat="1" applyFont="1" applyBorder="1" applyAlignment="1">
      <alignment horizontal="right"/>
    </xf>
    <xf numFmtId="169" fontId="932" fillId="0" borderId="934" xfId="0" applyNumberFormat="1" applyFont="1" applyBorder="1" applyAlignment="1">
      <alignment horizontal="right"/>
    </xf>
    <xf numFmtId="2" fontId="933" fillId="0" borderId="935" xfId="0" applyNumberFormat="1" applyFont="1" applyBorder="1" applyAlignment="1">
      <alignment horizontal="left"/>
    </xf>
    <xf numFmtId="169" fontId="934" fillId="0" borderId="936" xfId="0" applyNumberFormat="1" applyFont="1" applyBorder="1" applyAlignment="1">
      <alignment horizontal="right"/>
    </xf>
    <xf numFmtId="169" fontId="935" fillId="0" borderId="937" xfId="0" applyNumberFormat="1" applyFont="1" applyBorder="1" applyAlignment="1">
      <alignment horizontal="right"/>
    </xf>
    <xf numFmtId="169" fontId="936" fillId="0" borderId="938" xfId="0" applyNumberFormat="1" applyFont="1" applyBorder="1" applyAlignment="1">
      <alignment horizontal="right"/>
    </xf>
    <xf numFmtId="2" fontId="937" fillId="0" borderId="939" xfId="0" applyNumberFormat="1" applyFont="1" applyBorder="1" applyAlignment="1">
      <alignment horizontal="left"/>
    </xf>
    <xf numFmtId="169" fontId="938" fillId="0" borderId="940" xfId="0" applyNumberFormat="1" applyFont="1" applyBorder="1" applyAlignment="1">
      <alignment horizontal="right"/>
    </xf>
    <xf numFmtId="169" fontId="939" fillId="0" borderId="941" xfId="0" applyNumberFormat="1" applyFont="1" applyBorder="1" applyAlignment="1">
      <alignment horizontal="right"/>
    </xf>
    <xf numFmtId="169" fontId="940" fillId="0" borderId="942" xfId="0" applyNumberFormat="1" applyFont="1" applyBorder="1" applyAlignment="1">
      <alignment horizontal="right"/>
    </xf>
    <xf numFmtId="2" fontId="941" fillId="0" borderId="943" xfId="0" applyNumberFormat="1" applyFont="1" applyBorder="1" applyAlignment="1">
      <alignment horizontal="left"/>
    </xf>
    <xf numFmtId="169" fontId="942" fillId="0" borderId="944" xfId="0" applyNumberFormat="1" applyFont="1" applyBorder="1" applyAlignment="1">
      <alignment horizontal="right"/>
    </xf>
    <xf numFmtId="169" fontId="943" fillId="0" borderId="945" xfId="0" applyNumberFormat="1" applyFont="1" applyBorder="1" applyAlignment="1">
      <alignment horizontal="right"/>
    </xf>
    <xf numFmtId="169" fontId="944" fillId="0" borderId="946" xfId="0" applyNumberFormat="1" applyFont="1" applyBorder="1" applyAlignment="1">
      <alignment horizontal="right"/>
    </xf>
    <xf numFmtId="2" fontId="945" fillId="0" borderId="947" xfId="0" applyNumberFormat="1" applyFont="1" applyBorder="1" applyAlignment="1">
      <alignment horizontal="left"/>
    </xf>
    <xf numFmtId="169" fontId="946" fillId="0" borderId="948" xfId="0" applyNumberFormat="1" applyFont="1" applyBorder="1" applyAlignment="1">
      <alignment horizontal="right"/>
    </xf>
    <xf numFmtId="169" fontId="947" fillId="0" borderId="949" xfId="0" applyNumberFormat="1" applyFont="1" applyBorder="1" applyAlignment="1">
      <alignment horizontal="right"/>
    </xf>
    <xf numFmtId="169" fontId="948" fillId="0" borderId="950" xfId="0" applyNumberFormat="1" applyFont="1" applyBorder="1" applyAlignment="1">
      <alignment horizontal="right"/>
    </xf>
    <xf numFmtId="2" fontId="949" fillId="0" borderId="951" xfId="0" applyNumberFormat="1" applyFont="1" applyBorder="1" applyAlignment="1">
      <alignment horizontal="left"/>
    </xf>
    <xf numFmtId="169" fontId="950" fillId="0" borderId="952" xfId="0" applyNumberFormat="1" applyFont="1" applyBorder="1" applyAlignment="1">
      <alignment horizontal="right"/>
    </xf>
    <xf numFmtId="169" fontId="951" fillId="0" borderId="953" xfId="0" applyNumberFormat="1" applyFont="1" applyBorder="1" applyAlignment="1">
      <alignment horizontal="right"/>
    </xf>
    <xf numFmtId="169" fontId="952" fillId="0" borderId="954" xfId="0" applyNumberFormat="1" applyFont="1" applyBorder="1" applyAlignment="1">
      <alignment horizontal="right"/>
    </xf>
    <xf numFmtId="2" fontId="953" fillId="0" borderId="955" xfId="0" applyNumberFormat="1" applyFont="1" applyBorder="1" applyAlignment="1">
      <alignment horizontal="left"/>
    </xf>
    <xf numFmtId="169" fontId="954" fillId="0" borderId="956" xfId="0" applyNumberFormat="1" applyFont="1" applyBorder="1" applyAlignment="1">
      <alignment horizontal="right"/>
    </xf>
    <xf numFmtId="169" fontId="955" fillId="0" borderId="957" xfId="0" applyNumberFormat="1" applyFont="1" applyBorder="1" applyAlignment="1">
      <alignment horizontal="right"/>
    </xf>
    <xf numFmtId="169" fontId="956" fillId="0" borderId="958" xfId="0" applyNumberFormat="1" applyFont="1" applyBorder="1" applyAlignment="1">
      <alignment horizontal="right"/>
    </xf>
    <xf numFmtId="2" fontId="957" fillId="0" borderId="959" xfId="0" applyNumberFormat="1" applyFont="1" applyBorder="1" applyAlignment="1">
      <alignment horizontal="left"/>
    </xf>
    <xf numFmtId="169" fontId="958" fillId="0" borderId="960" xfId="0" applyNumberFormat="1" applyFont="1" applyBorder="1" applyAlignment="1">
      <alignment horizontal="right"/>
    </xf>
    <xf numFmtId="169" fontId="959" fillId="0" borderId="961" xfId="0" applyNumberFormat="1" applyFont="1" applyBorder="1" applyAlignment="1">
      <alignment horizontal="right"/>
    </xf>
    <xf numFmtId="169" fontId="960" fillId="0" borderId="962" xfId="0" applyNumberFormat="1" applyFont="1" applyBorder="1" applyAlignment="1">
      <alignment horizontal="right"/>
    </xf>
    <xf numFmtId="2" fontId="961" fillId="0" borderId="963" xfId="0" applyNumberFormat="1" applyFont="1" applyBorder="1" applyAlignment="1">
      <alignment horizontal="left"/>
    </xf>
    <xf numFmtId="169" fontId="962" fillId="0" borderId="964" xfId="0" applyNumberFormat="1" applyFont="1" applyBorder="1" applyAlignment="1">
      <alignment horizontal="right"/>
    </xf>
    <xf numFmtId="169" fontId="963" fillId="0" borderId="965" xfId="0" applyNumberFormat="1" applyFont="1" applyBorder="1" applyAlignment="1">
      <alignment horizontal="right"/>
    </xf>
    <xf numFmtId="169" fontId="964" fillId="0" borderId="966" xfId="0" applyNumberFormat="1" applyFont="1" applyBorder="1" applyAlignment="1">
      <alignment horizontal="right"/>
    </xf>
    <xf numFmtId="2" fontId="965" fillId="0" borderId="967" xfId="0" applyNumberFormat="1" applyFont="1" applyBorder="1" applyAlignment="1">
      <alignment horizontal="left"/>
    </xf>
    <xf numFmtId="169" fontId="966" fillId="0" borderId="968" xfId="0" applyNumberFormat="1" applyFont="1" applyBorder="1" applyAlignment="1">
      <alignment horizontal="right"/>
    </xf>
    <xf numFmtId="169" fontId="967" fillId="0" borderId="969" xfId="0" applyNumberFormat="1" applyFont="1" applyBorder="1" applyAlignment="1">
      <alignment horizontal="right"/>
    </xf>
    <xf numFmtId="169" fontId="968" fillId="0" borderId="970" xfId="0" applyNumberFormat="1" applyFont="1" applyBorder="1" applyAlignment="1">
      <alignment horizontal="right"/>
    </xf>
    <xf numFmtId="0" fontId="969" fillId="0" borderId="971" xfId="0" applyFont="1" applyBorder="1"/>
    <xf numFmtId="2" fontId="970" fillId="0" borderId="972" xfId="0" applyNumberFormat="1" applyFont="1" applyBorder="1" applyAlignment="1">
      <alignment horizontal="center"/>
    </xf>
    <xf numFmtId="2" fontId="971" fillId="0" borderId="973" xfId="0" applyNumberFormat="1" applyFont="1" applyBorder="1" applyAlignment="1">
      <alignment horizontal="center"/>
    </xf>
    <xf numFmtId="2" fontId="972" fillId="0" borderId="974" xfId="0" applyNumberFormat="1" applyFont="1" applyBorder="1" applyAlignment="1">
      <alignment horizontal="center"/>
    </xf>
    <xf numFmtId="0" fontId="973" fillId="0" borderId="975" xfId="0" applyFont="1" applyBorder="1" applyAlignment="1">
      <alignment horizontal="right"/>
    </xf>
    <xf numFmtId="0" fontId="974" fillId="0" borderId="976" xfId="0" applyFont="1" applyBorder="1"/>
    <xf numFmtId="2" fontId="975" fillId="0" borderId="977" xfId="0" applyNumberFormat="1" applyFont="1" applyBorder="1" applyAlignment="1">
      <alignment horizontal="center"/>
    </xf>
    <xf numFmtId="0" fontId="976" fillId="0" borderId="978" xfId="0" applyFont="1" applyBorder="1"/>
    <xf numFmtId="2" fontId="977" fillId="0" borderId="979" xfId="0" applyNumberFormat="1" applyFont="1" applyBorder="1" applyAlignment="1">
      <alignment horizontal="center"/>
    </xf>
    <xf numFmtId="0" fontId="978" fillId="0" borderId="980" xfId="0" applyFont="1" applyBorder="1"/>
    <xf numFmtId="2" fontId="979" fillId="0" borderId="981" xfId="0" applyNumberFormat="1" applyFont="1" applyBorder="1" applyAlignment="1">
      <alignment horizontal="right"/>
    </xf>
    <xf numFmtId="2" fontId="980" fillId="0" borderId="982" xfId="0" applyNumberFormat="1" applyFont="1" applyBorder="1" applyAlignment="1">
      <alignment horizontal="right"/>
    </xf>
    <xf numFmtId="2" fontId="981" fillId="0" borderId="983" xfId="0" applyNumberFormat="1" applyFont="1" applyBorder="1" applyAlignment="1">
      <alignment horizontal="right"/>
    </xf>
    <xf numFmtId="0" fontId="982" fillId="0" borderId="984" xfId="0" applyFont="1" applyBorder="1" applyAlignment="1">
      <alignment horizontal="left"/>
    </xf>
    <xf numFmtId="2" fontId="983" fillId="0" borderId="985" xfId="0" applyNumberFormat="1" applyFont="1" applyBorder="1" applyAlignment="1">
      <alignment horizontal="left"/>
    </xf>
    <xf numFmtId="2" fontId="984" fillId="0" borderId="986" xfId="0" applyNumberFormat="1" applyFont="1" applyBorder="1" applyAlignment="1">
      <alignment horizontal="left"/>
    </xf>
    <xf numFmtId="2" fontId="985" fillId="0" borderId="987" xfId="0" applyNumberFormat="1" applyFont="1" applyBorder="1" applyAlignment="1">
      <alignment horizontal="left"/>
    </xf>
    <xf numFmtId="0" fontId="986" fillId="0" borderId="988" xfId="0" applyFont="1" applyBorder="1"/>
    <xf numFmtId="0" fontId="987" fillId="0" borderId="989" xfId="0" applyFont="1" applyBorder="1" applyAlignment="1">
      <alignment horizontal="left"/>
    </xf>
    <xf numFmtId="169" fontId="988" fillId="0" borderId="990" xfId="0" applyNumberFormat="1" applyFont="1" applyBorder="1" applyAlignment="1">
      <alignment horizontal="right"/>
    </xf>
    <xf numFmtId="169" fontId="989" fillId="0" borderId="991" xfId="0" applyNumberFormat="1" applyFont="1" applyBorder="1" applyAlignment="1">
      <alignment horizontal="right"/>
    </xf>
    <xf numFmtId="169" fontId="990" fillId="0" borderId="992" xfId="0" applyNumberFormat="1" applyFont="1" applyBorder="1" applyAlignment="1">
      <alignment horizontal="right"/>
    </xf>
    <xf numFmtId="169" fontId="991" fillId="0" borderId="993" xfId="0" applyNumberFormat="1" applyFont="1" applyBorder="1" applyAlignment="1">
      <alignment horizontal="right"/>
    </xf>
    <xf numFmtId="0" fontId="992" fillId="0" borderId="994" xfId="0" applyFont="1" applyBorder="1" applyAlignment="1">
      <alignment horizontal="left"/>
    </xf>
    <xf numFmtId="169" fontId="993" fillId="0" borderId="995" xfId="0" applyNumberFormat="1" applyFont="1" applyBorder="1" applyAlignment="1">
      <alignment horizontal="right"/>
    </xf>
    <xf numFmtId="169" fontId="994" fillId="0" borderId="996" xfId="0" applyNumberFormat="1" applyFont="1" applyBorder="1" applyAlignment="1">
      <alignment horizontal="right"/>
    </xf>
    <xf numFmtId="169" fontId="995" fillId="0" borderId="997" xfId="0" applyNumberFormat="1" applyFont="1" applyBorder="1" applyAlignment="1">
      <alignment horizontal="right"/>
    </xf>
    <xf numFmtId="169" fontId="996" fillId="0" borderId="998" xfId="0" applyNumberFormat="1" applyFont="1" applyBorder="1" applyAlignment="1">
      <alignment horizontal="right"/>
    </xf>
    <xf numFmtId="0" fontId="997" fillId="0" borderId="999" xfId="0" applyFont="1" applyBorder="1" applyAlignment="1">
      <alignment horizontal="left"/>
    </xf>
    <xf numFmtId="169" fontId="998" fillId="0" borderId="1000" xfId="0" applyNumberFormat="1" applyFont="1" applyBorder="1" applyAlignment="1">
      <alignment horizontal="right"/>
    </xf>
    <xf numFmtId="169" fontId="999" fillId="0" borderId="1001" xfId="0" applyNumberFormat="1" applyFont="1" applyBorder="1" applyAlignment="1">
      <alignment horizontal="right"/>
    </xf>
    <xf numFmtId="169" fontId="1000" fillId="0" borderId="1002" xfId="0" applyNumberFormat="1" applyFont="1" applyBorder="1" applyAlignment="1">
      <alignment horizontal="right"/>
    </xf>
    <xf numFmtId="169" fontId="1001" fillId="0" borderId="1003" xfId="0" applyNumberFormat="1" applyFont="1" applyBorder="1" applyAlignment="1">
      <alignment horizontal="right"/>
    </xf>
    <xf numFmtId="0" fontId="1002" fillId="0" borderId="1004" xfId="0" applyFont="1" applyBorder="1" applyAlignment="1">
      <alignment horizontal="left"/>
    </xf>
    <xf numFmtId="169" fontId="1003" fillId="0" borderId="1005" xfId="0" applyNumberFormat="1" applyFont="1" applyBorder="1" applyAlignment="1">
      <alignment horizontal="right"/>
    </xf>
    <xf numFmtId="169" fontId="1004" fillId="0" borderId="1006" xfId="0" applyNumberFormat="1" applyFont="1" applyBorder="1" applyAlignment="1">
      <alignment horizontal="right"/>
    </xf>
    <xf numFmtId="169" fontId="1005" fillId="0" borderId="1007" xfId="0" applyNumberFormat="1" applyFont="1" applyBorder="1" applyAlignment="1">
      <alignment horizontal="right"/>
    </xf>
    <xf numFmtId="169" fontId="1006" fillId="0" borderId="1008" xfId="0" applyNumberFormat="1" applyFont="1" applyBorder="1" applyAlignment="1">
      <alignment horizontal="right"/>
    </xf>
    <xf numFmtId="0" fontId="1007" fillId="0" borderId="1009" xfId="0" applyFont="1" applyBorder="1" applyAlignment="1">
      <alignment horizontal="left"/>
    </xf>
    <xf numFmtId="169" fontId="1008" fillId="0" borderId="1010" xfId="0" applyNumberFormat="1" applyFont="1" applyBorder="1" applyAlignment="1">
      <alignment horizontal="right"/>
    </xf>
    <xf numFmtId="169" fontId="1009" fillId="0" borderId="1011" xfId="0" applyNumberFormat="1" applyFont="1" applyBorder="1" applyAlignment="1">
      <alignment horizontal="right"/>
    </xf>
    <xf numFmtId="169" fontId="1010" fillId="0" borderId="1012" xfId="0" applyNumberFormat="1" applyFont="1" applyBorder="1" applyAlignment="1">
      <alignment horizontal="right"/>
    </xf>
    <xf numFmtId="169" fontId="1011" fillId="0" borderId="1013" xfId="0" applyNumberFormat="1" applyFont="1" applyBorder="1" applyAlignment="1">
      <alignment horizontal="right"/>
    </xf>
    <xf numFmtId="0" fontId="1012" fillId="0" borderId="1014" xfId="0" applyFont="1" applyBorder="1" applyAlignment="1">
      <alignment horizontal="left"/>
    </xf>
    <xf numFmtId="169" fontId="1013" fillId="0" borderId="1015" xfId="0" applyNumberFormat="1" applyFont="1" applyBorder="1" applyAlignment="1">
      <alignment horizontal="right"/>
    </xf>
    <xf numFmtId="169" fontId="1014" fillId="0" borderId="1016" xfId="0" applyNumberFormat="1" applyFont="1" applyBorder="1" applyAlignment="1">
      <alignment horizontal="right"/>
    </xf>
    <xf numFmtId="169" fontId="1015" fillId="0" borderId="1017" xfId="0" applyNumberFormat="1" applyFont="1" applyBorder="1" applyAlignment="1">
      <alignment horizontal="right"/>
    </xf>
    <xf numFmtId="169" fontId="1016" fillId="0" borderId="1018" xfId="0" applyNumberFormat="1" applyFont="1" applyBorder="1" applyAlignment="1">
      <alignment horizontal="right"/>
    </xf>
    <xf numFmtId="0" fontId="1017" fillId="0" borderId="1019" xfId="0" applyFont="1" applyBorder="1" applyAlignment="1">
      <alignment horizontal="left"/>
    </xf>
    <xf numFmtId="169" fontId="1018" fillId="0" borderId="1020" xfId="0" applyNumberFormat="1" applyFont="1" applyBorder="1" applyAlignment="1">
      <alignment horizontal="right"/>
    </xf>
    <xf numFmtId="169" fontId="1019" fillId="0" borderId="1021" xfId="0" applyNumberFormat="1" applyFont="1" applyBorder="1" applyAlignment="1">
      <alignment horizontal="right"/>
    </xf>
    <xf numFmtId="169" fontId="1020" fillId="0" borderId="1022" xfId="0" applyNumberFormat="1" applyFont="1" applyBorder="1" applyAlignment="1">
      <alignment horizontal="right"/>
    </xf>
    <xf numFmtId="169" fontId="1021" fillId="0" borderId="1023" xfId="0" applyNumberFormat="1" applyFont="1" applyBorder="1" applyAlignment="1">
      <alignment horizontal="right"/>
    </xf>
    <xf numFmtId="0" fontId="1022" fillId="0" borderId="1024" xfId="0" applyFont="1" applyBorder="1" applyAlignment="1">
      <alignment horizontal="left"/>
    </xf>
    <xf numFmtId="169" fontId="1023" fillId="0" borderId="1025" xfId="0" applyNumberFormat="1" applyFont="1" applyBorder="1" applyAlignment="1">
      <alignment horizontal="right"/>
    </xf>
    <xf numFmtId="169" fontId="1024" fillId="0" borderId="1026" xfId="0" applyNumberFormat="1" applyFont="1" applyBorder="1" applyAlignment="1">
      <alignment horizontal="right"/>
    </xf>
    <xf numFmtId="169" fontId="1025" fillId="0" borderId="1027" xfId="0" applyNumberFormat="1" applyFont="1" applyBorder="1" applyAlignment="1">
      <alignment horizontal="right"/>
    </xf>
    <xf numFmtId="169" fontId="1026" fillId="0" borderId="1028" xfId="0" applyNumberFormat="1" applyFont="1" applyBorder="1" applyAlignment="1">
      <alignment horizontal="right"/>
    </xf>
    <xf numFmtId="0" fontId="1027" fillId="0" borderId="1029" xfId="0" applyFont="1" applyBorder="1" applyAlignment="1">
      <alignment horizontal="left"/>
    </xf>
    <xf numFmtId="169" fontId="1028" fillId="0" borderId="1030" xfId="0" applyNumberFormat="1" applyFont="1" applyBorder="1" applyAlignment="1">
      <alignment horizontal="right"/>
    </xf>
    <xf numFmtId="169" fontId="1029" fillId="0" borderId="1031" xfId="0" applyNumberFormat="1" applyFont="1" applyBorder="1" applyAlignment="1">
      <alignment horizontal="right"/>
    </xf>
    <xf numFmtId="169" fontId="1030" fillId="0" borderId="1032" xfId="0" applyNumberFormat="1" applyFont="1" applyBorder="1" applyAlignment="1">
      <alignment horizontal="right"/>
    </xf>
    <xf numFmtId="169" fontId="1031" fillId="0" borderId="1033" xfId="0" applyNumberFormat="1" applyFont="1" applyBorder="1" applyAlignment="1">
      <alignment horizontal="right"/>
    </xf>
    <xf numFmtId="0" fontId="1032" fillId="0" borderId="1034" xfId="0" applyFont="1" applyBorder="1" applyAlignment="1">
      <alignment horizontal="left"/>
    </xf>
    <xf numFmtId="169" fontId="1033" fillId="0" borderId="1035" xfId="0" applyNumberFormat="1" applyFont="1" applyBorder="1" applyAlignment="1">
      <alignment horizontal="right"/>
    </xf>
    <xf numFmtId="169" fontId="1034" fillId="0" borderId="1036" xfId="0" applyNumberFormat="1" applyFont="1" applyBorder="1" applyAlignment="1">
      <alignment horizontal="right"/>
    </xf>
    <xf numFmtId="169" fontId="1035" fillId="0" borderId="1037" xfId="0" applyNumberFormat="1" applyFont="1" applyBorder="1" applyAlignment="1">
      <alignment horizontal="right"/>
    </xf>
    <xf numFmtId="169" fontId="1036" fillId="0" borderId="1038" xfId="0" applyNumberFormat="1" applyFont="1" applyBorder="1" applyAlignment="1">
      <alignment horizontal="right"/>
    </xf>
    <xf numFmtId="0" fontId="1037" fillId="0" borderId="1039" xfId="0" applyFont="1" applyBorder="1" applyAlignment="1">
      <alignment horizontal="left"/>
    </xf>
    <xf numFmtId="169" fontId="1038" fillId="0" borderId="1040" xfId="0" applyNumberFormat="1" applyFont="1" applyBorder="1" applyAlignment="1">
      <alignment horizontal="right"/>
    </xf>
    <xf numFmtId="169" fontId="1039" fillId="0" borderId="1041" xfId="0" applyNumberFormat="1" applyFont="1" applyBorder="1" applyAlignment="1">
      <alignment horizontal="right"/>
    </xf>
    <xf numFmtId="169" fontId="1040" fillId="0" borderId="1042" xfId="0" applyNumberFormat="1" applyFont="1" applyBorder="1" applyAlignment="1">
      <alignment horizontal="right"/>
    </xf>
    <xf numFmtId="169" fontId="1041" fillId="0" borderId="1043" xfId="0" applyNumberFormat="1" applyFont="1" applyBorder="1" applyAlignment="1">
      <alignment horizontal="right"/>
    </xf>
    <xf numFmtId="0" fontId="1042" fillId="0" borderId="1044" xfId="0" applyFont="1" applyBorder="1" applyAlignment="1">
      <alignment horizontal="left"/>
    </xf>
    <xf numFmtId="169" fontId="1043" fillId="0" borderId="1045" xfId="0" applyNumberFormat="1" applyFont="1" applyBorder="1" applyAlignment="1">
      <alignment horizontal="right"/>
    </xf>
    <xf numFmtId="169" fontId="1044" fillId="0" borderId="1046" xfId="0" applyNumberFormat="1" applyFont="1" applyBorder="1" applyAlignment="1">
      <alignment horizontal="right"/>
    </xf>
    <xf numFmtId="169" fontId="1045" fillId="0" borderId="1047" xfId="0" applyNumberFormat="1" applyFont="1" applyBorder="1" applyAlignment="1">
      <alignment horizontal="right"/>
    </xf>
    <xf numFmtId="169" fontId="1046" fillId="0" borderId="1048" xfId="0" applyNumberFormat="1" applyFont="1" applyBorder="1" applyAlignment="1">
      <alignment horizontal="right"/>
    </xf>
    <xf numFmtId="0" fontId="1047" fillId="0" borderId="1049" xfId="0" applyFont="1" applyBorder="1" applyAlignment="1">
      <alignment horizontal="left"/>
    </xf>
    <xf numFmtId="169" fontId="1048" fillId="0" borderId="1050" xfId="0" applyNumberFormat="1" applyFont="1" applyBorder="1" applyAlignment="1">
      <alignment horizontal="right"/>
    </xf>
    <xf numFmtId="169" fontId="1049" fillId="0" borderId="1051" xfId="0" applyNumberFormat="1" applyFont="1" applyBorder="1" applyAlignment="1">
      <alignment horizontal="right"/>
    </xf>
    <xf numFmtId="169" fontId="1050" fillId="0" borderId="1052" xfId="0" applyNumberFormat="1" applyFont="1" applyBorder="1" applyAlignment="1">
      <alignment horizontal="right"/>
    </xf>
    <xf numFmtId="169" fontId="1051" fillId="0" borderId="1053" xfId="0" applyNumberFormat="1" applyFont="1" applyBorder="1" applyAlignment="1">
      <alignment horizontal="right"/>
    </xf>
    <xf numFmtId="0" fontId="1052" fillId="0" borderId="1054" xfId="0" applyFont="1" applyBorder="1" applyAlignment="1">
      <alignment horizontal="left"/>
    </xf>
    <xf numFmtId="169" fontId="1053" fillId="0" borderId="1055" xfId="0" applyNumberFormat="1" applyFont="1" applyBorder="1" applyAlignment="1">
      <alignment horizontal="right"/>
    </xf>
    <xf numFmtId="169" fontId="1054" fillId="0" borderId="1056" xfId="0" applyNumberFormat="1" applyFont="1" applyBorder="1" applyAlignment="1">
      <alignment horizontal="right"/>
    </xf>
    <xf numFmtId="169" fontId="1055" fillId="0" borderId="1057" xfId="0" applyNumberFormat="1" applyFont="1" applyBorder="1" applyAlignment="1">
      <alignment horizontal="right"/>
    </xf>
    <xf numFmtId="169" fontId="1056" fillId="0" borderId="1058" xfId="0" applyNumberFormat="1" applyFont="1" applyBorder="1" applyAlignment="1">
      <alignment horizontal="right"/>
    </xf>
    <xf numFmtId="0" fontId="1057" fillId="0" borderId="1059" xfId="0" applyFont="1" applyBorder="1" applyAlignment="1">
      <alignment horizontal="left"/>
    </xf>
    <xf numFmtId="169" fontId="1058" fillId="0" borderId="1060" xfId="0" applyNumberFormat="1" applyFont="1" applyBorder="1" applyAlignment="1">
      <alignment horizontal="right"/>
    </xf>
    <xf numFmtId="169" fontId="1059" fillId="0" borderId="1061" xfId="0" applyNumberFormat="1" applyFont="1" applyBorder="1" applyAlignment="1">
      <alignment horizontal="right"/>
    </xf>
    <xf numFmtId="169" fontId="1060" fillId="0" borderId="1062" xfId="0" applyNumberFormat="1" applyFont="1" applyBorder="1" applyAlignment="1">
      <alignment horizontal="right"/>
    </xf>
    <xf numFmtId="169" fontId="1061" fillId="0" borderId="1063" xfId="0" applyNumberFormat="1" applyFont="1" applyBorder="1" applyAlignment="1">
      <alignment horizontal="right"/>
    </xf>
    <xf numFmtId="2" fontId="1062" fillId="0" borderId="1064" xfId="0" applyNumberFormat="1" applyFont="1" applyBorder="1"/>
    <xf numFmtId="0" fontId="1064" fillId="0" borderId="1065" xfId="0" applyFont="1" applyBorder="1" applyAlignment="1">
      <alignment horizontal="right"/>
    </xf>
    <xf numFmtId="2" fontId="1065" fillId="0" borderId="1066" xfId="0" applyNumberFormat="1" applyFont="1" applyBorder="1"/>
    <xf numFmtId="2" fontId="1067" fillId="0" borderId="1067" xfId="0" applyNumberFormat="1" applyFont="1" applyBorder="1"/>
    <xf numFmtId="2" fontId="1069" fillId="0" borderId="1068" xfId="0" applyNumberFormat="1" applyFont="1" applyBorder="1" applyAlignment="1">
      <alignment horizontal="right"/>
    </xf>
    <xf numFmtId="0" fontId="1070" fillId="0" borderId="1069" xfId="0" applyFont="1" applyBorder="1" applyAlignment="1">
      <alignment horizontal="right"/>
    </xf>
    <xf numFmtId="0" fontId="1071" fillId="0" borderId="1070" xfId="0" applyFont="1" applyBorder="1" applyAlignment="1">
      <alignment horizontal="right"/>
    </xf>
    <xf numFmtId="2" fontId="1072" fillId="0" borderId="1071" xfId="0" applyNumberFormat="1" applyFont="1" applyBorder="1" applyAlignment="1">
      <alignment horizontal="left"/>
    </xf>
    <xf numFmtId="0" fontId="1073" fillId="0" borderId="1072" xfId="0" applyFont="1" applyBorder="1"/>
    <xf numFmtId="0" fontId="1074" fillId="0" borderId="1073" xfId="0" applyFont="1" applyBorder="1"/>
    <xf numFmtId="0" fontId="1075" fillId="0" borderId="1074" xfId="0" applyFont="1" applyBorder="1"/>
    <xf numFmtId="2" fontId="1076" fillId="0" borderId="1075" xfId="0" applyNumberFormat="1" applyFont="1" applyBorder="1" applyAlignment="1">
      <alignment horizontal="left"/>
    </xf>
    <xf numFmtId="169" fontId="1077" fillId="0" borderId="1076" xfId="0" applyNumberFormat="1" applyFont="1" applyBorder="1" applyAlignment="1">
      <alignment horizontal="right"/>
    </xf>
    <xf numFmtId="169" fontId="1078" fillId="0" borderId="1077" xfId="0" applyNumberFormat="1" applyFont="1" applyBorder="1" applyAlignment="1">
      <alignment horizontal="right"/>
    </xf>
    <xf numFmtId="169" fontId="1079" fillId="0" borderId="1078" xfId="0" applyNumberFormat="1" applyFont="1" applyBorder="1" applyAlignment="1">
      <alignment horizontal="right"/>
    </xf>
    <xf numFmtId="2" fontId="1080" fillId="0" borderId="1079" xfId="0" applyNumberFormat="1" applyFont="1" applyBorder="1" applyAlignment="1">
      <alignment horizontal="left"/>
    </xf>
    <xf numFmtId="169" fontId="1081" fillId="0" borderId="1080" xfId="0" applyNumberFormat="1" applyFont="1" applyBorder="1" applyAlignment="1">
      <alignment horizontal="right"/>
    </xf>
    <xf numFmtId="169" fontId="1082" fillId="0" borderId="1081" xfId="0" applyNumberFormat="1" applyFont="1" applyBorder="1" applyAlignment="1">
      <alignment horizontal="right"/>
    </xf>
    <xf numFmtId="169" fontId="1083" fillId="0" borderId="1082" xfId="0" applyNumberFormat="1" applyFont="1" applyBorder="1" applyAlignment="1">
      <alignment horizontal="right"/>
    </xf>
    <xf numFmtId="2" fontId="1084" fillId="0" borderId="1083" xfId="0" applyNumberFormat="1" applyFont="1" applyBorder="1" applyAlignment="1">
      <alignment horizontal="left"/>
    </xf>
    <xf numFmtId="169" fontId="1085" fillId="0" borderId="1084" xfId="0" applyNumberFormat="1" applyFont="1" applyBorder="1" applyAlignment="1">
      <alignment horizontal="right"/>
    </xf>
    <xf numFmtId="169" fontId="1086" fillId="0" borderId="1085" xfId="0" applyNumberFormat="1" applyFont="1" applyBorder="1" applyAlignment="1">
      <alignment horizontal="right"/>
    </xf>
    <xf numFmtId="169" fontId="1087" fillId="0" borderId="1086" xfId="0" applyNumberFormat="1" applyFont="1" applyBorder="1" applyAlignment="1">
      <alignment horizontal="right"/>
    </xf>
    <xf numFmtId="2" fontId="1088" fillId="0" borderId="1087" xfId="0" applyNumberFormat="1" applyFont="1" applyBorder="1" applyAlignment="1">
      <alignment horizontal="left"/>
    </xf>
    <xf numFmtId="169" fontId="1089" fillId="0" borderId="1088" xfId="0" applyNumberFormat="1" applyFont="1" applyBorder="1" applyAlignment="1">
      <alignment horizontal="right"/>
    </xf>
    <xf numFmtId="169" fontId="1090" fillId="0" borderId="1089" xfId="0" applyNumberFormat="1" applyFont="1" applyBorder="1" applyAlignment="1">
      <alignment horizontal="right"/>
    </xf>
    <xf numFmtId="169" fontId="1091" fillId="0" borderId="1090" xfId="0" applyNumberFormat="1" applyFont="1" applyBorder="1" applyAlignment="1">
      <alignment horizontal="right"/>
    </xf>
    <xf numFmtId="2" fontId="1092" fillId="0" borderId="1091" xfId="0" applyNumberFormat="1" applyFont="1" applyBorder="1" applyAlignment="1">
      <alignment horizontal="left"/>
    </xf>
    <xf numFmtId="169" fontId="1093" fillId="0" borderId="1092" xfId="0" applyNumberFormat="1" applyFont="1" applyBorder="1" applyAlignment="1">
      <alignment horizontal="right"/>
    </xf>
    <xf numFmtId="169" fontId="1094" fillId="0" borderId="1093" xfId="0" applyNumberFormat="1" applyFont="1" applyBorder="1" applyAlignment="1">
      <alignment horizontal="right"/>
    </xf>
    <xf numFmtId="169" fontId="1095" fillId="0" borderId="1094" xfId="0" applyNumberFormat="1" applyFont="1" applyBorder="1" applyAlignment="1">
      <alignment horizontal="right"/>
    </xf>
    <xf numFmtId="2" fontId="1096" fillId="0" borderId="1095" xfId="0" applyNumberFormat="1" applyFont="1" applyBorder="1" applyAlignment="1">
      <alignment horizontal="left"/>
    </xf>
    <xf numFmtId="169" fontId="1097" fillId="0" borderId="1096" xfId="0" applyNumberFormat="1" applyFont="1" applyBorder="1" applyAlignment="1">
      <alignment horizontal="right"/>
    </xf>
    <xf numFmtId="169" fontId="1098" fillId="0" borderId="1097" xfId="0" applyNumberFormat="1" applyFont="1" applyBorder="1" applyAlignment="1">
      <alignment horizontal="right"/>
    </xf>
    <xf numFmtId="169" fontId="1099" fillId="0" borderId="1098" xfId="0" applyNumberFormat="1" applyFont="1" applyBorder="1" applyAlignment="1">
      <alignment horizontal="right"/>
    </xf>
    <xf numFmtId="2" fontId="1100" fillId="0" borderId="1099" xfId="0" applyNumberFormat="1" applyFont="1" applyBorder="1" applyAlignment="1">
      <alignment horizontal="left"/>
    </xf>
    <xf numFmtId="169" fontId="1101" fillId="0" borderId="1100" xfId="0" applyNumberFormat="1" applyFont="1" applyBorder="1" applyAlignment="1">
      <alignment horizontal="right"/>
    </xf>
    <xf numFmtId="169" fontId="1102" fillId="0" borderId="1101" xfId="0" applyNumberFormat="1" applyFont="1" applyBorder="1" applyAlignment="1">
      <alignment horizontal="right"/>
    </xf>
    <xf numFmtId="169" fontId="1103" fillId="0" borderId="1102" xfId="0" applyNumberFormat="1" applyFont="1" applyBorder="1" applyAlignment="1">
      <alignment horizontal="right"/>
    </xf>
    <xf numFmtId="2" fontId="1104" fillId="0" borderId="1103" xfId="0" applyNumberFormat="1" applyFont="1" applyBorder="1" applyAlignment="1">
      <alignment horizontal="left"/>
    </xf>
    <xf numFmtId="169" fontId="1105" fillId="0" borderId="1104" xfId="0" applyNumberFormat="1" applyFont="1" applyBorder="1" applyAlignment="1">
      <alignment horizontal="right"/>
    </xf>
    <xf numFmtId="169" fontId="1106" fillId="0" borderId="1105" xfId="0" applyNumberFormat="1" applyFont="1" applyBorder="1" applyAlignment="1">
      <alignment horizontal="right"/>
    </xf>
    <xf numFmtId="169" fontId="1107" fillId="0" borderId="1106" xfId="0" applyNumberFormat="1" applyFont="1" applyBorder="1" applyAlignment="1">
      <alignment horizontal="right"/>
    </xf>
    <xf numFmtId="2" fontId="1108" fillId="0" borderId="1107" xfId="0" applyNumberFormat="1" applyFont="1" applyBorder="1" applyAlignment="1">
      <alignment horizontal="left"/>
    </xf>
    <xf numFmtId="169" fontId="1109" fillId="0" borderId="1108" xfId="0" applyNumberFormat="1" applyFont="1" applyBorder="1" applyAlignment="1">
      <alignment horizontal="right"/>
    </xf>
    <xf numFmtId="169" fontId="1110" fillId="0" borderId="1109" xfId="0" applyNumberFormat="1" applyFont="1" applyBorder="1" applyAlignment="1">
      <alignment horizontal="right"/>
    </xf>
    <xf numFmtId="169" fontId="1111" fillId="0" borderId="1110" xfId="0" applyNumberFormat="1" applyFont="1" applyBorder="1" applyAlignment="1">
      <alignment horizontal="right"/>
    </xf>
    <xf numFmtId="2" fontId="1112" fillId="0" borderId="1111" xfId="0" applyNumberFormat="1" applyFont="1" applyBorder="1" applyAlignment="1">
      <alignment horizontal="left"/>
    </xf>
    <xf numFmtId="169" fontId="1113" fillId="0" borderId="1112" xfId="0" applyNumberFormat="1" applyFont="1" applyBorder="1" applyAlignment="1">
      <alignment horizontal="right"/>
    </xf>
    <xf numFmtId="169" fontId="1114" fillId="0" borderId="1113" xfId="0" applyNumberFormat="1" applyFont="1" applyBorder="1" applyAlignment="1">
      <alignment horizontal="right"/>
    </xf>
    <xf numFmtId="169" fontId="1115" fillId="0" borderId="1114" xfId="0" applyNumberFormat="1" applyFont="1" applyBorder="1" applyAlignment="1">
      <alignment horizontal="right"/>
    </xf>
    <xf numFmtId="2" fontId="1116" fillId="0" borderId="1115" xfId="0" applyNumberFormat="1" applyFont="1" applyBorder="1" applyAlignment="1">
      <alignment horizontal="left"/>
    </xf>
    <xf numFmtId="169" fontId="1117" fillId="0" borderId="1116" xfId="0" applyNumberFormat="1" applyFont="1" applyBorder="1" applyAlignment="1">
      <alignment horizontal="right"/>
    </xf>
    <xf numFmtId="169" fontId="1118" fillId="0" borderId="1117" xfId="0" applyNumberFormat="1" applyFont="1" applyBorder="1" applyAlignment="1">
      <alignment horizontal="right"/>
    </xf>
    <xf numFmtId="169" fontId="1119" fillId="0" borderId="1118" xfId="0" applyNumberFormat="1" applyFont="1" applyBorder="1" applyAlignment="1">
      <alignment horizontal="right"/>
    </xf>
    <xf numFmtId="2" fontId="1120" fillId="0" borderId="1119" xfId="0" applyNumberFormat="1" applyFont="1" applyBorder="1" applyAlignment="1">
      <alignment horizontal="left"/>
    </xf>
    <xf numFmtId="169" fontId="1121" fillId="0" borderId="1120" xfId="0" applyNumberFormat="1" applyFont="1" applyBorder="1" applyAlignment="1">
      <alignment horizontal="right"/>
    </xf>
    <xf numFmtId="169" fontId="1122" fillId="0" borderId="1121" xfId="0" applyNumberFormat="1" applyFont="1" applyBorder="1" applyAlignment="1">
      <alignment horizontal="right"/>
    </xf>
    <xf numFmtId="169" fontId="1123" fillId="0" borderId="1122" xfId="0" applyNumberFormat="1" applyFont="1" applyBorder="1" applyAlignment="1">
      <alignment horizontal="right"/>
    </xf>
    <xf numFmtId="2" fontId="1124" fillId="0" borderId="1123" xfId="0" applyNumberFormat="1" applyFont="1" applyBorder="1" applyAlignment="1">
      <alignment horizontal="left"/>
    </xf>
    <xf numFmtId="169" fontId="1125" fillId="0" borderId="1124" xfId="0" applyNumberFormat="1" applyFont="1" applyBorder="1" applyAlignment="1">
      <alignment horizontal="right"/>
    </xf>
    <xf numFmtId="169" fontId="1126" fillId="0" borderId="1125" xfId="0" applyNumberFormat="1" applyFont="1" applyBorder="1" applyAlignment="1">
      <alignment horizontal="right"/>
    </xf>
    <xf numFmtId="169" fontId="1127" fillId="0" borderId="1126" xfId="0" applyNumberFormat="1" applyFont="1" applyBorder="1" applyAlignment="1">
      <alignment horizontal="right"/>
    </xf>
    <xf numFmtId="2" fontId="1128" fillId="0" borderId="1127" xfId="0" applyNumberFormat="1" applyFont="1" applyBorder="1" applyAlignment="1">
      <alignment horizontal="left"/>
    </xf>
    <xf numFmtId="169" fontId="1129" fillId="0" borderId="1128" xfId="0" applyNumberFormat="1" applyFont="1" applyBorder="1" applyAlignment="1">
      <alignment horizontal="right"/>
    </xf>
    <xf numFmtId="169" fontId="1130" fillId="0" borderId="1129" xfId="0" applyNumberFormat="1" applyFont="1" applyBorder="1" applyAlignment="1">
      <alignment horizontal="right"/>
    </xf>
    <xf numFmtId="169" fontId="1131" fillId="0" borderId="1130" xfId="0" applyNumberFormat="1" applyFont="1" applyBorder="1" applyAlignment="1">
      <alignment horizontal="right"/>
    </xf>
    <xf numFmtId="2" fontId="1132" fillId="0" borderId="1131" xfId="0" applyNumberFormat="1" applyFont="1" applyBorder="1" applyAlignment="1">
      <alignment horizontal="left"/>
    </xf>
    <xf numFmtId="169" fontId="1133" fillId="0" borderId="1132" xfId="0" applyNumberFormat="1" applyFont="1" applyBorder="1" applyAlignment="1">
      <alignment horizontal="right"/>
    </xf>
    <xf numFmtId="169" fontId="1134" fillId="0" borderId="1133" xfId="0" applyNumberFormat="1" applyFont="1" applyBorder="1" applyAlignment="1">
      <alignment horizontal="right"/>
    </xf>
    <xf numFmtId="169" fontId="1135" fillId="0" borderId="1134" xfId="0" applyNumberFormat="1" applyFont="1" applyBorder="1" applyAlignment="1">
      <alignment horizontal="right"/>
    </xf>
    <xf numFmtId="0" fontId="1136" fillId="0" borderId="1135" xfId="0" applyFont="1" applyBorder="1"/>
    <xf numFmtId="0" fontId="1138" fillId="0" borderId="1136" xfId="0" applyFont="1" applyBorder="1" applyAlignment="1">
      <alignment horizontal="right"/>
    </xf>
    <xf numFmtId="0" fontId="1139" fillId="0" borderId="1137" xfId="0" applyFont="1" applyBorder="1"/>
    <xf numFmtId="2" fontId="1140" fillId="0" borderId="1138" xfId="0" applyNumberFormat="1" applyFont="1" applyBorder="1" applyAlignment="1">
      <alignment horizontal="center"/>
    </xf>
    <xf numFmtId="0" fontId="1141" fillId="0" borderId="1139" xfId="0" applyFont="1" applyBorder="1"/>
    <xf numFmtId="0" fontId="1143" fillId="0" borderId="1140" xfId="0" applyFont="1" applyBorder="1"/>
    <xf numFmtId="2" fontId="1144" fillId="0" borderId="1141" xfId="0" applyNumberFormat="1" applyFont="1" applyBorder="1" applyAlignment="1">
      <alignment horizontal="right"/>
    </xf>
    <xf numFmtId="2" fontId="1145" fillId="0" borderId="1142" xfId="0" applyNumberFormat="1" applyFont="1" applyBorder="1" applyAlignment="1">
      <alignment horizontal="right"/>
    </xf>
    <xf numFmtId="2" fontId="1146" fillId="0" borderId="1143" xfId="0" applyNumberFormat="1" applyFont="1" applyBorder="1" applyAlignment="1">
      <alignment horizontal="right"/>
    </xf>
    <xf numFmtId="0" fontId="1147" fillId="0" borderId="1144" xfId="0" applyFont="1" applyBorder="1" applyAlignment="1">
      <alignment horizontal="left"/>
    </xf>
    <xf numFmtId="2" fontId="1148" fillId="0" borderId="1145" xfId="0" applyNumberFormat="1" applyFont="1" applyBorder="1" applyAlignment="1">
      <alignment horizontal="left"/>
    </xf>
    <xf numFmtId="2" fontId="1149" fillId="0" borderId="1146" xfId="0" applyNumberFormat="1" applyFont="1" applyBorder="1" applyAlignment="1">
      <alignment horizontal="left"/>
    </xf>
    <xf numFmtId="2" fontId="1150" fillId="0" borderId="1147" xfId="0" applyNumberFormat="1" applyFont="1" applyBorder="1" applyAlignment="1">
      <alignment horizontal="left"/>
    </xf>
    <xf numFmtId="0" fontId="1151" fillId="0" borderId="1148" xfId="0" applyFont="1" applyBorder="1"/>
    <xf numFmtId="0" fontId="1152" fillId="0" borderId="1149" xfId="0" applyFont="1" applyBorder="1" applyAlignment="1">
      <alignment horizontal="left"/>
    </xf>
    <xf numFmtId="169" fontId="1153" fillId="0" borderId="1150" xfId="0" applyNumberFormat="1" applyFont="1" applyBorder="1" applyAlignment="1">
      <alignment horizontal="right"/>
    </xf>
    <xf numFmtId="169" fontId="1154" fillId="0" borderId="1151" xfId="0" applyNumberFormat="1" applyFont="1" applyBorder="1" applyAlignment="1">
      <alignment horizontal="right"/>
    </xf>
    <xf numFmtId="169" fontId="1155" fillId="0" borderId="1152" xfId="0" applyNumberFormat="1" applyFont="1" applyBorder="1" applyAlignment="1">
      <alignment horizontal="right"/>
    </xf>
    <xf numFmtId="169" fontId="1156" fillId="0" borderId="1153" xfId="0" applyNumberFormat="1" applyFont="1" applyBorder="1" applyAlignment="1">
      <alignment horizontal="right"/>
    </xf>
    <xf numFmtId="0" fontId="1157" fillId="0" borderId="1154" xfId="0" applyFont="1" applyBorder="1" applyAlignment="1">
      <alignment horizontal="left"/>
    </xf>
    <xf numFmtId="169" fontId="1158" fillId="0" borderId="1155" xfId="0" applyNumberFormat="1" applyFont="1" applyBorder="1" applyAlignment="1">
      <alignment horizontal="right"/>
    </xf>
    <xf numFmtId="169" fontId="1159" fillId="0" borderId="1156" xfId="0" applyNumberFormat="1" applyFont="1" applyBorder="1" applyAlignment="1">
      <alignment horizontal="right"/>
    </xf>
    <xf numFmtId="169" fontId="1160" fillId="0" borderId="1157" xfId="0" applyNumberFormat="1" applyFont="1" applyBorder="1" applyAlignment="1">
      <alignment horizontal="right"/>
    </xf>
    <xf numFmtId="169" fontId="1161" fillId="0" borderId="1158" xfId="0" applyNumberFormat="1" applyFont="1" applyBorder="1" applyAlignment="1">
      <alignment horizontal="right"/>
    </xf>
    <xf numFmtId="0" fontId="1162" fillId="0" borderId="1159" xfId="0" applyFont="1" applyBorder="1" applyAlignment="1">
      <alignment horizontal="left"/>
    </xf>
    <xf numFmtId="169" fontId="1163" fillId="0" borderId="1160" xfId="0" applyNumberFormat="1" applyFont="1" applyBorder="1" applyAlignment="1">
      <alignment horizontal="right"/>
    </xf>
    <xf numFmtId="169" fontId="1164" fillId="0" borderId="1161" xfId="0" applyNumberFormat="1" applyFont="1" applyBorder="1" applyAlignment="1">
      <alignment horizontal="right"/>
    </xf>
    <xf numFmtId="169" fontId="1165" fillId="0" borderId="1162" xfId="0" applyNumberFormat="1" applyFont="1" applyBorder="1" applyAlignment="1">
      <alignment horizontal="right"/>
    </xf>
    <xf numFmtId="169" fontId="1166" fillId="0" borderId="1163" xfId="0" applyNumberFormat="1" applyFont="1" applyBorder="1" applyAlignment="1">
      <alignment horizontal="right"/>
    </xf>
    <xf numFmtId="0" fontId="1167" fillId="0" borderId="1164" xfId="0" applyFont="1" applyBorder="1" applyAlignment="1">
      <alignment horizontal="left"/>
    </xf>
    <xf numFmtId="169" fontId="1168" fillId="0" borderId="1165" xfId="0" applyNumberFormat="1" applyFont="1" applyBorder="1" applyAlignment="1">
      <alignment horizontal="right"/>
    </xf>
    <xf numFmtId="169" fontId="1169" fillId="0" borderId="1166" xfId="0" applyNumberFormat="1" applyFont="1" applyBorder="1" applyAlignment="1">
      <alignment horizontal="right"/>
    </xf>
    <xf numFmtId="169" fontId="1170" fillId="0" borderId="1167" xfId="0" applyNumberFormat="1" applyFont="1" applyBorder="1" applyAlignment="1">
      <alignment horizontal="right"/>
    </xf>
    <xf numFmtId="169" fontId="1171" fillId="0" borderId="1168" xfId="0" applyNumberFormat="1" applyFont="1" applyBorder="1" applyAlignment="1">
      <alignment horizontal="right"/>
    </xf>
    <xf numFmtId="0" fontId="1172" fillId="0" borderId="1169" xfId="0" applyFont="1" applyBorder="1" applyAlignment="1">
      <alignment horizontal="left"/>
    </xf>
    <xf numFmtId="169" fontId="1173" fillId="0" borderId="1170" xfId="0" applyNumberFormat="1" applyFont="1" applyBorder="1" applyAlignment="1">
      <alignment horizontal="right"/>
    </xf>
    <xf numFmtId="169" fontId="1174" fillId="0" borderId="1171" xfId="0" applyNumberFormat="1" applyFont="1" applyBorder="1" applyAlignment="1">
      <alignment horizontal="right"/>
    </xf>
    <xf numFmtId="169" fontId="1175" fillId="0" borderId="1172" xfId="0" applyNumberFormat="1" applyFont="1" applyBorder="1" applyAlignment="1">
      <alignment horizontal="right"/>
    </xf>
    <xf numFmtId="169" fontId="1176" fillId="0" borderId="1173" xfId="0" applyNumberFormat="1" applyFont="1" applyBorder="1" applyAlignment="1">
      <alignment horizontal="right"/>
    </xf>
    <xf numFmtId="0" fontId="1177" fillId="0" borderId="1174" xfId="0" applyFont="1" applyBorder="1" applyAlignment="1">
      <alignment horizontal="left"/>
    </xf>
    <xf numFmtId="169" fontId="1178" fillId="0" borderId="1175" xfId="0" applyNumberFormat="1" applyFont="1" applyBorder="1" applyAlignment="1">
      <alignment horizontal="right"/>
    </xf>
    <xf numFmtId="169" fontId="1179" fillId="0" borderId="1176" xfId="0" applyNumberFormat="1" applyFont="1" applyBorder="1" applyAlignment="1">
      <alignment horizontal="right"/>
    </xf>
    <xf numFmtId="169" fontId="1180" fillId="0" borderId="1177" xfId="0" applyNumberFormat="1" applyFont="1" applyBorder="1" applyAlignment="1">
      <alignment horizontal="right"/>
    </xf>
    <xf numFmtId="169" fontId="1181" fillId="0" borderId="1178" xfId="0" applyNumberFormat="1" applyFont="1" applyBorder="1" applyAlignment="1">
      <alignment horizontal="right"/>
    </xf>
    <xf numFmtId="0" fontId="1182" fillId="0" borderId="1179" xfId="0" applyFont="1" applyBorder="1" applyAlignment="1">
      <alignment horizontal="left"/>
    </xf>
    <xf numFmtId="169" fontId="1183" fillId="0" borderId="1180" xfId="0" applyNumberFormat="1" applyFont="1" applyBorder="1" applyAlignment="1">
      <alignment horizontal="right"/>
    </xf>
    <xf numFmtId="169" fontId="1184" fillId="0" borderId="1181" xfId="0" applyNumberFormat="1" applyFont="1" applyBorder="1" applyAlignment="1">
      <alignment horizontal="right"/>
    </xf>
    <xf numFmtId="169" fontId="1185" fillId="0" borderId="1182" xfId="0" applyNumberFormat="1" applyFont="1" applyBorder="1" applyAlignment="1">
      <alignment horizontal="right"/>
    </xf>
    <xf numFmtId="169" fontId="1186" fillId="0" borderId="1183" xfId="0" applyNumberFormat="1" applyFont="1" applyBorder="1" applyAlignment="1">
      <alignment horizontal="right"/>
    </xf>
    <xf numFmtId="0" fontId="1187" fillId="0" borderId="1184" xfId="0" applyFont="1" applyBorder="1" applyAlignment="1">
      <alignment horizontal="left"/>
    </xf>
    <xf numFmtId="169" fontId="1188" fillId="0" borderId="1185" xfId="0" applyNumberFormat="1" applyFont="1" applyBorder="1" applyAlignment="1">
      <alignment horizontal="right"/>
    </xf>
    <xf numFmtId="169" fontId="1189" fillId="0" borderId="1186" xfId="0" applyNumberFormat="1" applyFont="1" applyBorder="1" applyAlignment="1">
      <alignment horizontal="right"/>
    </xf>
    <xf numFmtId="169" fontId="1190" fillId="0" borderId="1187" xfId="0" applyNumberFormat="1" applyFont="1" applyBorder="1" applyAlignment="1">
      <alignment horizontal="right"/>
    </xf>
    <xf numFmtId="169" fontId="1191" fillId="0" borderId="1188" xfId="0" applyNumberFormat="1" applyFont="1" applyBorder="1" applyAlignment="1">
      <alignment horizontal="right"/>
    </xf>
    <xf numFmtId="0" fontId="1192" fillId="0" borderId="1189" xfId="0" applyFont="1" applyBorder="1" applyAlignment="1">
      <alignment horizontal="left"/>
    </xf>
    <xf numFmtId="169" fontId="1193" fillId="0" borderId="1190" xfId="0" applyNumberFormat="1" applyFont="1" applyBorder="1" applyAlignment="1">
      <alignment horizontal="right"/>
    </xf>
    <xf numFmtId="169" fontId="1194" fillId="0" borderId="1191" xfId="0" applyNumberFormat="1" applyFont="1" applyBorder="1" applyAlignment="1">
      <alignment horizontal="right"/>
    </xf>
    <xf numFmtId="169" fontId="1195" fillId="0" borderId="1192" xfId="0" applyNumberFormat="1" applyFont="1" applyBorder="1" applyAlignment="1">
      <alignment horizontal="right"/>
    </xf>
    <xf numFmtId="169" fontId="1196" fillId="0" borderId="1193" xfId="0" applyNumberFormat="1" applyFont="1" applyBorder="1" applyAlignment="1">
      <alignment horizontal="right"/>
    </xf>
    <xf numFmtId="0" fontId="1197" fillId="0" borderId="1194" xfId="0" applyFont="1" applyBorder="1" applyAlignment="1">
      <alignment horizontal="left"/>
    </xf>
    <xf numFmtId="169" fontId="1198" fillId="0" borderId="1195" xfId="0" applyNumberFormat="1" applyFont="1" applyBorder="1" applyAlignment="1">
      <alignment horizontal="right"/>
    </xf>
    <xf numFmtId="169" fontId="1199" fillId="0" borderId="1196" xfId="0" applyNumberFormat="1" applyFont="1" applyBorder="1" applyAlignment="1">
      <alignment horizontal="right"/>
    </xf>
    <xf numFmtId="169" fontId="1200" fillId="0" borderId="1197" xfId="0" applyNumberFormat="1" applyFont="1" applyBorder="1" applyAlignment="1">
      <alignment horizontal="right"/>
    </xf>
    <xf numFmtId="169" fontId="1201" fillId="0" borderId="1198" xfId="0" applyNumberFormat="1" applyFont="1" applyBorder="1" applyAlignment="1">
      <alignment horizontal="right"/>
    </xf>
    <xf numFmtId="0" fontId="1202" fillId="0" borderId="1199" xfId="0" applyFont="1" applyBorder="1" applyAlignment="1">
      <alignment horizontal="left"/>
    </xf>
    <xf numFmtId="169" fontId="1203" fillId="0" borderId="1200" xfId="0" applyNumberFormat="1" applyFont="1" applyBorder="1" applyAlignment="1">
      <alignment horizontal="right"/>
    </xf>
    <xf numFmtId="169" fontId="1204" fillId="0" borderId="1201" xfId="0" applyNumberFormat="1" applyFont="1" applyBorder="1" applyAlignment="1">
      <alignment horizontal="right"/>
    </xf>
    <xf numFmtId="169" fontId="1205" fillId="0" borderId="1202" xfId="0" applyNumberFormat="1" applyFont="1" applyBorder="1" applyAlignment="1">
      <alignment horizontal="right"/>
    </xf>
    <xf numFmtId="169" fontId="1206" fillId="0" borderId="1203" xfId="0" applyNumberFormat="1" applyFont="1" applyBorder="1" applyAlignment="1">
      <alignment horizontal="right"/>
    </xf>
    <xf numFmtId="0" fontId="1207" fillId="0" borderId="1204" xfId="0" applyFont="1" applyBorder="1" applyAlignment="1">
      <alignment horizontal="left"/>
    </xf>
    <xf numFmtId="169" fontId="1208" fillId="0" borderId="1205" xfId="0" applyNumberFormat="1" applyFont="1" applyBorder="1" applyAlignment="1">
      <alignment horizontal="right"/>
    </xf>
    <xf numFmtId="169" fontId="1209" fillId="0" borderId="1206" xfId="0" applyNumberFormat="1" applyFont="1" applyBorder="1" applyAlignment="1">
      <alignment horizontal="right"/>
    </xf>
    <xf numFmtId="169" fontId="1210" fillId="0" borderId="1207" xfId="0" applyNumberFormat="1" applyFont="1" applyBorder="1" applyAlignment="1">
      <alignment horizontal="right"/>
    </xf>
    <xf numFmtId="169" fontId="1211" fillId="0" borderId="1208" xfId="0" applyNumberFormat="1" applyFont="1" applyBorder="1" applyAlignment="1">
      <alignment horizontal="right"/>
    </xf>
    <xf numFmtId="0" fontId="1212" fillId="0" borderId="1209" xfId="0" applyFont="1" applyBorder="1" applyAlignment="1">
      <alignment horizontal="left"/>
    </xf>
    <xf numFmtId="169" fontId="1213" fillId="0" borderId="1210" xfId="0" applyNumberFormat="1" applyFont="1" applyBorder="1" applyAlignment="1">
      <alignment horizontal="right"/>
    </xf>
    <xf numFmtId="169" fontId="1214" fillId="0" borderId="1211" xfId="0" applyNumberFormat="1" applyFont="1" applyBorder="1" applyAlignment="1">
      <alignment horizontal="right"/>
    </xf>
    <xf numFmtId="169" fontId="1215" fillId="0" borderId="1212" xfId="0" applyNumberFormat="1" applyFont="1" applyBorder="1" applyAlignment="1">
      <alignment horizontal="right"/>
    </xf>
    <xf numFmtId="169" fontId="1216" fillId="0" borderId="1213" xfId="0" applyNumberFormat="1" applyFont="1" applyBorder="1" applyAlignment="1">
      <alignment horizontal="right"/>
    </xf>
    <xf numFmtId="0" fontId="1217" fillId="0" borderId="1214" xfId="0" applyFont="1" applyBorder="1" applyAlignment="1">
      <alignment horizontal="left"/>
    </xf>
    <xf numFmtId="169" fontId="1218" fillId="0" borderId="1215" xfId="0" applyNumberFormat="1" applyFont="1" applyBorder="1" applyAlignment="1">
      <alignment horizontal="right"/>
    </xf>
    <xf numFmtId="169" fontId="1219" fillId="0" borderId="1216" xfId="0" applyNumberFormat="1" applyFont="1" applyBorder="1" applyAlignment="1">
      <alignment horizontal="right"/>
    </xf>
    <xf numFmtId="169" fontId="1220" fillId="0" borderId="1217" xfId="0" applyNumberFormat="1" applyFont="1" applyBorder="1" applyAlignment="1">
      <alignment horizontal="right"/>
    </xf>
    <xf numFmtId="169" fontId="1221" fillId="0" borderId="1218" xfId="0" applyNumberFormat="1" applyFont="1" applyBorder="1" applyAlignment="1">
      <alignment horizontal="right"/>
    </xf>
    <xf numFmtId="0" fontId="1222" fillId="0" borderId="1219" xfId="0" applyFont="1" applyBorder="1" applyAlignment="1">
      <alignment horizontal="left"/>
    </xf>
    <xf numFmtId="169" fontId="1223" fillId="0" borderId="1220" xfId="0" applyNumberFormat="1" applyFont="1" applyBorder="1" applyAlignment="1">
      <alignment horizontal="right"/>
    </xf>
    <xf numFmtId="169" fontId="1224" fillId="0" borderId="1221" xfId="0" applyNumberFormat="1" applyFont="1" applyBorder="1" applyAlignment="1">
      <alignment horizontal="right"/>
    </xf>
    <xf numFmtId="169" fontId="1225" fillId="0" borderId="1222" xfId="0" applyNumberFormat="1" applyFont="1" applyBorder="1" applyAlignment="1">
      <alignment horizontal="right"/>
    </xf>
    <xf numFmtId="169" fontId="1226" fillId="0" borderId="1223" xfId="0" applyNumberFormat="1" applyFont="1" applyBorder="1" applyAlignment="1">
      <alignment horizontal="right"/>
    </xf>
    <xf numFmtId="0" fontId="1227" fillId="0" borderId="1224" xfId="0" applyFont="1" applyBorder="1" applyAlignment="1">
      <alignment horizontal="left"/>
    </xf>
    <xf numFmtId="169" fontId="1228" fillId="0" borderId="1225" xfId="0" applyNumberFormat="1" applyFont="1" applyBorder="1" applyAlignment="1">
      <alignment horizontal="right"/>
    </xf>
    <xf numFmtId="169" fontId="1229" fillId="0" borderId="1226" xfId="0" applyNumberFormat="1" applyFont="1" applyBorder="1" applyAlignment="1">
      <alignment horizontal="right"/>
    </xf>
    <xf numFmtId="169" fontId="1230" fillId="0" borderId="1227" xfId="0" applyNumberFormat="1" applyFont="1" applyBorder="1" applyAlignment="1">
      <alignment horizontal="right"/>
    </xf>
    <xf numFmtId="169" fontId="1231" fillId="0" borderId="1228" xfId="0" applyNumberFormat="1" applyFont="1" applyBorder="1" applyAlignment="1">
      <alignment horizontal="right"/>
    </xf>
    <xf numFmtId="2" fontId="1232" fillId="0" borderId="1229" xfId="0" applyNumberFormat="1" applyFont="1" applyBorder="1"/>
    <xf numFmtId="0" fontId="1233" fillId="0" borderId="1230" xfId="0" applyFont="1" applyBorder="1" applyAlignment="1">
      <alignment horizontal="center"/>
    </xf>
    <xf numFmtId="0" fontId="1234" fillId="0" borderId="1231" xfId="0" applyFont="1" applyBorder="1" applyAlignment="1">
      <alignment horizontal="center"/>
    </xf>
    <xf numFmtId="0" fontId="1235" fillId="0" borderId="1232" xfId="0" applyFont="1" applyBorder="1" applyAlignment="1">
      <alignment horizontal="right"/>
    </xf>
    <xf numFmtId="2" fontId="1236" fillId="0" borderId="1233" xfId="0" applyNumberFormat="1" applyFont="1" applyBorder="1"/>
    <xf numFmtId="0" fontId="1237" fillId="0" borderId="1234" xfId="0" applyFont="1" applyBorder="1" applyAlignment="1">
      <alignment horizontal="center"/>
    </xf>
    <xf numFmtId="2" fontId="1238" fillId="0" borderId="1235" xfId="0" applyNumberFormat="1" applyFont="1" applyBorder="1"/>
    <xf numFmtId="0" fontId="1239" fillId="0" borderId="1236" xfId="0" applyFont="1" applyBorder="1" applyAlignment="1">
      <alignment horizontal="center"/>
    </xf>
    <xf numFmtId="2" fontId="1240" fillId="0" borderId="1237" xfId="0" applyNumberFormat="1" applyFont="1" applyBorder="1" applyAlignment="1">
      <alignment horizontal="right"/>
    </xf>
    <xf numFmtId="0" fontId="1241" fillId="0" borderId="1238" xfId="0" applyFont="1" applyBorder="1" applyAlignment="1">
      <alignment horizontal="right"/>
    </xf>
    <xf numFmtId="0" fontId="1242" fillId="0" borderId="1239" xfId="0" applyFont="1" applyBorder="1" applyAlignment="1">
      <alignment horizontal="right"/>
    </xf>
    <xf numFmtId="2" fontId="1243" fillId="0" borderId="1240" xfId="0" applyNumberFormat="1" applyFont="1" applyBorder="1" applyAlignment="1">
      <alignment horizontal="left"/>
    </xf>
    <xf numFmtId="0" fontId="1244" fillId="0" borderId="1241" xfId="0" applyFont="1" applyBorder="1"/>
    <xf numFmtId="0" fontId="1245" fillId="0" borderId="1242" xfId="0" applyFont="1" applyBorder="1"/>
    <xf numFmtId="0" fontId="1246" fillId="0" borderId="1243" xfId="0" applyFont="1" applyBorder="1"/>
    <xf numFmtId="2" fontId="1247" fillId="0" borderId="1244" xfId="0" applyNumberFormat="1" applyFont="1" applyBorder="1" applyAlignment="1">
      <alignment horizontal="left"/>
    </xf>
    <xf numFmtId="169" fontId="1248" fillId="0" borderId="1245" xfId="0" applyNumberFormat="1" applyFont="1" applyBorder="1" applyAlignment="1">
      <alignment horizontal="right"/>
    </xf>
    <xf numFmtId="169" fontId="1249" fillId="0" borderId="1246" xfId="0" applyNumberFormat="1" applyFont="1" applyBorder="1" applyAlignment="1">
      <alignment horizontal="right"/>
    </xf>
    <xf numFmtId="169" fontId="1250" fillId="0" borderId="1247" xfId="0" applyNumberFormat="1" applyFont="1" applyBorder="1" applyAlignment="1">
      <alignment horizontal="right"/>
    </xf>
    <xf numFmtId="2" fontId="1251" fillId="0" borderId="1248" xfId="0" applyNumberFormat="1" applyFont="1" applyBorder="1" applyAlignment="1">
      <alignment horizontal="left"/>
    </xf>
    <xf numFmtId="169" fontId="1252" fillId="0" borderId="1249" xfId="0" applyNumberFormat="1" applyFont="1" applyBorder="1" applyAlignment="1">
      <alignment horizontal="right"/>
    </xf>
    <xf numFmtId="169" fontId="1253" fillId="0" borderId="1250" xfId="0" applyNumberFormat="1" applyFont="1" applyBorder="1" applyAlignment="1">
      <alignment horizontal="right"/>
    </xf>
    <xf numFmtId="169" fontId="1254" fillId="0" borderId="1251" xfId="0" applyNumberFormat="1" applyFont="1" applyBorder="1" applyAlignment="1">
      <alignment horizontal="right"/>
    </xf>
    <xf numFmtId="2" fontId="1255" fillId="0" borderId="1252" xfId="0" applyNumberFormat="1" applyFont="1" applyBorder="1" applyAlignment="1">
      <alignment horizontal="left"/>
    </xf>
    <xf numFmtId="169" fontId="1256" fillId="0" borderId="1253" xfId="0" applyNumberFormat="1" applyFont="1" applyBorder="1" applyAlignment="1">
      <alignment horizontal="right"/>
    </xf>
    <xf numFmtId="169" fontId="1257" fillId="0" borderId="1254" xfId="0" applyNumberFormat="1" applyFont="1" applyBorder="1" applyAlignment="1">
      <alignment horizontal="right"/>
    </xf>
    <xf numFmtId="169" fontId="1258" fillId="0" borderId="1255" xfId="0" applyNumberFormat="1" applyFont="1" applyBorder="1" applyAlignment="1">
      <alignment horizontal="right"/>
    </xf>
    <xf numFmtId="2" fontId="1259" fillId="0" borderId="1256" xfId="0" applyNumberFormat="1" applyFont="1" applyBorder="1" applyAlignment="1">
      <alignment horizontal="left"/>
    </xf>
    <xf numFmtId="169" fontId="1260" fillId="0" borderId="1257" xfId="0" applyNumberFormat="1" applyFont="1" applyBorder="1" applyAlignment="1">
      <alignment horizontal="right"/>
    </xf>
    <xf numFmtId="169" fontId="1261" fillId="0" borderId="1258" xfId="0" applyNumberFormat="1" applyFont="1" applyBorder="1" applyAlignment="1">
      <alignment horizontal="right"/>
    </xf>
    <xf numFmtId="169" fontId="1262" fillId="0" borderId="1259" xfId="0" applyNumberFormat="1" applyFont="1" applyBorder="1" applyAlignment="1">
      <alignment horizontal="right"/>
    </xf>
    <xf numFmtId="2" fontId="1263" fillId="0" borderId="1260" xfId="0" applyNumberFormat="1" applyFont="1" applyBorder="1" applyAlignment="1">
      <alignment horizontal="left"/>
    </xf>
    <xf numFmtId="169" fontId="1264" fillId="0" borderId="1261" xfId="0" applyNumberFormat="1" applyFont="1" applyBorder="1" applyAlignment="1">
      <alignment horizontal="right"/>
    </xf>
    <xf numFmtId="169" fontId="1265" fillId="0" borderId="1262" xfId="0" applyNumberFormat="1" applyFont="1" applyBorder="1" applyAlignment="1">
      <alignment horizontal="right"/>
    </xf>
    <xf numFmtId="169" fontId="1266" fillId="0" borderId="1263" xfId="0" applyNumberFormat="1" applyFont="1" applyBorder="1" applyAlignment="1">
      <alignment horizontal="right"/>
    </xf>
    <xf numFmtId="2" fontId="1267" fillId="0" borderId="1264" xfId="0" applyNumberFormat="1" applyFont="1" applyBorder="1" applyAlignment="1">
      <alignment horizontal="left"/>
    </xf>
    <xf numFmtId="169" fontId="1268" fillId="0" borderId="1265" xfId="0" applyNumberFormat="1" applyFont="1" applyBorder="1" applyAlignment="1">
      <alignment horizontal="right"/>
    </xf>
    <xf numFmtId="169" fontId="1269" fillId="0" borderId="1266" xfId="0" applyNumberFormat="1" applyFont="1" applyBorder="1" applyAlignment="1">
      <alignment horizontal="right"/>
    </xf>
    <xf numFmtId="169" fontId="1270" fillId="0" borderId="1267" xfId="0" applyNumberFormat="1" applyFont="1" applyBorder="1" applyAlignment="1">
      <alignment horizontal="right"/>
    </xf>
    <xf numFmtId="2" fontId="1271" fillId="0" borderId="1268" xfId="0" applyNumberFormat="1" applyFont="1" applyBorder="1" applyAlignment="1">
      <alignment horizontal="left"/>
    </xf>
    <xf numFmtId="169" fontId="1272" fillId="0" borderId="1269" xfId="0" applyNumberFormat="1" applyFont="1" applyBorder="1" applyAlignment="1">
      <alignment horizontal="right"/>
    </xf>
    <xf numFmtId="169" fontId="1273" fillId="0" borderId="1270" xfId="0" applyNumberFormat="1" applyFont="1" applyBorder="1" applyAlignment="1">
      <alignment horizontal="right"/>
    </xf>
    <xf numFmtId="169" fontId="1274" fillId="0" borderId="1271" xfId="0" applyNumberFormat="1" applyFont="1" applyBorder="1" applyAlignment="1">
      <alignment horizontal="right"/>
    </xf>
    <xf numFmtId="2" fontId="1275" fillId="0" borderId="1272" xfId="0" applyNumberFormat="1" applyFont="1" applyBorder="1" applyAlignment="1">
      <alignment horizontal="left"/>
    </xf>
    <xf numFmtId="169" fontId="1276" fillId="0" borderId="1273" xfId="0" applyNumberFormat="1" applyFont="1" applyBorder="1" applyAlignment="1">
      <alignment horizontal="right"/>
    </xf>
    <xf numFmtId="169" fontId="1277" fillId="0" borderId="1274" xfId="0" applyNumberFormat="1" applyFont="1" applyBorder="1" applyAlignment="1">
      <alignment horizontal="right"/>
    </xf>
    <xf numFmtId="169" fontId="1278" fillId="0" borderId="1275" xfId="0" applyNumberFormat="1" applyFont="1" applyBorder="1" applyAlignment="1">
      <alignment horizontal="right"/>
    </xf>
    <xf numFmtId="2" fontId="1279" fillId="0" borderId="1276" xfId="0" applyNumberFormat="1" applyFont="1" applyBorder="1" applyAlignment="1">
      <alignment horizontal="left"/>
    </xf>
    <xf numFmtId="169" fontId="1280" fillId="0" borderId="1277" xfId="0" applyNumberFormat="1" applyFont="1" applyBorder="1" applyAlignment="1">
      <alignment horizontal="right"/>
    </xf>
    <xf numFmtId="169" fontId="1281" fillId="0" borderId="1278" xfId="0" applyNumberFormat="1" applyFont="1" applyBorder="1" applyAlignment="1">
      <alignment horizontal="right"/>
    </xf>
    <xf numFmtId="169" fontId="1282" fillId="0" borderId="1279" xfId="0" applyNumberFormat="1" applyFont="1" applyBorder="1" applyAlignment="1">
      <alignment horizontal="right"/>
    </xf>
    <xf numFmtId="2" fontId="1283" fillId="0" borderId="1280" xfId="0" applyNumberFormat="1" applyFont="1" applyBorder="1" applyAlignment="1">
      <alignment horizontal="left"/>
    </xf>
    <xf numFmtId="169" fontId="1284" fillId="0" borderId="1281" xfId="0" applyNumberFormat="1" applyFont="1" applyBorder="1" applyAlignment="1">
      <alignment horizontal="right"/>
    </xf>
    <xf numFmtId="169" fontId="1285" fillId="0" borderId="1282" xfId="0" applyNumberFormat="1" applyFont="1" applyBorder="1" applyAlignment="1">
      <alignment horizontal="right"/>
    </xf>
    <xf numFmtId="169" fontId="1286" fillId="0" borderId="1283" xfId="0" applyNumberFormat="1" applyFont="1" applyBorder="1" applyAlignment="1">
      <alignment horizontal="right"/>
    </xf>
    <xf numFmtId="2" fontId="1287" fillId="0" borderId="1284" xfId="0" applyNumberFormat="1" applyFont="1" applyBorder="1" applyAlignment="1">
      <alignment horizontal="left"/>
    </xf>
    <xf numFmtId="169" fontId="1288" fillId="0" borderId="1285" xfId="0" applyNumberFormat="1" applyFont="1" applyBorder="1" applyAlignment="1">
      <alignment horizontal="right"/>
    </xf>
    <xf numFmtId="169" fontId="1289" fillId="0" borderId="1286" xfId="0" applyNumberFormat="1" applyFont="1" applyBorder="1" applyAlignment="1">
      <alignment horizontal="right"/>
    </xf>
    <xf numFmtId="169" fontId="1290" fillId="0" borderId="1287" xfId="0" applyNumberFormat="1" applyFont="1" applyBorder="1" applyAlignment="1">
      <alignment horizontal="right"/>
    </xf>
    <xf numFmtId="2" fontId="1291" fillId="0" borderId="1288" xfId="0" applyNumberFormat="1" applyFont="1" applyBorder="1" applyAlignment="1">
      <alignment horizontal="left"/>
    </xf>
    <xf numFmtId="169" fontId="1292" fillId="0" borderId="1289" xfId="0" applyNumberFormat="1" applyFont="1" applyBorder="1" applyAlignment="1">
      <alignment horizontal="right"/>
    </xf>
    <xf numFmtId="169" fontId="1293" fillId="0" borderId="1290" xfId="0" applyNumberFormat="1" applyFont="1" applyBorder="1" applyAlignment="1">
      <alignment horizontal="right"/>
    </xf>
    <xf numFmtId="169" fontId="1294" fillId="0" borderId="1291" xfId="0" applyNumberFormat="1" applyFont="1" applyBorder="1" applyAlignment="1">
      <alignment horizontal="right"/>
    </xf>
    <xf numFmtId="2" fontId="1295" fillId="0" borderId="1292" xfId="0" applyNumberFormat="1" applyFont="1" applyBorder="1" applyAlignment="1">
      <alignment horizontal="left"/>
    </xf>
    <xf numFmtId="169" fontId="1296" fillId="0" borderId="1293" xfId="0" applyNumberFormat="1" applyFont="1" applyBorder="1" applyAlignment="1">
      <alignment horizontal="right"/>
    </xf>
    <xf numFmtId="169" fontId="1297" fillId="0" borderId="1294" xfId="0" applyNumberFormat="1" applyFont="1" applyBorder="1" applyAlignment="1">
      <alignment horizontal="right"/>
    </xf>
    <xf numFmtId="169" fontId="1298" fillId="0" borderId="1295" xfId="0" applyNumberFormat="1" applyFont="1" applyBorder="1" applyAlignment="1">
      <alignment horizontal="right"/>
    </xf>
    <xf numFmtId="2" fontId="1299" fillId="0" borderId="1296" xfId="0" applyNumberFormat="1" applyFont="1" applyBorder="1" applyAlignment="1">
      <alignment horizontal="left"/>
    </xf>
    <xf numFmtId="169" fontId="1300" fillId="0" borderId="1297" xfId="0" applyNumberFormat="1" applyFont="1" applyBorder="1" applyAlignment="1">
      <alignment horizontal="right"/>
    </xf>
    <xf numFmtId="169" fontId="1301" fillId="0" borderId="1298" xfId="0" applyNumberFormat="1" applyFont="1" applyBorder="1" applyAlignment="1">
      <alignment horizontal="right"/>
    </xf>
    <xf numFmtId="169" fontId="1302" fillId="0" borderId="1299" xfId="0" applyNumberFormat="1" applyFont="1" applyBorder="1" applyAlignment="1">
      <alignment horizontal="right"/>
    </xf>
    <xf numFmtId="2" fontId="1303" fillId="0" borderId="1300" xfId="0" applyNumberFormat="1" applyFont="1" applyBorder="1" applyAlignment="1">
      <alignment horizontal="left"/>
    </xf>
    <xf numFmtId="169" fontId="1304" fillId="0" borderId="1301" xfId="0" applyNumberFormat="1" applyFont="1" applyBorder="1" applyAlignment="1">
      <alignment horizontal="right"/>
    </xf>
    <xf numFmtId="169" fontId="1305" fillId="0" borderId="1302" xfId="0" applyNumberFormat="1" applyFont="1" applyBorder="1" applyAlignment="1">
      <alignment horizontal="right"/>
    </xf>
    <xf numFmtId="169" fontId="1306" fillId="0" borderId="1303" xfId="0" applyNumberFormat="1" applyFont="1" applyBorder="1" applyAlignment="1">
      <alignment horizontal="right"/>
    </xf>
    <xf numFmtId="2" fontId="1307" fillId="0" borderId="1304" xfId="0" applyNumberFormat="1" applyFont="1" applyBorder="1" applyAlignment="1">
      <alignment horizontal="left"/>
    </xf>
    <xf numFmtId="169" fontId="1308" fillId="0" borderId="1305" xfId="0" applyNumberFormat="1" applyFont="1" applyBorder="1" applyAlignment="1">
      <alignment horizontal="right"/>
    </xf>
    <xf numFmtId="169" fontId="1309" fillId="0" borderId="1306" xfId="0" applyNumberFormat="1" applyFont="1" applyBorder="1" applyAlignment="1">
      <alignment horizontal="right"/>
    </xf>
    <xf numFmtId="169" fontId="1310" fillId="0" borderId="1307" xfId="0" applyNumberFormat="1" applyFont="1" applyBorder="1" applyAlignment="1">
      <alignment horizontal="right"/>
    </xf>
    <xf numFmtId="0" fontId="1311" fillId="0" borderId="1308" xfId="0" applyFont="1" applyBorder="1"/>
    <xf numFmtId="0" fontId="1313" fillId="0" borderId="1309" xfId="0" applyFont="1" applyBorder="1" applyAlignment="1">
      <alignment horizontal="right"/>
    </xf>
    <xf numFmtId="0" fontId="1314" fillId="0" borderId="1310" xfId="0" applyFont="1" applyBorder="1"/>
    <xf numFmtId="0" fontId="1316" fillId="0" borderId="1311" xfId="0" applyFont="1" applyBorder="1"/>
    <xf numFmtId="0" fontId="1318" fillId="0" borderId="1312" xfId="0" applyFont="1" applyBorder="1"/>
    <xf numFmtId="2" fontId="1319" fillId="0" borderId="1313" xfId="0" applyNumberFormat="1" applyFont="1" applyBorder="1" applyAlignment="1">
      <alignment horizontal="right"/>
    </xf>
    <xf numFmtId="2" fontId="1320" fillId="0" borderId="1314" xfId="0" applyNumberFormat="1" applyFont="1" applyBorder="1" applyAlignment="1">
      <alignment horizontal="right"/>
    </xf>
    <xf numFmtId="2" fontId="1321" fillId="0" borderId="1315" xfId="0" applyNumberFormat="1" applyFont="1" applyBorder="1" applyAlignment="1">
      <alignment horizontal="right"/>
    </xf>
    <xf numFmtId="0" fontId="1322" fillId="0" borderId="1316" xfId="0" applyFont="1" applyBorder="1" applyAlignment="1">
      <alignment horizontal="left"/>
    </xf>
    <xf numFmtId="2" fontId="1323" fillId="0" borderId="1317" xfId="0" applyNumberFormat="1" applyFont="1" applyBorder="1" applyAlignment="1">
      <alignment horizontal="left"/>
    </xf>
    <xf numFmtId="2" fontId="1324" fillId="0" borderId="1318" xfId="0" applyNumberFormat="1" applyFont="1" applyBorder="1" applyAlignment="1">
      <alignment horizontal="left"/>
    </xf>
    <xf numFmtId="2" fontId="1325" fillId="0" borderId="1319" xfId="0" applyNumberFormat="1" applyFont="1" applyBorder="1" applyAlignment="1">
      <alignment horizontal="left"/>
    </xf>
    <xf numFmtId="0" fontId="1326" fillId="0" borderId="1320" xfId="0" applyFont="1" applyBorder="1"/>
    <xf numFmtId="0" fontId="1327" fillId="0" borderId="1321" xfId="0" applyFont="1" applyBorder="1" applyAlignment="1">
      <alignment horizontal="left"/>
    </xf>
    <xf numFmtId="169" fontId="1328" fillId="0" borderId="1322" xfId="0" applyNumberFormat="1" applyFont="1" applyBorder="1" applyAlignment="1">
      <alignment horizontal="right"/>
    </xf>
    <xf numFmtId="169" fontId="1329" fillId="0" borderId="1323" xfId="0" applyNumberFormat="1" applyFont="1" applyBorder="1" applyAlignment="1">
      <alignment horizontal="right"/>
    </xf>
    <xf numFmtId="169" fontId="1330" fillId="0" borderId="1324" xfId="0" applyNumberFormat="1" applyFont="1" applyBorder="1" applyAlignment="1">
      <alignment horizontal="right"/>
    </xf>
    <xf numFmtId="169" fontId="1331" fillId="0" borderId="1325" xfId="0" applyNumberFormat="1" applyFont="1" applyBorder="1" applyAlignment="1">
      <alignment horizontal="right"/>
    </xf>
    <xf numFmtId="0" fontId="1332" fillId="0" borderId="1326" xfId="0" applyFont="1" applyBorder="1" applyAlignment="1">
      <alignment horizontal="left"/>
    </xf>
    <xf numFmtId="169" fontId="1333" fillId="0" borderId="1327" xfId="0" applyNumberFormat="1" applyFont="1" applyBorder="1" applyAlignment="1">
      <alignment horizontal="right"/>
    </xf>
    <xf numFmtId="169" fontId="1334" fillId="0" borderId="1328" xfId="0" applyNumberFormat="1" applyFont="1" applyBorder="1" applyAlignment="1">
      <alignment horizontal="right"/>
    </xf>
    <xf numFmtId="169" fontId="1335" fillId="0" borderId="1329" xfId="0" applyNumberFormat="1" applyFont="1" applyBorder="1" applyAlignment="1">
      <alignment horizontal="right"/>
    </xf>
    <xf numFmtId="169" fontId="1336" fillId="0" borderId="1330" xfId="0" applyNumberFormat="1" applyFont="1" applyBorder="1" applyAlignment="1">
      <alignment horizontal="right"/>
    </xf>
    <xf numFmtId="0" fontId="1337" fillId="0" borderId="1331" xfId="0" applyFont="1" applyBorder="1" applyAlignment="1">
      <alignment horizontal="left"/>
    </xf>
    <xf numFmtId="169" fontId="1338" fillId="0" borderId="1332" xfId="0" applyNumberFormat="1" applyFont="1" applyBorder="1" applyAlignment="1">
      <alignment horizontal="right"/>
    </xf>
    <xf numFmtId="169" fontId="1339" fillId="0" borderId="1333" xfId="0" applyNumberFormat="1" applyFont="1" applyBorder="1" applyAlignment="1">
      <alignment horizontal="right"/>
    </xf>
    <xf numFmtId="169" fontId="1340" fillId="0" borderId="1334" xfId="0" applyNumberFormat="1" applyFont="1" applyBorder="1" applyAlignment="1">
      <alignment horizontal="right"/>
    </xf>
    <xf numFmtId="169" fontId="1341" fillId="0" borderId="1335" xfId="0" applyNumberFormat="1" applyFont="1" applyBorder="1" applyAlignment="1">
      <alignment horizontal="right"/>
    </xf>
    <xf numFmtId="0" fontId="1342" fillId="0" borderId="1336" xfId="0" applyFont="1" applyBorder="1" applyAlignment="1">
      <alignment horizontal="left"/>
    </xf>
    <xf numFmtId="169" fontId="1343" fillId="0" borderId="1337" xfId="0" applyNumberFormat="1" applyFont="1" applyBorder="1" applyAlignment="1">
      <alignment horizontal="right"/>
    </xf>
    <xf numFmtId="169" fontId="1344" fillId="0" borderId="1338" xfId="0" applyNumberFormat="1" applyFont="1" applyBorder="1" applyAlignment="1">
      <alignment horizontal="right"/>
    </xf>
    <xf numFmtId="169" fontId="1345" fillId="0" borderId="1339" xfId="0" applyNumberFormat="1" applyFont="1" applyBorder="1" applyAlignment="1">
      <alignment horizontal="right"/>
    </xf>
    <xf numFmtId="169" fontId="1346" fillId="0" borderId="1340" xfId="0" applyNumberFormat="1" applyFont="1" applyBorder="1" applyAlignment="1">
      <alignment horizontal="right"/>
    </xf>
    <xf numFmtId="0" fontId="1347" fillId="0" borderId="1341" xfId="0" applyFont="1" applyBorder="1" applyAlignment="1">
      <alignment horizontal="left"/>
    </xf>
    <xf numFmtId="169" fontId="1348" fillId="0" borderId="1342" xfId="0" applyNumberFormat="1" applyFont="1" applyBorder="1" applyAlignment="1">
      <alignment horizontal="right"/>
    </xf>
    <xf numFmtId="169" fontId="1349" fillId="0" borderId="1343" xfId="0" applyNumberFormat="1" applyFont="1" applyBorder="1" applyAlignment="1">
      <alignment horizontal="right"/>
    </xf>
    <xf numFmtId="169" fontId="1350" fillId="0" borderId="1344" xfId="0" applyNumberFormat="1" applyFont="1" applyBorder="1" applyAlignment="1">
      <alignment horizontal="right"/>
    </xf>
    <xf numFmtId="169" fontId="1351" fillId="0" borderId="1345" xfId="0" applyNumberFormat="1" applyFont="1" applyBorder="1" applyAlignment="1">
      <alignment horizontal="right"/>
    </xf>
    <xf numFmtId="0" fontId="1352" fillId="0" borderId="1346" xfId="0" applyFont="1" applyBorder="1" applyAlignment="1">
      <alignment horizontal="left"/>
    </xf>
    <xf numFmtId="169" fontId="1353" fillId="0" borderId="1347" xfId="0" applyNumberFormat="1" applyFont="1" applyBorder="1" applyAlignment="1">
      <alignment horizontal="right"/>
    </xf>
    <xf numFmtId="169" fontId="1354" fillId="0" borderId="1348" xfId="0" applyNumberFormat="1" applyFont="1" applyBorder="1" applyAlignment="1">
      <alignment horizontal="right"/>
    </xf>
    <xf numFmtId="169" fontId="1355" fillId="0" borderId="1349" xfId="0" applyNumberFormat="1" applyFont="1" applyBorder="1" applyAlignment="1">
      <alignment horizontal="right"/>
    </xf>
    <xf numFmtId="169" fontId="1356" fillId="0" borderId="1350" xfId="0" applyNumberFormat="1" applyFont="1" applyBorder="1" applyAlignment="1">
      <alignment horizontal="right"/>
    </xf>
    <xf numFmtId="0" fontId="1357" fillId="0" borderId="1351" xfId="0" applyFont="1" applyBorder="1" applyAlignment="1">
      <alignment horizontal="left"/>
    </xf>
    <xf numFmtId="169" fontId="1358" fillId="0" borderId="1352" xfId="0" applyNumberFormat="1" applyFont="1" applyBorder="1" applyAlignment="1">
      <alignment horizontal="right"/>
    </xf>
    <xf numFmtId="169" fontId="1359" fillId="0" borderId="1353" xfId="0" applyNumberFormat="1" applyFont="1" applyBorder="1" applyAlignment="1">
      <alignment horizontal="right"/>
    </xf>
    <xf numFmtId="169" fontId="1360" fillId="0" borderId="1354" xfId="0" applyNumberFormat="1" applyFont="1" applyBorder="1" applyAlignment="1">
      <alignment horizontal="right"/>
    </xf>
    <xf numFmtId="169" fontId="1361" fillId="0" borderId="1355" xfId="0" applyNumberFormat="1" applyFont="1" applyBorder="1" applyAlignment="1">
      <alignment horizontal="right"/>
    </xf>
    <xf numFmtId="0" fontId="1362" fillId="0" borderId="1356" xfId="0" applyFont="1" applyBorder="1" applyAlignment="1">
      <alignment horizontal="left"/>
    </xf>
    <xf numFmtId="169" fontId="1363" fillId="0" borderId="1357" xfId="0" applyNumberFormat="1" applyFont="1" applyBorder="1" applyAlignment="1">
      <alignment horizontal="right"/>
    </xf>
    <xf numFmtId="169" fontId="1364" fillId="0" borderId="1358" xfId="0" applyNumberFormat="1" applyFont="1" applyBorder="1" applyAlignment="1">
      <alignment horizontal="right"/>
    </xf>
    <xf numFmtId="169" fontId="1365" fillId="0" borderId="1359" xfId="0" applyNumberFormat="1" applyFont="1" applyBorder="1" applyAlignment="1">
      <alignment horizontal="right"/>
    </xf>
    <xf numFmtId="169" fontId="1366" fillId="0" borderId="1360" xfId="0" applyNumberFormat="1" applyFont="1" applyBorder="1" applyAlignment="1">
      <alignment horizontal="right"/>
    </xf>
    <xf numFmtId="0" fontId="1367" fillId="0" borderId="1361" xfId="0" applyFont="1" applyBorder="1" applyAlignment="1">
      <alignment horizontal="left"/>
    </xf>
    <xf numFmtId="169" fontId="1368" fillId="0" borderId="1362" xfId="0" applyNumberFormat="1" applyFont="1" applyBorder="1" applyAlignment="1">
      <alignment horizontal="right"/>
    </xf>
    <xf numFmtId="169" fontId="1369" fillId="0" borderId="1363" xfId="0" applyNumberFormat="1" applyFont="1" applyBorder="1" applyAlignment="1">
      <alignment horizontal="right"/>
    </xf>
    <xf numFmtId="169" fontId="1370" fillId="0" borderId="1364" xfId="0" applyNumberFormat="1" applyFont="1" applyBorder="1" applyAlignment="1">
      <alignment horizontal="right"/>
    </xf>
    <xf numFmtId="169" fontId="1371" fillId="0" borderId="1365" xfId="0" applyNumberFormat="1" applyFont="1" applyBorder="1" applyAlignment="1">
      <alignment horizontal="right"/>
    </xf>
    <xf numFmtId="0" fontId="1372" fillId="0" borderId="1366" xfId="0" applyFont="1" applyBorder="1" applyAlignment="1">
      <alignment horizontal="left"/>
    </xf>
    <xf numFmtId="169" fontId="1373" fillId="0" borderId="1367" xfId="0" applyNumberFormat="1" applyFont="1" applyBorder="1" applyAlignment="1">
      <alignment horizontal="right"/>
    </xf>
    <xf numFmtId="169" fontId="1374" fillId="0" borderId="1368" xfId="0" applyNumberFormat="1" applyFont="1" applyBorder="1" applyAlignment="1">
      <alignment horizontal="right"/>
    </xf>
    <xf numFmtId="169" fontId="1375" fillId="0" borderId="1369" xfId="0" applyNumberFormat="1" applyFont="1" applyBorder="1" applyAlignment="1">
      <alignment horizontal="right"/>
    </xf>
    <xf numFmtId="169" fontId="1376" fillId="0" borderId="1370" xfId="0" applyNumberFormat="1" applyFont="1" applyBorder="1" applyAlignment="1">
      <alignment horizontal="right"/>
    </xf>
    <xf numFmtId="0" fontId="1377" fillId="0" borderId="1371" xfId="0" applyFont="1" applyBorder="1" applyAlignment="1">
      <alignment horizontal="left"/>
    </xf>
    <xf numFmtId="169" fontId="1378" fillId="0" borderId="1372" xfId="0" applyNumberFormat="1" applyFont="1" applyBorder="1" applyAlignment="1">
      <alignment horizontal="right"/>
    </xf>
    <xf numFmtId="169" fontId="1379" fillId="0" borderId="1373" xfId="0" applyNumberFormat="1" applyFont="1" applyBorder="1" applyAlignment="1">
      <alignment horizontal="right"/>
    </xf>
    <xf numFmtId="169" fontId="1380" fillId="0" borderId="1374" xfId="0" applyNumberFormat="1" applyFont="1" applyBorder="1" applyAlignment="1">
      <alignment horizontal="right"/>
    </xf>
    <xf numFmtId="169" fontId="1381" fillId="0" borderId="1375" xfId="0" applyNumberFormat="1" applyFont="1" applyBorder="1" applyAlignment="1">
      <alignment horizontal="right"/>
    </xf>
    <xf numFmtId="0" fontId="1382" fillId="0" borderId="1376" xfId="0" applyFont="1" applyBorder="1" applyAlignment="1">
      <alignment horizontal="left"/>
    </xf>
    <xf numFmtId="169" fontId="1383" fillId="0" borderId="1377" xfId="0" applyNumberFormat="1" applyFont="1" applyBorder="1" applyAlignment="1">
      <alignment horizontal="right"/>
    </xf>
    <xf numFmtId="169" fontId="1384" fillId="0" borderId="1378" xfId="0" applyNumberFormat="1" applyFont="1" applyBorder="1" applyAlignment="1">
      <alignment horizontal="right"/>
    </xf>
    <xf numFmtId="169" fontId="1385" fillId="0" borderId="1379" xfId="0" applyNumberFormat="1" applyFont="1" applyBorder="1" applyAlignment="1">
      <alignment horizontal="right"/>
    </xf>
    <xf numFmtId="169" fontId="1386" fillId="0" borderId="1380" xfId="0" applyNumberFormat="1" applyFont="1" applyBorder="1" applyAlignment="1">
      <alignment horizontal="right"/>
    </xf>
    <xf numFmtId="0" fontId="1387" fillId="0" borderId="1381" xfId="0" applyFont="1" applyBorder="1" applyAlignment="1">
      <alignment horizontal="left"/>
    </xf>
    <xf numFmtId="169" fontId="1388" fillId="0" borderId="1382" xfId="0" applyNumberFormat="1" applyFont="1" applyBorder="1" applyAlignment="1">
      <alignment horizontal="right"/>
    </xf>
    <xf numFmtId="169" fontId="1389" fillId="0" borderId="1383" xfId="0" applyNumberFormat="1" applyFont="1" applyBorder="1" applyAlignment="1">
      <alignment horizontal="right"/>
    </xf>
    <xf numFmtId="169" fontId="1390" fillId="0" borderId="1384" xfId="0" applyNumberFormat="1" applyFont="1" applyBorder="1" applyAlignment="1">
      <alignment horizontal="right"/>
    </xf>
    <xf numFmtId="169" fontId="1391" fillId="0" borderId="1385" xfId="0" applyNumberFormat="1" applyFont="1" applyBorder="1" applyAlignment="1">
      <alignment horizontal="right"/>
    </xf>
    <xf numFmtId="0" fontId="1392" fillId="0" borderId="1386" xfId="0" applyFont="1" applyBorder="1" applyAlignment="1">
      <alignment horizontal="left"/>
    </xf>
    <xf numFmtId="169" fontId="1393" fillId="0" borderId="1387" xfId="0" applyNumberFormat="1" applyFont="1" applyBorder="1" applyAlignment="1">
      <alignment horizontal="right"/>
    </xf>
    <xf numFmtId="169" fontId="1394" fillId="0" borderId="1388" xfId="0" applyNumberFormat="1" applyFont="1" applyBorder="1" applyAlignment="1">
      <alignment horizontal="right"/>
    </xf>
    <xf numFmtId="169" fontId="1395" fillId="0" borderId="1389" xfId="0" applyNumberFormat="1" applyFont="1" applyBorder="1" applyAlignment="1">
      <alignment horizontal="right"/>
    </xf>
    <xf numFmtId="169" fontId="1396" fillId="0" borderId="1390" xfId="0" applyNumberFormat="1" applyFont="1" applyBorder="1" applyAlignment="1">
      <alignment horizontal="right"/>
    </xf>
    <xf numFmtId="0" fontId="1397" fillId="0" borderId="1391" xfId="0" applyFont="1" applyBorder="1" applyAlignment="1">
      <alignment horizontal="left"/>
    </xf>
    <xf numFmtId="169" fontId="1398" fillId="0" borderId="1392" xfId="0" applyNumberFormat="1" applyFont="1" applyBorder="1" applyAlignment="1">
      <alignment horizontal="right"/>
    </xf>
    <xf numFmtId="169" fontId="1399" fillId="0" borderId="1393" xfId="0" applyNumberFormat="1" applyFont="1" applyBorder="1" applyAlignment="1">
      <alignment horizontal="right"/>
    </xf>
    <xf numFmtId="169" fontId="1400" fillId="0" borderId="1394" xfId="0" applyNumberFormat="1" applyFont="1" applyBorder="1" applyAlignment="1">
      <alignment horizontal="right"/>
    </xf>
    <xf numFmtId="169" fontId="1401" fillId="0" borderId="1395" xfId="0" applyNumberFormat="1" applyFont="1" applyBorder="1" applyAlignment="1">
      <alignment horizontal="right"/>
    </xf>
    <xf numFmtId="0" fontId="1402" fillId="0" borderId="1396" xfId="0" applyFont="1" applyBorder="1" applyAlignment="1">
      <alignment horizontal="left"/>
    </xf>
    <xf numFmtId="169" fontId="1403" fillId="0" borderId="1397" xfId="0" applyNumberFormat="1" applyFont="1" applyBorder="1" applyAlignment="1">
      <alignment horizontal="right"/>
    </xf>
    <xf numFmtId="169" fontId="1404" fillId="0" borderId="1398" xfId="0" applyNumberFormat="1" applyFont="1" applyBorder="1" applyAlignment="1">
      <alignment horizontal="right"/>
    </xf>
    <xf numFmtId="169" fontId="1405" fillId="0" borderId="1399" xfId="0" applyNumberFormat="1" applyFont="1" applyBorder="1" applyAlignment="1">
      <alignment horizontal="right"/>
    </xf>
    <xf numFmtId="169" fontId="1406" fillId="0" borderId="1400" xfId="0" applyNumberFormat="1" applyFont="1" applyBorder="1" applyAlignment="1">
      <alignment horizontal="right"/>
    </xf>
    <xf numFmtId="2" fontId="1407" fillId="0" borderId="1401" xfId="0" applyNumberFormat="1" applyFont="1" applyBorder="1"/>
    <xf numFmtId="0" fontId="1409" fillId="0" borderId="1402" xfId="0" applyFont="1" applyBorder="1" applyAlignment="1">
      <alignment horizontal="right"/>
    </xf>
    <xf numFmtId="2" fontId="1410" fillId="0" borderId="1403" xfId="0" applyNumberFormat="1" applyFont="1" applyBorder="1"/>
    <xf numFmtId="2" fontId="1412" fillId="0" borderId="1404" xfId="0" applyNumberFormat="1" applyFont="1" applyBorder="1"/>
    <xf numFmtId="2" fontId="1414" fillId="0" borderId="1405" xfId="0" applyNumberFormat="1" applyFont="1" applyBorder="1" applyAlignment="1">
      <alignment horizontal="right"/>
    </xf>
    <xf numFmtId="0" fontId="1415" fillId="0" borderId="1406" xfId="0" applyFont="1" applyBorder="1" applyAlignment="1">
      <alignment horizontal="right"/>
    </xf>
    <xf numFmtId="0" fontId="1416" fillId="0" borderId="1407" xfId="0" applyFont="1" applyBorder="1" applyAlignment="1">
      <alignment horizontal="right"/>
    </xf>
    <xf numFmtId="2" fontId="1417" fillId="0" borderId="1408" xfId="0" applyNumberFormat="1" applyFont="1" applyBorder="1" applyAlignment="1">
      <alignment horizontal="left"/>
    </xf>
    <xf numFmtId="0" fontId="1418" fillId="0" borderId="1409" xfId="0" applyFont="1" applyBorder="1"/>
    <xf numFmtId="0" fontId="1419" fillId="0" borderId="1410" xfId="0" applyFont="1" applyBorder="1"/>
    <xf numFmtId="0" fontId="1420" fillId="0" borderId="1411" xfId="0" applyFont="1" applyBorder="1"/>
    <xf numFmtId="2" fontId="1421" fillId="0" borderId="1412" xfId="0" applyNumberFormat="1" applyFont="1" applyBorder="1" applyAlignment="1">
      <alignment horizontal="left"/>
    </xf>
    <xf numFmtId="169" fontId="1422" fillId="0" borderId="1413" xfId="0" applyNumberFormat="1" applyFont="1" applyBorder="1" applyAlignment="1">
      <alignment horizontal="right"/>
    </xf>
    <xf numFmtId="169" fontId="1423" fillId="0" borderId="1414" xfId="0" applyNumberFormat="1" applyFont="1" applyBorder="1" applyAlignment="1">
      <alignment horizontal="right"/>
    </xf>
    <xf numFmtId="169" fontId="1424" fillId="0" borderId="1415" xfId="0" applyNumberFormat="1" applyFont="1" applyBorder="1" applyAlignment="1">
      <alignment horizontal="right"/>
    </xf>
    <xf numFmtId="2" fontId="1425" fillId="0" borderId="1416" xfId="0" applyNumberFormat="1" applyFont="1" applyBorder="1" applyAlignment="1">
      <alignment horizontal="left"/>
    </xf>
    <xf numFmtId="169" fontId="1426" fillId="0" borderId="1417" xfId="0" applyNumberFormat="1" applyFont="1" applyBorder="1" applyAlignment="1">
      <alignment horizontal="right"/>
    </xf>
    <xf numFmtId="169" fontId="1427" fillId="0" borderId="1418" xfId="0" applyNumberFormat="1" applyFont="1" applyBorder="1" applyAlignment="1">
      <alignment horizontal="right"/>
    </xf>
    <xf numFmtId="169" fontId="1428" fillId="0" borderId="1419" xfId="0" applyNumberFormat="1" applyFont="1" applyBorder="1" applyAlignment="1">
      <alignment horizontal="right"/>
    </xf>
    <xf numFmtId="2" fontId="1429" fillId="0" borderId="1420" xfId="0" applyNumberFormat="1" applyFont="1" applyBorder="1" applyAlignment="1">
      <alignment horizontal="left"/>
    </xf>
    <xf numFmtId="169" fontId="1430" fillId="0" borderId="1421" xfId="0" applyNumberFormat="1" applyFont="1" applyBorder="1" applyAlignment="1">
      <alignment horizontal="right"/>
    </xf>
    <xf numFmtId="169" fontId="1431" fillId="0" borderId="1422" xfId="0" applyNumberFormat="1" applyFont="1" applyBorder="1" applyAlignment="1">
      <alignment horizontal="right"/>
    </xf>
    <xf numFmtId="169" fontId="1432" fillId="0" borderId="1423" xfId="0" applyNumberFormat="1" applyFont="1" applyBorder="1" applyAlignment="1">
      <alignment horizontal="right"/>
    </xf>
    <xf numFmtId="2" fontId="1433" fillId="0" borderId="1424" xfId="0" applyNumberFormat="1" applyFont="1" applyBorder="1" applyAlignment="1">
      <alignment horizontal="left"/>
    </xf>
    <xf numFmtId="169" fontId="1434" fillId="0" borderId="1425" xfId="0" applyNumberFormat="1" applyFont="1" applyBorder="1" applyAlignment="1">
      <alignment horizontal="right"/>
    </xf>
    <xf numFmtId="169" fontId="1435" fillId="0" borderId="1426" xfId="0" applyNumberFormat="1" applyFont="1" applyBorder="1" applyAlignment="1">
      <alignment horizontal="right"/>
    </xf>
    <xf numFmtId="169" fontId="1436" fillId="0" borderId="1427" xfId="0" applyNumberFormat="1" applyFont="1" applyBorder="1" applyAlignment="1">
      <alignment horizontal="right"/>
    </xf>
    <xf numFmtId="2" fontId="1437" fillId="0" borderId="1428" xfId="0" applyNumberFormat="1" applyFont="1" applyBorder="1" applyAlignment="1">
      <alignment horizontal="left"/>
    </xf>
    <xf numFmtId="169" fontId="1438" fillId="0" borderId="1429" xfId="0" applyNumberFormat="1" applyFont="1" applyBorder="1" applyAlignment="1">
      <alignment horizontal="right"/>
    </xf>
    <xf numFmtId="169" fontId="1439" fillId="0" borderId="1430" xfId="0" applyNumberFormat="1" applyFont="1" applyBorder="1" applyAlignment="1">
      <alignment horizontal="right"/>
    </xf>
    <xf numFmtId="169" fontId="1440" fillId="0" borderId="1431" xfId="0" applyNumberFormat="1" applyFont="1" applyBorder="1" applyAlignment="1">
      <alignment horizontal="right"/>
    </xf>
    <xf numFmtId="2" fontId="1441" fillId="0" borderId="1432" xfId="0" applyNumberFormat="1" applyFont="1" applyBorder="1" applyAlignment="1">
      <alignment horizontal="left"/>
    </xf>
    <xf numFmtId="169" fontId="1442" fillId="0" borderId="1433" xfId="0" applyNumberFormat="1" applyFont="1" applyBorder="1" applyAlignment="1">
      <alignment horizontal="right"/>
    </xf>
    <xf numFmtId="169" fontId="1443" fillId="0" borderId="1434" xfId="0" applyNumberFormat="1" applyFont="1" applyBorder="1" applyAlignment="1">
      <alignment horizontal="right"/>
    </xf>
    <xf numFmtId="169" fontId="1444" fillId="0" borderId="1435" xfId="0" applyNumberFormat="1" applyFont="1" applyBorder="1" applyAlignment="1">
      <alignment horizontal="right"/>
    </xf>
    <xf numFmtId="2" fontId="1445" fillId="0" borderId="1436" xfId="0" applyNumberFormat="1" applyFont="1" applyBorder="1" applyAlignment="1">
      <alignment horizontal="left"/>
    </xf>
    <xf numFmtId="169" fontId="1446" fillId="0" borderId="1437" xfId="0" applyNumberFormat="1" applyFont="1" applyBorder="1" applyAlignment="1">
      <alignment horizontal="right"/>
    </xf>
    <xf numFmtId="169" fontId="1447" fillId="0" borderId="1438" xfId="0" applyNumberFormat="1" applyFont="1" applyBorder="1" applyAlignment="1">
      <alignment horizontal="right"/>
    </xf>
    <xf numFmtId="169" fontId="1448" fillId="0" borderId="1439" xfId="0" applyNumberFormat="1" applyFont="1" applyBorder="1" applyAlignment="1">
      <alignment horizontal="right"/>
    </xf>
    <xf numFmtId="2" fontId="1449" fillId="0" borderId="1440" xfId="0" applyNumberFormat="1" applyFont="1" applyBorder="1" applyAlignment="1">
      <alignment horizontal="left"/>
    </xf>
    <xf numFmtId="169" fontId="1450" fillId="0" borderId="1441" xfId="0" applyNumberFormat="1" applyFont="1" applyBorder="1" applyAlignment="1">
      <alignment horizontal="right"/>
    </xf>
    <xf numFmtId="169" fontId="1451" fillId="0" borderId="1442" xfId="0" applyNumberFormat="1" applyFont="1" applyBorder="1" applyAlignment="1">
      <alignment horizontal="right"/>
    </xf>
    <xf numFmtId="169" fontId="1452" fillId="0" borderId="1443" xfId="0" applyNumberFormat="1" applyFont="1" applyBorder="1" applyAlignment="1">
      <alignment horizontal="right"/>
    </xf>
    <xf numFmtId="2" fontId="1453" fillId="0" borderId="1444" xfId="0" applyNumberFormat="1" applyFont="1" applyBorder="1" applyAlignment="1">
      <alignment horizontal="left"/>
    </xf>
    <xf numFmtId="169" fontId="1454" fillId="0" borderId="1445" xfId="0" applyNumberFormat="1" applyFont="1" applyBorder="1" applyAlignment="1">
      <alignment horizontal="right"/>
    </xf>
    <xf numFmtId="169" fontId="1455" fillId="0" borderId="1446" xfId="0" applyNumberFormat="1" applyFont="1" applyBorder="1" applyAlignment="1">
      <alignment horizontal="right"/>
    </xf>
    <xf numFmtId="169" fontId="1456" fillId="0" borderId="1447" xfId="0" applyNumberFormat="1" applyFont="1" applyBorder="1" applyAlignment="1">
      <alignment horizontal="right"/>
    </xf>
    <xf numFmtId="2" fontId="1457" fillId="0" borderId="1448" xfId="0" applyNumberFormat="1" applyFont="1" applyBorder="1" applyAlignment="1">
      <alignment horizontal="left"/>
    </xf>
    <xf numFmtId="169" fontId="1458" fillId="0" borderId="1449" xfId="0" applyNumberFormat="1" applyFont="1" applyBorder="1" applyAlignment="1">
      <alignment horizontal="right"/>
    </xf>
    <xf numFmtId="169" fontId="1459" fillId="0" borderId="1450" xfId="0" applyNumberFormat="1" applyFont="1" applyBorder="1" applyAlignment="1">
      <alignment horizontal="right"/>
    </xf>
    <xf numFmtId="169" fontId="1460" fillId="0" borderId="1451" xfId="0" applyNumberFormat="1" applyFont="1" applyBorder="1" applyAlignment="1">
      <alignment horizontal="right"/>
    </xf>
    <xf numFmtId="2" fontId="1461" fillId="0" borderId="1452" xfId="0" applyNumberFormat="1" applyFont="1" applyBorder="1" applyAlignment="1">
      <alignment horizontal="left"/>
    </xf>
    <xf numFmtId="169" fontId="1462" fillId="0" borderId="1453" xfId="0" applyNumberFormat="1" applyFont="1" applyBorder="1" applyAlignment="1">
      <alignment horizontal="right"/>
    </xf>
    <xf numFmtId="169" fontId="1463" fillId="0" borderId="1454" xfId="0" applyNumberFormat="1" applyFont="1" applyBorder="1" applyAlignment="1">
      <alignment horizontal="right"/>
    </xf>
    <xf numFmtId="169" fontId="1464" fillId="0" borderId="1455" xfId="0" applyNumberFormat="1" applyFont="1" applyBorder="1" applyAlignment="1">
      <alignment horizontal="right"/>
    </xf>
    <xf numFmtId="2" fontId="1465" fillId="0" borderId="1456" xfId="0" applyNumberFormat="1" applyFont="1" applyBorder="1" applyAlignment="1">
      <alignment horizontal="left"/>
    </xf>
    <xf numFmtId="169" fontId="1466" fillId="0" borderId="1457" xfId="0" applyNumberFormat="1" applyFont="1" applyBorder="1" applyAlignment="1">
      <alignment horizontal="right"/>
    </xf>
    <xf numFmtId="169" fontId="1467" fillId="0" borderId="1458" xfId="0" applyNumberFormat="1" applyFont="1" applyBorder="1" applyAlignment="1">
      <alignment horizontal="right"/>
    </xf>
    <xf numFmtId="169" fontId="1468" fillId="0" borderId="1459" xfId="0" applyNumberFormat="1" applyFont="1" applyBorder="1" applyAlignment="1">
      <alignment horizontal="right"/>
    </xf>
    <xf numFmtId="2" fontId="1469" fillId="0" borderId="1460" xfId="0" applyNumberFormat="1" applyFont="1" applyBorder="1" applyAlignment="1">
      <alignment horizontal="left"/>
    </xf>
    <xf numFmtId="169" fontId="1470" fillId="0" borderId="1461" xfId="0" applyNumberFormat="1" applyFont="1" applyBorder="1" applyAlignment="1">
      <alignment horizontal="right"/>
    </xf>
    <xf numFmtId="169" fontId="1471" fillId="0" borderId="1462" xfId="0" applyNumberFormat="1" applyFont="1" applyBorder="1" applyAlignment="1">
      <alignment horizontal="right"/>
    </xf>
    <xf numFmtId="169" fontId="1472" fillId="0" borderId="1463" xfId="0" applyNumberFormat="1" applyFont="1" applyBorder="1" applyAlignment="1">
      <alignment horizontal="right"/>
    </xf>
    <xf numFmtId="2" fontId="1473" fillId="0" borderId="1464" xfId="0" applyNumberFormat="1" applyFont="1" applyBorder="1" applyAlignment="1">
      <alignment horizontal="left"/>
    </xf>
    <xf numFmtId="169" fontId="1474" fillId="0" borderId="1465" xfId="0" applyNumberFormat="1" applyFont="1" applyBorder="1" applyAlignment="1">
      <alignment horizontal="right"/>
    </xf>
    <xf numFmtId="169" fontId="1475" fillId="0" borderId="1466" xfId="0" applyNumberFormat="1" applyFont="1" applyBorder="1" applyAlignment="1">
      <alignment horizontal="right"/>
    </xf>
    <xf numFmtId="169" fontId="1476" fillId="0" borderId="1467" xfId="0" applyNumberFormat="1" applyFont="1" applyBorder="1" applyAlignment="1">
      <alignment horizontal="right"/>
    </xf>
    <xf numFmtId="2" fontId="1477" fillId="0" borderId="1468" xfId="0" applyNumberFormat="1" applyFont="1" applyBorder="1" applyAlignment="1">
      <alignment horizontal="left"/>
    </xf>
    <xf numFmtId="169" fontId="1478" fillId="0" borderId="1469" xfId="0" applyNumberFormat="1" applyFont="1" applyBorder="1" applyAlignment="1">
      <alignment horizontal="right"/>
    </xf>
    <xf numFmtId="169" fontId="1479" fillId="0" borderId="1470" xfId="0" applyNumberFormat="1" applyFont="1" applyBorder="1" applyAlignment="1">
      <alignment horizontal="right"/>
    </xf>
    <xf numFmtId="169" fontId="1480" fillId="0" borderId="1471" xfId="0" applyNumberFormat="1" applyFont="1" applyBorder="1" applyAlignment="1">
      <alignment horizontal="right"/>
    </xf>
    <xf numFmtId="2" fontId="1481" fillId="0" borderId="1472" xfId="0" applyNumberFormat="1" applyFont="1" applyBorder="1" applyAlignment="1">
      <alignment horizontal="left"/>
    </xf>
    <xf numFmtId="169" fontId="1482" fillId="0" borderId="1473" xfId="0" applyNumberFormat="1" applyFont="1" applyBorder="1" applyAlignment="1">
      <alignment horizontal="right"/>
    </xf>
    <xf numFmtId="169" fontId="1483" fillId="0" borderId="1474" xfId="0" applyNumberFormat="1" applyFont="1" applyBorder="1" applyAlignment="1">
      <alignment horizontal="right"/>
    </xf>
    <xf numFmtId="169" fontId="1484" fillId="0" borderId="1475" xfId="0" applyNumberFormat="1" applyFont="1" applyBorder="1" applyAlignment="1">
      <alignment horizontal="right"/>
    </xf>
    <xf numFmtId="0" fontId="1485" fillId="0" borderId="1476" xfId="0" applyFont="1" applyBorder="1"/>
    <xf numFmtId="0" fontId="1487" fillId="0" borderId="1477" xfId="0" applyFont="1" applyBorder="1" applyAlignment="1">
      <alignment horizontal="right"/>
    </xf>
    <xf numFmtId="0" fontId="1488" fillId="0" borderId="1478" xfId="0" applyFont="1" applyBorder="1"/>
    <xf numFmtId="0" fontId="1490" fillId="0" borderId="1479" xfId="0" applyFont="1" applyBorder="1"/>
    <xf numFmtId="0" fontId="1492" fillId="0" borderId="1480" xfId="0" applyFont="1" applyBorder="1"/>
    <xf numFmtId="2" fontId="1493" fillId="0" borderId="1481" xfId="0" applyNumberFormat="1" applyFont="1" applyBorder="1" applyAlignment="1">
      <alignment horizontal="right"/>
    </xf>
    <xf numFmtId="2" fontId="1494" fillId="0" borderId="1482" xfId="0" applyNumberFormat="1" applyFont="1" applyBorder="1" applyAlignment="1">
      <alignment horizontal="right"/>
    </xf>
    <xf numFmtId="2" fontId="1495" fillId="0" borderId="1483" xfId="0" applyNumberFormat="1" applyFont="1" applyBorder="1" applyAlignment="1">
      <alignment horizontal="right"/>
    </xf>
    <xf numFmtId="0" fontId="1496" fillId="0" borderId="1484" xfId="0" applyFont="1" applyBorder="1" applyAlignment="1">
      <alignment horizontal="left"/>
    </xf>
    <xf numFmtId="2" fontId="1497" fillId="0" borderId="1485" xfId="0" applyNumberFormat="1" applyFont="1" applyBorder="1" applyAlignment="1">
      <alignment horizontal="left"/>
    </xf>
    <xf numFmtId="2" fontId="1498" fillId="0" borderId="1486" xfId="0" applyNumberFormat="1" applyFont="1" applyBorder="1" applyAlignment="1">
      <alignment horizontal="left"/>
    </xf>
    <xf numFmtId="2" fontId="1499" fillId="0" borderId="1487" xfId="0" applyNumberFormat="1" applyFont="1" applyBorder="1" applyAlignment="1">
      <alignment horizontal="left"/>
    </xf>
    <xf numFmtId="0" fontId="1500" fillId="0" borderId="1488" xfId="0" applyFont="1" applyBorder="1"/>
    <xf numFmtId="0" fontId="1501" fillId="0" borderId="1489" xfId="0" applyFont="1" applyBorder="1" applyAlignment="1">
      <alignment horizontal="left"/>
    </xf>
    <xf numFmtId="169" fontId="1502" fillId="0" borderId="1490" xfId="0" applyNumberFormat="1" applyFont="1" applyBorder="1" applyAlignment="1">
      <alignment horizontal="right"/>
    </xf>
    <xf numFmtId="169" fontId="1503" fillId="0" borderId="1491" xfId="0" applyNumberFormat="1" applyFont="1" applyBorder="1" applyAlignment="1">
      <alignment horizontal="right"/>
    </xf>
    <xf numFmtId="169" fontId="1504" fillId="0" borderId="1492" xfId="0" applyNumberFormat="1" applyFont="1" applyBorder="1" applyAlignment="1">
      <alignment horizontal="right"/>
    </xf>
    <xf numFmtId="169" fontId="1505" fillId="0" borderId="1493" xfId="0" applyNumberFormat="1" applyFont="1" applyBorder="1" applyAlignment="1">
      <alignment horizontal="right"/>
    </xf>
    <xf numFmtId="0" fontId="1506" fillId="0" borderId="1494" xfId="0" applyFont="1" applyBorder="1" applyAlignment="1">
      <alignment horizontal="left"/>
    </xf>
    <xf numFmtId="169" fontId="1507" fillId="0" borderId="1495" xfId="0" applyNumberFormat="1" applyFont="1" applyBorder="1" applyAlignment="1">
      <alignment horizontal="right"/>
    </xf>
    <xf numFmtId="169" fontId="1508" fillId="0" borderId="1496" xfId="0" applyNumberFormat="1" applyFont="1" applyBorder="1" applyAlignment="1">
      <alignment horizontal="right"/>
    </xf>
    <xf numFmtId="169" fontId="1509" fillId="0" borderId="1497" xfId="0" applyNumberFormat="1" applyFont="1" applyBorder="1" applyAlignment="1">
      <alignment horizontal="right"/>
    </xf>
    <xf numFmtId="169" fontId="1510" fillId="0" borderId="1498" xfId="0" applyNumberFormat="1" applyFont="1" applyBorder="1" applyAlignment="1">
      <alignment horizontal="right"/>
    </xf>
    <xf numFmtId="0" fontId="1511" fillId="0" borderId="1499" xfId="0" applyFont="1" applyBorder="1" applyAlignment="1">
      <alignment horizontal="left"/>
    </xf>
    <xf numFmtId="169" fontId="1512" fillId="0" borderId="1500" xfId="0" applyNumberFormat="1" applyFont="1" applyBorder="1" applyAlignment="1">
      <alignment horizontal="right"/>
    </xf>
    <xf numFmtId="169" fontId="1513" fillId="0" borderId="1501" xfId="0" applyNumberFormat="1" applyFont="1" applyBorder="1" applyAlignment="1">
      <alignment horizontal="right"/>
    </xf>
    <xf numFmtId="169" fontId="1514" fillId="0" borderId="1502" xfId="0" applyNumberFormat="1" applyFont="1" applyBorder="1" applyAlignment="1">
      <alignment horizontal="right"/>
    </xf>
    <xf numFmtId="169" fontId="1515" fillId="0" borderId="1503" xfId="0" applyNumberFormat="1" applyFont="1" applyBorder="1" applyAlignment="1">
      <alignment horizontal="right"/>
    </xf>
    <xf numFmtId="0" fontId="1516" fillId="0" borderId="1504" xfId="0" applyFont="1" applyBorder="1" applyAlignment="1">
      <alignment horizontal="left"/>
    </xf>
    <xf numFmtId="169" fontId="1517" fillId="0" borderId="1505" xfId="0" applyNumberFormat="1" applyFont="1" applyBorder="1" applyAlignment="1">
      <alignment horizontal="right"/>
    </xf>
    <xf numFmtId="169" fontId="1518" fillId="0" borderId="1506" xfId="0" applyNumberFormat="1" applyFont="1" applyBorder="1" applyAlignment="1">
      <alignment horizontal="right"/>
    </xf>
    <xf numFmtId="169" fontId="1519" fillId="0" borderId="1507" xfId="0" applyNumberFormat="1" applyFont="1" applyBorder="1" applyAlignment="1">
      <alignment horizontal="right"/>
    </xf>
    <xf numFmtId="169" fontId="1520" fillId="0" borderId="1508" xfId="0" applyNumberFormat="1" applyFont="1" applyBorder="1" applyAlignment="1">
      <alignment horizontal="right"/>
    </xf>
    <xf numFmtId="0" fontId="1521" fillId="0" borderId="1509" xfId="0" applyFont="1" applyBorder="1" applyAlignment="1">
      <alignment horizontal="left"/>
    </xf>
    <xf numFmtId="169" fontId="1522" fillId="0" borderId="1510" xfId="0" applyNumberFormat="1" applyFont="1" applyBorder="1" applyAlignment="1">
      <alignment horizontal="right"/>
    </xf>
    <xf numFmtId="169" fontId="1523" fillId="0" borderId="1511" xfId="0" applyNumberFormat="1" applyFont="1" applyBorder="1" applyAlignment="1">
      <alignment horizontal="right"/>
    </xf>
    <xf numFmtId="169" fontId="1524" fillId="0" borderId="1512" xfId="0" applyNumberFormat="1" applyFont="1" applyBorder="1" applyAlignment="1">
      <alignment horizontal="right"/>
    </xf>
    <xf numFmtId="169" fontId="1525" fillId="0" borderId="1513" xfId="0" applyNumberFormat="1" applyFont="1" applyBorder="1" applyAlignment="1">
      <alignment horizontal="right"/>
    </xf>
    <xf numFmtId="0" fontId="1526" fillId="0" borderId="1514" xfId="0" applyFont="1" applyBorder="1" applyAlignment="1">
      <alignment horizontal="left"/>
    </xf>
    <xf numFmtId="169" fontId="1527" fillId="0" borderId="1515" xfId="0" applyNumberFormat="1" applyFont="1" applyBorder="1" applyAlignment="1">
      <alignment horizontal="right"/>
    </xf>
    <xf numFmtId="169" fontId="1528" fillId="0" borderId="1516" xfId="0" applyNumberFormat="1" applyFont="1" applyBorder="1" applyAlignment="1">
      <alignment horizontal="right"/>
    </xf>
    <xf numFmtId="169" fontId="1529" fillId="0" borderId="1517" xfId="0" applyNumberFormat="1" applyFont="1" applyBorder="1" applyAlignment="1">
      <alignment horizontal="right"/>
    </xf>
    <xf numFmtId="169" fontId="1530" fillId="0" borderId="1518" xfId="0" applyNumberFormat="1" applyFont="1" applyBorder="1" applyAlignment="1">
      <alignment horizontal="right"/>
    </xf>
    <xf numFmtId="0" fontId="1531" fillId="0" borderId="1519" xfId="0" applyFont="1" applyBorder="1" applyAlignment="1">
      <alignment horizontal="left"/>
    </xf>
    <xf numFmtId="169" fontId="1532" fillId="0" borderId="1520" xfId="0" applyNumberFormat="1" applyFont="1" applyBorder="1" applyAlignment="1">
      <alignment horizontal="right"/>
    </xf>
    <xf numFmtId="169" fontId="1533" fillId="0" borderId="1521" xfId="0" applyNumberFormat="1" applyFont="1" applyBorder="1" applyAlignment="1">
      <alignment horizontal="right"/>
    </xf>
    <xf numFmtId="169" fontId="1534" fillId="0" borderId="1522" xfId="0" applyNumberFormat="1" applyFont="1" applyBorder="1" applyAlignment="1">
      <alignment horizontal="right"/>
    </xf>
    <xf numFmtId="169" fontId="1535" fillId="0" borderId="1523" xfId="0" applyNumberFormat="1" applyFont="1" applyBorder="1" applyAlignment="1">
      <alignment horizontal="right"/>
    </xf>
    <xf numFmtId="0" fontId="1536" fillId="0" borderId="1524" xfId="0" applyFont="1" applyBorder="1" applyAlignment="1">
      <alignment horizontal="left"/>
    </xf>
    <xf numFmtId="169" fontId="1537" fillId="0" borderId="1525" xfId="0" applyNumberFormat="1" applyFont="1" applyBorder="1" applyAlignment="1">
      <alignment horizontal="right"/>
    </xf>
    <xf numFmtId="169" fontId="1538" fillId="0" borderId="1526" xfId="0" applyNumberFormat="1" applyFont="1" applyBorder="1" applyAlignment="1">
      <alignment horizontal="right"/>
    </xf>
    <xf numFmtId="169" fontId="1539" fillId="0" borderId="1527" xfId="0" applyNumberFormat="1" applyFont="1" applyBorder="1" applyAlignment="1">
      <alignment horizontal="right"/>
    </xf>
    <xf numFmtId="169" fontId="1540" fillId="0" borderId="1528" xfId="0" applyNumberFormat="1" applyFont="1" applyBorder="1" applyAlignment="1">
      <alignment horizontal="right"/>
    </xf>
    <xf numFmtId="0" fontId="1541" fillId="0" borderId="1529" xfId="0" applyFont="1" applyBorder="1" applyAlignment="1">
      <alignment horizontal="left"/>
    </xf>
    <xf numFmtId="169" fontId="1542" fillId="0" borderId="1530" xfId="0" applyNumberFormat="1" applyFont="1" applyBorder="1" applyAlignment="1">
      <alignment horizontal="right"/>
    </xf>
    <xf numFmtId="169" fontId="1543" fillId="0" borderId="1531" xfId="0" applyNumberFormat="1" applyFont="1" applyBorder="1" applyAlignment="1">
      <alignment horizontal="right"/>
    </xf>
    <xf numFmtId="169" fontId="1544" fillId="0" borderId="1532" xfId="0" applyNumberFormat="1" applyFont="1" applyBorder="1" applyAlignment="1">
      <alignment horizontal="right"/>
    </xf>
    <xf numFmtId="169" fontId="1545" fillId="0" borderId="1533" xfId="0" applyNumberFormat="1" applyFont="1" applyBorder="1" applyAlignment="1">
      <alignment horizontal="right"/>
    </xf>
    <xf numFmtId="0" fontId="1546" fillId="0" borderId="1534" xfId="0" applyFont="1" applyBorder="1" applyAlignment="1">
      <alignment horizontal="left"/>
    </xf>
    <xf numFmtId="169" fontId="1547" fillId="0" borderId="1535" xfId="0" applyNumberFormat="1" applyFont="1" applyBorder="1" applyAlignment="1">
      <alignment horizontal="right"/>
    </xf>
    <xf numFmtId="169" fontId="1548" fillId="0" borderId="1536" xfId="0" applyNumberFormat="1" applyFont="1" applyBorder="1" applyAlignment="1">
      <alignment horizontal="right"/>
    </xf>
    <xf numFmtId="169" fontId="1549" fillId="0" borderId="1537" xfId="0" applyNumberFormat="1" applyFont="1" applyBorder="1" applyAlignment="1">
      <alignment horizontal="right"/>
    </xf>
    <xf numFmtId="169" fontId="1550" fillId="0" borderId="1538" xfId="0" applyNumberFormat="1" applyFont="1" applyBorder="1" applyAlignment="1">
      <alignment horizontal="right"/>
    </xf>
    <xf numFmtId="0" fontId="1551" fillId="0" borderId="1539" xfId="0" applyFont="1" applyBorder="1" applyAlignment="1">
      <alignment horizontal="left"/>
    </xf>
    <xf numFmtId="169" fontId="1552" fillId="0" borderId="1540" xfId="0" applyNumberFormat="1" applyFont="1" applyBorder="1" applyAlignment="1">
      <alignment horizontal="right"/>
    </xf>
    <xf numFmtId="169" fontId="1553" fillId="0" borderId="1541" xfId="0" applyNumberFormat="1" applyFont="1" applyBorder="1" applyAlignment="1">
      <alignment horizontal="right"/>
    </xf>
    <xf numFmtId="169" fontId="1554" fillId="0" borderId="1542" xfId="0" applyNumberFormat="1" applyFont="1" applyBorder="1" applyAlignment="1">
      <alignment horizontal="right"/>
    </xf>
    <xf numFmtId="169" fontId="1555" fillId="0" borderId="1543" xfId="0" applyNumberFormat="1" applyFont="1" applyBorder="1" applyAlignment="1">
      <alignment horizontal="right"/>
    </xf>
    <xf numFmtId="0" fontId="1556" fillId="0" borderId="1544" xfId="0" applyFont="1" applyBorder="1" applyAlignment="1">
      <alignment horizontal="left"/>
    </xf>
    <xf numFmtId="169" fontId="1557" fillId="0" borderId="1545" xfId="0" applyNumberFormat="1" applyFont="1" applyBorder="1" applyAlignment="1">
      <alignment horizontal="right"/>
    </xf>
    <xf numFmtId="169" fontId="1558" fillId="0" borderId="1546" xfId="0" applyNumberFormat="1" applyFont="1" applyBorder="1" applyAlignment="1">
      <alignment horizontal="right"/>
    </xf>
    <xf numFmtId="169" fontId="1559" fillId="0" borderId="1547" xfId="0" applyNumberFormat="1" applyFont="1" applyBorder="1" applyAlignment="1">
      <alignment horizontal="right"/>
    </xf>
    <xf numFmtId="169" fontId="1560" fillId="0" borderId="1548" xfId="0" applyNumberFormat="1" applyFont="1" applyBorder="1" applyAlignment="1">
      <alignment horizontal="right"/>
    </xf>
    <xf numFmtId="0" fontId="1561" fillId="0" borderId="1549" xfId="0" applyFont="1" applyBorder="1" applyAlignment="1">
      <alignment horizontal="left"/>
    </xf>
    <xf numFmtId="169" fontId="1562" fillId="0" borderId="1550" xfId="0" applyNumberFormat="1" applyFont="1" applyBorder="1" applyAlignment="1">
      <alignment horizontal="right"/>
    </xf>
    <xf numFmtId="169" fontId="1563" fillId="0" borderId="1551" xfId="0" applyNumberFormat="1" applyFont="1" applyBorder="1" applyAlignment="1">
      <alignment horizontal="right"/>
    </xf>
    <xf numFmtId="169" fontId="1564" fillId="0" borderId="1552" xfId="0" applyNumberFormat="1" applyFont="1" applyBorder="1" applyAlignment="1">
      <alignment horizontal="right"/>
    </xf>
    <xf numFmtId="169" fontId="1565" fillId="0" borderId="1553" xfId="0" applyNumberFormat="1" applyFont="1" applyBorder="1" applyAlignment="1">
      <alignment horizontal="right"/>
    </xf>
    <xf numFmtId="0" fontId="1566" fillId="0" borderId="1554" xfId="0" applyFont="1" applyBorder="1" applyAlignment="1">
      <alignment horizontal="left"/>
    </xf>
    <xf numFmtId="169" fontId="1567" fillId="0" borderId="1555" xfId="0" applyNumberFormat="1" applyFont="1" applyBorder="1" applyAlignment="1">
      <alignment horizontal="right"/>
    </xf>
    <xf numFmtId="169" fontId="1568" fillId="0" borderId="1556" xfId="0" applyNumberFormat="1" applyFont="1" applyBorder="1" applyAlignment="1">
      <alignment horizontal="right"/>
    </xf>
    <xf numFmtId="169" fontId="1569" fillId="0" borderId="1557" xfId="0" applyNumberFormat="1" applyFont="1" applyBorder="1" applyAlignment="1">
      <alignment horizontal="right"/>
    </xf>
    <xf numFmtId="169" fontId="1570" fillId="0" borderId="1558" xfId="0" applyNumberFormat="1" applyFont="1" applyBorder="1" applyAlignment="1">
      <alignment horizontal="right"/>
    </xf>
    <xf numFmtId="0" fontId="1571" fillId="0" borderId="1559" xfId="0" applyFont="1" applyBorder="1" applyAlignment="1">
      <alignment horizontal="left"/>
    </xf>
    <xf numFmtId="169" fontId="1572" fillId="0" borderId="1560" xfId="0" applyNumberFormat="1" applyFont="1" applyBorder="1" applyAlignment="1">
      <alignment horizontal="right"/>
    </xf>
    <xf numFmtId="169" fontId="1573" fillId="0" borderId="1561" xfId="0" applyNumberFormat="1" applyFont="1" applyBorder="1" applyAlignment="1">
      <alignment horizontal="right"/>
    </xf>
    <xf numFmtId="169" fontId="1574" fillId="0" borderId="1562" xfId="0" applyNumberFormat="1" applyFont="1" applyBorder="1" applyAlignment="1">
      <alignment horizontal="right"/>
    </xf>
    <xf numFmtId="169" fontId="1575" fillId="0" borderId="1563" xfId="0" applyNumberFormat="1" applyFont="1" applyBorder="1" applyAlignment="1">
      <alignment horizontal="right"/>
    </xf>
    <xf numFmtId="0" fontId="1576" fillId="0" borderId="1564" xfId="0" applyFont="1" applyBorder="1" applyAlignment="1">
      <alignment horizontal="left"/>
    </xf>
    <xf numFmtId="169" fontId="1577" fillId="0" borderId="1565" xfId="0" applyNumberFormat="1" applyFont="1" applyBorder="1" applyAlignment="1">
      <alignment horizontal="right"/>
    </xf>
    <xf numFmtId="169" fontId="1578" fillId="0" borderId="1566" xfId="0" applyNumberFormat="1" applyFont="1" applyBorder="1" applyAlignment="1">
      <alignment horizontal="right"/>
    </xf>
    <xf numFmtId="169" fontId="1579" fillId="0" borderId="1567" xfId="0" applyNumberFormat="1" applyFont="1" applyBorder="1" applyAlignment="1">
      <alignment horizontal="right"/>
    </xf>
    <xf numFmtId="169" fontId="1580" fillId="0" borderId="1568" xfId="0" applyNumberFormat="1" applyFont="1" applyBorder="1" applyAlignment="1">
      <alignment horizontal="right"/>
    </xf>
    <xf numFmtId="2" fontId="1581" fillId="0" borderId="1569" xfId="0" applyNumberFormat="1" applyFont="1" applyBorder="1"/>
    <xf numFmtId="0" fontId="1583" fillId="0" borderId="1570" xfId="0" applyFont="1" applyBorder="1" applyAlignment="1">
      <alignment horizontal="right"/>
    </xf>
    <xf numFmtId="2" fontId="1584" fillId="0" borderId="1571" xfId="0" applyNumberFormat="1" applyFont="1" applyBorder="1"/>
    <xf numFmtId="2" fontId="1586" fillId="0" borderId="1572" xfId="0" applyNumberFormat="1" applyFont="1" applyBorder="1"/>
    <xf numFmtId="2" fontId="1588" fillId="0" borderId="1573" xfId="0" applyNumberFormat="1" applyFont="1" applyBorder="1" applyAlignment="1">
      <alignment horizontal="right"/>
    </xf>
    <xf numFmtId="0" fontId="1589" fillId="0" borderId="1574" xfId="0" applyFont="1" applyBorder="1" applyAlignment="1">
      <alignment horizontal="right"/>
    </xf>
    <xf numFmtId="0" fontId="1590" fillId="0" borderId="1575" xfId="0" applyFont="1" applyBorder="1" applyAlignment="1">
      <alignment horizontal="right"/>
    </xf>
    <xf numFmtId="2" fontId="1591" fillId="0" borderId="1576" xfId="0" applyNumberFormat="1" applyFont="1" applyBorder="1" applyAlignment="1">
      <alignment horizontal="left"/>
    </xf>
    <xf numFmtId="0" fontId="1592" fillId="0" borderId="1577" xfId="0" applyFont="1" applyBorder="1"/>
    <xf numFmtId="0" fontId="1593" fillId="0" borderId="1578" xfId="0" applyFont="1" applyBorder="1"/>
    <xf numFmtId="0" fontId="1594" fillId="0" borderId="1579" xfId="0" applyFont="1" applyBorder="1"/>
    <xf numFmtId="2" fontId="1595" fillId="0" borderId="1580" xfId="0" applyNumberFormat="1" applyFont="1" applyBorder="1" applyAlignment="1">
      <alignment horizontal="left"/>
    </xf>
    <xf numFmtId="169" fontId="1596" fillId="0" borderId="1581" xfId="0" applyNumberFormat="1" applyFont="1" applyBorder="1" applyAlignment="1">
      <alignment horizontal="right"/>
    </xf>
    <xf numFmtId="169" fontId="1597" fillId="0" borderId="1582" xfId="0" applyNumberFormat="1" applyFont="1" applyBorder="1" applyAlignment="1">
      <alignment horizontal="right"/>
    </xf>
    <xf numFmtId="169" fontId="1598" fillId="0" borderId="1583" xfId="0" applyNumberFormat="1" applyFont="1" applyBorder="1" applyAlignment="1">
      <alignment horizontal="right"/>
    </xf>
    <xf numFmtId="2" fontId="1599" fillId="0" borderId="1584" xfId="0" applyNumberFormat="1" applyFont="1" applyBorder="1" applyAlignment="1">
      <alignment horizontal="left"/>
    </xf>
    <xf numFmtId="169" fontId="1600" fillId="0" borderId="1585" xfId="0" applyNumberFormat="1" applyFont="1" applyBorder="1" applyAlignment="1">
      <alignment horizontal="right"/>
    </xf>
    <xf numFmtId="169" fontId="1601" fillId="0" borderId="1586" xfId="0" applyNumberFormat="1" applyFont="1" applyBorder="1" applyAlignment="1">
      <alignment horizontal="right"/>
    </xf>
    <xf numFmtId="169" fontId="1602" fillId="0" borderId="1587" xfId="0" applyNumberFormat="1" applyFont="1" applyBorder="1" applyAlignment="1">
      <alignment horizontal="right"/>
    </xf>
    <xf numFmtId="2" fontId="1603" fillId="0" borderId="1588" xfId="0" applyNumberFormat="1" applyFont="1" applyBorder="1" applyAlignment="1">
      <alignment horizontal="left"/>
    </xf>
    <xf numFmtId="169" fontId="1604" fillId="0" borderId="1589" xfId="0" applyNumberFormat="1" applyFont="1" applyBorder="1" applyAlignment="1">
      <alignment horizontal="right"/>
    </xf>
    <xf numFmtId="169" fontId="1605" fillId="0" borderId="1590" xfId="0" applyNumberFormat="1" applyFont="1" applyBorder="1" applyAlignment="1">
      <alignment horizontal="right"/>
    </xf>
    <xf numFmtId="169" fontId="1606" fillId="0" borderId="1591" xfId="0" applyNumberFormat="1" applyFont="1" applyBorder="1" applyAlignment="1">
      <alignment horizontal="right"/>
    </xf>
    <xf numFmtId="2" fontId="1607" fillId="0" borderId="1592" xfId="0" applyNumberFormat="1" applyFont="1" applyBorder="1" applyAlignment="1">
      <alignment horizontal="left"/>
    </xf>
    <xf numFmtId="169" fontId="1608" fillId="0" borderId="1593" xfId="0" applyNumberFormat="1" applyFont="1" applyBorder="1" applyAlignment="1">
      <alignment horizontal="right"/>
    </xf>
    <xf numFmtId="169" fontId="1609" fillId="0" borderId="1594" xfId="0" applyNumberFormat="1" applyFont="1" applyBorder="1" applyAlignment="1">
      <alignment horizontal="right"/>
    </xf>
    <xf numFmtId="169" fontId="1610" fillId="0" borderId="1595" xfId="0" applyNumberFormat="1" applyFont="1" applyBorder="1" applyAlignment="1">
      <alignment horizontal="right"/>
    </xf>
    <xf numFmtId="2" fontId="1611" fillId="0" borderId="1596" xfId="0" applyNumberFormat="1" applyFont="1" applyBorder="1" applyAlignment="1">
      <alignment horizontal="left"/>
    </xf>
    <xf numFmtId="169" fontId="1612" fillId="0" borderId="1597" xfId="0" applyNumberFormat="1" applyFont="1" applyBorder="1" applyAlignment="1">
      <alignment horizontal="right"/>
    </xf>
    <xf numFmtId="169" fontId="1613" fillId="0" borderId="1598" xfId="0" applyNumberFormat="1" applyFont="1" applyBorder="1" applyAlignment="1">
      <alignment horizontal="right"/>
    </xf>
    <xf numFmtId="169" fontId="1614" fillId="0" borderId="1599" xfId="0" applyNumberFormat="1" applyFont="1" applyBorder="1" applyAlignment="1">
      <alignment horizontal="right"/>
    </xf>
    <xf numFmtId="2" fontId="1615" fillId="0" borderId="1600" xfId="0" applyNumberFormat="1" applyFont="1" applyBorder="1" applyAlignment="1">
      <alignment horizontal="left"/>
    </xf>
    <xf numFmtId="169" fontId="1616" fillId="0" borderId="1601" xfId="0" applyNumberFormat="1" applyFont="1" applyBorder="1" applyAlignment="1">
      <alignment horizontal="right"/>
    </xf>
    <xf numFmtId="169" fontId="1617" fillId="0" borderId="1602" xfId="0" applyNumberFormat="1" applyFont="1" applyBorder="1" applyAlignment="1">
      <alignment horizontal="right"/>
    </xf>
    <xf numFmtId="169" fontId="1618" fillId="0" borderId="1603" xfId="0" applyNumberFormat="1" applyFont="1" applyBorder="1" applyAlignment="1">
      <alignment horizontal="right"/>
    </xf>
    <xf numFmtId="2" fontId="1619" fillId="0" borderId="1604" xfId="0" applyNumberFormat="1" applyFont="1" applyBorder="1" applyAlignment="1">
      <alignment horizontal="left"/>
    </xf>
    <xf numFmtId="169" fontId="1620" fillId="0" borderId="1605" xfId="0" applyNumberFormat="1" applyFont="1" applyBorder="1" applyAlignment="1">
      <alignment horizontal="right"/>
    </xf>
    <xf numFmtId="169" fontId="1621" fillId="0" borderId="1606" xfId="0" applyNumberFormat="1" applyFont="1" applyBorder="1" applyAlignment="1">
      <alignment horizontal="right"/>
    </xf>
    <xf numFmtId="169" fontId="1622" fillId="0" borderId="1607" xfId="0" applyNumberFormat="1" applyFont="1" applyBorder="1" applyAlignment="1">
      <alignment horizontal="right"/>
    </xf>
    <xf numFmtId="2" fontId="1623" fillId="0" borderId="1608" xfId="0" applyNumberFormat="1" applyFont="1" applyBorder="1" applyAlignment="1">
      <alignment horizontal="left"/>
    </xf>
    <xf numFmtId="169" fontId="1624" fillId="0" borderId="1609" xfId="0" applyNumberFormat="1" applyFont="1" applyBorder="1" applyAlignment="1">
      <alignment horizontal="right"/>
    </xf>
    <xf numFmtId="169" fontId="1625" fillId="0" borderId="1610" xfId="0" applyNumberFormat="1" applyFont="1" applyBorder="1" applyAlignment="1">
      <alignment horizontal="right"/>
    </xf>
    <xf numFmtId="169" fontId="1626" fillId="0" borderId="1611" xfId="0" applyNumberFormat="1" applyFont="1" applyBorder="1" applyAlignment="1">
      <alignment horizontal="right"/>
    </xf>
    <xf numFmtId="2" fontId="1627" fillId="0" borderId="1612" xfId="0" applyNumberFormat="1" applyFont="1" applyBorder="1" applyAlignment="1">
      <alignment horizontal="left"/>
    </xf>
    <xf numFmtId="169" fontId="1628" fillId="0" borderId="1613" xfId="0" applyNumberFormat="1" applyFont="1" applyBorder="1" applyAlignment="1">
      <alignment horizontal="right"/>
    </xf>
    <xf numFmtId="169" fontId="1629" fillId="0" borderId="1614" xfId="0" applyNumberFormat="1" applyFont="1" applyBorder="1" applyAlignment="1">
      <alignment horizontal="right"/>
    </xf>
    <xf numFmtId="169" fontId="1630" fillId="0" borderId="1615" xfId="0" applyNumberFormat="1" applyFont="1" applyBorder="1" applyAlignment="1">
      <alignment horizontal="right"/>
    </xf>
    <xf numFmtId="2" fontId="1631" fillId="0" borderId="1616" xfId="0" applyNumberFormat="1" applyFont="1" applyBorder="1" applyAlignment="1">
      <alignment horizontal="left"/>
    </xf>
    <xf numFmtId="169" fontId="1632" fillId="0" borderId="1617" xfId="0" applyNumberFormat="1" applyFont="1" applyBorder="1" applyAlignment="1">
      <alignment horizontal="right"/>
    </xf>
    <xf numFmtId="169" fontId="1633" fillId="0" borderId="1618" xfId="0" applyNumberFormat="1" applyFont="1" applyBorder="1" applyAlignment="1">
      <alignment horizontal="right"/>
    </xf>
    <xf numFmtId="169" fontId="1634" fillId="0" borderId="1619" xfId="0" applyNumberFormat="1" applyFont="1" applyBorder="1" applyAlignment="1">
      <alignment horizontal="right"/>
    </xf>
    <xf numFmtId="2" fontId="1635" fillId="0" borderId="1620" xfId="0" applyNumberFormat="1" applyFont="1" applyBorder="1" applyAlignment="1">
      <alignment horizontal="left"/>
    </xf>
    <xf numFmtId="169" fontId="1636" fillId="0" borderId="1621" xfId="0" applyNumberFormat="1" applyFont="1" applyBorder="1" applyAlignment="1">
      <alignment horizontal="right"/>
    </xf>
    <xf numFmtId="169" fontId="1637" fillId="0" borderId="1622" xfId="0" applyNumberFormat="1" applyFont="1" applyBorder="1" applyAlignment="1">
      <alignment horizontal="right"/>
    </xf>
    <xf numFmtId="169" fontId="1638" fillId="0" borderId="1623" xfId="0" applyNumberFormat="1" applyFont="1" applyBorder="1" applyAlignment="1">
      <alignment horizontal="right"/>
    </xf>
    <xf numFmtId="2" fontId="1639" fillId="0" borderId="1624" xfId="0" applyNumberFormat="1" applyFont="1" applyBorder="1" applyAlignment="1">
      <alignment horizontal="left"/>
    </xf>
    <xf numFmtId="169" fontId="1640" fillId="0" borderId="1625" xfId="0" applyNumberFormat="1" applyFont="1" applyBorder="1" applyAlignment="1">
      <alignment horizontal="right"/>
    </xf>
    <xf numFmtId="169" fontId="1641" fillId="0" borderId="1626" xfId="0" applyNumberFormat="1" applyFont="1" applyBorder="1" applyAlignment="1">
      <alignment horizontal="right"/>
    </xf>
    <xf numFmtId="169" fontId="1642" fillId="0" borderId="1627" xfId="0" applyNumberFormat="1" applyFont="1" applyBorder="1" applyAlignment="1">
      <alignment horizontal="right"/>
    </xf>
    <xf numFmtId="2" fontId="1643" fillId="0" borderId="1628" xfId="0" applyNumberFormat="1" applyFont="1" applyBorder="1" applyAlignment="1">
      <alignment horizontal="left"/>
    </xf>
    <xf numFmtId="169" fontId="1644" fillId="0" borderId="1629" xfId="0" applyNumberFormat="1" applyFont="1" applyBorder="1" applyAlignment="1">
      <alignment horizontal="right"/>
    </xf>
    <xf numFmtId="169" fontId="1645" fillId="0" borderId="1630" xfId="0" applyNumberFormat="1" applyFont="1" applyBorder="1" applyAlignment="1">
      <alignment horizontal="right"/>
    </xf>
    <xf numFmtId="169" fontId="1646" fillId="0" borderId="1631" xfId="0" applyNumberFormat="1" applyFont="1" applyBorder="1" applyAlignment="1">
      <alignment horizontal="right"/>
    </xf>
    <xf numFmtId="2" fontId="1647" fillId="0" borderId="1632" xfId="0" applyNumberFormat="1" applyFont="1" applyBorder="1" applyAlignment="1">
      <alignment horizontal="left"/>
    </xf>
    <xf numFmtId="169" fontId="1648" fillId="0" borderId="1633" xfId="0" applyNumberFormat="1" applyFont="1" applyBorder="1" applyAlignment="1">
      <alignment horizontal="right"/>
    </xf>
    <xf numFmtId="169" fontId="1649" fillId="0" borderId="1634" xfId="0" applyNumberFormat="1" applyFont="1" applyBorder="1" applyAlignment="1">
      <alignment horizontal="right"/>
    </xf>
    <xf numFmtId="169" fontId="1650" fillId="0" borderId="1635" xfId="0" applyNumberFormat="1" applyFont="1" applyBorder="1" applyAlignment="1">
      <alignment horizontal="right"/>
    </xf>
    <xf numFmtId="2" fontId="1651" fillId="0" borderId="1636" xfId="0" applyNumberFormat="1" applyFont="1" applyBorder="1" applyAlignment="1">
      <alignment horizontal="left"/>
    </xf>
    <xf numFmtId="169" fontId="1652" fillId="0" borderId="1637" xfId="0" applyNumberFormat="1" applyFont="1" applyBorder="1" applyAlignment="1">
      <alignment horizontal="right"/>
    </xf>
    <xf numFmtId="169" fontId="1653" fillId="0" borderId="1638" xfId="0" applyNumberFormat="1" applyFont="1" applyBorder="1" applyAlignment="1">
      <alignment horizontal="right"/>
    </xf>
    <xf numFmtId="169" fontId="1654" fillId="0" borderId="1639" xfId="0" applyNumberFormat="1" applyFont="1" applyBorder="1" applyAlignment="1">
      <alignment horizontal="right"/>
    </xf>
    <xf numFmtId="2" fontId="1655" fillId="0" borderId="1640" xfId="0" applyNumberFormat="1" applyFont="1" applyBorder="1" applyAlignment="1">
      <alignment horizontal="left"/>
    </xf>
    <xf numFmtId="169" fontId="1656" fillId="0" borderId="1641" xfId="0" applyNumberFormat="1" applyFont="1" applyBorder="1" applyAlignment="1">
      <alignment horizontal="right"/>
    </xf>
    <xf numFmtId="169" fontId="1657" fillId="0" borderId="1642" xfId="0" applyNumberFormat="1" applyFont="1" applyBorder="1" applyAlignment="1">
      <alignment horizontal="right"/>
    </xf>
    <xf numFmtId="169" fontId="1658" fillId="0" borderId="1643" xfId="0" applyNumberFormat="1" applyFont="1" applyBorder="1" applyAlignment="1">
      <alignment horizontal="right"/>
    </xf>
    <xf numFmtId="0" fontId="1659" fillId="0" borderId="1644" xfId="0" applyFont="1" applyBorder="1"/>
    <xf numFmtId="0" fontId="1661" fillId="0" borderId="1645" xfId="0" applyFont="1" applyBorder="1" applyAlignment="1">
      <alignment horizontal="right"/>
    </xf>
    <xf numFmtId="0" fontId="1662" fillId="0" borderId="1646" xfId="0" applyFont="1" applyBorder="1"/>
    <xf numFmtId="0" fontId="1664" fillId="0" borderId="1647" xfId="0" applyFont="1" applyBorder="1"/>
    <xf numFmtId="2" fontId="1665" fillId="0" borderId="1648" xfId="0" applyNumberFormat="1" applyFont="1" applyBorder="1" applyAlignment="1">
      <alignment horizontal="center"/>
    </xf>
    <xf numFmtId="0" fontId="1666" fillId="0" borderId="1649" xfId="0" applyFont="1" applyBorder="1"/>
    <xf numFmtId="2" fontId="1667" fillId="0" borderId="1650" xfId="0" applyNumberFormat="1" applyFont="1" applyBorder="1" applyAlignment="1">
      <alignment horizontal="right"/>
    </xf>
    <xf numFmtId="2" fontId="1668" fillId="0" borderId="1651" xfId="0" applyNumberFormat="1" applyFont="1" applyBorder="1" applyAlignment="1">
      <alignment horizontal="right"/>
    </xf>
    <xf numFmtId="2" fontId="1669" fillId="0" borderId="1652" xfId="0" applyNumberFormat="1" applyFont="1" applyBorder="1" applyAlignment="1">
      <alignment horizontal="right"/>
    </xf>
    <xf numFmtId="0" fontId="1670" fillId="0" borderId="1653" xfId="0" applyFont="1" applyBorder="1" applyAlignment="1">
      <alignment horizontal="left"/>
    </xf>
    <xf numFmtId="2" fontId="1671" fillId="0" borderId="1654" xfId="0" applyNumberFormat="1" applyFont="1" applyBorder="1" applyAlignment="1">
      <alignment horizontal="left"/>
    </xf>
    <xf numFmtId="2" fontId="1672" fillId="0" borderId="1655" xfId="0" applyNumberFormat="1" applyFont="1" applyBorder="1" applyAlignment="1">
      <alignment horizontal="left"/>
    </xf>
    <xf numFmtId="2" fontId="1673" fillId="0" borderId="1656" xfId="0" applyNumberFormat="1" applyFont="1" applyBorder="1" applyAlignment="1">
      <alignment horizontal="left"/>
    </xf>
    <xf numFmtId="0" fontId="1674" fillId="0" borderId="1657" xfId="0" applyFont="1" applyBorder="1"/>
    <xf numFmtId="0" fontId="1675" fillId="0" borderId="1658" xfId="0" applyFont="1" applyBorder="1" applyAlignment="1">
      <alignment horizontal="left"/>
    </xf>
    <xf numFmtId="169" fontId="1676" fillId="0" borderId="1659" xfId="0" applyNumberFormat="1" applyFont="1" applyBorder="1" applyAlignment="1">
      <alignment horizontal="right"/>
    </xf>
    <xf numFmtId="169" fontId="1677" fillId="0" borderId="1660" xfId="0" applyNumberFormat="1" applyFont="1" applyBorder="1" applyAlignment="1">
      <alignment horizontal="right"/>
    </xf>
    <xf numFmtId="169" fontId="1678" fillId="0" borderId="1661" xfId="0" applyNumberFormat="1" applyFont="1" applyBorder="1" applyAlignment="1">
      <alignment horizontal="right"/>
    </xf>
    <xf numFmtId="169" fontId="1679" fillId="0" borderId="1662" xfId="0" applyNumberFormat="1" applyFont="1" applyBorder="1" applyAlignment="1">
      <alignment horizontal="right"/>
    </xf>
    <xf numFmtId="0" fontId="1680" fillId="0" borderId="1663" xfId="0" applyFont="1" applyBorder="1" applyAlignment="1">
      <alignment horizontal="left"/>
    </xf>
    <xf numFmtId="169" fontId="1681" fillId="0" borderId="1664" xfId="0" applyNumberFormat="1" applyFont="1" applyBorder="1" applyAlignment="1">
      <alignment horizontal="right"/>
    </xf>
    <xf numFmtId="169" fontId="1682" fillId="0" borderId="1665" xfId="0" applyNumberFormat="1" applyFont="1" applyBorder="1" applyAlignment="1">
      <alignment horizontal="right"/>
    </xf>
    <xf numFmtId="169" fontId="1683" fillId="0" borderId="1666" xfId="0" applyNumberFormat="1" applyFont="1" applyBorder="1" applyAlignment="1">
      <alignment horizontal="right"/>
    </xf>
    <xf numFmtId="169" fontId="1684" fillId="0" borderId="1667" xfId="0" applyNumberFormat="1" applyFont="1" applyBorder="1" applyAlignment="1">
      <alignment horizontal="right"/>
    </xf>
    <xf numFmtId="0" fontId="1685" fillId="0" borderId="1668" xfId="0" applyFont="1" applyBorder="1" applyAlignment="1">
      <alignment horizontal="left"/>
    </xf>
    <xf numFmtId="169" fontId="1686" fillId="0" borderId="1669" xfId="0" applyNumberFormat="1" applyFont="1" applyBorder="1" applyAlignment="1">
      <alignment horizontal="right"/>
    </xf>
    <xf numFmtId="169" fontId="1687" fillId="0" borderId="1670" xfId="0" applyNumberFormat="1" applyFont="1" applyBorder="1" applyAlignment="1">
      <alignment horizontal="right"/>
    </xf>
    <xf numFmtId="169" fontId="1688" fillId="0" borderId="1671" xfId="0" applyNumberFormat="1" applyFont="1" applyBorder="1" applyAlignment="1">
      <alignment horizontal="right"/>
    </xf>
    <xf numFmtId="169" fontId="1689" fillId="0" borderId="1672" xfId="0" applyNumberFormat="1" applyFont="1" applyBorder="1" applyAlignment="1">
      <alignment horizontal="right"/>
    </xf>
    <xf numFmtId="0" fontId="1690" fillId="0" borderId="1673" xfId="0" applyFont="1" applyBorder="1" applyAlignment="1">
      <alignment horizontal="left"/>
    </xf>
    <xf numFmtId="169" fontId="1691" fillId="0" borderId="1674" xfId="0" applyNumberFormat="1" applyFont="1" applyBorder="1" applyAlignment="1">
      <alignment horizontal="right"/>
    </xf>
    <xf numFmtId="169" fontId="1692" fillId="0" borderId="1675" xfId="0" applyNumberFormat="1" applyFont="1" applyBorder="1" applyAlignment="1">
      <alignment horizontal="right"/>
    </xf>
    <xf numFmtId="169" fontId="1693" fillId="0" borderId="1676" xfId="0" applyNumberFormat="1" applyFont="1" applyBorder="1" applyAlignment="1">
      <alignment horizontal="right"/>
    </xf>
    <xf numFmtId="169" fontId="1694" fillId="0" borderId="1677" xfId="0" applyNumberFormat="1" applyFont="1" applyBorder="1" applyAlignment="1">
      <alignment horizontal="right"/>
    </xf>
    <xf numFmtId="0" fontId="1695" fillId="0" borderId="1678" xfId="0" applyFont="1" applyBorder="1" applyAlignment="1">
      <alignment horizontal="left"/>
    </xf>
    <xf numFmtId="169" fontId="1696" fillId="0" borderId="1679" xfId="0" applyNumberFormat="1" applyFont="1" applyBorder="1" applyAlignment="1">
      <alignment horizontal="right"/>
    </xf>
    <xf numFmtId="169" fontId="1697" fillId="0" borderId="1680" xfId="0" applyNumberFormat="1" applyFont="1" applyBorder="1" applyAlignment="1">
      <alignment horizontal="right"/>
    </xf>
    <xf numFmtId="169" fontId="1698" fillId="0" borderId="1681" xfId="0" applyNumberFormat="1" applyFont="1" applyBorder="1" applyAlignment="1">
      <alignment horizontal="right"/>
    </xf>
    <xf numFmtId="169" fontId="1699" fillId="0" borderId="1682" xfId="0" applyNumberFormat="1" applyFont="1" applyBorder="1" applyAlignment="1">
      <alignment horizontal="right"/>
    </xf>
    <xf numFmtId="0" fontId="1700" fillId="0" borderId="1683" xfId="0" applyFont="1" applyBorder="1" applyAlignment="1">
      <alignment horizontal="left"/>
    </xf>
    <xf numFmtId="169" fontId="1701" fillId="0" borderId="1684" xfId="0" applyNumberFormat="1" applyFont="1" applyBorder="1" applyAlignment="1">
      <alignment horizontal="right"/>
    </xf>
    <xf numFmtId="169" fontId="1702" fillId="0" borderId="1685" xfId="0" applyNumberFormat="1" applyFont="1" applyBorder="1" applyAlignment="1">
      <alignment horizontal="right"/>
    </xf>
    <xf numFmtId="169" fontId="1703" fillId="0" borderId="1686" xfId="0" applyNumberFormat="1" applyFont="1" applyBorder="1" applyAlignment="1">
      <alignment horizontal="right"/>
    </xf>
    <xf numFmtId="169" fontId="1704" fillId="0" borderId="1687" xfId="0" applyNumberFormat="1" applyFont="1" applyBorder="1" applyAlignment="1">
      <alignment horizontal="right"/>
    </xf>
    <xf numFmtId="0" fontId="1705" fillId="0" borderId="1688" xfId="0" applyFont="1" applyBorder="1" applyAlignment="1">
      <alignment horizontal="left"/>
    </xf>
    <xf numFmtId="169" fontId="1706" fillId="0" borderId="1689" xfId="0" applyNumberFormat="1" applyFont="1" applyBorder="1" applyAlignment="1">
      <alignment horizontal="right"/>
    </xf>
    <xf numFmtId="169" fontId="1707" fillId="0" borderId="1690" xfId="0" applyNumberFormat="1" applyFont="1" applyBorder="1" applyAlignment="1">
      <alignment horizontal="right"/>
    </xf>
    <xf numFmtId="169" fontId="1708" fillId="0" borderId="1691" xfId="0" applyNumberFormat="1" applyFont="1" applyBorder="1" applyAlignment="1">
      <alignment horizontal="right"/>
    </xf>
    <xf numFmtId="169" fontId="1709" fillId="0" borderId="1692" xfId="0" applyNumberFormat="1" applyFont="1" applyBorder="1" applyAlignment="1">
      <alignment horizontal="right"/>
    </xf>
    <xf numFmtId="0" fontId="1710" fillId="0" borderId="1693" xfId="0" applyFont="1" applyBorder="1" applyAlignment="1">
      <alignment horizontal="left"/>
    </xf>
    <xf numFmtId="169" fontId="1711" fillId="0" borderId="1694" xfId="0" applyNumberFormat="1" applyFont="1" applyBorder="1" applyAlignment="1">
      <alignment horizontal="right"/>
    </xf>
    <xf numFmtId="169" fontId="1712" fillId="0" borderId="1695" xfId="0" applyNumberFormat="1" applyFont="1" applyBorder="1" applyAlignment="1">
      <alignment horizontal="right"/>
    </xf>
    <xf numFmtId="169" fontId="1713" fillId="0" borderId="1696" xfId="0" applyNumberFormat="1" applyFont="1" applyBorder="1" applyAlignment="1">
      <alignment horizontal="right"/>
    </xf>
    <xf numFmtId="169" fontId="1714" fillId="0" borderId="1697" xfId="0" applyNumberFormat="1" applyFont="1" applyBorder="1" applyAlignment="1">
      <alignment horizontal="right"/>
    </xf>
    <xf numFmtId="0" fontId="1715" fillId="0" borderId="1698" xfId="0" applyFont="1" applyBorder="1" applyAlignment="1">
      <alignment horizontal="left"/>
    </xf>
    <xf numFmtId="169" fontId="1716" fillId="0" borderId="1699" xfId="0" applyNumberFormat="1" applyFont="1" applyBorder="1" applyAlignment="1">
      <alignment horizontal="right"/>
    </xf>
    <xf numFmtId="169" fontId="1717" fillId="0" borderId="1700" xfId="0" applyNumberFormat="1" applyFont="1" applyBorder="1" applyAlignment="1">
      <alignment horizontal="right"/>
    </xf>
    <xf numFmtId="169" fontId="1718" fillId="0" borderId="1701" xfId="0" applyNumberFormat="1" applyFont="1" applyBorder="1" applyAlignment="1">
      <alignment horizontal="right"/>
    </xf>
    <xf numFmtId="169" fontId="1719" fillId="0" borderId="1702" xfId="0" applyNumberFormat="1" applyFont="1" applyBorder="1" applyAlignment="1">
      <alignment horizontal="right"/>
    </xf>
    <xf numFmtId="0" fontId="1720" fillId="0" borderId="1703" xfId="0" applyFont="1" applyBorder="1" applyAlignment="1">
      <alignment horizontal="left"/>
    </xf>
    <xf numFmtId="169" fontId="1721" fillId="0" borderId="1704" xfId="0" applyNumberFormat="1" applyFont="1" applyBorder="1" applyAlignment="1">
      <alignment horizontal="right"/>
    </xf>
    <xf numFmtId="169" fontId="1722" fillId="0" borderId="1705" xfId="0" applyNumberFormat="1" applyFont="1" applyBorder="1" applyAlignment="1">
      <alignment horizontal="right"/>
    </xf>
    <xf numFmtId="169" fontId="1723" fillId="0" borderId="1706" xfId="0" applyNumberFormat="1" applyFont="1" applyBorder="1" applyAlignment="1">
      <alignment horizontal="right"/>
    </xf>
    <xf numFmtId="169" fontId="1724" fillId="0" borderId="1707" xfId="0" applyNumberFormat="1" applyFont="1" applyBorder="1" applyAlignment="1">
      <alignment horizontal="right"/>
    </xf>
    <xf numFmtId="0" fontId="1725" fillId="0" borderId="1708" xfId="0" applyFont="1" applyBorder="1" applyAlignment="1">
      <alignment horizontal="left"/>
    </xf>
    <xf numFmtId="169" fontId="1726" fillId="0" borderId="1709" xfId="0" applyNumberFormat="1" applyFont="1" applyBorder="1" applyAlignment="1">
      <alignment horizontal="right"/>
    </xf>
    <xf numFmtId="169" fontId="1727" fillId="0" borderId="1710" xfId="0" applyNumberFormat="1" applyFont="1" applyBorder="1" applyAlignment="1">
      <alignment horizontal="right"/>
    </xf>
    <xf numFmtId="169" fontId="1728" fillId="0" borderId="1711" xfId="0" applyNumberFormat="1" applyFont="1" applyBorder="1" applyAlignment="1">
      <alignment horizontal="right"/>
    </xf>
    <xf numFmtId="169" fontId="1729" fillId="0" borderId="1712" xfId="0" applyNumberFormat="1" applyFont="1" applyBorder="1" applyAlignment="1">
      <alignment horizontal="right"/>
    </xf>
    <xf numFmtId="0" fontId="1730" fillId="0" borderId="1713" xfId="0" applyFont="1" applyBorder="1" applyAlignment="1">
      <alignment horizontal="left"/>
    </xf>
    <xf numFmtId="169" fontId="1731" fillId="0" borderId="1714" xfId="0" applyNumberFormat="1" applyFont="1" applyBorder="1" applyAlignment="1">
      <alignment horizontal="right"/>
    </xf>
    <xf numFmtId="169" fontId="1732" fillId="0" borderId="1715" xfId="0" applyNumberFormat="1" applyFont="1" applyBorder="1" applyAlignment="1">
      <alignment horizontal="right"/>
    </xf>
    <xf numFmtId="169" fontId="1733" fillId="0" borderId="1716" xfId="0" applyNumberFormat="1" applyFont="1" applyBorder="1" applyAlignment="1">
      <alignment horizontal="right"/>
    </xf>
    <xf numFmtId="169" fontId="1734" fillId="0" borderId="1717" xfId="0" applyNumberFormat="1" applyFont="1" applyBorder="1" applyAlignment="1">
      <alignment horizontal="right"/>
    </xf>
    <xf numFmtId="0" fontId="1735" fillId="0" borderId="1718" xfId="0" applyFont="1" applyBorder="1" applyAlignment="1">
      <alignment horizontal="left"/>
    </xf>
    <xf numFmtId="169" fontId="1736" fillId="0" borderId="1719" xfId="0" applyNumberFormat="1" applyFont="1" applyBorder="1" applyAlignment="1">
      <alignment horizontal="right"/>
    </xf>
    <xf numFmtId="169" fontId="1737" fillId="0" borderId="1720" xfId="0" applyNumberFormat="1" applyFont="1" applyBorder="1" applyAlignment="1">
      <alignment horizontal="right"/>
    </xf>
    <xf numFmtId="169" fontId="1738" fillId="0" borderId="1721" xfId="0" applyNumberFormat="1" applyFont="1" applyBorder="1" applyAlignment="1">
      <alignment horizontal="right"/>
    </xf>
    <xf numFmtId="169" fontId="1739" fillId="0" borderId="1722" xfId="0" applyNumberFormat="1" applyFont="1" applyBorder="1" applyAlignment="1">
      <alignment horizontal="right"/>
    </xf>
    <xf numFmtId="0" fontId="1740" fillId="0" borderId="1723" xfId="0" applyFont="1" applyBorder="1" applyAlignment="1">
      <alignment horizontal="left"/>
    </xf>
    <xf numFmtId="169" fontId="1741" fillId="0" borderId="1724" xfId="0" applyNumberFormat="1" applyFont="1" applyBorder="1" applyAlignment="1">
      <alignment horizontal="right"/>
    </xf>
    <xf numFmtId="169" fontId="1742" fillId="0" borderId="1725" xfId="0" applyNumberFormat="1" applyFont="1" applyBorder="1" applyAlignment="1">
      <alignment horizontal="right"/>
    </xf>
    <xf numFmtId="169" fontId="1743" fillId="0" borderId="1726" xfId="0" applyNumberFormat="1" applyFont="1" applyBorder="1" applyAlignment="1">
      <alignment horizontal="right"/>
    </xf>
    <xf numFmtId="169" fontId="1744" fillId="0" borderId="1727" xfId="0" applyNumberFormat="1" applyFont="1" applyBorder="1" applyAlignment="1">
      <alignment horizontal="right"/>
    </xf>
    <xf numFmtId="0" fontId="1745" fillId="0" borderId="1728" xfId="0" applyFont="1" applyBorder="1" applyAlignment="1">
      <alignment horizontal="left"/>
    </xf>
    <xf numFmtId="169" fontId="1746" fillId="0" borderId="1729" xfId="0" applyNumberFormat="1" applyFont="1" applyBorder="1" applyAlignment="1">
      <alignment horizontal="right"/>
    </xf>
    <xf numFmtId="169" fontId="1747" fillId="0" borderId="1730" xfId="0" applyNumberFormat="1" applyFont="1" applyBorder="1" applyAlignment="1">
      <alignment horizontal="right"/>
    </xf>
    <xf numFmtId="169" fontId="1748" fillId="0" borderId="1731" xfId="0" applyNumberFormat="1" applyFont="1" applyBorder="1" applyAlignment="1">
      <alignment horizontal="right"/>
    </xf>
    <xf numFmtId="169" fontId="1749" fillId="0" borderId="1732" xfId="0" applyNumberFormat="1" applyFont="1" applyBorder="1" applyAlignment="1">
      <alignment horizontal="right"/>
    </xf>
    <xf numFmtId="0" fontId="1750" fillId="0" borderId="1733" xfId="0" applyFont="1" applyBorder="1" applyAlignment="1">
      <alignment horizontal="left"/>
    </xf>
    <xf numFmtId="169" fontId="1751" fillId="0" borderId="1734" xfId="0" applyNumberFormat="1" applyFont="1" applyBorder="1" applyAlignment="1">
      <alignment horizontal="right"/>
    </xf>
    <xf numFmtId="169" fontId="1752" fillId="0" borderId="1735" xfId="0" applyNumberFormat="1" applyFont="1" applyBorder="1" applyAlignment="1">
      <alignment horizontal="right"/>
    </xf>
    <xf numFmtId="169" fontId="1753" fillId="0" borderId="1736" xfId="0" applyNumberFormat="1" applyFont="1" applyBorder="1" applyAlignment="1">
      <alignment horizontal="right"/>
    </xf>
    <xf numFmtId="169" fontId="1754" fillId="0" borderId="1737" xfId="0" applyNumberFormat="1" applyFont="1" applyBorder="1" applyAlignment="1">
      <alignment horizontal="right"/>
    </xf>
    <xf numFmtId="2" fontId="1755" fillId="0" borderId="1738" xfId="0" applyNumberFormat="1" applyFont="1" applyBorder="1"/>
    <xf numFmtId="0" fontId="1756" fillId="0" borderId="1739" xfId="0" applyFont="1" applyBorder="1" applyAlignment="1">
      <alignment horizontal="center"/>
    </xf>
    <xf numFmtId="0" fontId="1757" fillId="0" borderId="1740" xfId="0" applyFont="1" applyBorder="1" applyAlignment="1">
      <alignment horizontal="center"/>
    </xf>
    <xf numFmtId="0" fontId="1758" fillId="0" borderId="1741" xfId="0" applyFont="1" applyBorder="1" applyAlignment="1">
      <alignment horizontal="right"/>
    </xf>
    <xf numFmtId="2" fontId="1759" fillId="0" borderId="1742" xfId="0" applyNumberFormat="1" applyFont="1" applyBorder="1"/>
    <xf numFmtId="0" fontId="1760" fillId="0" borderId="1743" xfId="0" applyFont="1" applyBorder="1" applyAlignment="1">
      <alignment horizontal="center"/>
    </xf>
    <xf numFmtId="2" fontId="1761" fillId="0" borderId="1744" xfId="0" applyNumberFormat="1" applyFont="1" applyBorder="1"/>
    <xf numFmtId="2" fontId="1763" fillId="0" borderId="1745" xfId="0" applyNumberFormat="1" applyFont="1" applyBorder="1" applyAlignment="1">
      <alignment horizontal="right"/>
    </xf>
    <xf numFmtId="0" fontId="1764" fillId="0" borderId="1746" xfId="0" applyFont="1" applyBorder="1" applyAlignment="1">
      <alignment horizontal="right"/>
    </xf>
    <xf numFmtId="0" fontId="1765" fillId="0" borderId="1747" xfId="0" applyFont="1" applyBorder="1" applyAlignment="1">
      <alignment horizontal="right"/>
    </xf>
    <xf numFmtId="2" fontId="1766" fillId="0" borderId="1748" xfId="0" applyNumberFormat="1" applyFont="1" applyBorder="1" applyAlignment="1">
      <alignment horizontal="left"/>
    </xf>
    <xf numFmtId="0" fontId="1767" fillId="0" borderId="1749" xfId="0" applyFont="1" applyBorder="1"/>
    <xf numFmtId="0" fontId="1768" fillId="0" borderId="1750" xfId="0" applyFont="1" applyBorder="1"/>
    <xf numFmtId="0" fontId="1769" fillId="0" borderId="1751" xfId="0" applyFont="1" applyBorder="1"/>
    <xf numFmtId="2" fontId="1770" fillId="0" borderId="1752" xfId="0" applyNumberFormat="1" applyFont="1" applyBorder="1" applyAlignment="1">
      <alignment horizontal="left"/>
    </xf>
    <xf numFmtId="169" fontId="1771" fillId="0" borderId="1753" xfId="0" applyNumberFormat="1" applyFont="1" applyBorder="1" applyAlignment="1">
      <alignment horizontal="right"/>
    </xf>
    <xf numFmtId="169" fontId="1772" fillId="0" borderId="1754" xfId="0" applyNumberFormat="1" applyFont="1" applyBorder="1" applyAlignment="1">
      <alignment horizontal="right"/>
    </xf>
    <xf numFmtId="169" fontId="1773" fillId="0" borderId="1755" xfId="0" applyNumberFormat="1" applyFont="1" applyBorder="1" applyAlignment="1">
      <alignment horizontal="right"/>
    </xf>
    <xf numFmtId="2" fontId="1774" fillId="0" borderId="1756" xfId="0" applyNumberFormat="1" applyFont="1" applyBorder="1" applyAlignment="1">
      <alignment horizontal="left"/>
    </xf>
    <xf numFmtId="169" fontId="1775" fillId="0" borderId="1757" xfId="0" applyNumberFormat="1" applyFont="1" applyBorder="1" applyAlignment="1">
      <alignment horizontal="right"/>
    </xf>
    <xf numFmtId="169" fontId="1776" fillId="0" borderId="1758" xfId="0" applyNumberFormat="1" applyFont="1" applyBorder="1" applyAlignment="1">
      <alignment horizontal="right"/>
    </xf>
    <xf numFmtId="169" fontId="1777" fillId="0" borderId="1759" xfId="0" applyNumberFormat="1" applyFont="1" applyBorder="1" applyAlignment="1">
      <alignment horizontal="right"/>
    </xf>
    <xf numFmtId="2" fontId="1778" fillId="0" borderId="1760" xfId="0" applyNumberFormat="1" applyFont="1" applyBorder="1" applyAlignment="1">
      <alignment horizontal="left"/>
    </xf>
    <xf numFmtId="169" fontId="1779" fillId="0" borderId="1761" xfId="0" applyNumberFormat="1" applyFont="1" applyBorder="1" applyAlignment="1">
      <alignment horizontal="right"/>
    </xf>
    <xf numFmtId="169" fontId="1780" fillId="0" borderId="1762" xfId="0" applyNumberFormat="1" applyFont="1" applyBorder="1" applyAlignment="1">
      <alignment horizontal="right"/>
    </xf>
    <xf numFmtId="169" fontId="1781" fillId="0" borderId="1763" xfId="0" applyNumberFormat="1" applyFont="1" applyBorder="1" applyAlignment="1">
      <alignment horizontal="right"/>
    </xf>
    <xf numFmtId="2" fontId="1782" fillId="0" borderId="1764" xfId="0" applyNumberFormat="1" applyFont="1" applyBorder="1" applyAlignment="1">
      <alignment horizontal="left"/>
    </xf>
    <xf numFmtId="169" fontId="1783" fillId="0" borderId="1765" xfId="0" applyNumberFormat="1" applyFont="1" applyBorder="1" applyAlignment="1">
      <alignment horizontal="right"/>
    </xf>
    <xf numFmtId="169" fontId="1784" fillId="0" borderId="1766" xfId="0" applyNumberFormat="1" applyFont="1" applyBorder="1" applyAlignment="1">
      <alignment horizontal="right"/>
    </xf>
    <xf numFmtId="169" fontId="1785" fillId="0" borderId="1767" xfId="0" applyNumberFormat="1" applyFont="1" applyBorder="1" applyAlignment="1">
      <alignment horizontal="right"/>
    </xf>
    <xf numFmtId="2" fontId="1786" fillId="0" borderId="1768" xfId="0" applyNumberFormat="1" applyFont="1" applyBorder="1" applyAlignment="1">
      <alignment horizontal="left"/>
    </xf>
    <xf numFmtId="169" fontId="1787" fillId="0" borderId="1769" xfId="0" applyNumberFormat="1" applyFont="1" applyBorder="1" applyAlignment="1">
      <alignment horizontal="right"/>
    </xf>
    <xf numFmtId="169" fontId="1788" fillId="0" borderId="1770" xfId="0" applyNumberFormat="1" applyFont="1" applyBorder="1" applyAlignment="1">
      <alignment horizontal="right"/>
    </xf>
    <xf numFmtId="169" fontId="1789" fillId="0" borderId="1771" xfId="0" applyNumberFormat="1" applyFont="1" applyBorder="1" applyAlignment="1">
      <alignment horizontal="right"/>
    </xf>
    <xf numFmtId="2" fontId="1790" fillId="0" borderId="1772" xfId="0" applyNumberFormat="1" applyFont="1" applyBorder="1" applyAlignment="1">
      <alignment horizontal="left"/>
    </xf>
    <xf numFmtId="169" fontId="1791" fillId="0" borderId="1773" xfId="0" applyNumberFormat="1" applyFont="1" applyBorder="1" applyAlignment="1">
      <alignment horizontal="right"/>
    </xf>
    <xf numFmtId="169" fontId="1792" fillId="0" borderId="1774" xfId="0" applyNumberFormat="1" applyFont="1" applyBorder="1" applyAlignment="1">
      <alignment horizontal="right"/>
    </xf>
    <xf numFmtId="169" fontId="1793" fillId="0" borderId="1775" xfId="0" applyNumberFormat="1" applyFont="1" applyBorder="1" applyAlignment="1">
      <alignment horizontal="right"/>
    </xf>
    <xf numFmtId="2" fontId="1794" fillId="0" borderId="1776" xfId="0" applyNumberFormat="1" applyFont="1" applyBorder="1" applyAlignment="1">
      <alignment horizontal="left"/>
    </xf>
    <xf numFmtId="169" fontId="1795" fillId="0" borderId="1777" xfId="0" applyNumberFormat="1" applyFont="1" applyBorder="1" applyAlignment="1">
      <alignment horizontal="right"/>
    </xf>
    <xf numFmtId="169" fontId="1796" fillId="0" borderId="1778" xfId="0" applyNumberFormat="1" applyFont="1" applyBorder="1" applyAlignment="1">
      <alignment horizontal="right"/>
    </xf>
    <xf numFmtId="169" fontId="1797" fillId="0" borderId="1779" xfId="0" applyNumberFormat="1" applyFont="1" applyBorder="1" applyAlignment="1">
      <alignment horizontal="right"/>
    </xf>
    <xf numFmtId="2" fontId="1798" fillId="0" borderId="1780" xfId="0" applyNumberFormat="1" applyFont="1" applyBorder="1" applyAlignment="1">
      <alignment horizontal="left"/>
    </xf>
    <xf numFmtId="169" fontId="1799" fillId="0" borderId="1781" xfId="0" applyNumberFormat="1" applyFont="1" applyBorder="1" applyAlignment="1">
      <alignment horizontal="right"/>
    </xf>
    <xf numFmtId="169" fontId="1800" fillId="0" borderId="1782" xfId="0" applyNumberFormat="1" applyFont="1" applyBorder="1" applyAlignment="1">
      <alignment horizontal="right"/>
    </xf>
    <xf numFmtId="169" fontId="1801" fillId="0" borderId="1783" xfId="0" applyNumberFormat="1" applyFont="1" applyBorder="1" applyAlignment="1">
      <alignment horizontal="right"/>
    </xf>
    <xf numFmtId="2" fontId="1802" fillId="0" borderId="1784" xfId="0" applyNumberFormat="1" applyFont="1" applyBorder="1" applyAlignment="1">
      <alignment horizontal="left"/>
    </xf>
    <xf numFmtId="169" fontId="1803" fillId="0" borderId="1785" xfId="0" applyNumberFormat="1" applyFont="1" applyBorder="1" applyAlignment="1">
      <alignment horizontal="right"/>
    </xf>
    <xf numFmtId="169" fontId="1804" fillId="0" borderId="1786" xfId="0" applyNumberFormat="1" applyFont="1" applyBorder="1" applyAlignment="1">
      <alignment horizontal="right"/>
    </xf>
    <xf numFmtId="169" fontId="1805" fillId="0" borderId="1787" xfId="0" applyNumberFormat="1" applyFont="1" applyBorder="1" applyAlignment="1">
      <alignment horizontal="right"/>
    </xf>
    <xf numFmtId="2" fontId="1806" fillId="0" borderId="1788" xfId="0" applyNumberFormat="1" applyFont="1" applyBorder="1" applyAlignment="1">
      <alignment horizontal="left"/>
    </xf>
    <xf numFmtId="169" fontId="1807" fillId="0" borderId="1789" xfId="0" applyNumberFormat="1" applyFont="1" applyBorder="1" applyAlignment="1">
      <alignment horizontal="right"/>
    </xf>
    <xf numFmtId="169" fontId="1808" fillId="0" borderId="1790" xfId="0" applyNumberFormat="1" applyFont="1" applyBorder="1" applyAlignment="1">
      <alignment horizontal="right"/>
    </xf>
    <xf numFmtId="169" fontId="1809" fillId="0" borderId="1791" xfId="0" applyNumberFormat="1" applyFont="1" applyBorder="1" applyAlignment="1">
      <alignment horizontal="right"/>
    </xf>
    <xf numFmtId="2" fontId="1810" fillId="0" borderId="1792" xfId="0" applyNumberFormat="1" applyFont="1" applyBorder="1" applyAlignment="1">
      <alignment horizontal="left"/>
    </xf>
    <xf numFmtId="169" fontId="1811" fillId="0" borderId="1793" xfId="0" applyNumberFormat="1" applyFont="1" applyBorder="1" applyAlignment="1">
      <alignment horizontal="right"/>
    </xf>
    <xf numFmtId="169" fontId="1812" fillId="0" borderId="1794" xfId="0" applyNumberFormat="1" applyFont="1" applyBorder="1" applyAlignment="1">
      <alignment horizontal="right"/>
    </xf>
    <xf numFmtId="169" fontId="1813" fillId="0" borderId="1795" xfId="0" applyNumberFormat="1" applyFont="1" applyBorder="1" applyAlignment="1">
      <alignment horizontal="right"/>
    </xf>
    <xf numFmtId="2" fontId="1814" fillId="0" borderId="1796" xfId="0" applyNumberFormat="1" applyFont="1" applyBorder="1" applyAlignment="1">
      <alignment horizontal="left"/>
    </xf>
    <xf numFmtId="169" fontId="1815" fillId="0" borderId="1797" xfId="0" applyNumberFormat="1" applyFont="1" applyBorder="1" applyAlignment="1">
      <alignment horizontal="right"/>
    </xf>
    <xf numFmtId="169" fontId="1816" fillId="0" borderId="1798" xfId="0" applyNumberFormat="1" applyFont="1" applyBorder="1" applyAlignment="1">
      <alignment horizontal="right"/>
    </xf>
    <xf numFmtId="169" fontId="1817" fillId="0" borderId="1799" xfId="0" applyNumberFormat="1" applyFont="1" applyBorder="1" applyAlignment="1">
      <alignment horizontal="right"/>
    </xf>
    <xf numFmtId="2" fontId="1818" fillId="0" borderId="1800" xfId="0" applyNumberFormat="1" applyFont="1" applyBorder="1" applyAlignment="1">
      <alignment horizontal="left"/>
    </xf>
    <xf numFmtId="169" fontId="1819" fillId="0" borderId="1801" xfId="0" applyNumberFormat="1" applyFont="1" applyBorder="1" applyAlignment="1">
      <alignment horizontal="right"/>
    </xf>
    <xf numFmtId="169" fontId="1820" fillId="0" borderId="1802" xfId="0" applyNumberFormat="1" applyFont="1" applyBorder="1" applyAlignment="1">
      <alignment horizontal="right"/>
    </xf>
    <xf numFmtId="169" fontId="1821" fillId="0" borderId="1803" xfId="0" applyNumberFormat="1" applyFont="1" applyBorder="1" applyAlignment="1">
      <alignment horizontal="right"/>
    </xf>
    <xf numFmtId="2" fontId="1822" fillId="0" borderId="1804" xfId="0" applyNumberFormat="1" applyFont="1" applyBorder="1" applyAlignment="1">
      <alignment horizontal="left"/>
    </xf>
    <xf numFmtId="169" fontId="1823" fillId="0" borderId="1805" xfId="0" applyNumberFormat="1" applyFont="1" applyBorder="1" applyAlignment="1">
      <alignment horizontal="right"/>
    </xf>
    <xf numFmtId="169" fontId="1824" fillId="0" borderId="1806" xfId="0" applyNumberFormat="1" applyFont="1" applyBorder="1" applyAlignment="1">
      <alignment horizontal="right"/>
    </xf>
    <xf numFmtId="169" fontId="1825" fillId="0" borderId="1807" xfId="0" applyNumberFormat="1" applyFont="1" applyBorder="1" applyAlignment="1">
      <alignment horizontal="right"/>
    </xf>
    <xf numFmtId="2" fontId="1826" fillId="0" borderId="1808" xfId="0" applyNumberFormat="1" applyFont="1" applyBorder="1" applyAlignment="1">
      <alignment horizontal="left"/>
    </xf>
    <xf numFmtId="169" fontId="1827" fillId="0" borderId="1809" xfId="0" applyNumberFormat="1" applyFont="1" applyBorder="1" applyAlignment="1">
      <alignment horizontal="right"/>
    </xf>
    <xf numFmtId="169" fontId="1828" fillId="0" borderId="1810" xfId="0" applyNumberFormat="1" applyFont="1" applyBorder="1" applyAlignment="1">
      <alignment horizontal="right"/>
    </xf>
    <xf numFmtId="169" fontId="1829" fillId="0" borderId="1811" xfId="0" applyNumberFormat="1" applyFont="1" applyBorder="1" applyAlignment="1">
      <alignment horizontal="right"/>
    </xf>
    <xf numFmtId="2" fontId="1830" fillId="0" borderId="1812" xfId="0" applyNumberFormat="1" applyFont="1" applyBorder="1" applyAlignment="1">
      <alignment horizontal="left"/>
    </xf>
    <xf numFmtId="169" fontId="1831" fillId="0" borderId="1813" xfId="0" applyNumberFormat="1" applyFont="1" applyBorder="1" applyAlignment="1">
      <alignment horizontal="right"/>
    </xf>
    <xf numFmtId="169" fontId="1832" fillId="0" borderId="1814" xfId="0" applyNumberFormat="1" applyFont="1" applyBorder="1" applyAlignment="1">
      <alignment horizontal="right"/>
    </xf>
    <xf numFmtId="169" fontId="1833" fillId="0" borderId="1815" xfId="0" applyNumberFormat="1" applyFont="1" applyBorder="1" applyAlignment="1">
      <alignment horizontal="right"/>
    </xf>
    <xf numFmtId="0" fontId="1834" fillId="0" borderId="1816" xfId="0" applyFont="1" applyBorder="1"/>
    <xf numFmtId="0" fontId="1836" fillId="0" borderId="1817" xfId="0" applyFont="1" applyBorder="1" applyAlignment="1">
      <alignment horizontal="right"/>
    </xf>
    <xf numFmtId="0" fontId="1837" fillId="0" borderId="1818" xfId="0" applyFont="1" applyBorder="1"/>
    <xf numFmtId="0" fontId="1839" fillId="0" borderId="1819" xfId="0" applyFont="1" applyBorder="1"/>
    <xf numFmtId="0" fontId="1841" fillId="0" borderId="1820" xfId="0" applyFont="1" applyBorder="1"/>
    <xf numFmtId="2" fontId="1842" fillId="0" borderId="1821" xfId="0" applyNumberFormat="1" applyFont="1" applyBorder="1" applyAlignment="1">
      <alignment horizontal="right"/>
    </xf>
    <xf numFmtId="2" fontId="1843" fillId="0" borderId="1822" xfId="0" applyNumberFormat="1" applyFont="1" applyBorder="1" applyAlignment="1">
      <alignment horizontal="right"/>
    </xf>
    <xf numFmtId="2" fontId="1844" fillId="0" borderId="1823" xfId="0" applyNumberFormat="1" applyFont="1" applyBorder="1" applyAlignment="1">
      <alignment horizontal="right"/>
    </xf>
    <xf numFmtId="0" fontId="1845" fillId="0" borderId="1824" xfId="0" applyFont="1" applyBorder="1" applyAlignment="1">
      <alignment horizontal="left"/>
    </xf>
    <xf numFmtId="2" fontId="1846" fillId="0" borderId="1825" xfId="0" applyNumberFormat="1" applyFont="1" applyBorder="1" applyAlignment="1">
      <alignment horizontal="left"/>
    </xf>
    <xf numFmtId="2" fontId="1847" fillId="0" borderId="1826" xfId="0" applyNumberFormat="1" applyFont="1" applyBorder="1" applyAlignment="1">
      <alignment horizontal="left"/>
    </xf>
    <xf numFmtId="2" fontId="1848" fillId="0" borderId="1827" xfId="0" applyNumberFormat="1" applyFont="1" applyBorder="1" applyAlignment="1">
      <alignment horizontal="left"/>
    </xf>
    <xf numFmtId="0" fontId="1849" fillId="0" borderId="1828" xfId="0" applyFont="1" applyBorder="1"/>
    <xf numFmtId="0" fontId="1850" fillId="0" borderId="1829" xfId="0" applyFont="1" applyBorder="1" applyAlignment="1">
      <alignment horizontal="left"/>
    </xf>
    <xf numFmtId="169" fontId="1851" fillId="0" borderId="1830" xfId="0" applyNumberFormat="1" applyFont="1" applyBorder="1" applyAlignment="1">
      <alignment horizontal="right"/>
    </xf>
    <xf numFmtId="169" fontId="1852" fillId="0" borderId="1831" xfId="0" applyNumberFormat="1" applyFont="1" applyBorder="1" applyAlignment="1">
      <alignment horizontal="right"/>
    </xf>
    <xf numFmtId="169" fontId="1853" fillId="0" borderId="1832" xfId="0" applyNumberFormat="1" applyFont="1" applyBorder="1" applyAlignment="1">
      <alignment horizontal="right"/>
    </xf>
    <xf numFmtId="169" fontId="1854" fillId="0" borderId="1833" xfId="0" applyNumberFormat="1" applyFont="1" applyBorder="1" applyAlignment="1">
      <alignment horizontal="right"/>
    </xf>
    <xf numFmtId="0" fontId="1855" fillId="0" borderId="1834" xfId="0" applyFont="1" applyBorder="1" applyAlignment="1">
      <alignment horizontal="left"/>
    </xf>
    <xf numFmtId="169" fontId="1856" fillId="0" borderId="1835" xfId="0" applyNumberFormat="1" applyFont="1" applyBorder="1" applyAlignment="1">
      <alignment horizontal="right"/>
    </xf>
    <xf numFmtId="169" fontId="1857" fillId="0" borderId="1836" xfId="0" applyNumberFormat="1" applyFont="1" applyBorder="1" applyAlignment="1">
      <alignment horizontal="right"/>
    </xf>
    <xf numFmtId="169" fontId="1858" fillId="0" borderId="1837" xfId="0" applyNumberFormat="1" applyFont="1" applyBorder="1" applyAlignment="1">
      <alignment horizontal="right"/>
    </xf>
    <xf numFmtId="169" fontId="1859" fillId="0" borderId="1838" xfId="0" applyNumberFormat="1" applyFont="1" applyBorder="1" applyAlignment="1">
      <alignment horizontal="right"/>
    </xf>
    <xf numFmtId="0" fontId="1860" fillId="0" borderId="1839" xfId="0" applyFont="1" applyBorder="1" applyAlignment="1">
      <alignment horizontal="left"/>
    </xf>
    <xf numFmtId="169" fontId="1861" fillId="0" borderId="1840" xfId="0" applyNumberFormat="1" applyFont="1" applyBorder="1" applyAlignment="1">
      <alignment horizontal="right"/>
    </xf>
    <xf numFmtId="169" fontId="1862" fillId="0" borderId="1841" xfId="0" applyNumberFormat="1" applyFont="1" applyBorder="1" applyAlignment="1">
      <alignment horizontal="right"/>
    </xf>
    <xf numFmtId="169" fontId="1863" fillId="0" borderId="1842" xfId="0" applyNumberFormat="1" applyFont="1" applyBorder="1" applyAlignment="1">
      <alignment horizontal="right"/>
    </xf>
    <xf numFmtId="169" fontId="1864" fillId="0" borderId="1843" xfId="0" applyNumberFormat="1" applyFont="1" applyBorder="1" applyAlignment="1">
      <alignment horizontal="right"/>
    </xf>
    <xf numFmtId="0" fontId="1865" fillId="0" borderId="1844" xfId="0" applyFont="1" applyBorder="1" applyAlignment="1">
      <alignment horizontal="left"/>
    </xf>
    <xf numFmtId="169" fontId="1866" fillId="0" borderId="1845" xfId="0" applyNumberFormat="1" applyFont="1" applyBorder="1" applyAlignment="1">
      <alignment horizontal="right"/>
    </xf>
    <xf numFmtId="169" fontId="1867" fillId="0" borderId="1846" xfId="0" applyNumberFormat="1" applyFont="1" applyBorder="1" applyAlignment="1">
      <alignment horizontal="right"/>
    </xf>
    <xf numFmtId="169" fontId="1868" fillId="0" borderId="1847" xfId="0" applyNumberFormat="1" applyFont="1" applyBorder="1" applyAlignment="1">
      <alignment horizontal="right"/>
    </xf>
    <xf numFmtId="169" fontId="1869" fillId="0" borderId="1848" xfId="0" applyNumberFormat="1" applyFont="1" applyBorder="1" applyAlignment="1">
      <alignment horizontal="right"/>
    </xf>
    <xf numFmtId="0" fontId="1870" fillId="0" borderId="1849" xfId="0" applyFont="1" applyBorder="1" applyAlignment="1">
      <alignment horizontal="left"/>
    </xf>
    <xf numFmtId="169" fontId="1871" fillId="0" borderId="1850" xfId="0" applyNumberFormat="1" applyFont="1" applyBorder="1" applyAlignment="1">
      <alignment horizontal="right"/>
    </xf>
    <xf numFmtId="169" fontId="1872" fillId="0" borderId="1851" xfId="0" applyNumberFormat="1" applyFont="1" applyBorder="1" applyAlignment="1">
      <alignment horizontal="right"/>
    </xf>
    <xf numFmtId="169" fontId="1873" fillId="0" borderId="1852" xfId="0" applyNumberFormat="1" applyFont="1" applyBorder="1" applyAlignment="1">
      <alignment horizontal="right"/>
    </xf>
    <xf numFmtId="169" fontId="1874" fillId="0" borderId="1853" xfId="0" applyNumberFormat="1" applyFont="1" applyBorder="1" applyAlignment="1">
      <alignment horizontal="right"/>
    </xf>
    <xf numFmtId="0" fontId="1875" fillId="0" borderId="1854" xfId="0" applyFont="1" applyBorder="1" applyAlignment="1">
      <alignment horizontal="left"/>
    </xf>
    <xf numFmtId="169" fontId="1876" fillId="0" borderId="1855" xfId="0" applyNumberFormat="1" applyFont="1" applyBorder="1" applyAlignment="1">
      <alignment horizontal="right"/>
    </xf>
    <xf numFmtId="169" fontId="1877" fillId="0" borderId="1856" xfId="0" applyNumberFormat="1" applyFont="1" applyBorder="1" applyAlignment="1">
      <alignment horizontal="right"/>
    </xf>
    <xf numFmtId="169" fontId="1878" fillId="0" borderId="1857" xfId="0" applyNumberFormat="1" applyFont="1" applyBorder="1" applyAlignment="1">
      <alignment horizontal="right"/>
    </xf>
    <xf numFmtId="169" fontId="1879" fillId="0" borderId="1858" xfId="0" applyNumberFormat="1" applyFont="1" applyBorder="1" applyAlignment="1">
      <alignment horizontal="right"/>
    </xf>
    <xf numFmtId="0" fontId="1880" fillId="0" borderId="1859" xfId="0" applyFont="1" applyBorder="1" applyAlignment="1">
      <alignment horizontal="left"/>
    </xf>
    <xf numFmtId="169" fontId="1881" fillId="0" borderId="1860" xfId="0" applyNumberFormat="1" applyFont="1" applyBorder="1" applyAlignment="1">
      <alignment horizontal="right"/>
    </xf>
    <xf numFmtId="169" fontId="1882" fillId="0" borderId="1861" xfId="0" applyNumberFormat="1" applyFont="1" applyBorder="1" applyAlignment="1">
      <alignment horizontal="right"/>
    </xf>
    <xf numFmtId="169" fontId="1883" fillId="0" borderId="1862" xfId="0" applyNumberFormat="1" applyFont="1" applyBorder="1" applyAlignment="1">
      <alignment horizontal="right"/>
    </xf>
    <xf numFmtId="169" fontId="1884" fillId="0" borderId="1863" xfId="0" applyNumberFormat="1" applyFont="1" applyBorder="1" applyAlignment="1">
      <alignment horizontal="right"/>
    </xf>
    <xf numFmtId="0" fontId="1885" fillId="0" borderId="1864" xfId="0" applyFont="1" applyBorder="1" applyAlignment="1">
      <alignment horizontal="left"/>
    </xf>
    <xf numFmtId="169" fontId="1886" fillId="0" borderId="1865" xfId="0" applyNumberFormat="1" applyFont="1" applyBorder="1" applyAlignment="1">
      <alignment horizontal="right"/>
    </xf>
    <xf numFmtId="169" fontId="1887" fillId="0" borderId="1866" xfId="0" applyNumberFormat="1" applyFont="1" applyBorder="1" applyAlignment="1">
      <alignment horizontal="right"/>
    </xf>
    <xf numFmtId="169" fontId="1888" fillId="0" borderId="1867" xfId="0" applyNumberFormat="1" applyFont="1" applyBorder="1" applyAlignment="1">
      <alignment horizontal="right"/>
    </xf>
    <xf numFmtId="169" fontId="1889" fillId="0" borderId="1868" xfId="0" applyNumberFormat="1" applyFont="1" applyBorder="1" applyAlignment="1">
      <alignment horizontal="right"/>
    </xf>
    <xf numFmtId="0" fontId="1890" fillId="0" borderId="1869" xfId="0" applyFont="1" applyBorder="1" applyAlignment="1">
      <alignment horizontal="left"/>
    </xf>
    <xf numFmtId="169" fontId="1891" fillId="0" borderId="1870" xfId="0" applyNumberFormat="1" applyFont="1" applyBorder="1" applyAlignment="1">
      <alignment horizontal="right"/>
    </xf>
    <xf numFmtId="169" fontId="1892" fillId="0" borderId="1871" xfId="0" applyNumberFormat="1" applyFont="1" applyBorder="1" applyAlignment="1">
      <alignment horizontal="right"/>
    </xf>
    <xf numFmtId="169" fontId="1893" fillId="0" borderId="1872" xfId="0" applyNumberFormat="1" applyFont="1" applyBorder="1" applyAlignment="1">
      <alignment horizontal="right"/>
    </xf>
    <xf numFmtId="169" fontId="1894" fillId="0" borderId="1873" xfId="0" applyNumberFormat="1" applyFont="1" applyBorder="1" applyAlignment="1">
      <alignment horizontal="right"/>
    </xf>
    <xf numFmtId="0" fontId="1895" fillId="0" borderId="1874" xfId="0" applyFont="1" applyBorder="1" applyAlignment="1">
      <alignment horizontal="left"/>
    </xf>
    <xf numFmtId="169" fontId="1896" fillId="0" borderId="1875" xfId="0" applyNumberFormat="1" applyFont="1" applyBorder="1" applyAlignment="1">
      <alignment horizontal="right"/>
    </xf>
    <xf numFmtId="169" fontId="1897" fillId="0" borderId="1876" xfId="0" applyNumberFormat="1" applyFont="1" applyBorder="1" applyAlignment="1">
      <alignment horizontal="right"/>
    </xf>
    <xf numFmtId="169" fontId="1898" fillId="0" borderId="1877" xfId="0" applyNumberFormat="1" applyFont="1" applyBorder="1" applyAlignment="1">
      <alignment horizontal="right"/>
    </xf>
    <xf numFmtId="169" fontId="1899" fillId="0" borderId="1878" xfId="0" applyNumberFormat="1" applyFont="1" applyBorder="1" applyAlignment="1">
      <alignment horizontal="right"/>
    </xf>
    <xf numFmtId="0" fontId="1900" fillId="0" borderId="1879" xfId="0" applyFont="1" applyBorder="1" applyAlignment="1">
      <alignment horizontal="left"/>
    </xf>
    <xf numFmtId="169" fontId="1901" fillId="0" borderId="1880" xfId="0" applyNumberFormat="1" applyFont="1" applyBorder="1" applyAlignment="1">
      <alignment horizontal="right"/>
    </xf>
    <xf numFmtId="169" fontId="1902" fillId="0" borderId="1881" xfId="0" applyNumberFormat="1" applyFont="1" applyBorder="1" applyAlignment="1">
      <alignment horizontal="right"/>
    </xf>
    <xf numFmtId="169" fontId="1903" fillId="0" borderId="1882" xfId="0" applyNumberFormat="1" applyFont="1" applyBorder="1" applyAlignment="1">
      <alignment horizontal="right"/>
    </xf>
    <xf numFmtId="169" fontId="1904" fillId="0" borderId="1883" xfId="0" applyNumberFormat="1" applyFont="1" applyBorder="1" applyAlignment="1">
      <alignment horizontal="right"/>
    </xf>
    <xf numFmtId="0" fontId="1905" fillId="0" borderId="1884" xfId="0" applyFont="1" applyBorder="1" applyAlignment="1">
      <alignment horizontal="left"/>
    </xf>
    <xf numFmtId="169" fontId="1906" fillId="0" borderId="1885" xfId="0" applyNumberFormat="1" applyFont="1" applyBorder="1" applyAlignment="1">
      <alignment horizontal="right"/>
    </xf>
    <xf numFmtId="169" fontId="1907" fillId="0" borderId="1886" xfId="0" applyNumberFormat="1" applyFont="1" applyBorder="1" applyAlignment="1">
      <alignment horizontal="right"/>
    </xf>
    <xf numFmtId="169" fontId="1908" fillId="0" borderId="1887" xfId="0" applyNumberFormat="1" applyFont="1" applyBorder="1" applyAlignment="1">
      <alignment horizontal="right"/>
    </xf>
    <xf numFmtId="169" fontId="1909" fillId="0" borderId="1888" xfId="0" applyNumberFormat="1" applyFont="1" applyBorder="1" applyAlignment="1">
      <alignment horizontal="right"/>
    </xf>
    <xf numFmtId="0" fontId="1910" fillId="0" borderId="1889" xfId="0" applyFont="1" applyBorder="1" applyAlignment="1">
      <alignment horizontal="left"/>
    </xf>
    <xf numFmtId="169" fontId="1911" fillId="0" borderId="1890" xfId="0" applyNumberFormat="1" applyFont="1" applyBorder="1" applyAlignment="1">
      <alignment horizontal="right"/>
    </xf>
    <xf numFmtId="169" fontId="1912" fillId="0" borderId="1891" xfId="0" applyNumberFormat="1" applyFont="1" applyBorder="1" applyAlignment="1">
      <alignment horizontal="right"/>
    </xf>
    <xf numFmtId="169" fontId="1913" fillId="0" borderId="1892" xfId="0" applyNumberFormat="1" applyFont="1" applyBorder="1" applyAlignment="1">
      <alignment horizontal="right"/>
    </xf>
    <xf numFmtId="169" fontId="1914" fillId="0" borderId="1893" xfId="0" applyNumberFormat="1" applyFont="1" applyBorder="1" applyAlignment="1">
      <alignment horizontal="right"/>
    </xf>
    <xf numFmtId="0" fontId="1915" fillId="0" borderId="1894" xfId="0" applyFont="1" applyBorder="1" applyAlignment="1">
      <alignment horizontal="left"/>
    </xf>
    <xf numFmtId="169" fontId="1916" fillId="0" borderId="1895" xfId="0" applyNumberFormat="1" applyFont="1" applyBorder="1" applyAlignment="1">
      <alignment horizontal="right"/>
    </xf>
    <xf numFmtId="169" fontId="1917" fillId="0" borderId="1896" xfId="0" applyNumberFormat="1" applyFont="1" applyBorder="1" applyAlignment="1">
      <alignment horizontal="right"/>
    </xf>
    <xf numFmtId="169" fontId="1918" fillId="0" borderId="1897" xfId="0" applyNumberFormat="1" applyFont="1" applyBorder="1" applyAlignment="1">
      <alignment horizontal="right"/>
    </xf>
    <xf numFmtId="169" fontId="1919" fillId="0" borderId="1898" xfId="0" applyNumberFormat="1" applyFont="1" applyBorder="1" applyAlignment="1">
      <alignment horizontal="right"/>
    </xf>
    <xf numFmtId="0" fontId="1920" fillId="0" borderId="1899" xfId="0" applyFont="1" applyBorder="1" applyAlignment="1">
      <alignment horizontal="left"/>
    </xf>
    <xf numFmtId="169" fontId="1921" fillId="0" borderId="1900" xfId="0" applyNumberFormat="1" applyFont="1" applyBorder="1" applyAlignment="1">
      <alignment horizontal="right"/>
    </xf>
    <xf numFmtId="169" fontId="1922" fillId="0" borderId="1901" xfId="0" applyNumberFormat="1" applyFont="1" applyBorder="1" applyAlignment="1">
      <alignment horizontal="right"/>
    </xf>
    <xf numFmtId="169" fontId="1923" fillId="0" borderId="1902" xfId="0" applyNumberFormat="1" applyFont="1" applyBorder="1" applyAlignment="1">
      <alignment horizontal="right"/>
    </xf>
    <xf numFmtId="169" fontId="1924" fillId="0" borderId="1903" xfId="0" applyNumberFormat="1" applyFont="1" applyBorder="1" applyAlignment="1">
      <alignment horizontal="right"/>
    </xf>
    <xf numFmtId="0" fontId="1925" fillId="0" borderId="1904" xfId="0" applyFont="1" applyBorder="1" applyAlignment="1">
      <alignment horizontal="left"/>
    </xf>
    <xf numFmtId="169" fontId="1926" fillId="0" borderId="1905" xfId="0" applyNumberFormat="1" applyFont="1" applyBorder="1" applyAlignment="1">
      <alignment horizontal="right"/>
    </xf>
    <xf numFmtId="169" fontId="1927" fillId="0" borderId="1906" xfId="0" applyNumberFormat="1" applyFont="1" applyBorder="1" applyAlignment="1">
      <alignment horizontal="right"/>
    </xf>
    <xf numFmtId="169" fontId="1928" fillId="0" borderId="1907" xfId="0" applyNumberFormat="1" applyFont="1" applyBorder="1" applyAlignment="1">
      <alignment horizontal="right"/>
    </xf>
    <xf numFmtId="169" fontId="1929" fillId="0" borderId="1908" xfId="0" applyNumberFormat="1" applyFont="1" applyBorder="1" applyAlignment="1">
      <alignment horizontal="right"/>
    </xf>
    <xf numFmtId="0" fontId="1930" fillId="0" borderId="1909" xfId="0" applyFont="1" applyBorder="1" applyAlignment="1">
      <alignment horizontal="left"/>
    </xf>
    <xf numFmtId="169" fontId="1931" fillId="0" borderId="1910" xfId="0" applyNumberFormat="1" applyFont="1" applyBorder="1" applyAlignment="1">
      <alignment horizontal="right"/>
    </xf>
    <xf numFmtId="169" fontId="1932" fillId="0" borderId="1911" xfId="0" applyNumberFormat="1" applyFont="1" applyBorder="1" applyAlignment="1">
      <alignment horizontal="right"/>
    </xf>
    <xf numFmtId="169" fontId="1933" fillId="0" borderId="1912" xfId="0" applyNumberFormat="1" applyFont="1" applyBorder="1" applyAlignment="1">
      <alignment horizontal="right"/>
    </xf>
    <xf numFmtId="169" fontId="1934" fillId="0" borderId="1913" xfId="0" applyNumberFormat="1" applyFont="1" applyBorder="1" applyAlignment="1">
      <alignment horizontal="right"/>
    </xf>
    <xf numFmtId="2" fontId="1935" fillId="0" borderId="1914" xfId="0" applyNumberFormat="1" applyFont="1" applyBorder="1"/>
    <xf numFmtId="0" fontId="1937" fillId="0" borderId="1915" xfId="0" applyFont="1" applyBorder="1" applyAlignment="1">
      <alignment horizontal="right"/>
    </xf>
    <xf numFmtId="2" fontId="1938" fillId="0" borderId="1916" xfId="0" applyNumberFormat="1" applyFont="1" applyBorder="1"/>
    <xf numFmtId="2" fontId="1940" fillId="0" borderId="1917" xfId="0" applyNumberFormat="1" applyFont="1" applyBorder="1"/>
    <xf numFmtId="2" fontId="1942" fillId="0" borderId="1918" xfId="0" applyNumberFormat="1" applyFont="1" applyBorder="1" applyAlignment="1">
      <alignment horizontal="right"/>
    </xf>
    <xf numFmtId="0" fontId="1943" fillId="0" borderId="1919" xfId="0" applyFont="1" applyBorder="1" applyAlignment="1">
      <alignment horizontal="right"/>
    </xf>
    <xf numFmtId="0" fontId="1944" fillId="0" borderId="1920" xfId="0" applyFont="1" applyBorder="1" applyAlignment="1">
      <alignment horizontal="right"/>
    </xf>
    <xf numFmtId="2" fontId="1945" fillId="0" borderId="1921" xfId="0" applyNumberFormat="1" applyFont="1" applyBorder="1" applyAlignment="1">
      <alignment horizontal="left"/>
    </xf>
    <xf numFmtId="0" fontId="1946" fillId="0" borderId="1922" xfId="0" applyFont="1" applyBorder="1"/>
    <xf numFmtId="0" fontId="1947" fillId="0" borderId="1923" xfId="0" applyFont="1" applyBorder="1"/>
    <xf numFmtId="0" fontId="1948" fillId="0" borderId="1924" xfId="0" applyFont="1" applyBorder="1"/>
    <xf numFmtId="2" fontId="1949" fillId="0" borderId="1925" xfId="0" applyNumberFormat="1" applyFont="1" applyBorder="1" applyAlignment="1">
      <alignment horizontal="left"/>
    </xf>
    <xf numFmtId="169" fontId="1950" fillId="0" borderId="1926" xfId="0" applyNumberFormat="1" applyFont="1" applyBorder="1" applyAlignment="1">
      <alignment horizontal="right"/>
    </xf>
    <xf numFmtId="169" fontId="1951" fillId="0" borderId="1927" xfId="0" applyNumberFormat="1" applyFont="1" applyBorder="1" applyAlignment="1">
      <alignment horizontal="right"/>
    </xf>
    <xf numFmtId="169" fontId="1952" fillId="0" borderId="1928" xfId="0" applyNumberFormat="1" applyFont="1" applyBorder="1" applyAlignment="1">
      <alignment horizontal="right"/>
    </xf>
    <xf numFmtId="2" fontId="1953" fillId="0" borderId="1929" xfId="0" applyNumberFormat="1" applyFont="1" applyBorder="1" applyAlignment="1">
      <alignment horizontal="left"/>
    </xf>
    <xf numFmtId="169" fontId="1954" fillId="0" borderId="1930" xfId="0" applyNumberFormat="1" applyFont="1" applyBorder="1" applyAlignment="1">
      <alignment horizontal="right"/>
    </xf>
    <xf numFmtId="169" fontId="1955" fillId="0" borderId="1931" xfId="0" applyNumberFormat="1" applyFont="1" applyBorder="1" applyAlignment="1">
      <alignment horizontal="right"/>
    </xf>
    <xf numFmtId="169" fontId="1956" fillId="0" borderId="1932" xfId="0" applyNumberFormat="1" applyFont="1" applyBorder="1" applyAlignment="1">
      <alignment horizontal="right"/>
    </xf>
    <xf numFmtId="2" fontId="1957" fillId="0" borderId="1933" xfId="0" applyNumberFormat="1" applyFont="1" applyBorder="1" applyAlignment="1">
      <alignment horizontal="left"/>
    </xf>
    <xf numFmtId="169" fontId="1958" fillId="0" borderId="1934" xfId="0" applyNumberFormat="1" applyFont="1" applyBorder="1" applyAlignment="1">
      <alignment horizontal="right"/>
    </xf>
    <xf numFmtId="169" fontId="1959" fillId="0" borderId="1935" xfId="0" applyNumberFormat="1" applyFont="1" applyBorder="1" applyAlignment="1">
      <alignment horizontal="right"/>
    </xf>
    <xf numFmtId="169" fontId="1960" fillId="0" borderId="1936" xfId="0" applyNumberFormat="1" applyFont="1" applyBorder="1" applyAlignment="1">
      <alignment horizontal="right"/>
    </xf>
    <xf numFmtId="2" fontId="1961" fillId="0" borderId="1937" xfId="0" applyNumberFormat="1" applyFont="1" applyBorder="1" applyAlignment="1">
      <alignment horizontal="left"/>
    </xf>
    <xf numFmtId="169" fontId="1962" fillId="0" borderId="1938" xfId="0" applyNumberFormat="1" applyFont="1" applyBorder="1" applyAlignment="1">
      <alignment horizontal="right"/>
    </xf>
    <xf numFmtId="169" fontId="1963" fillId="0" borderId="1939" xfId="0" applyNumberFormat="1" applyFont="1" applyBorder="1" applyAlignment="1">
      <alignment horizontal="right"/>
    </xf>
    <xf numFmtId="169" fontId="1964" fillId="0" borderId="1940" xfId="0" applyNumberFormat="1" applyFont="1" applyBorder="1" applyAlignment="1">
      <alignment horizontal="right"/>
    </xf>
    <xf numFmtId="2" fontId="1965" fillId="0" borderId="1941" xfId="0" applyNumberFormat="1" applyFont="1" applyBorder="1" applyAlignment="1">
      <alignment horizontal="left"/>
    </xf>
    <xf numFmtId="169" fontId="1966" fillId="0" borderId="1942" xfId="0" applyNumberFormat="1" applyFont="1" applyBorder="1" applyAlignment="1">
      <alignment horizontal="right"/>
    </xf>
    <xf numFmtId="169" fontId="1967" fillId="0" borderId="1943" xfId="0" applyNumberFormat="1" applyFont="1" applyBorder="1" applyAlignment="1">
      <alignment horizontal="right"/>
    </xf>
    <xf numFmtId="169" fontId="1968" fillId="0" borderId="1944" xfId="0" applyNumberFormat="1" applyFont="1" applyBorder="1" applyAlignment="1">
      <alignment horizontal="right"/>
    </xf>
    <xf numFmtId="2" fontId="1969" fillId="0" borderId="1945" xfId="0" applyNumberFormat="1" applyFont="1" applyBorder="1" applyAlignment="1">
      <alignment horizontal="left"/>
    </xf>
    <xf numFmtId="169" fontId="1970" fillId="0" borderId="1946" xfId="0" applyNumberFormat="1" applyFont="1" applyBorder="1" applyAlignment="1">
      <alignment horizontal="right"/>
    </xf>
    <xf numFmtId="169" fontId="1971" fillId="0" borderId="1947" xfId="0" applyNumberFormat="1" applyFont="1" applyBorder="1" applyAlignment="1">
      <alignment horizontal="right"/>
    </xf>
    <xf numFmtId="169" fontId="1972" fillId="0" borderId="1948" xfId="0" applyNumberFormat="1" applyFont="1" applyBorder="1" applyAlignment="1">
      <alignment horizontal="right"/>
    </xf>
    <xf numFmtId="2" fontId="1973" fillId="0" borderId="1949" xfId="0" applyNumberFormat="1" applyFont="1" applyBorder="1" applyAlignment="1">
      <alignment horizontal="left"/>
    </xf>
    <xf numFmtId="169" fontId="1974" fillId="0" borderId="1950" xfId="0" applyNumberFormat="1" applyFont="1" applyBorder="1" applyAlignment="1">
      <alignment horizontal="right"/>
    </xf>
    <xf numFmtId="169" fontId="1975" fillId="0" borderId="1951" xfId="0" applyNumberFormat="1" applyFont="1" applyBorder="1" applyAlignment="1">
      <alignment horizontal="right"/>
    </xf>
    <xf numFmtId="169" fontId="1976" fillId="0" borderId="1952" xfId="0" applyNumberFormat="1" applyFont="1" applyBorder="1" applyAlignment="1">
      <alignment horizontal="right"/>
    </xf>
    <xf numFmtId="2" fontId="1977" fillId="0" borderId="1953" xfId="0" applyNumberFormat="1" applyFont="1" applyBorder="1" applyAlignment="1">
      <alignment horizontal="left"/>
    </xf>
    <xf numFmtId="169" fontId="1978" fillId="0" borderId="1954" xfId="0" applyNumberFormat="1" applyFont="1" applyBorder="1" applyAlignment="1">
      <alignment horizontal="right"/>
    </xf>
    <xf numFmtId="169" fontId="1979" fillId="0" borderId="1955" xfId="0" applyNumberFormat="1" applyFont="1" applyBorder="1" applyAlignment="1">
      <alignment horizontal="right"/>
    </xf>
    <xf numFmtId="169" fontId="1980" fillId="0" borderId="1956" xfId="0" applyNumberFormat="1" applyFont="1" applyBorder="1" applyAlignment="1">
      <alignment horizontal="right"/>
    </xf>
    <xf numFmtId="2" fontId="1981" fillId="0" borderId="1957" xfId="0" applyNumberFormat="1" applyFont="1" applyBorder="1" applyAlignment="1">
      <alignment horizontal="left"/>
    </xf>
    <xf numFmtId="169" fontId="1982" fillId="0" borderId="1958" xfId="0" applyNumberFormat="1" applyFont="1" applyBorder="1" applyAlignment="1">
      <alignment horizontal="right"/>
    </xf>
    <xf numFmtId="169" fontId="1983" fillId="0" borderId="1959" xfId="0" applyNumberFormat="1" applyFont="1" applyBorder="1" applyAlignment="1">
      <alignment horizontal="right"/>
    </xf>
    <xf numFmtId="169" fontId="1984" fillId="0" borderId="1960" xfId="0" applyNumberFormat="1" applyFont="1" applyBorder="1" applyAlignment="1">
      <alignment horizontal="right"/>
    </xf>
    <xf numFmtId="2" fontId="1985" fillId="0" borderId="1961" xfId="0" applyNumberFormat="1" applyFont="1" applyBorder="1" applyAlignment="1">
      <alignment horizontal="left"/>
    </xf>
    <xf numFmtId="169" fontId="1986" fillId="0" borderId="1962" xfId="0" applyNumberFormat="1" applyFont="1" applyBorder="1" applyAlignment="1">
      <alignment horizontal="right"/>
    </xf>
    <xf numFmtId="169" fontId="1987" fillId="0" borderId="1963" xfId="0" applyNumberFormat="1" applyFont="1" applyBorder="1" applyAlignment="1">
      <alignment horizontal="right"/>
    </xf>
    <xf numFmtId="169" fontId="1988" fillId="0" borderId="1964" xfId="0" applyNumberFormat="1" applyFont="1" applyBorder="1" applyAlignment="1">
      <alignment horizontal="right"/>
    </xf>
    <xf numFmtId="2" fontId="1989" fillId="0" borderId="1965" xfId="0" applyNumberFormat="1" applyFont="1" applyBorder="1" applyAlignment="1">
      <alignment horizontal="left"/>
    </xf>
    <xf numFmtId="169" fontId="1990" fillId="0" borderId="1966" xfId="0" applyNumberFormat="1" applyFont="1" applyBorder="1" applyAlignment="1">
      <alignment horizontal="right"/>
    </xf>
    <xf numFmtId="169" fontId="1991" fillId="0" borderId="1967" xfId="0" applyNumberFormat="1" applyFont="1" applyBorder="1" applyAlignment="1">
      <alignment horizontal="right"/>
    </xf>
    <xf numFmtId="169" fontId="1992" fillId="0" borderId="1968" xfId="0" applyNumberFormat="1" applyFont="1" applyBorder="1" applyAlignment="1">
      <alignment horizontal="right"/>
    </xf>
    <xf numFmtId="2" fontId="1993" fillId="0" borderId="1969" xfId="0" applyNumberFormat="1" applyFont="1" applyBorder="1" applyAlignment="1">
      <alignment horizontal="left"/>
    </xf>
    <xf numFmtId="169" fontId="1994" fillId="0" borderId="1970" xfId="0" applyNumberFormat="1" applyFont="1" applyBorder="1" applyAlignment="1">
      <alignment horizontal="right"/>
    </xf>
    <xf numFmtId="169" fontId="1995" fillId="0" borderId="1971" xfId="0" applyNumberFormat="1" applyFont="1" applyBorder="1" applyAlignment="1">
      <alignment horizontal="right"/>
    </xf>
    <xf numFmtId="169" fontId="1996" fillId="0" borderId="1972" xfId="0" applyNumberFormat="1" applyFont="1" applyBorder="1" applyAlignment="1">
      <alignment horizontal="right"/>
    </xf>
    <xf numFmtId="2" fontId="1997" fillId="0" borderId="1973" xfId="0" applyNumberFormat="1" applyFont="1" applyBorder="1" applyAlignment="1">
      <alignment horizontal="left"/>
    </xf>
    <xf numFmtId="169" fontId="1998" fillId="0" borderId="1974" xfId="0" applyNumberFormat="1" applyFont="1" applyBorder="1" applyAlignment="1">
      <alignment horizontal="right"/>
    </xf>
    <xf numFmtId="169" fontId="1999" fillId="0" borderId="1975" xfId="0" applyNumberFormat="1" applyFont="1" applyBorder="1" applyAlignment="1">
      <alignment horizontal="right"/>
    </xf>
    <xf numFmtId="169" fontId="2000" fillId="0" borderId="1976" xfId="0" applyNumberFormat="1" applyFont="1" applyBorder="1" applyAlignment="1">
      <alignment horizontal="right"/>
    </xf>
    <xf numFmtId="2" fontId="2001" fillId="0" borderId="1977" xfId="0" applyNumberFormat="1" applyFont="1" applyBorder="1" applyAlignment="1">
      <alignment horizontal="left"/>
    </xf>
    <xf numFmtId="169" fontId="2002" fillId="0" borderId="1978" xfId="0" applyNumberFormat="1" applyFont="1" applyBorder="1" applyAlignment="1">
      <alignment horizontal="right"/>
    </xf>
    <xf numFmtId="169" fontId="2003" fillId="0" borderId="1979" xfId="0" applyNumberFormat="1" applyFont="1" applyBorder="1" applyAlignment="1">
      <alignment horizontal="right"/>
    </xf>
    <xf numFmtId="169" fontId="2004" fillId="0" borderId="1980" xfId="0" applyNumberFormat="1" applyFont="1" applyBorder="1" applyAlignment="1">
      <alignment horizontal="right"/>
    </xf>
    <xf numFmtId="2" fontId="2005" fillId="0" borderId="1981" xfId="0" applyNumberFormat="1" applyFont="1" applyBorder="1" applyAlignment="1">
      <alignment horizontal="left"/>
    </xf>
    <xf numFmtId="169" fontId="2006" fillId="0" borderId="1982" xfId="0" applyNumberFormat="1" applyFont="1" applyBorder="1" applyAlignment="1">
      <alignment horizontal="right"/>
    </xf>
    <xf numFmtId="169" fontId="2007" fillId="0" borderId="1983" xfId="0" applyNumberFormat="1" applyFont="1" applyBorder="1" applyAlignment="1">
      <alignment horizontal="right"/>
    </xf>
    <xf numFmtId="169" fontId="2008" fillId="0" borderId="1984" xfId="0" applyNumberFormat="1" applyFont="1" applyBorder="1" applyAlignment="1">
      <alignment horizontal="right"/>
    </xf>
    <xf numFmtId="2" fontId="2009" fillId="0" borderId="1985" xfId="0" applyNumberFormat="1" applyFont="1" applyBorder="1" applyAlignment="1">
      <alignment horizontal="left"/>
    </xf>
    <xf numFmtId="169" fontId="2010" fillId="0" borderId="1986" xfId="0" applyNumberFormat="1" applyFont="1" applyBorder="1" applyAlignment="1">
      <alignment horizontal="right"/>
    </xf>
    <xf numFmtId="169" fontId="2011" fillId="0" borderId="1987" xfId="0" applyNumberFormat="1" applyFont="1" applyBorder="1" applyAlignment="1">
      <alignment horizontal="right"/>
    </xf>
    <xf numFmtId="169" fontId="2012" fillId="0" borderId="1988" xfId="0" applyNumberFormat="1" applyFont="1" applyBorder="1" applyAlignment="1">
      <alignment horizontal="right"/>
    </xf>
    <xf numFmtId="2" fontId="2013" fillId="0" borderId="1989" xfId="0" applyNumberFormat="1" applyFont="1" applyBorder="1" applyAlignment="1">
      <alignment horizontal="left"/>
    </xf>
    <xf numFmtId="169" fontId="2014" fillId="0" borderId="1990" xfId="0" applyNumberFormat="1" applyFont="1" applyBorder="1" applyAlignment="1">
      <alignment horizontal="right"/>
    </xf>
    <xf numFmtId="169" fontId="2015" fillId="0" borderId="1991" xfId="0" applyNumberFormat="1" applyFont="1" applyBorder="1" applyAlignment="1">
      <alignment horizontal="right"/>
    </xf>
    <xf numFmtId="169" fontId="2016" fillId="0" borderId="1992" xfId="0" applyNumberFormat="1" applyFont="1" applyBorder="1" applyAlignment="1">
      <alignment horizontal="right"/>
    </xf>
    <xf numFmtId="0" fontId="2017" fillId="0" borderId="1993" xfId="0" applyFont="1" applyBorder="1"/>
    <xf numFmtId="0" fontId="2019" fillId="0" borderId="1994" xfId="0" applyFont="1" applyBorder="1" applyAlignment="1">
      <alignment horizontal="right"/>
    </xf>
    <xf numFmtId="0" fontId="2020" fillId="0" borderId="1995" xfId="0" applyFont="1" applyBorder="1"/>
    <xf numFmtId="0" fontId="2022" fillId="0" borderId="1996" xfId="0" applyFont="1" applyBorder="1"/>
    <xf numFmtId="0" fontId="2024" fillId="0" borderId="1997" xfId="0" applyFont="1" applyBorder="1"/>
    <xf numFmtId="2" fontId="2025" fillId="0" borderId="1998" xfId="0" applyNumberFormat="1" applyFont="1" applyBorder="1" applyAlignment="1">
      <alignment horizontal="right"/>
    </xf>
    <xf numFmtId="2" fontId="2026" fillId="0" borderId="1999" xfId="0" applyNumberFormat="1" applyFont="1" applyBorder="1" applyAlignment="1">
      <alignment horizontal="right"/>
    </xf>
    <xf numFmtId="2" fontId="2027" fillId="0" borderId="2000" xfId="0" applyNumberFormat="1" applyFont="1" applyBorder="1" applyAlignment="1">
      <alignment horizontal="right"/>
    </xf>
    <xf numFmtId="0" fontId="2028" fillId="0" borderId="2001" xfId="0" applyFont="1" applyBorder="1" applyAlignment="1">
      <alignment horizontal="left"/>
    </xf>
    <xf numFmtId="2" fontId="2029" fillId="0" borderId="2002" xfId="0" applyNumberFormat="1" applyFont="1" applyBorder="1" applyAlignment="1">
      <alignment horizontal="left"/>
    </xf>
    <xf numFmtId="2" fontId="2030" fillId="0" borderId="2003" xfId="0" applyNumberFormat="1" applyFont="1" applyBorder="1" applyAlignment="1">
      <alignment horizontal="left"/>
    </xf>
    <xf numFmtId="2" fontId="2031" fillId="0" borderId="2004" xfId="0" applyNumberFormat="1" applyFont="1" applyBorder="1" applyAlignment="1">
      <alignment horizontal="left"/>
    </xf>
    <xf numFmtId="0" fontId="2032" fillId="0" borderId="2005" xfId="0" applyFont="1" applyBorder="1"/>
    <xf numFmtId="0" fontId="2033" fillId="0" borderId="2006" xfId="0" applyFont="1" applyBorder="1" applyAlignment="1">
      <alignment horizontal="left"/>
    </xf>
    <xf numFmtId="169" fontId="2034" fillId="0" borderId="2007" xfId="0" applyNumberFormat="1" applyFont="1" applyBorder="1" applyAlignment="1">
      <alignment horizontal="right"/>
    </xf>
    <xf numFmtId="169" fontId="2035" fillId="0" borderId="2008" xfId="0" applyNumberFormat="1" applyFont="1" applyBorder="1" applyAlignment="1">
      <alignment horizontal="right"/>
    </xf>
    <xf numFmtId="169" fontId="2036" fillId="0" borderId="2009" xfId="0" applyNumberFormat="1" applyFont="1" applyBorder="1" applyAlignment="1">
      <alignment horizontal="right"/>
    </xf>
    <xf numFmtId="169" fontId="2037" fillId="0" borderId="2010" xfId="0" applyNumberFormat="1" applyFont="1" applyBorder="1" applyAlignment="1">
      <alignment horizontal="right"/>
    </xf>
    <xf numFmtId="0" fontId="2038" fillId="0" borderId="2011" xfId="0" applyFont="1" applyBorder="1" applyAlignment="1">
      <alignment horizontal="left"/>
    </xf>
    <xf numFmtId="169" fontId="2039" fillId="0" borderId="2012" xfId="0" applyNumberFormat="1" applyFont="1" applyBorder="1" applyAlignment="1">
      <alignment horizontal="right"/>
    </xf>
    <xf numFmtId="169" fontId="2040" fillId="0" borderId="2013" xfId="0" applyNumberFormat="1" applyFont="1" applyBorder="1" applyAlignment="1">
      <alignment horizontal="right"/>
    </xf>
    <xf numFmtId="169" fontId="2041" fillId="0" borderId="2014" xfId="0" applyNumberFormat="1" applyFont="1" applyBorder="1" applyAlignment="1">
      <alignment horizontal="right"/>
    </xf>
    <xf numFmtId="169" fontId="2042" fillId="0" borderId="2015" xfId="0" applyNumberFormat="1" applyFont="1" applyBorder="1" applyAlignment="1">
      <alignment horizontal="right"/>
    </xf>
    <xf numFmtId="0" fontId="2043" fillId="0" borderId="2016" xfId="0" applyFont="1" applyBorder="1" applyAlignment="1">
      <alignment horizontal="left"/>
    </xf>
    <xf numFmtId="169" fontId="2044" fillId="0" borderId="2017" xfId="0" applyNumberFormat="1" applyFont="1" applyBorder="1" applyAlignment="1">
      <alignment horizontal="right"/>
    </xf>
    <xf numFmtId="169" fontId="2045" fillId="0" borderId="2018" xfId="0" applyNumberFormat="1" applyFont="1" applyBorder="1" applyAlignment="1">
      <alignment horizontal="right"/>
    </xf>
    <xf numFmtId="169" fontId="2046" fillId="0" borderId="2019" xfId="0" applyNumberFormat="1" applyFont="1" applyBorder="1" applyAlignment="1">
      <alignment horizontal="right"/>
    </xf>
    <xf numFmtId="169" fontId="2047" fillId="0" borderId="2020" xfId="0" applyNumberFormat="1" applyFont="1" applyBorder="1" applyAlignment="1">
      <alignment horizontal="right"/>
    </xf>
    <xf numFmtId="0" fontId="2048" fillId="0" borderId="2021" xfId="0" applyFont="1" applyBorder="1" applyAlignment="1">
      <alignment horizontal="left"/>
    </xf>
    <xf numFmtId="169" fontId="2049" fillId="0" borderId="2022" xfId="0" applyNumberFormat="1" applyFont="1" applyBorder="1" applyAlignment="1">
      <alignment horizontal="right"/>
    </xf>
    <xf numFmtId="169" fontId="2050" fillId="0" borderId="2023" xfId="0" applyNumberFormat="1" applyFont="1" applyBorder="1" applyAlignment="1">
      <alignment horizontal="right"/>
    </xf>
    <xf numFmtId="169" fontId="2051" fillId="0" borderId="2024" xfId="0" applyNumberFormat="1" applyFont="1" applyBorder="1" applyAlignment="1">
      <alignment horizontal="right"/>
    </xf>
    <xf numFmtId="169" fontId="2052" fillId="0" borderId="2025" xfId="0" applyNumberFormat="1" applyFont="1" applyBorder="1" applyAlignment="1">
      <alignment horizontal="right"/>
    </xf>
    <xf numFmtId="0" fontId="2053" fillId="0" borderId="2026" xfId="0" applyFont="1" applyBorder="1" applyAlignment="1">
      <alignment horizontal="left"/>
    </xf>
    <xf numFmtId="169" fontId="2054" fillId="0" borderId="2027" xfId="0" applyNumberFormat="1" applyFont="1" applyBorder="1" applyAlignment="1">
      <alignment horizontal="right"/>
    </xf>
    <xf numFmtId="169" fontId="2055" fillId="0" borderId="2028" xfId="0" applyNumberFormat="1" applyFont="1" applyBorder="1" applyAlignment="1">
      <alignment horizontal="right"/>
    </xf>
    <xf numFmtId="169" fontId="2056" fillId="0" borderId="2029" xfId="0" applyNumberFormat="1" applyFont="1" applyBorder="1" applyAlignment="1">
      <alignment horizontal="right"/>
    </xf>
    <xf numFmtId="169" fontId="2057" fillId="0" borderId="2030" xfId="0" applyNumberFormat="1" applyFont="1" applyBorder="1" applyAlignment="1">
      <alignment horizontal="right"/>
    </xf>
    <xf numFmtId="0" fontId="2058" fillId="0" borderId="2031" xfId="0" applyFont="1" applyBorder="1" applyAlignment="1">
      <alignment horizontal="left"/>
    </xf>
    <xf numFmtId="169" fontId="2059" fillId="0" borderId="2032" xfId="0" applyNumberFormat="1" applyFont="1" applyBorder="1" applyAlignment="1">
      <alignment horizontal="right"/>
    </xf>
    <xf numFmtId="169" fontId="2060" fillId="0" borderId="2033" xfId="0" applyNumberFormat="1" applyFont="1" applyBorder="1" applyAlignment="1">
      <alignment horizontal="right"/>
    </xf>
    <xf numFmtId="169" fontId="2061" fillId="0" borderId="2034" xfId="0" applyNumberFormat="1" applyFont="1" applyBorder="1" applyAlignment="1">
      <alignment horizontal="right"/>
    </xf>
    <xf numFmtId="169" fontId="2062" fillId="0" borderId="2035" xfId="0" applyNumberFormat="1" applyFont="1" applyBorder="1" applyAlignment="1">
      <alignment horizontal="right"/>
    </xf>
    <xf numFmtId="0" fontId="2063" fillId="0" borderId="2036" xfId="0" applyFont="1" applyBorder="1" applyAlignment="1">
      <alignment horizontal="left"/>
    </xf>
    <xf numFmtId="169" fontId="2064" fillId="0" borderId="2037" xfId="0" applyNumberFormat="1" applyFont="1" applyBorder="1" applyAlignment="1">
      <alignment horizontal="right"/>
    </xf>
    <xf numFmtId="169" fontId="2065" fillId="0" borderId="2038" xfId="0" applyNumberFormat="1" applyFont="1" applyBorder="1" applyAlignment="1">
      <alignment horizontal="right"/>
    </xf>
    <xf numFmtId="169" fontId="2066" fillId="0" borderId="2039" xfId="0" applyNumberFormat="1" applyFont="1" applyBorder="1" applyAlignment="1">
      <alignment horizontal="right"/>
    </xf>
    <xf numFmtId="169" fontId="2067" fillId="0" borderId="2040" xfId="0" applyNumberFormat="1" applyFont="1" applyBorder="1" applyAlignment="1">
      <alignment horizontal="right"/>
    </xf>
    <xf numFmtId="0" fontId="2068" fillId="0" borderId="2041" xfId="0" applyFont="1" applyBorder="1" applyAlignment="1">
      <alignment horizontal="left"/>
    </xf>
    <xf numFmtId="169" fontId="2069" fillId="0" borderId="2042" xfId="0" applyNumberFormat="1" applyFont="1" applyBorder="1" applyAlignment="1">
      <alignment horizontal="right"/>
    </xf>
    <xf numFmtId="169" fontId="2070" fillId="0" borderId="2043" xfId="0" applyNumberFormat="1" applyFont="1" applyBorder="1" applyAlignment="1">
      <alignment horizontal="right"/>
    </xf>
    <xf numFmtId="169" fontId="2071" fillId="0" borderId="2044" xfId="0" applyNumberFormat="1" applyFont="1" applyBorder="1" applyAlignment="1">
      <alignment horizontal="right"/>
    </xf>
    <xf numFmtId="169" fontId="2072" fillId="0" borderId="2045" xfId="0" applyNumberFormat="1" applyFont="1" applyBorder="1" applyAlignment="1">
      <alignment horizontal="right"/>
    </xf>
    <xf numFmtId="0" fontId="2073" fillId="0" borderId="2046" xfId="0" applyFont="1" applyBorder="1" applyAlignment="1">
      <alignment horizontal="left"/>
    </xf>
    <xf numFmtId="169" fontId="2074" fillId="0" borderId="2047" xfId="0" applyNumberFormat="1" applyFont="1" applyBorder="1" applyAlignment="1">
      <alignment horizontal="right"/>
    </xf>
    <xf numFmtId="169" fontId="2075" fillId="0" borderId="2048" xfId="0" applyNumberFormat="1" applyFont="1" applyBorder="1" applyAlignment="1">
      <alignment horizontal="right"/>
    </xf>
    <xf numFmtId="169" fontId="2076" fillId="0" borderId="2049" xfId="0" applyNumberFormat="1" applyFont="1" applyBorder="1" applyAlignment="1">
      <alignment horizontal="right"/>
    </xf>
    <xf numFmtId="169" fontId="2077" fillId="0" borderId="2050" xfId="0" applyNumberFormat="1" applyFont="1" applyBorder="1" applyAlignment="1">
      <alignment horizontal="right"/>
    </xf>
    <xf numFmtId="0" fontId="2078" fillId="0" borderId="2051" xfId="0" applyFont="1" applyBorder="1" applyAlignment="1">
      <alignment horizontal="left"/>
    </xf>
    <xf numFmtId="169" fontId="2079" fillId="0" borderId="2052" xfId="0" applyNumberFormat="1" applyFont="1" applyBorder="1" applyAlignment="1">
      <alignment horizontal="right"/>
    </xf>
    <xf numFmtId="169" fontId="2080" fillId="0" borderId="2053" xfId="0" applyNumberFormat="1" applyFont="1" applyBorder="1" applyAlignment="1">
      <alignment horizontal="right"/>
    </xf>
    <xf numFmtId="169" fontId="2081" fillId="0" borderId="2054" xfId="0" applyNumberFormat="1" applyFont="1" applyBorder="1" applyAlignment="1">
      <alignment horizontal="right"/>
    </xf>
    <xf numFmtId="169" fontId="2082" fillId="0" borderId="2055" xfId="0" applyNumberFormat="1" applyFont="1" applyBorder="1" applyAlignment="1">
      <alignment horizontal="right"/>
    </xf>
    <xf numFmtId="0" fontId="2083" fillId="0" borderId="2056" xfId="0" applyFont="1" applyBorder="1" applyAlignment="1">
      <alignment horizontal="left"/>
    </xf>
    <xf numFmtId="169" fontId="2084" fillId="0" borderId="2057" xfId="0" applyNumberFormat="1" applyFont="1" applyBorder="1" applyAlignment="1">
      <alignment horizontal="right"/>
    </xf>
    <xf numFmtId="169" fontId="2085" fillId="0" borderId="2058" xfId="0" applyNumberFormat="1" applyFont="1" applyBorder="1" applyAlignment="1">
      <alignment horizontal="right"/>
    </xf>
    <xf numFmtId="169" fontId="2086" fillId="0" borderId="2059" xfId="0" applyNumberFormat="1" applyFont="1" applyBorder="1" applyAlignment="1">
      <alignment horizontal="right"/>
    </xf>
    <xf numFmtId="169" fontId="2087" fillId="0" borderId="2060" xfId="0" applyNumberFormat="1" applyFont="1" applyBorder="1" applyAlignment="1">
      <alignment horizontal="right"/>
    </xf>
    <xf numFmtId="0" fontId="2088" fillId="0" borderId="2061" xfId="0" applyFont="1" applyBorder="1" applyAlignment="1">
      <alignment horizontal="left"/>
    </xf>
    <xf numFmtId="169" fontId="2089" fillId="0" borderId="2062" xfId="0" applyNumberFormat="1" applyFont="1" applyBorder="1" applyAlignment="1">
      <alignment horizontal="right"/>
    </xf>
    <xf numFmtId="169" fontId="2090" fillId="0" borderId="2063" xfId="0" applyNumberFormat="1" applyFont="1" applyBorder="1" applyAlignment="1">
      <alignment horizontal="right"/>
    </xf>
    <xf numFmtId="169" fontId="2091" fillId="0" borderId="2064" xfId="0" applyNumberFormat="1" applyFont="1" applyBorder="1" applyAlignment="1">
      <alignment horizontal="right"/>
    </xf>
    <xf numFmtId="169" fontId="2092" fillId="0" borderId="2065" xfId="0" applyNumberFormat="1" applyFont="1" applyBorder="1" applyAlignment="1">
      <alignment horizontal="right"/>
    </xf>
    <xf numFmtId="0" fontId="2093" fillId="0" borderId="2066" xfId="0" applyFont="1" applyBorder="1" applyAlignment="1">
      <alignment horizontal="left"/>
    </xf>
    <xf numFmtId="169" fontId="2094" fillId="0" borderId="2067" xfId="0" applyNumberFormat="1" applyFont="1" applyBorder="1" applyAlignment="1">
      <alignment horizontal="right"/>
    </xf>
    <xf numFmtId="169" fontId="2095" fillId="0" borderId="2068" xfId="0" applyNumberFormat="1" applyFont="1" applyBorder="1" applyAlignment="1">
      <alignment horizontal="right"/>
    </xf>
    <xf numFmtId="169" fontId="2096" fillId="0" borderId="2069" xfId="0" applyNumberFormat="1" applyFont="1" applyBorder="1" applyAlignment="1">
      <alignment horizontal="right"/>
    </xf>
    <xf numFmtId="169" fontId="2097" fillId="0" borderId="2070" xfId="0" applyNumberFormat="1" applyFont="1" applyBorder="1" applyAlignment="1">
      <alignment horizontal="right"/>
    </xf>
    <xf numFmtId="0" fontId="2098" fillId="0" borderId="2071" xfId="0" applyFont="1" applyBorder="1" applyAlignment="1">
      <alignment horizontal="left"/>
    </xf>
    <xf numFmtId="169" fontId="2099" fillId="0" borderId="2072" xfId="0" applyNumberFormat="1" applyFont="1" applyBorder="1" applyAlignment="1">
      <alignment horizontal="right"/>
    </xf>
    <xf numFmtId="169" fontId="2100" fillId="0" borderId="2073" xfId="0" applyNumberFormat="1" applyFont="1" applyBorder="1" applyAlignment="1">
      <alignment horizontal="right"/>
    </xf>
    <xf numFmtId="169" fontId="2101" fillId="0" borderId="2074" xfId="0" applyNumberFormat="1" applyFont="1" applyBorder="1" applyAlignment="1">
      <alignment horizontal="right"/>
    </xf>
    <xf numFmtId="169" fontId="2102" fillId="0" borderId="2075" xfId="0" applyNumberFormat="1" applyFont="1" applyBorder="1" applyAlignment="1">
      <alignment horizontal="right"/>
    </xf>
    <xf numFmtId="0" fontId="2103" fillId="0" borderId="2076" xfId="0" applyFont="1" applyBorder="1" applyAlignment="1">
      <alignment horizontal="left"/>
    </xf>
    <xf numFmtId="169" fontId="2104" fillId="0" borderId="2077" xfId="0" applyNumberFormat="1" applyFont="1" applyBorder="1" applyAlignment="1">
      <alignment horizontal="right"/>
    </xf>
    <xf numFmtId="169" fontId="2105" fillId="0" borderId="2078" xfId="0" applyNumberFormat="1" applyFont="1" applyBorder="1" applyAlignment="1">
      <alignment horizontal="right"/>
    </xf>
    <xf numFmtId="169" fontId="2106" fillId="0" borderId="2079" xfId="0" applyNumberFormat="1" applyFont="1" applyBorder="1" applyAlignment="1">
      <alignment horizontal="right"/>
    </xf>
    <xf numFmtId="169" fontId="2107" fillId="0" borderId="2080" xfId="0" applyNumberFormat="1" applyFont="1" applyBorder="1" applyAlignment="1">
      <alignment horizontal="right"/>
    </xf>
    <xf numFmtId="0" fontId="2108" fillId="0" borderId="2081" xfId="0" applyFont="1" applyBorder="1" applyAlignment="1">
      <alignment horizontal="left"/>
    </xf>
    <xf numFmtId="169" fontId="2109" fillId="0" borderId="2082" xfId="0" applyNumberFormat="1" applyFont="1" applyBorder="1" applyAlignment="1">
      <alignment horizontal="right"/>
    </xf>
    <xf numFmtId="169" fontId="2110" fillId="0" borderId="2083" xfId="0" applyNumberFormat="1" applyFont="1" applyBorder="1" applyAlignment="1">
      <alignment horizontal="right"/>
    </xf>
    <xf numFmtId="169" fontId="2111" fillId="0" borderId="2084" xfId="0" applyNumberFormat="1" applyFont="1" applyBorder="1" applyAlignment="1">
      <alignment horizontal="right"/>
    </xf>
    <xf numFmtId="169" fontId="2112" fillId="0" borderId="2085" xfId="0" applyNumberFormat="1" applyFont="1" applyBorder="1" applyAlignment="1">
      <alignment horizontal="right"/>
    </xf>
    <xf numFmtId="0" fontId="2113" fillId="0" borderId="2086" xfId="0" applyFont="1" applyBorder="1" applyAlignment="1">
      <alignment horizontal="left"/>
    </xf>
    <xf numFmtId="169" fontId="2114" fillId="0" borderId="2087" xfId="0" applyNumberFormat="1" applyFont="1" applyBorder="1" applyAlignment="1">
      <alignment horizontal="right"/>
    </xf>
    <xf numFmtId="169" fontId="2115" fillId="0" borderId="2088" xfId="0" applyNumberFormat="1" applyFont="1" applyBorder="1" applyAlignment="1">
      <alignment horizontal="right"/>
    </xf>
    <xf numFmtId="169" fontId="2116" fillId="0" borderId="2089" xfId="0" applyNumberFormat="1" applyFont="1" applyBorder="1" applyAlignment="1">
      <alignment horizontal="right"/>
    </xf>
    <xf numFmtId="169" fontId="2117" fillId="0" borderId="2090" xfId="0" applyNumberFormat="1" applyFont="1" applyBorder="1" applyAlignment="1">
      <alignment horizontal="right"/>
    </xf>
    <xf numFmtId="2" fontId="2118" fillId="0" borderId="2091" xfId="0" applyNumberFormat="1" applyFont="1" applyBorder="1"/>
    <xf numFmtId="0" fontId="2120" fillId="0" borderId="2092" xfId="0" applyFont="1" applyBorder="1" applyAlignment="1">
      <alignment horizontal="right"/>
    </xf>
    <xf numFmtId="2" fontId="2121" fillId="0" borderId="2093" xfId="0" applyNumberFormat="1" applyFont="1" applyBorder="1"/>
    <xf numFmtId="2" fontId="2123" fillId="0" borderId="2094" xfId="0" applyNumberFormat="1" applyFont="1" applyBorder="1"/>
    <xf numFmtId="2" fontId="2125" fillId="0" borderId="2095" xfId="0" applyNumberFormat="1" applyFont="1" applyBorder="1" applyAlignment="1">
      <alignment horizontal="right"/>
    </xf>
    <xf numFmtId="0" fontId="2126" fillId="0" borderId="2096" xfId="0" applyFont="1" applyBorder="1" applyAlignment="1">
      <alignment horizontal="right"/>
    </xf>
    <xf numFmtId="0" fontId="2127" fillId="0" borderId="2097" xfId="0" applyFont="1" applyBorder="1" applyAlignment="1">
      <alignment horizontal="right"/>
    </xf>
    <xf numFmtId="2" fontId="2128" fillId="0" borderId="2098" xfId="0" applyNumberFormat="1" applyFont="1" applyBorder="1" applyAlignment="1">
      <alignment horizontal="left"/>
    </xf>
    <xf numFmtId="0" fontId="2129" fillId="0" borderId="2099" xfId="0" applyFont="1" applyBorder="1"/>
    <xf numFmtId="0" fontId="2130" fillId="0" borderId="2100" xfId="0" applyFont="1" applyBorder="1"/>
    <xf numFmtId="0" fontId="2131" fillId="0" borderId="2101" xfId="0" applyFont="1" applyBorder="1"/>
    <xf numFmtId="2" fontId="2132" fillId="0" borderId="2102" xfId="0" applyNumberFormat="1" applyFont="1" applyBorder="1" applyAlignment="1">
      <alignment horizontal="left"/>
    </xf>
    <xf numFmtId="169" fontId="2133" fillId="0" borderId="2103" xfId="0" applyNumberFormat="1" applyFont="1" applyBorder="1" applyAlignment="1">
      <alignment horizontal="right"/>
    </xf>
    <xf numFmtId="169" fontId="2134" fillId="0" borderId="2104" xfId="0" applyNumberFormat="1" applyFont="1" applyBorder="1" applyAlignment="1">
      <alignment horizontal="right"/>
    </xf>
    <xf numFmtId="169" fontId="2135" fillId="0" borderId="2105" xfId="0" applyNumberFormat="1" applyFont="1" applyBorder="1" applyAlignment="1">
      <alignment horizontal="right"/>
    </xf>
    <xf numFmtId="2" fontId="2136" fillId="0" borderId="2106" xfId="0" applyNumberFormat="1" applyFont="1" applyBorder="1" applyAlignment="1">
      <alignment horizontal="left"/>
    </xf>
    <xf numFmtId="169" fontId="2137" fillId="0" borderId="2107" xfId="0" applyNumberFormat="1" applyFont="1" applyBorder="1" applyAlignment="1">
      <alignment horizontal="right"/>
    </xf>
    <xf numFmtId="169" fontId="2138" fillId="0" borderId="2108" xfId="0" applyNumberFormat="1" applyFont="1" applyBorder="1" applyAlignment="1">
      <alignment horizontal="right"/>
    </xf>
    <xf numFmtId="169" fontId="2139" fillId="0" borderId="2109" xfId="0" applyNumberFormat="1" applyFont="1" applyBorder="1" applyAlignment="1">
      <alignment horizontal="right"/>
    </xf>
    <xf numFmtId="2" fontId="2140" fillId="0" borderId="2110" xfId="0" applyNumberFormat="1" applyFont="1" applyBorder="1" applyAlignment="1">
      <alignment horizontal="left"/>
    </xf>
    <xf numFmtId="169" fontId="2141" fillId="0" borderId="2111" xfId="0" applyNumberFormat="1" applyFont="1" applyBorder="1" applyAlignment="1">
      <alignment horizontal="right"/>
    </xf>
    <xf numFmtId="169" fontId="2142" fillId="0" borderId="2112" xfId="0" applyNumberFormat="1" applyFont="1" applyBorder="1" applyAlignment="1">
      <alignment horizontal="right"/>
    </xf>
    <xf numFmtId="169" fontId="2143" fillId="0" borderId="2113" xfId="0" applyNumberFormat="1" applyFont="1" applyBorder="1" applyAlignment="1">
      <alignment horizontal="right"/>
    </xf>
    <xf numFmtId="2" fontId="2144" fillId="0" borderId="2114" xfId="0" applyNumberFormat="1" applyFont="1" applyBorder="1" applyAlignment="1">
      <alignment horizontal="left"/>
    </xf>
    <xf numFmtId="169" fontId="2145" fillId="0" borderId="2115" xfId="0" applyNumberFormat="1" applyFont="1" applyBorder="1" applyAlignment="1">
      <alignment horizontal="right"/>
    </xf>
    <xf numFmtId="169" fontId="2146" fillId="0" borderId="2116" xfId="0" applyNumberFormat="1" applyFont="1" applyBorder="1" applyAlignment="1">
      <alignment horizontal="right"/>
    </xf>
    <xf numFmtId="169" fontId="2147" fillId="0" borderId="2117" xfId="0" applyNumberFormat="1" applyFont="1" applyBorder="1" applyAlignment="1">
      <alignment horizontal="right"/>
    </xf>
    <xf numFmtId="2" fontId="2148" fillId="0" borderId="2118" xfId="0" applyNumberFormat="1" applyFont="1" applyBorder="1" applyAlignment="1">
      <alignment horizontal="left"/>
    </xf>
    <xf numFmtId="169" fontId="2149" fillId="0" borderId="2119" xfId="0" applyNumberFormat="1" applyFont="1" applyBorder="1" applyAlignment="1">
      <alignment horizontal="right"/>
    </xf>
    <xf numFmtId="169" fontId="2150" fillId="0" borderId="2120" xfId="0" applyNumberFormat="1" applyFont="1" applyBorder="1" applyAlignment="1">
      <alignment horizontal="right"/>
    </xf>
    <xf numFmtId="169" fontId="2151" fillId="0" borderId="2121" xfId="0" applyNumberFormat="1" applyFont="1" applyBorder="1" applyAlignment="1">
      <alignment horizontal="right"/>
    </xf>
    <xf numFmtId="2" fontId="2152" fillId="0" borderId="2122" xfId="0" applyNumberFormat="1" applyFont="1" applyBorder="1" applyAlignment="1">
      <alignment horizontal="left"/>
    </xf>
    <xf numFmtId="169" fontId="2153" fillId="0" borderId="2123" xfId="0" applyNumberFormat="1" applyFont="1" applyBorder="1" applyAlignment="1">
      <alignment horizontal="right"/>
    </xf>
    <xf numFmtId="169" fontId="2154" fillId="0" borderId="2124" xfId="0" applyNumberFormat="1" applyFont="1" applyBorder="1" applyAlignment="1">
      <alignment horizontal="right"/>
    </xf>
    <xf numFmtId="169" fontId="2155" fillId="0" borderId="2125" xfId="0" applyNumberFormat="1" applyFont="1" applyBorder="1" applyAlignment="1">
      <alignment horizontal="right"/>
    </xf>
    <xf numFmtId="2" fontId="2156" fillId="0" borderId="2126" xfId="0" applyNumberFormat="1" applyFont="1" applyBorder="1" applyAlignment="1">
      <alignment horizontal="left"/>
    </xf>
    <xf numFmtId="169" fontId="2157" fillId="0" borderId="2127" xfId="0" applyNumberFormat="1" applyFont="1" applyBorder="1" applyAlignment="1">
      <alignment horizontal="right"/>
    </xf>
    <xf numFmtId="169" fontId="2158" fillId="0" borderId="2128" xfId="0" applyNumberFormat="1" applyFont="1" applyBorder="1" applyAlignment="1">
      <alignment horizontal="right"/>
    </xf>
    <xf numFmtId="169" fontId="2159" fillId="0" borderId="2129" xfId="0" applyNumberFormat="1" applyFont="1" applyBorder="1" applyAlignment="1">
      <alignment horizontal="right"/>
    </xf>
    <xf numFmtId="2" fontId="2160" fillId="0" borderId="2130" xfId="0" applyNumberFormat="1" applyFont="1" applyBorder="1" applyAlignment="1">
      <alignment horizontal="left"/>
    </xf>
    <xf numFmtId="169" fontId="2161" fillId="0" borderId="2131" xfId="0" applyNumberFormat="1" applyFont="1" applyBorder="1" applyAlignment="1">
      <alignment horizontal="right"/>
    </xf>
    <xf numFmtId="169" fontId="2162" fillId="0" borderId="2132" xfId="0" applyNumberFormat="1" applyFont="1" applyBorder="1" applyAlignment="1">
      <alignment horizontal="right"/>
    </xf>
    <xf numFmtId="169" fontId="2163" fillId="0" borderId="2133" xfId="0" applyNumberFormat="1" applyFont="1" applyBorder="1" applyAlignment="1">
      <alignment horizontal="right"/>
    </xf>
    <xf numFmtId="2" fontId="2164" fillId="0" borderId="2134" xfId="0" applyNumberFormat="1" applyFont="1" applyBorder="1" applyAlignment="1">
      <alignment horizontal="left"/>
    </xf>
    <xf numFmtId="169" fontId="2165" fillId="0" borderId="2135" xfId="0" applyNumberFormat="1" applyFont="1" applyBorder="1" applyAlignment="1">
      <alignment horizontal="right"/>
    </xf>
    <xf numFmtId="169" fontId="2166" fillId="0" borderId="2136" xfId="0" applyNumberFormat="1" applyFont="1" applyBorder="1" applyAlignment="1">
      <alignment horizontal="right"/>
    </xf>
    <xf numFmtId="169" fontId="2167" fillId="0" borderId="2137" xfId="0" applyNumberFormat="1" applyFont="1" applyBorder="1" applyAlignment="1">
      <alignment horizontal="right"/>
    </xf>
    <xf numFmtId="2" fontId="2168" fillId="0" borderId="2138" xfId="0" applyNumberFormat="1" applyFont="1" applyBorder="1" applyAlignment="1">
      <alignment horizontal="left"/>
    </xf>
    <xf numFmtId="169" fontId="2169" fillId="0" borderId="2139" xfId="0" applyNumberFormat="1" applyFont="1" applyBorder="1" applyAlignment="1">
      <alignment horizontal="right"/>
    </xf>
    <xf numFmtId="169" fontId="2170" fillId="0" borderId="2140" xfId="0" applyNumberFormat="1" applyFont="1" applyBorder="1" applyAlignment="1">
      <alignment horizontal="right"/>
    </xf>
    <xf numFmtId="169" fontId="2171" fillId="0" borderId="2141" xfId="0" applyNumberFormat="1" applyFont="1" applyBorder="1" applyAlignment="1">
      <alignment horizontal="right"/>
    </xf>
    <xf numFmtId="2" fontId="2172" fillId="0" borderId="2142" xfId="0" applyNumberFormat="1" applyFont="1" applyBorder="1" applyAlignment="1">
      <alignment horizontal="left"/>
    </xf>
    <xf numFmtId="169" fontId="2173" fillId="0" borderId="2143" xfId="0" applyNumberFormat="1" applyFont="1" applyBorder="1" applyAlignment="1">
      <alignment horizontal="right"/>
    </xf>
    <xf numFmtId="169" fontId="2174" fillId="0" borderId="2144" xfId="0" applyNumberFormat="1" applyFont="1" applyBorder="1" applyAlignment="1">
      <alignment horizontal="right"/>
    </xf>
    <xf numFmtId="169" fontId="2175" fillId="0" borderId="2145" xfId="0" applyNumberFormat="1" applyFont="1" applyBorder="1" applyAlignment="1">
      <alignment horizontal="right"/>
    </xf>
    <xf numFmtId="2" fontId="2176" fillId="0" borderId="2146" xfId="0" applyNumberFormat="1" applyFont="1" applyBorder="1" applyAlignment="1">
      <alignment horizontal="left"/>
    </xf>
    <xf numFmtId="169" fontId="2177" fillId="0" borderId="2147" xfId="0" applyNumberFormat="1" applyFont="1" applyBorder="1" applyAlignment="1">
      <alignment horizontal="right"/>
    </xf>
    <xf numFmtId="169" fontId="2178" fillId="0" borderId="2148" xfId="0" applyNumberFormat="1" applyFont="1" applyBorder="1" applyAlignment="1">
      <alignment horizontal="right"/>
    </xf>
    <xf numFmtId="169" fontId="2179" fillId="0" borderId="2149" xfId="0" applyNumberFormat="1" applyFont="1" applyBorder="1" applyAlignment="1">
      <alignment horizontal="right"/>
    </xf>
    <xf numFmtId="2" fontId="2180" fillId="0" borderId="2150" xfId="0" applyNumberFormat="1" applyFont="1" applyBorder="1" applyAlignment="1">
      <alignment horizontal="left"/>
    </xf>
    <xf numFmtId="169" fontId="2181" fillId="0" borderId="2151" xfId="0" applyNumberFormat="1" applyFont="1" applyBorder="1" applyAlignment="1">
      <alignment horizontal="right"/>
    </xf>
    <xf numFmtId="169" fontId="2182" fillId="0" borderId="2152" xfId="0" applyNumberFormat="1" applyFont="1" applyBorder="1" applyAlignment="1">
      <alignment horizontal="right"/>
    </xf>
    <xf numFmtId="169" fontId="2183" fillId="0" borderId="2153" xfId="0" applyNumberFormat="1" applyFont="1" applyBorder="1" applyAlignment="1">
      <alignment horizontal="right"/>
    </xf>
    <xf numFmtId="2" fontId="2184" fillId="0" borderId="2154" xfId="0" applyNumberFormat="1" applyFont="1" applyBorder="1" applyAlignment="1">
      <alignment horizontal="left"/>
    </xf>
    <xf numFmtId="169" fontId="2185" fillId="0" borderId="2155" xfId="0" applyNumberFormat="1" applyFont="1" applyBorder="1" applyAlignment="1">
      <alignment horizontal="right"/>
    </xf>
    <xf numFmtId="169" fontId="2186" fillId="0" borderId="2156" xfId="0" applyNumberFormat="1" applyFont="1" applyBorder="1" applyAlignment="1">
      <alignment horizontal="right"/>
    </xf>
    <xf numFmtId="169" fontId="2187" fillId="0" borderId="2157" xfId="0" applyNumberFormat="1" applyFont="1" applyBorder="1" applyAlignment="1">
      <alignment horizontal="right"/>
    </xf>
    <xf numFmtId="2" fontId="2188" fillId="0" borderId="2158" xfId="0" applyNumberFormat="1" applyFont="1" applyBorder="1" applyAlignment="1">
      <alignment horizontal="left"/>
    </xf>
    <xf numFmtId="169" fontId="2189" fillId="0" borderId="2159" xfId="0" applyNumberFormat="1" applyFont="1" applyBorder="1" applyAlignment="1">
      <alignment horizontal="right"/>
    </xf>
    <xf numFmtId="169" fontId="2190" fillId="0" borderId="2160" xfId="0" applyNumberFormat="1" applyFont="1" applyBorder="1" applyAlignment="1">
      <alignment horizontal="right"/>
    </xf>
    <xf numFmtId="169" fontId="2191" fillId="0" borderId="2161" xfId="0" applyNumberFormat="1" applyFont="1" applyBorder="1" applyAlignment="1">
      <alignment horizontal="right"/>
    </xf>
    <xf numFmtId="2" fontId="2192" fillId="0" borderId="2162" xfId="0" applyNumberFormat="1" applyFont="1" applyBorder="1" applyAlignment="1">
      <alignment horizontal="left"/>
    </xf>
    <xf numFmtId="169" fontId="2193" fillId="0" borderId="2163" xfId="0" applyNumberFormat="1" applyFont="1" applyBorder="1" applyAlignment="1">
      <alignment horizontal="right"/>
    </xf>
    <xf numFmtId="169" fontId="2194" fillId="0" borderId="2164" xfId="0" applyNumberFormat="1" applyFont="1" applyBorder="1" applyAlignment="1">
      <alignment horizontal="right"/>
    </xf>
    <xf numFmtId="169" fontId="2195" fillId="0" borderId="2165" xfId="0" applyNumberFormat="1" applyFont="1" applyBorder="1" applyAlignment="1">
      <alignment horizontal="right"/>
    </xf>
    <xf numFmtId="2" fontId="2196" fillId="0" borderId="2166" xfId="0" applyNumberFormat="1" applyFont="1" applyBorder="1" applyAlignment="1">
      <alignment horizontal="left"/>
    </xf>
    <xf numFmtId="169" fontId="2197" fillId="0" borderId="2167" xfId="0" applyNumberFormat="1" applyFont="1" applyBorder="1" applyAlignment="1">
      <alignment horizontal="right"/>
    </xf>
    <xf numFmtId="169" fontId="2198" fillId="0" borderId="2168" xfId="0" applyNumberFormat="1" applyFont="1" applyBorder="1" applyAlignment="1">
      <alignment horizontal="right"/>
    </xf>
    <xf numFmtId="169" fontId="2199" fillId="0" borderId="2169" xfId="0" applyNumberFormat="1" applyFont="1" applyBorder="1" applyAlignment="1">
      <alignment horizontal="right"/>
    </xf>
    <xf numFmtId="0" fontId="2200" fillId="0" borderId="2170" xfId="0" applyFont="1" applyBorder="1"/>
    <xf numFmtId="0" fontId="2202" fillId="0" borderId="2171" xfId="0" applyFont="1" applyBorder="1" applyAlignment="1">
      <alignment horizontal="right"/>
    </xf>
    <xf numFmtId="0" fontId="2203" fillId="0" borderId="2172" xfId="0" applyFont="1" applyBorder="1"/>
    <xf numFmtId="0" fontId="2205" fillId="0" borderId="2173" xfId="0" applyFont="1" applyBorder="1"/>
    <xf numFmtId="0" fontId="2207" fillId="0" borderId="2174" xfId="0" applyFont="1" applyBorder="1"/>
    <xf numFmtId="2" fontId="2208" fillId="0" borderId="2175" xfId="0" applyNumberFormat="1" applyFont="1" applyBorder="1" applyAlignment="1">
      <alignment horizontal="right"/>
    </xf>
    <xf numFmtId="2" fontId="2209" fillId="0" borderId="2176" xfId="0" applyNumberFormat="1" applyFont="1" applyBorder="1" applyAlignment="1">
      <alignment horizontal="right"/>
    </xf>
    <xf numFmtId="2" fontId="2210" fillId="0" borderId="2177" xfId="0" applyNumberFormat="1" applyFont="1" applyBorder="1" applyAlignment="1">
      <alignment horizontal="right"/>
    </xf>
    <xf numFmtId="0" fontId="2211" fillId="0" borderId="2178" xfId="0" applyFont="1" applyBorder="1" applyAlignment="1">
      <alignment horizontal="left"/>
    </xf>
    <xf numFmtId="2" fontId="2212" fillId="0" borderId="2179" xfId="0" applyNumberFormat="1" applyFont="1" applyBorder="1" applyAlignment="1">
      <alignment horizontal="left"/>
    </xf>
    <xf numFmtId="2" fontId="2213" fillId="0" borderId="2180" xfId="0" applyNumberFormat="1" applyFont="1" applyBorder="1" applyAlignment="1">
      <alignment horizontal="left"/>
    </xf>
    <xf numFmtId="2" fontId="2214" fillId="0" borderId="2181" xfId="0" applyNumberFormat="1" applyFont="1" applyBorder="1" applyAlignment="1">
      <alignment horizontal="left"/>
    </xf>
    <xf numFmtId="0" fontId="2215" fillId="0" borderId="2182" xfId="0" applyFont="1" applyBorder="1"/>
    <xf numFmtId="0" fontId="2216" fillId="0" borderId="2183" xfId="0" applyFont="1" applyBorder="1" applyAlignment="1">
      <alignment horizontal="left"/>
    </xf>
    <xf numFmtId="169" fontId="2217" fillId="0" borderId="2184" xfId="0" applyNumberFormat="1" applyFont="1" applyBorder="1" applyAlignment="1">
      <alignment horizontal="right"/>
    </xf>
    <xf numFmtId="169" fontId="2218" fillId="0" borderId="2185" xfId="0" applyNumberFormat="1" applyFont="1" applyBorder="1" applyAlignment="1">
      <alignment horizontal="right"/>
    </xf>
    <xf numFmtId="169" fontId="2219" fillId="0" borderId="2186" xfId="0" applyNumberFormat="1" applyFont="1" applyBorder="1" applyAlignment="1">
      <alignment horizontal="right"/>
    </xf>
    <xf numFmtId="169" fontId="2220" fillId="0" borderId="2187" xfId="0" applyNumberFormat="1" applyFont="1" applyBorder="1" applyAlignment="1">
      <alignment horizontal="right"/>
    </xf>
    <xf numFmtId="0" fontId="2221" fillId="0" borderId="2188" xfId="0" applyFont="1" applyBorder="1" applyAlignment="1">
      <alignment horizontal="left"/>
    </xf>
    <xf numFmtId="169" fontId="2222" fillId="0" borderId="2189" xfId="0" applyNumberFormat="1" applyFont="1" applyBorder="1" applyAlignment="1">
      <alignment horizontal="right"/>
    </xf>
    <xf numFmtId="169" fontId="2223" fillId="0" borderId="2190" xfId="0" applyNumberFormat="1" applyFont="1" applyBorder="1" applyAlignment="1">
      <alignment horizontal="right"/>
    </xf>
    <xf numFmtId="169" fontId="2224" fillId="0" borderId="2191" xfId="0" applyNumberFormat="1" applyFont="1" applyBorder="1" applyAlignment="1">
      <alignment horizontal="right"/>
    </xf>
    <xf numFmtId="169" fontId="2225" fillId="0" borderId="2192" xfId="0" applyNumberFormat="1" applyFont="1" applyBorder="1" applyAlignment="1">
      <alignment horizontal="right"/>
    </xf>
    <xf numFmtId="0" fontId="2226" fillId="0" borderId="2193" xfId="0" applyFont="1" applyBorder="1" applyAlignment="1">
      <alignment horizontal="left"/>
    </xf>
    <xf numFmtId="169" fontId="2227" fillId="0" borderId="2194" xfId="0" applyNumberFormat="1" applyFont="1" applyBorder="1" applyAlignment="1">
      <alignment horizontal="right"/>
    </xf>
    <xf numFmtId="169" fontId="2228" fillId="0" borderId="2195" xfId="0" applyNumberFormat="1" applyFont="1" applyBorder="1" applyAlignment="1">
      <alignment horizontal="right"/>
    </xf>
    <xf numFmtId="169" fontId="2229" fillId="0" borderId="2196" xfId="0" applyNumberFormat="1" applyFont="1" applyBorder="1" applyAlignment="1">
      <alignment horizontal="right"/>
    </xf>
    <xf numFmtId="169" fontId="2230" fillId="0" borderId="2197" xfId="0" applyNumberFormat="1" applyFont="1" applyBorder="1" applyAlignment="1">
      <alignment horizontal="right"/>
    </xf>
    <xf numFmtId="0" fontId="2231" fillId="0" borderId="2198" xfId="0" applyFont="1" applyBorder="1" applyAlignment="1">
      <alignment horizontal="left"/>
    </xf>
    <xf numFmtId="169" fontId="2232" fillId="0" borderId="2199" xfId="0" applyNumberFormat="1" applyFont="1" applyBorder="1" applyAlignment="1">
      <alignment horizontal="right"/>
    </xf>
    <xf numFmtId="169" fontId="2233" fillId="0" borderId="2200" xfId="0" applyNumberFormat="1" applyFont="1" applyBorder="1" applyAlignment="1">
      <alignment horizontal="right"/>
    </xf>
    <xf numFmtId="169" fontId="2234" fillId="0" borderId="2201" xfId="0" applyNumberFormat="1" applyFont="1" applyBorder="1" applyAlignment="1">
      <alignment horizontal="right"/>
    </xf>
    <xf numFmtId="169" fontId="2235" fillId="0" borderId="2202" xfId="0" applyNumberFormat="1" applyFont="1" applyBorder="1" applyAlignment="1">
      <alignment horizontal="right"/>
    </xf>
    <xf numFmtId="0" fontId="2236" fillId="0" borderId="2203" xfId="0" applyFont="1" applyBorder="1" applyAlignment="1">
      <alignment horizontal="left"/>
    </xf>
    <xf numFmtId="169" fontId="2237" fillId="0" borderId="2204" xfId="0" applyNumberFormat="1" applyFont="1" applyBorder="1" applyAlignment="1">
      <alignment horizontal="right"/>
    </xf>
    <xf numFmtId="169" fontId="2238" fillId="0" borderId="2205" xfId="0" applyNumberFormat="1" applyFont="1" applyBorder="1" applyAlignment="1">
      <alignment horizontal="right"/>
    </xf>
    <xf numFmtId="169" fontId="2239" fillId="0" borderId="2206" xfId="0" applyNumberFormat="1" applyFont="1" applyBorder="1" applyAlignment="1">
      <alignment horizontal="right"/>
    </xf>
    <xf numFmtId="169" fontId="2240" fillId="0" borderId="2207" xfId="0" applyNumberFormat="1" applyFont="1" applyBorder="1" applyAlignment="1">
      <alignment horizontal="right"/>
    </xf>
    <xf numFmtId="0" fontId="2241" fillId="0" borderId="2208" xfId="0" applyFont="1" applyBorder="1" applyAlignment="1">
      <alignment horizontal="left"/>
    </xf>
    <xf numFmtId="169" fontId="2242" fillId="0" borderId="2209" xfId="0" applyNumberFormat="1" applyFont="1" applyBorder="1" applyAlignment="1">
      <alignment horizontal="right"/>
    </xf>
    <xf numFmtId="169" fontId="2243" fillId="0" borderId="2210" xfId="0" applyNumberFormat="1" applyFont="1" applyBorder="1" applyAlignment="1">
      <alignment horizontal="right"/>
    </xf>
    <xf numFmtId="169" fontId="2244" fillId="0" borderId="2211" xfId="0" applyNumberFormat="1" applyFont="1" applyBorder="1" applyAlignment="1">
      <alignment horizontal="right"/>
    </xf>
    <xf numFmtId="169" fontId="2245" fillId="0" borderId="2212" xfId="0" applyNumberFormat="1" applyFont="1" applyBorder="1" applyAlignment="1">
      <alignment horizontal="right"/>
    </xf>
    <xf numFmtId="0" fontId="2246" fillId="0" borderId="2213" xfId="0" applyFont="1" applyBorder="1" applyAlignment="1">
      <alignment horizontal="left"/>
    </xf>
    <xf numFmtId="169" fontId="2247" fillId="0" borderId="2214" xfId="0" applyNumberFormat="1" applyFont="1" applyBorder="1" applyAlignment="1">
      <alignment horizontal="right"/>
    </xf>
    <xf numFmtId="169" fontId="2248" fillId="0" borderId="2215" xfId="0" applyNumberFormat="1" applyFont="1" applyBorder="1" applyAlignment="1">
      <alignment horizontal="right"/>
    </xf>
    <xf numFmtId="169" fontId="2249" fillId="0" borderId="2216" xfId="0" applyNumberFormat="1" applyFont="1" applyBorder="1" applyAlignment="1">
      <alignment horizontal="right"/>
    </xf>
    <xf numFmtId="169" fontId="2250" fillId="0" borderId="2217" xfId="0" applyNumberFormat="1" applyFont="1" applyBorder="1" applyAlignment="1">
      <alignment horizontal="right"/>
    </xf>
    <xf numFmtId="0" fontId="2251" fillId="0" borderId="2218" xfId="0" applyFont="1" applyBorder="1" applyAlignment="1">
      <alignment horizontal="left"/>
    </xf>
    <xf numFmtId="169" fontId="2252" fillId="0" borderId="2219" xfId="0" applyNumberFormat="1" applyFont="1" applyBorder="1" applyAlignment="1">
      <alignment horizontal="right"/>
    </xf>
    <xf numFmtId="169" fontId="2253" fillId="0" borderId="2220" xfId="0" applyNumberFormat="1" applyFont="1" applyBorder="1" applyAlignment="1">
      <alignment horizontal="right"/>
    </xf>
    <xf numFmtId="169" fontId="2254" fillId="0" borderId="2221" xfId="0" applyNumberFormat="1" applyFont="1" applyBorder="1" applyAlignment="1">
      <alignment horizontal="right"/>
    </xf>
    <xf numFmtId="169" fontId="2255" fillId="0" borderId="2222" xfId="0" applyNumberFormat="1" applyFont="1" applyBorder="1" applyAlignment="1">
      <alignment horizontal="right"/>
    </xf>
    <xf numFmtId="0" fontId="2256" fillId="0" borderId="2223" xfId="0" applyFont="1" applyBorder="1" applyAlignment="1">
      <alignment horizontal="left"/>
    </xf>
    <xf numFmtId="169" fontId="2257" fillId="0" borderId="2224" xfId="0" applyNumberFormat="1" applyFont="1" applyBorder="1" applyAlignment="1">
      <alignment horizontal="right"/>
    </xf>
    <xf numFmtId="169" fontId="2258" fillId="0" borderId="2225" xfId="0" applyNumberFormat="1" applyFont="1" applyBorder="1" applyAlignment="1">
      <alignment horizontal="right"/>
    </xf>
    <xf numFmtId="169" fontId="2259" fillId="0" borderId="2226" xfId="0" applyNumberFormat="1" applyFont="1" applyBorder="1" applyAlignment="1">
      <alignment horizontal="right"/>
    </xf>
    <xf numFmtId="169" fontId="2260" fillId="0" borderId="2227" xfId="0" applyNumberFormat="1" applyFont="1" applyBorder="1" applyAlignment="1">
      <alignment horizontal="right"/>
    </xf>
    <xf numFmtId="0" fontId="2261" fillId="0" borderId="2228" xfId="0" applyFont="1" applyBorder="1" applyAlignment="1">
      <alignment horizontal="left"/>
    </xf>
    <xf numFmtId="169" fontId="2262" fillId="0" borderId="2229" xfId="0" applyNumberFormat="1" applyFont="1" applyBorder="1" applyAlignment="1">
      <alignment horizontal="right"/>
    </xf>
    <xf numFmtId="169" fontId="2263" fillId="0" borderId="2230" xfId="0" applyNumberFormat="1" applyFont="1" applyBorder="1" applyAlignment="1">
      <alignment horizontal="right"/>
    </xf>
    <xf numFmtId="169" fontId="2264" fillId="0" borderId="2231" xfId="0" applyNumberFormat="1" applyFont="1" applyBorder="1" applyAlignment="1">
      <alignment horizontal="right"/>
    </xf>
    <xf numFmtId="169" fontId="2265" fillId="0" borderId="2232" xfId="0" applyNumberFormat="1" applyFont="1" applyBorder="1" applyAlignment="1">
      <alignment horizontal="right"/>
    </xf>
    <xf numFmtId="0" fontId="2266" fillId="0" borderId="2233" xfId="0" applyFont="1" applyBorder="1" applyAlignment="1">
      <alignment horizontal="left"/>
    </xf>
    <xf numFmtId="169" fontId="2267" fillId="0" borderId="2234" xfId="0" applyNumberFormat="1" applyFont="1" applyBorder="1" applyAlignment="1">
      <alignment horizontal="right"/>
    </xf>
    <xf numFmtId="169" fontId="2268" fillId="0" borderId="2235" xfId="0" applyNumberFormat="1" applyFont="1" applyBorder="1" applyAlignment="1">
      <alignment horizontal="right"/>
    </xf>
    <xf numFmtId="169" fontId="2269" fillId="0" borderId="2236" xfId="0" applyNumberFormat="1" applyFont="1" applyBorder="1" applyAlignment="1">
      <alignment horizontal="right"/>
    </xf>
    <xf numFmtId="169" fontId="2270" fillId="0" borderId="2237" xfId="0" applyNumberFormat="1" applyFont="1" applyBorder="1" applyAlignment="1">
      <alignment horizontal="right"/>
    </xf>
    <xf numFmtId="2" fontId="2271" fillId="0" borderId="2238" xfId="0" applyNumberFormat="1" applyFont="1" applyBorder="1"/>
    <xf numFmtId="0" fontId="2273" fillId="0" borderId="2239" xfId="0" applyFont="1" applyBorder="1" applyAlignment="1">
      <alignment horizontal="right"/>
    </xf>
    <xf numFmtId="2" fontId="2274" fillId="0" borderId="2240" xfId="0" applyNumberFormat="1" applyFont="1" applyBorder="1"/>
    <xf numFmtId="2" fontId="2276" fillId="0" borderId="2241" xfId="0" applyNumberFormat="1" applyFont="1" applyBorder="1"/>
    <xf numFmtId="2" fontId="2278" fillId="0" borderId="2242" xfId="0" applyNumberFormat="1" applyFont="1" applyBorder="1" applyAlignment="1">
      <alignment horizontal="right"/>
    </xf>
    <xf numFmtId="0" fontId="2279" fillId="0" borderId="2243" xfId="0" applyFont="1" applyBorder="1" applyAlignment="1">
      <alignment horizontal="right"/>
    </xf>
    <xf numFmtId="0" fontId="2280" fillId="0" borderId="2244" xfId="0" applyFont="1" applyBorder="1" applyAlignment="1">
      <alignment horizontal="right"/>
    </xf>
    <xf numFmtId="2" fontId="2281" fillId="0" borderId="2245" xfId="0" applyNumberFormat="1" applyFont="1" applyBorder="1" applyAlignment="1">
      <alignment horizontal="left"/>
    </xf>
    <xf numFmtId="0" fontId="2282" fillId="0" borderId="2246" xfId="0" applyFont="1" applyBorder="1"/>
    <xf numFmtId="0" fontId="2283" fillId="0" borderId="2247" xfId="0" applyFont="1" applyBorder="1"/>
    <xf numFmtId="0" fontId="2284" fillId="0" borderId="2248" xfId="0" applyFont="1" applyBorder="1"/>
    <xf numFmtId="2" fontId="2285" fillId="0" borderId="2249" xfId="0" applyNumberFormat="1" applyFont="1" applyBorder="1" applyAlignment="1">
      <alignment horizontal="left"/>
    </xf>
    <xf numFmtId="169" fontId="2286" fillId="0" borderId="2250" xfId="0" applyNumberFormat="1" applyFont="1" applyBorder="1" applyAlignment="1">
      <alignment horizontal="right"/>
    </xf>
    <xf numFmtId="169" fontId="2287" fillId="0" borderId="2251" xfId="0" applyNumberFormat="1" applyFont="1" applyBorder="1" applyAlignment="1">
      <alignment horizontal="right"/>
    </xf>
    <xf numFmtId="169" fontId="2288" fillId="0" borderId="2252" xfId="0" applyNumberFormat="1" applyFont="1" applyBorder="1" applyAlignment="1">
      <alignment horizontal="right"/>
    </xf>
    <xf numFmtId="2" fontId="2289" fillId="0" borderId="2253" xfId="0" applyNumberFormat="1" applyFont="1" applyBorder="1" applyAlignment="1">
      <alignment horizontal="left"/>
    </xf>
    <xf numFmtId="169" fontId="2290" fillId="0" borderId="2254" xfId="0" applyNumberFormat="1" applyFont="1" applyBorder="1" applyAlignment="1">
      <alignment horizontal="right"/>
    </xf>
    <xf numFmtId="169" fontId="2291" fillId="0" borderId="2255" xfId="0" applyNumberFormat="1" applyFont="1" applyBorder="1" applyAlignment="1">
      <alignment horizontal="right"/>
    </xf>
    <xf numFmtId="169" fontId="2292" fillId="0" borderId="2256" xfId="0" applyNumberFormat="1" applyFont="1" applyBorder="1" applyAlignment="1">
      <alignment horizontal="right"/>
    </xf>
    <xf numFmtId="2" fontId="2293" fillId="0" borderId="2257" xfId="0" applyNumberFormat="1" applyFont="1" applyBorder="1" applyAlignment="1">
      <alignment horizontal="left"/>
    </xf>
    <xf numFmtId="169" fontId="2294" fillId="0" borderId="2258" xfId="0" applyNumberFormat="1" applyFont="1" applyBorder="1" applyAlignment="1">
      <alignment horizontal="right"/>
    </xf>
    <xf numFmtId="169" fontId="2295" fillId="0" borderId="2259" xfId="0" applyNumberFormat="1" applyFont="1" applyBorder="1" applyAlignment="1">
      <alignment horizontal="right"/>
    </xf>
    <xf numFmtId="169" fontId="2296" fillId="0" borderId="2260" xfId="0" applyNumberFormat="1" applyFont="1" applyBorder="1" applyAlignment="1">
      <alignment horizontal="right"/>
    </xf>
    <xf numFmtId="2" fontId="2297" fillId="0" borderId="2261" xfId="0" applyNumberFormat="1" applyFont="1" applyBorder="1" applyAlignment="1">
      <alignment horizontal="left"/>
    </xf>
    <xf numFmtId="169" fontId="2298" fillId="0" borderId="2262" xfId="0" applyNumberFormat="1" applyFont="1" applyBorder="1" applyAlignment="1">
      <alignment horizontal="right"/>
    </xf>
    <xf numFmtId="169" fontId="2299" fillId="0" borderId="2263" xfId="0" applyNumberFormat="1" applyFont="1" applyBorder="1" applyAlignment="1">
      <alignment horizontal="right"/>
    </xf>
    <xf numFmtId="169" fontId="2300" fillId="0" borderId="2264" xfId="0" applyNumberFormat="1" applyFont="1" applyBorder="1" applyAlignment="1">
      <alignment horizontal="right"/>
    </xf>
    <xf numFmtId="2" fontId="2301" fillId="0" borderId="2265" xfId="0" applyNumberFormat="1" applyFont="1" applyBorder="1" applyAlignment="1">
      <alignment horizontal="left"/>
    </xf>
    <xf numFmtId="169" fontId="2302" fillId="0" borderId="2266" xfId="0" applyNumberFormat="1" applyFont="1" applyBorder="1" applyAlignment="1">
      <alignment horizontal="right"/>
    </xf>
    <xf numFmtId="169" fontId="2303" fillId="0" borderId="2267" xfId="0" applyNumberFormat="1" applyFont="1" applyBorder="1" applyAlignment="1">
      <alignment horizontal="right"/>
    </xf>
    <xf numFmtId="169" fontId="2304" fillId="0" borderId="2268" xfId="0" applyNumberFormat="1" applyFont="1" applyBorder="1" applyAlignment="1">
      <alignment horizontal="right"/>
    </xf>
    <xf numFmtId="2" fontId="2305" fillId="0" borderId="2269" xfId="0" applyNumberFormat="1" applyFont="1" applyBorder="1" applyAlignment="1">
      <alignment horizontal="left"/>
    </xf>
    <xf numFmtId="169" fontId="2306" fillId="0" borderId="2270" xfId="0" applyNumberFormat="1" applyFont="1" applyBorder="1" applyAlignment="1">
      <alignment horizontal="right"/>
    </xf>
    <xf numFmtId="169" fontId="2307" fillId="0" borderId="2271" xfId="0" applyNumberFormat="1" applyFont="1" applyBorder="1" applyAlignment="1">
      <alignment horizontal="right"/>
    </xf>
    <xf numFmtId="169" fontId="2308" fillId="0" borderId="2272" xfId="0" applyNumberFormat="1" applyFont="1" applyBorder="1" applyAlignment="1">
      <alignment horizontal="right"/>
    </xf>
    <xf numFmtId="2" fontId="2309" fillId="0" borderId="2273" xfId="0" applyNumberFormat="1" applyFont="1" applyBorder="1" applyAlignment="1">
      <alignment horizontal="left"/>
    </xf>
    <xf numFmtId="169" fontId="2310" fillId="0" borderId="2274" xfId="0" applyNumberFormat="1" applyFont="1" applyBorder="1" applyAlignment="1">
      <alignment horizontal="right"/>
    </xf>
    <xf numFmtId="169" fontId="2311" fillId="0" borderId="2275" xfId="0" applyNumberFormat="1" applyFont="1" applyBorder="1" applyAlignment="1">
      <alignment horizontal="right"/>
    </xf>
    <xf numFmtId="169" fontId="2312" fillId="0" borderId="2276" xfId="0" applyNumberFormat="1" applyFont="1" applyBorder="1" applyAlignment="1">
      <alignment horizontal="right"/>
    </xf>
    <xf numFmtId="2" fontId="2313" fillId="0" borderId="2277" xfId="0" applyNumberFormat="1" applyFont="1" applyBorder="1" applyAlignment="1">
      <alignment horizontal="left"/>
    </xf>
    <xf numFmtId="169" fontId="2314" fillId="0" borderId="2278" xfId="0" applyNumberFormat="1" applyFont="1" applyBorder="1" applyAlignment="1">
      <alignment horizontal="right"/>
    </xf>
    <xf numFmtId="169" fontId="2315" fillId="0" borderId="2279" xfId="0" applyNumberFormat="1" applyFont="1" applyBorder="1" applyAlignment="1">
      <alignment horizontal="right"/>
    </xf>
    <xf numFmtId="169" fontId="2316" fillId="0" borderId="2280" xfId="0" applyNumberFormat="1" applyFont="1" applyBorder="1" applyAlignment="1">
      <alignment horizontal="right"/>
    </xf>
    <xf numFmtId="2" fontId="2317" fillId="0" borderId="2281" xfId="0" applyNumberFormat="1" applyFont="1" applyBorder="1" applyAlignment="1">
      <alignment horizontal="left"/>
    </xf>
    <xf numFmtId="169" fontId="2318" fillId="0" borderId="2282" xfId="0" applyNumberFormat="1" applyFont="1" applyBorder="1" applyAlignment="1">
      <alignment horizontal="right"/>
    </xf>
    <xf numFmtId="169" fontId="2319" fillId="0" borderId="2283" xfId="0" applyNumberFormat="1" applyFont="1" applyBorder="1" applyAlignment="1">
      <alignment horizontal="right"/>
    </xf>
    <xf numFmtId="169" fontId="2320" fillId="0" borderId="2284" xfId="0" applyNumberFormat="1" applyFont="1" applyBorder="1" applyAlignment="1">
      <alignment horizontal="right"/>
    </xf>
    <xf numFmtId="2" fontId="2321" fillId="0" borderId="2285" xfId="0" applyNumberFormat="1" applyFont="1" applyBorder="1" applyAlignment="1">
      <alignment horizontal="left"/>
    </xf>
    <xf numFmtId="169" fontId="2322" fillId="0" borderId="2286" xfId="0" applyNumberFormat="1" applyFont="1" applyBorder="1" applyAlignment="1">
      <alignment horizontal="right"/>
    </xf>
    <xf numFmtId="169" fontId="2323" fillId="0" borderId="2287" xfId="0" applyNumberFormat="1" applyFont="1" applyBorder="1" applyAlignment="1">
      <alignment horizontal="right"/>
    </xf>
    <xf numFmtId="169" fontId="2324" fillId="0" borderId="2288" xfId="0" applyNumberFormat="1" applyFont="1" applyBorder="1" applyAlignment="1">
      <alignment horizontal="right"/>
    </xf>
    <xf numFmtId="2" fontId="2325" fillId="0" borderId="2289" xfId="0" applyNumberFormat="1" applyFont="1" applyBorder="1" applyAlignment="1">
      <alignment horizontal="left"/>
    </xf>
    <xf numFmtId="169" fontId="2326" fillId="0" borderId="2290" xfId="0" applyNumberFormat="1" applyFont="1" applyBorder="1" applyAlignment="1">
      <alignment horizontal="right"/>
    </xf>
    <xf numFmtId="169" fontId="2327" fillId="0" borderId="2291" xfId="0" applyNumberFormat="1" applyFont="1" applyBorder="1" applyAlignment="1">
      <alignment horizontal="right"/>
    </xf>
    <xf numFmtId="169" fontId="2328" fillId="0" borderId="2293" xfId="0" applyNumberFormat="1" applyFont="1" applyBorder="1" applyAlignment="1">
      <alignment horizontal="right"/>
    </xf>
    <xf numFmtId="0" fontId="226" fillId="0" borderId="226" xfId="0" applyFont="1" applyBorder="1"/>
    <xf numFmtId="0" fontId="227" fillId="0" borderId="227" xfId="0" applyFont="1" applyBorder="1"/>
    <xf numFmtId="0" fontId="228" fillId="0" borderId="228" xfId="0" applyFont="1" applyBorder="1"/>
    <xf numFmtId="0" fontId="233" fillId="0" borderId="233" xfId="0" applyFont="1" applyBorder="1"/>
    <xf numFmtId="0" fontId="2" fillId="0" borderId="30" xfId="0" applyFont="1" applyBorder="1"/>
    <xf numFmtId="0" fontId="31" fillId="0" borderId="31" xfId="0" applyFont="1" applyBorder="1"/>
    <xf numFmtId="0" fontId="32" fillId="0" borderId="32" xfId="0" applyFont="1" applyBorder="1"/>
    <xf numFmtId="0" fontId="37" fillId="0" borderId="37" xfId="0" applyFont="1" applyBorder="1"/>
    <xf numFmtId="0" fontId="128" fillId="0" borderId="128" xfId="0" applyFont="1" applyBorder="1"/>
    <xf numFmtId="0" fontId="129" fillId="0" borderId="129" xfId="0" applyFont="1" applyBorder="1"/>
    <xf numFmtId="0" fontId="130" fillId="0" borderId="130" xfId="0" applyFont="1" applyBorder="1"/>
    <xf numFmtId="0" fontId="135" fillId="0" borderId="135" xfId="0" applyFont="1" applyBorder="1"/>
    <xf numFmtId="0" fontId="0" fillId="19" borderId="0" xfId="0" applyFill="1"/>
    <xf numFmtId="164" fontId="3" fillId="19" borderId="2" xfId="0" applyNumberFormat="1" applyFont="1" applyFill="1" applyBorder="1"/>
    <xf numFmtId="164" fontId="0" fillId="19" borderId="0" xfId="0" applyNumberFormat="1" applyFill="1"/>
    <xf numFmtId="169" fontId="0" fillId="19" borderId="0" xfId="0" applyNumberFormat="1" applyFill="1"/>
    <xf numFmtId="0" fontId="3" fillId="19" borderId="2" xfId="0" applyFont="1" applyFill="1" applyBorder="1"/>
    <xf numFmtId="1" fontId="3" fillId="19" borderId="2" xfId="0" applyNumberFormat="1" applyFont="1" applyFill="1" applyBorder="1" applyAlignment="1">
      <alignment horizontal="left"/>
    </xf>
    <xf numFmtId="2" fontId="0" fillId="19" borderId="0" xfId="0" applyNumberFormat="1" applyFill="1"/>
    <xf numFmtId="1" fontId="0" fillId="19" borderId="0" xfId="0" applyNumberFormat="1" applyFill="1"/>
    <xf numFmtId="0" fontId="2" fillId="19" borderId="20" xfId="0" applyFont="1" applyFill="1" applyBorder="1" applyAlignment="1">
      <alignment horizontal="left"/>
    </xf>
    <xf numFmtId="0" fontId="0" fillId="0" borderId="2296" xfId="0" applyBorder="1"/>
    <xf numFmtId="1" fontId="3" fillId="0" borderId="2296" xfId="0" applyNumberFormat="1" applyFont="1" applyBorder="1"/>
    <xf numFmtId="0" fontId="0" fillId="6" borderId="26" xfId="0" applyFill="1" applyBorder="1"/>
    <xf numFmtId="1" fontId="0" fillId="0" borderId="2296" xfId="0" applyNumberFormat="1" applyBorder="1"/>
    <xf numFmtId="0" fontId="3" fillId="0" borderId="2295" xfId="0" applyFont="1" applyBorder="1"/>
    <xf numFmtId="1" fontId="0" fillId="0" borderId="2295" xfId="0" applyNumberFormat="1" applyBorder="1"/>
    <xf numFmtId="1" fontId="3" fillId="0" borderId="3" xfId="0" applyNumberFormat="1" applyFont="1" applyBorder="1"/>
    <xf numFmtId="1" fontId="3" fillId="0" borderId="2294" xfId="0" applyNumberFormat="1" applyFont="1" applyBorder="1"/>
    <xf numFmtId="1" fontId="0" fillId="6" borderId="2296" xfId="0" applyNumberFormat="1" applyFill="1" applyBorder="1"/>
    <xf numFmtId="0" fontId="0" fillId="0" borderId="2295" xfId="0" applyBorder="1"/>
    <xf numFmtId="0" fontId="2" fillId="0" borderId="2295" xfId="0" applyFont="1" applyBorder="1"/>
    <xf numFmtId="0" fontId="3" fillId="0" borderId="2296" xfId="0" applyFont="1" applyBorder="1"/>
    <xf numFmtId="1" fontId="0" fillId="20" borderId="0" xfId="0" applyNumberFormat="1" applyFill="1"/>
    <xf numFmtId="1" fontId="0" fillId="3" borderId="0" xfId="0" applyNumberFormat="1" applyFill="1"/>
    <xf numFmtId="1" fontId="0" fillId="3" borderId="2296" xfId="0" applyNumberFormat="1" applyFill="1" applyBorder="1"/>
    <xf numFmtId="2" fontId="2201" fillId="0" borderId="25" xfId="0" applyNumberFormat="1" applyFont="1" applyBorder="1"/>
    <xf numFmtId="2" fontId="2201" fillId="0" borderId="2248" xfId="0" applyNumberFormat="1" applyFont="1" applyBorder="1"/>
    <xf numFmtId="2" fontId="2204" fillId="0" borderId="10" xfId="0" applyNumberFormat="1" applyFont="1" applyBorder="1"/>
    <xf numFmtId="2" fontId="2204" fillId="0" borderId="2292" xfId="0" applyNumberFormat="1" applyFont="1" applyBorder="1"/>
    <xf numFmtId="2" fontId="2206" fillId="0" borderId="10" xfId="0" applyNumberFormat="1" applyFont="1" applyBorder="1"/>
    <xf numFmtId="2" fontId="2206" fillId="0" borderId="2292" xfId="0" applyNumberFormat="1" applyFont="1" applyBorder="1"/>
    <xf numFmtId="0" fontId="2272" fillId="0" borderId="25" xfId="0" applyFont="1" applyBorder="1"/>
    <xf numFmtId="0" fontId="2272" fillId="0" borderId="2248" xfId="0" applyFont="1" applyBorder="1"/>
    <xf numFmtId="0" fontId="2275" fillId="0" borderId="10" xfId="0" applyFont="1" applyBorder="1"/>
    <xf numFmtId="0" fontId="2275" fillId="0" borderId="2292" xfId="0" applyFont="1" applyBorder="1"/>
    <xf numFmtId="0" fontId="2277" fillId="0" borderId="10" xfId="0" applyFont="1" applyBorder="1"/>
    <xf numFmtId="0" fontId="2277" fillId="0" borderId="2292" xfId="0" applyFont="1" applyBorder="1"/>
    <xf numFmtId="2" fontId="2018" fillId="0" borderId="25" xfId="0" applyNumberFormat="1" applyFont="1" applyBorder="1"/>
    <xf numFmtId="2" fontId="2018" fillId="0" borderId="2248" xfId="0" applyNumberFormat="1" applyFont="1" applyBorder="1"/>
    <xf numFmtId="2" fontId="2021" fillId="0" borderId="10" xfId="0" applyNumberFormat="1" applyFont="1" applyBorder="1"/>
    <xf numFmtId="2" fontId="2021" fillId="0" borderId="2292" xfId="0" applyNumberFormat="1" applyFont="1" applyBorder="1"/>
    <xf numFmtId="2" fontId="2023" fillId="0" borderId="10" xfId="0" applyNumberFormat="1" applyFont="1" applyBorder="1"/>
    <xf numFmtId="2" fontId="2023" fillId="0" borderId="2292" xfId="0" applyNumberFormat="1" applyFont="1" applyBorder="1"/>
    <xf numFmtId="0" fontId="2119" fillId="0" borderId="25" xfId="0" applyFont="1" applyBorder="1"/>
    <xf numFmtId="0" fontId="2119" fillId="0" borderId="2248" xfId="0" applyFont="1" applyBorder="1"/>
    <xf numFmtId="0" fontId="2122" fillId="0" borderId="10" xfId="0" applyFont="1" applyBorder="1"/>
    <xf numFmtId="0" fontId="2122" fillId="0" borderId="2292" xfId="0" applyFont="1" applyBorder="1"/>
    <xf numFmtId="0" fontId="2124" fillId="0" borderId="10" xfId="0" applyFont="1" applyBorder="1"/>
    <xf numFmtId="0" fontId="2124" fillId="0" borderId="2292" xfId="0" applyFont="1" applyBorder="1"/>
    <xf numFmtId="2" fontId="1835" fillId="0" borderId="25" xfId="0" applyNumberFormat="1" applyFont="1" applyBorder="1"/>
    <xf numFmtId="2" fontId="1835" fillId="0" borderId="2248" xfId="0" applyNumberFormat="1" applyFont="1" applyBorder="1"/>
    <xf numFmtId="2" fontId="1838" fillId="0" borderId="10" xfId="0" applyNumberFormat="1" applyFont="1" applyBorder="1"/>
    <xf numFmtId="2" fontId="1838" fillId="0" borderId="2292" xfId="0" applyNumberFormat="1" applyFont="1" applyBorder="1"/>
    <xf numFmtId="2" fontId="1840" fillId="0" borderId="10" xfId="0" applyNumberFormat="1" applyFont="1" applyBorder="1"/>
    <xf numFmtId="2" fontId="1840" fillId="0" borderId="2292" xfId="0" applyNumberFormat="1" applyFont="1" applyBorder="1"/>
    <xf numFmtId="0" fontId="1936" fillId="0" borderId="25" xfId="0" applyFont="1" applyBorder="1"/>
    <xf numFmtId="0" fontId="1936" fillId="0" borderId="2248" xfId="0" applyFont="1" applyBorder="1"/>
    <xf numFmtId="0" fontId="1939" fillId="0" borderId="10" xfId="0" applyFont="1" applyBorder="1"/>
    <xf numFmtId="0" fontId="1939" fillId="0" borderId="2292" xfId="0" applyFont="1" applyBorder="1"/>
    <xf numFmtId="0" fontId="1941" fillId="0" borderId="10" xfId="0" applyFont="1" applyBorder="1"/>
    <xf numFmtId="0" fontId="1941" fillId="0" borderId="2292" xfId="0" applyFont="1" applyBorder="1"/>
    <xf numFmtId="2" fontId="1660" fillId="0" borderId="25" xfId="0" applyNumberFormat="1" applyFont="1" applyBorder="1"/>
    <xf numFmtId="2" fontId="1660" fillId="0" borderId="2248" xfId="0" applyNumberFormat="1" applyFont="1" applyBorder="1"/>
    <xf numFmtId="2" fontId="1663" fillId="0" borderId="10" xfId="0" applyNumberFormat="1" applyFont="1" applyBorder="1"/>
    <xf numFmtId="2" fontId="1663" fillId="0" borderId="2292" xfId="0" applyNumberFormat="1" applyFont="1" applyBorder="1"/>
    <xf numFmtId="0" fontId="1762" fillId="0" borderId="10" xfId="0" applyFont="1" applyBorder="1"/>
    <xf numFmtId="0" fontId="1762" fillId="0" borderId="2292" xfId="0" applyFont="1" applyBorder="1"/>
    <xf numFmtId="2" fontId="1486" fillId="0" borderId="25" xfId="0" applyNumberFormat="1" applyFont="1" applyBorder="1"/>
    <xf numFmtId="2" fontId="1486" fillId="0" borderId="2248" xfId="0" applyNumberFormat="1" applyFont="1" applyBorder="1"/>
    <xf numFmtId="2" fontId="1489" fillId="0" borderId="10" xfId="0" applyNumberFormat="1" applyFont="1" applyBorder="1"/>
    <xf numFmtId="2" fontId="1489" fillId="0" borderId="2292" xfId="0" applyNumberFormat="1" applyFont="1" applyBorder="1"/>
    <xf numFmtId="2" fontId="1491" fillId="0" borderId="10" xfId="0" applyNumberFormat="1" applyFont="1" applyBorder="1"/>
    <xf numFmtId="2" fontId="1491" fillId="0" borderId="2292" xfId="0" applyNumberFormat="1" applyFont="1" applyBorder="1"/>
    <xf numFmtId="0" fontId="1582" fillId="0" borderId="25" xfId="0" applyFont="1" applyBorder="1"/>
    <xf numFmtId="0" fontId="1582" fillId="0" borderId="2248" xfId="0" applyFont="1" applyBorder="1"/>
    <xf numFmtId="0" fontId="1585" fillId="0" borderId="10" xfId="0" applyFont="1" applyBorder="1"/>
    <xf numFmtId="0" fontId="1585" fillId="0" borderId="2292" xfId="0" applyFont="1" applyBorder="1"/>
    <xf numFmtId="0" fontId="1587" fillId="0" borderId="10" xfId="0" applyFont="1" applyBorder="1"/>
    <xf numFmtId="0" fontId="1587" fillId="0" borderId="2292" xfId="0" applyFont="1" applyBorder="1"/>
    <xf numFmtId="2" fontId="1312" fillId="0" borderId="25" xfId="0" applyNumberFormat="1" applyFont="1" applyBorder="1"/>
    <xf numFmtId="2" fontId="1312" fillId="0" borderId="2248" xfId="0" applyNumberFormat="1" applyFont="1" applyBorder="1"/>
    <xf numFmtId="2" fontId="1315" fillId="0" borderId="10" xfId="0" applyNumberFormat="1" applyFont="1" applyBorder="1"/>
    <xf numFmtId="2" fontId="1315" fillId="0" borderId="2292" xfId="0" applyNumberFormat="1" applyFont="1" applyBorder="1"/>
    <xf numFmtId="2" fontId="1317" fillId="0" borderId="10" xfId="0" applyNumberFormat="1" applyFont="1" applyBorder="1"/>
    <xf numFmtId="2" fontId="1317" fillId="0" borderId="2292" xfId="0" applyNumberFormat="1" applyFont="1" applyBorder="1"/>
    <xf numFmtId="0" fontId="1408" fillId="0" borderId="25" xfId="0" applyFont="1" applyBorder="1"/>
    <xf numFmtId="0" fontId="1408" fillId="0" borderId="2248" xfId="0" applyFont="1" applyBorder="1"/>
    <xf numFmtId="0" fontId="1411" fillId="0" borderId="10" xfId="0" applyFont="1" applyBorder="1"/>
    <xf numFmtId="0" fontId="1411" fillId="0" borderId="2292" xfId="0" applyFont="1" applyBorder="1"/>
    <xf numFmtId="0" fontId="1413" fillId="0" borderId="10" xfId="0" applyFont="1" applyBorder="1"/>
    <xf numFmtId="0" fontId="1413" fillId="0" borderId="2292" xfId="0" applyFont="1" applyBorder="1"/>
    <xf numFmtId="2" fontId="804" fillId="0" borderId="25" xfId="0" applyNumberFormat="1" applyFont="1" applyBorder="1"/>
    <xf numFmtId="2" fontId="804" fillId="0" borderId="2248" xfId="0" applyNumberFormat="1" applyFont="1" applyBorder="1"/>
    <xf numFmtId="2" fontId="1137" fillId="0" borderId="25" xfId="0" applyNumberFormat="1" applyFont="1" applyBorder="1"/>
    <xf numFmtId="2" fontId="1137" fillId="0" borderId="2248" xfId="0" applyNumberFormat="1" applyFont="1" applyBorder="1"/>
    <xf numFmtId="2" fontId="1142" fillId="0" borderId="10" xfId="0" applyNumberFormat="1" applyFont="1" applyBorder="1"/>
    <xf numFmtId="2" fontId="1142" fillId="0" borderId="2292" xfId="0" applyNumberFormat="1" applyFont="1" applyBorder="1"/>
    <xf numFmtId="0" fontId="1063" fillId="0" borderId="25" xfId="0" applyFont="1" applyBorder="1"/>
    <xf numFmtId="0" fontId="1063" fillId="0" borderId="2248" xfId="0" applyFont="1" applyBorder="1"/>
    <xf numFmtId="0" fontId="1066" fillId="0" borderId="10" xfId="0" applyFont="1" applyBorder="1"/>
    <xf numFmtId="0" fontId="1066" fillId="0" borderId="2292" xfId="0" applyFont="1" applyBorder="1"/>
    <xf numFmtId="0" fontId="1068" fillId="0" borderId="10" xfId="0" applyFont="1" applyBorder="1"/>
    <xf numFmtId="0" fontId="1068" fillId="0" borderId="2292" xfId="0" applyFont="1" applyBorder="1"/>
    <xf numFmtId="0" fontId="2357" fillId="0" borderId="2297" xfId="0" applyFont="1" applyBorder="1" applyAlignment="1">
      <alignment horizontal="left"/>
    </xf>
    <xf numFmtId="169" fontId="2755" fillId="0" borderId="2326" xfId="0" applyNumberFormat="1" applyFont="1" applyBorder="1" applyAlignment="1">
      <alignment horizontal="right"/>
    </xf>
    <xf numFmtId="1" fontId="0" fillId="0" borderId="2326" xfId="0" applyNumberFormat="1" applyBorder="1"/>
    <xf numFmtId="1" fontId="0" fillId="0" borderId="3" xfId="0" applyNumberFormat="1" applyBorder="1" applyAlignment="1">
      <alignment horizontal="left"/>
    </xf>
    <xf numFmtId="1" fontId="3" fillId="0" borderId="2" xfId="0" applyNumberFormat="1" applyFont="1" applyBorder="1"/>
    <xf numFmtId="1" fontId="3" fillId="0" borderId="2326" xfId="0" applyNumberFormat="1" applyFont="1" applyBorder="1"/>
    <xf numFmtId="0" fontId="9" fillId="6" borderId="1" xfId="3" applyFill="1"/>
    <xf numFmtId="164" fontId="9" fillId="6" borderId="1" xfId="3" applyNumberFormat="1" applyFill="1"/>
    <xf numFmtId="164" fontId="2" fillId="6" borderId="1" xfId="3" applyNumberFormat="1" applyFont="1" applyFill="1"/>
    <xf numFmtId="2" fontId="9" fillId="6" borderId="1" xfId="3" applyNumberFormat="1" applyFill="1"/>
    <xf numFmtId="0" fontId="2" fillId="6" borderId="1" xfId="3" applyFont="1" applyFill="1"/>
    <xf numFmtId="0" fontId="2" fillId="7" borderId="1" xfId="3" applyFont="1" applyFill="1"/>
    <xf numFmtId="2" fontId="9" fillId="7" borderId="1" xfId="3" applyNumberFormat="1" applyFill="1"/>
    <xf numFmtId="164" fontId="9" fillId="7" borderId="1" xfId="3" applyNumberFormat="1" applyFill="1"/>
    <xf numFmtId="0" fontId="2329" fillId="0" borderId="2325" xfId="0" applyFont="1" applyBorder="1" applyAlignment="1">
      <alignment horizontal="center"/>
    </xf>
    <xf numFmtId="0" fontId="2330" fillId="0" borderId="2325" xfId="0" applyFont="1" applyBorder="1" applyAlignment="1">
      <alignment horizontal="right"/>
    </xf>
    <xf numFmtId="0" fontId="2331" fillId="0" borderId="2325" xfId="0" applyFont="1" applyBorder="1"/>
    <xf numFmtId="169" fontId="2332" fillId="0" borderId="2325" xfId="0" applyNumberFormat="1" applyFont="1" applyBorder="1" applyAlignment="1">
      <alignment horizontal="right"/>
    </xf>
    <xf numFmtId="169" fontId="2333" fillId="0" borderId="2325" xfId="0" applyNumberFormat="1" applyFont="1" applyBorder="1" applyAlignment="1">
      <alignment horizontal="right"/>
    </xf>
    <xf numFmtId="169" fontId="2334" fillId="0" borderId="2325" xfId="0" applyNumberFormat="1" applyFont="1" applyBorder="1" applyAlignment="1">
      <alignment horizontal="right"/>
    </xf>
    <xf numFmtId="169" fontId="2335" fillId="0" borderId="2325" xfId="0" applyNumberFormat="1" applyFont="1" applyBorder="1" applyAlignment="1">
      <alignment horizontal="right"/>
    </xf>
    <xf numFmtId="169" fontId="2336" fillId="0" borderId="2325" xfId="0" applyNumberFormat="1" applyFont="1" applyBorder="1" applyAlignment="1">
      <alignment horizontal="right"/>
    </xf>
    <xf numFmtId="169" fontId="2337" fillId="0" borderId="2325" xfId="0" applyNumberFormat="1" applyFont="1" applyBorder="1" applyAlignment="1">
      <alignment horizontal="right"/>
    </xf>
    <xf numFmtId="169" fontId="2338" fillId="0" borderId="2325" xfId="0" applyNumberFormat="1" applyFont="1" applyBorder="1" applyAlignment="1">
      <alignment horizontal="right"/>
    </xf>
    <xf numFmtId="169" fontId="2339" fillId="0" borderId="2325" xfId="0" applyNumberFormat="1" applyFont="1" applyBorder="1" applyAlignment="1">
      <alignment horizontal="right"/>
    </xf>
    <xf numFmtId="169" fontId="2340" fillId="0" borderId="2325" xfId="0" applyNumberFormat="1" applyFont="1" applyBorder="1" applyAlignment="1">
      <alignment horizontal="right"/>
    </xf>
    <xf numFmtId="169" fontId="2341" fillId="0" borderId="2325" xfId="0" applyNumberFormat="1" applyFont="1" applyBorder="1" applyAlignment="1">
      <alignment horizontal="right"/>
    </xf>
    <xf numFmtId="169" fontId="2342" fillId="0" borderId="2325" xfId="0" applyNumberFormat="1" applyFont="1" applyBorder="1" applyAlignment="1">
      <alignment horizontal="right"/>
    </xf>
    <xf numFmtId="169" fontId="2343" fillId="0" borderId="2325" xfId="0" applyNumberFormat="1" applyFont="1" applyBorder="1" applyAlignment="1">
      <alignment horizontal="right"/>
    </xf>
    <xf numFmtId="169" fontId="2344" fillId="0" borderId="2325" xfId="0" applyNumberFormat="1" applyFont="1" applyBorder="1" applyAlignment="1">
      <alignment horizontal="right"/>
    </xf>
    <xf numFmtId="169" fontId="2345" fillId="0" borderId="2325" xfId="0" applyNumberFormat="1" applyFont="1" applyBorder="1" applyAlignment="1">
      <alignment horizontal="right"/>
    </xf>
    <xf numFmtId="169" fontId="2346" fillId="0" borderId="2325" xfId="0" applyNumberFormat="1" applyFont="1" applyBorder="1" applyAlignment="1">
      <alignment horizontal="right"/>
    </xf>
    <xf numFmtId="0" fontId="2347" fillId="0" borderId="2325" xfId="0" applyFont="1" applyBorder="1" applyAlignment="1">
      <alignment horizontal="center"/>
    </xf>
    <xf numFmtId="0" fontId="2348" fillId="0" borderId="2325" xfId="0" applyFont="1" applyBorder="1" applyAlignment="1">
      <alignment horizontal="right"/>
    </xf>
    <xf numFmtId="0" fontId="2349" fillId="0" borderId="2325" xfId="0" applyFont="1" applyBorder="1"/>
    <xf numFmtId="169" fontId="2350" fillId="0" borderId="2325" xfId="0" applyNumberFormat="1" applyFont="1" applyBorder="1" applyAlignment="1">
      <alignment horizontal="right"/>
    </xf>
    <xf numFmtId="169" fontId="2351" fillId="0" borderId="2325" xfId="0" applyNumberFormat="1" applyFont="1" applyBorder="1" applyAlignment="1">
      <alignment horizontal="right"/>
    </xf>
    <xf numFmtId="169" fontId="2352" fillId="0" borderId="2325" xfId="0" applyNumberFormat="1" applyFont="1" applyBorder="1" applyAlignment="1">
      <alignment horizontal="right"/>
    </xf>
    <xf numFmtId="169" fontId="2353" fillId="0" borderId="2325" xfId="0" applyNumberFormat="1" applyFont="1" applyBorder="1" applyAlignment="1">
      <alignment horizontal="right"/>
    </xf>
    <xf numFmtId="169" fontId="2354" fillId="0" borderId="2325" xfId="0" applyNumberFormat="1" applyFont="1" applyBorder="1" applyAlignment="1">
      <alignment horizontal="right"/>
    </xf>
    <xf numFmtId="169" fontId="2355" fillId="0" borderId="2325" xfId="0" applyNumberFormat="1" applyFont="1" applyBorder="1" applyAlignment="1">
      <alignment horizontal="right"/>
    </xf>
    <xf numFmtId="169" fontId="2356" fillId="0" borderId="2325" xfId="0" applyNumberFormat="1" applyFont="1" applyBorder="1" applyAlignment="1">
      <alignment horizontal="right"/>
    </xf>
    <xf numFmtId="169" fontId="2363" fillId="0" borderId="2325" xfId="0" applyNumberFormat="1" applyFont="1" applyBorder="1" applyAlignment="1">
      <alignment horizontal="right"/>
    </xf>
    <xf numFmtId="169" fontId="2364" fillId="0" borderId="2325" xfId="0" applyNumberFormat="1" applyFont="1" applyBorder="1" applyAlignment="1">
      <alignment horizontal="right"/>
    </xf>
    <xf numFmtId="169" fontId="2365" fillId="0" borderId="2325" xfId="0" applyNumberFormat="1" applyFont="1" applyBorder="1" applyAlignment="1">
      <alignment horizontal="right"/>
    </xf>
    <xf numFmtId="169" fontId="2366" fillId="0" borderId="2325" xfId="0" applyNumberFormat="1" applyFont="1" applyBorder="1" applyAlignment="1">
      <alignment horizontal="right"/>
    </xf>
    <xf numFmtId="169" fontId="2367" fillId="0" borderId="2325" xfId="0" applyNumberFormat="1" applyFont="1" applyBorder="1" applyAlignment="1">
      <alignment horizontal="right"/>
    </xf>
    <xf numFmtId="169" fontId="2368" fillId="0" borderId="2325" xfId="0" applyNumberFormat="1" applyFont="1" applyBorder="1" applyAlignment="1">
      <alignment horizontal="right"/>
    </xf>
    <xf numFmtId="169" fontId="2369" fillId="0" borderId="2325" xfId="0" applyNumberFormat="1" applyFont="1" applyBorder="1" applyAlignment="1">
      <alignment horizontal="right"/>
    </xf>
    <xf numFmtId="169" fontId="2370" fillId="0" borderId="2325" xfId="0" applyNumberFormat="1" applyFont="1" applyBorder="1" applyAlignment="1">
      <alignment horizontal="right"/>
    </xf>
    <xf numFmtId="0" fontId="2371" fillId="0" borderId="2325" xfId="0" applyFont="1" applyBorder="1" applyAlignment="1">
      <alignment horizontal="center"/>
    </xf>
    <xf numFmtId="0" fontId="2372" fillId="0" borderId="2325" xfId="0" applyFont="1" applyBorder="1" applyAlignment="1">
      <alignment horizontal="right"/>
    </xf>
    <xf numFmtId="0" fontId="2373" fillId="0" borderId="2325" xfId="0" applyFont="1" applyBorder="1"/>
    <xf numFmtId="169" fontId="2374" fillId="0" borderId="2325" xfId="0" applyNumberFormat="1" applyFont="1" applyBorder="1" applyAlignment="1">
      <alignment horizontal="right"/>
    </xf>
    <xf numFmtId="169" fontId="2375" fillId="0" borderId="2325" xfId="0" applyNumberFormat="1" applyFont="1" applyBorder="1" applyAlignment="1">
      <alignment horizontal="right"/>
    </xf>
    <xf numFmtId="169" fontId="2376" fillId="0" borderId="2325" xfId="0" applyNumberFormat="1" applyFont="1" applyBorder="1" applyAlignment="1">
      <alignment horizontal="right"/>
    </xf>
    <xf numFmtId="169" fontId="2377" fillId="0" borderId="2325" xfId="0" applyNumberFormat="1" applyFont="1" applyBorder="1" applyAlignment="1">
      <alignment horizontal="right"/>
    </xf>
    <xf numFmtId="169" fontId="2378" fillId="0" borderId="2325" xfId="0" applyNumberFormat="1" applyFont="1" applyBorder="1" applyAlignment="1">
      <alignment horizontal="right"/>
    </xf>
    <xf numFmtId="169" fontId="2379" fillId="0" borderId="2325" xfId="0" applyNumberFormat="1" applyFont="1" applyBorder="1" applyAlignment="1">
      <alignment horizontal="right"/>
    </xf>
    <xf numFmtId="169" fontId="2380" fillId="0" borderId="2325" xfId="0" applyNumberFormat="1" applyFont="1" applyBorder="1" applyAlignment="1">
      <alignment horizontal="right"/>
    </xf>
    <xf numFmtId="169" fontId="2381" fillId="0" borderId="2325" xfId="0" applyNumberFormat="1" applyFont="1" applyBorder="1" applyAlignment="1">
      <alignment horizontal="right"/>
    </xf>
    <xf numFmtId="169" fontId="2382" fillId="0" borderId="2325" xfId="0" applyNumberFormat="1" applyFont="1" applyBorder="1" applyAlignment="1">
      <alignment horizontal="right"/>
    </xf>
    <xf numFmtId="169" fontId="2383" fillId="0" borderId="2325" xfId="0" applyNumberFormat="1" applyFont="1" applyBorder="1" applyAlignment="1">
      <alignment horizontal="right"/>
    </xf>
    <xf numFmtId="169" fontId="2384" fillId="0" borderId="2325" xfId="0" applyNumberFormat="1" applyFont="1" applyBorder="1" applyAlignment="1">
      <alignment horizontal="right"/>
    </xf>
    <xf numFmtId="169" fontId="2385" fillId="0" borderId="2325" xfId="0" applyNumberFormat="1" applyFont="1" applyBorder="1" applyAlignment="1">
      <alignment horizontal="right"/>
    </xf>
    <xf numFmtId="169" fontId="2386" fillId="0" borderId="2325" xfId="0" applyNumberFormat="1" applyFont="1" applyBorder="1" applyAlignment="1">
      <alignment horizontal="right"/>
    </xf>
    <xf numFmtId="169" fontId="2387" fillId="0" borderId="2325" xfId="0" applyNumberFormat="1" applyFont="1" applyBorder="1" applyAlignment="1">
      <alignment horizontal="right"/>
    </xf>
    <xf numFmtId="169" fontId="2388" fillId="0" borderId="2325" xfId="0" applyNumberFormat="1" applyFont="1" applyBorder="1" applyAlignment="1">
      <alignment horizontal="right"/>
    </xf>
    <xf numFmtId="169" fontId="2389" fillId="0" borderId="2325" xfId="0" applyNumberFormat="1" applyFont="1" applyBorder="1" applyAlignment="1">
      <alignment horizontal="right"/>
    </xf>
    <xf numFmtId="0" fontId="2390" fillId="0" borderId="2325" xfId="0" applyFont="1" applyBorder="1" applyAlignment="1">
      <alignment horizontal="center"/>
    </xf>
    <xf numFmtId="0" fontId="2391" fillId="0" borderId="2325" xfId="0" applyFont="1" applyBorder="1" applyAlignment="1">
      <alignment horizontal="right"/>
    </xf>
    <xf numFmtId="0" fontId="2392" fillId="0" borderId="2325" xfId="0" applyFont="1" applyBorder="1"/>
    <xf numFmtId="169" fontId="2393" fillId="0" borderId="2325" xfId="0" applyNumberFormat="1" applyFont="1" applyBorder="1" applyAlignment="1">
      <alignment horizontal="right"/>
    </xf>
    <xf numFmtId="169" fontId="2394" fillId="0" borderId="2325" xfId="0" applyNumberFormat="1" applyFont="1" applyBorder="1" applyAlignment="1">
      <alignment horizontal="right"/>
    </xf>
    <xf numFmtId="169" fontId="2395" fillId="0" borderId="2325" xfId="0" applyNumberFormat="1" applyFont="1" applyBorder="1" applyAlignment="1">
      <alignment horizontal="right"/>
    </xf>
    <xf numFmtId="169" fontId="2396" fillId="0" borderId="2325" xfId="0" applyNumberFormat="1" applyFont="1" applyBorder="1" applyAlignment="1">
      <alignment horizontal="right"/>
    </xf>
    <xf numFmtId="169" fontId="2397" fillId="0" borderId="2325" xfId="0" applyNumberFormat="1" applyFont="1" applyBorder="1" applyAlignment="1">
      <alignment horizontal="right"/>
    </xf>
    <xf numFmtId="169" fontId="2398" fillId="0" borderId="2325" xfId="0" applyNumberFormat="1" applyFont="1" applyBorder="1" applyAlignment="1">
      <alignment horizontal="right"/>
    </xf>
    <xf numFmtId="169" fontId="2399" fillId="0" borderId="2325" xfId="0" applyNumberFormat="1" applyFont="1" applyBorder="1" applyAlignment="1">
      <alignment horizontal="right"/>
    </xf>
    <xf numFmtId="169" fontId="2400" fillId="0" borderId="2325" xfId="0" applyNumberFormat="1" applyFont="1" applyBorder="1" applyAlignment="1">
      <alignment horizontal="right"/>
    </xf>
    <xf numFmtId="169" fontId="2401" fillId="0" borderId="2325" xfId="0" applyNumberFormat="1" applyFont="1" applyBorder="1" applyAlignment="1">
      <alignment horizontal="right"/>
    </xf>
    <xf numFmtId="169" fontId="2402" fillId="0" borderId="2325" xfId="0" applyNumberFormat="1" applyFont="1" applyBorder="1" applyAlignment="1">
      <alignment horizontal="right"/>
    </xf>
    <xf numFmtId="169" fontId="2403" fillId="0" borderId="2325" xfId="0" applyNumberFormat="1" applyFont="1" applyBorder="1" applyAlignment="1">
      <alignment horizontal="right"/>
    </xf>
    <xf numFmtId="169" fontId="2404" fillId="0" borderId="2325" xfId="0" applyNumberFormat="1" applyFont="1" applyBorder="1" applyAlignment="1">
      <alignment horizontal="right"/>
    </xf>
    <xf numFmtId="169" fontId="2405" fillId="0" borderId="2325" xfId="0" applyNumberFormat="1" applyFont="1" applyBorder="1" applyAlignment="1">
      <alignment horizontal="right"/>
    </xf>
    <xf numFmtId="169" fontId="2412" fillId="0" borderId="2325" xfId="0" applyNumberFormat="1" applyFont="1" applyBorder="1" applyAlignment="1">
      <alignment horizontal="right"/>
    </xf>
    <xf numFmtId="169" fontId="2419" fillId="0" borderId="2325" xfId="0" applyNumberFormat="1" applyFont="1" applyBorder="1" applyAlignment="1">
      <alignment horizontal="right"/>
    </xf>
    <xf numFmtId="169" fontId="2420" fillId="0" borderId="2325" xfId="0" applyNumberFormat="1" applyFont="1" applyBorder="1" applyAlignment="1">
      <alignment horizontal="right"/>
    </xf>
    <xf numFmtId="0" fontId="2421" fillId="0" borderId="2325" xfId="0" applyFont="1" applyBorder="1" applyAlignment="1">
      <alignment horizontal="center"/>
    </xf>
    <xf numFmtId="0" fontId="2422" fillId="0" borderId="2325" xfId="0" applyFont="1" applyBorder="1" applyAlignment="1">
      <alignment horizontal="right"/>
    </xf>
    <xf numFmtId="0" fontId="2423" fillId="0" borderId="2325" xfId="0" applyFont="1" applyBorder="1"/>
    <xf numFmtId="169" fontId="2424" fillId="0" borderId="2325" xfId="0" applyNumberFormat="1" applyFont="1" applyBorder="1" applyAlignment="1">
      <alignment horizontal="right"/>
    </xf>
    <xf numFmtId="169" fontId="2425" fillId="0" borderId="2325" xfId="0" applyNumberFormat="1" applyFont="1" applyBorder="1" applyAlignment="1">
      <alignment horizontal="right"/>
    </xf>
    <xf numFmtId="169" fontId="2426" fillId="0" borderId="2325" xfId="0" applyNumberFormat="1" applyFont="1" applyBorder="1" applyAlignment="1">
      <alignment horizontal="right"/>
    </xf>
    <xf numFmtId="169" fontId="2427" fillId="0" borderId="2325" xfId="0" applyNumberFormat="1" applyFont="1" applyBorder="1" applyAlignment="1">
      <alignment horizontal="right"/>
    </xf>
    <xf numFmtId="169" fontId="2428" fillId="0" borderId="2325" xfId="0" applyNumberFormat="1" applyFont="1" applyBorder="1" applyAlignment="1">
      <alignment horizontal="right"/>
    </xf>
    <xf numFmtId="169" fontId="2429" fillId="0" borderId="2325" xfId="0" applyNumberFormat="1" applyFont="1" applyBorder="1" applyAlignment="1">
      <alignment horizontal="right"/>
    </xf>
    <xf numFmtId="169" fontId="2430" fillId="0" borderId="2325" xfId="0" applyNumberFormat="1" applyFont="1" applyBorder="1" applyAlignment="1">
      <alignment horizontal="right"/>
    </xf>
    <xf numFmtId="169" fontId="2431" fillId="0" borderId="2325" xfId="0" applyNumberFormat="1" applyFont="1" applyBorder="1" applyAlignment="1">
      <alignment horizontal="right"/>
    </xf>
    <xf numFmtId="169" fontId="2432" fillId="0" borderId="2325" xfId="0" applyNumberFormat="1" applyFont="1" applyBorder="1" applyAlignment="1">
      <alignment horizontal="right"/>
    </xf>
    <xf numFmtId="169" fontId="2433" fillId="0" borderId="2325" xfId="0" applyNumberFormat="1" applyFont="1" applyBorder="1" applyAlignment="1">
      <alignment horizontal="right"/>
    </xf>
    <xf numFmtId="169" fontId="2434" fillId="0" borderId="2325" xfId="0" applyNumberFormat="1" applyFont="1" applyBorder="1" applyAlignment="1">
      <alignment horizontal="right"/>
    </xf>
    <xf numFmtId="169" fontId="2435" fillId="0" borderId="2325" xfId="0" applyNumberFormat="1" applyFont="1" applyBorder="1" applyAlignment="1">
      <alignment horizontal="right"/>
    </xf>
    <xf numFmtId="169" fontId="2436" fillId="0" borderId="2325" xfId="0" applyNumberFormat="1" applyFont="1" applyBorder="1" applyAlignment="1">
      <alignment horizontal="right"/>
    </xf>
    <xf numFmtId="169" fontId="2437" fillId="0" borderId="2325" xfId="0" applyNumberFormat="1" applyFont="1" applyBorder="1" applyAlignment="1">
      <alignment horizontal="right"/>
    </xf>
    <xf numFmtId="169" fontId="2438" fillId="0" borderId="2325" xfId="0" applyNumberFormat="1" applyFont="1" applyBorder="1" applyAlignment="1">
      <alignment horizontal="right"/>
    </xf>
    <xf numFmtId="169" fontId="2439" fillId="0" borderId="2325" xfId="0" applyNumberFormat="1" applyFont="1" applyBorder="1" applyAlignment="1">
      <alignment horizontal="right"/>
    </xf>
    <xf numFmtId="0" fontId="2440" fillId="0" borderId="2325" xfId="0" applyFont="1" applyBorder="1" applyAlignment="1">
      <alignment horizontal="center"/>
    </xf>
    <xf numFmtId="0" fontId="2441" fillId="0" borderId="2325" xfId="0" applyFont="1" applyBorder="1" applyAlignment="1">
      <alignment horizontal="right"/>
    </xf>
    <xf numFmtId="0" fontId="2442" fillId="0" borderId="2325" xfId="0" applyFont="1" applyBorder="1"/>
    <xf numFmtId="169" fontId="2443" fillId="0" borderId="2325" xfId="0" applyNumberFormat="1" applyFont="1" applyBorder="1" applyAlignment="1">
      <alignment horizontal="right"/>
    </xf>
    <xf numFmtId="169" fontId="2444" fillId="0" borderId="2325" xfId="0" applyNumberFormat="1" applyFont="1" applyBorder="1" applyAlignment="1">
      <alignment horizontal="right"/>
    </xf>
    <xf numFmtId="169" fontId="2445" fillId="0" borderId="2325" xfId="0" applyNumberFormat="1" applyFont="1" applyBorder="1" applyAlignment="1">
      <alignment horizontal="right"/>
    </xf>
    <xf numFmtId="169" fontId="2446" fillId="0" borderId="2325" xfId="0" applyNumberFormat="1" applyFont="1" applyBorder="1" applyAlignment="1">
      <alignment horizontal="right"/>
    </xf>
    <xf numFmtId="169" fontId="2447" fillId="0" borderId="2325" xfId="0" applyNumberFormat="1" applyFont="1" applyBorder="1" applyAlignment="1">
      <alignment horizontal="right"/>
    </xf>
    <xf numFmtId="169" fontId="2448" fillId="0" borderId="2325" xfId="0" applyNumberFormat="1" applyFont="1" applyBorder="1" applyAlignment="1">
      <alignment horizontal="right"/>
    </xf>
    <xf numFmtId="169" fontId="2449" fillId="0" borderId="2325" xfId="0" applyNumberFormat="1" applyFont="1" applyBorder="1" applyAlignment="1">
      <alignment horizontal="right"/>
    </xf>
    <xf numFmtId="169" fontId="2450" fillId="0" borderId="2325" xfId="0" applyNumberFormat="1" applyFont="1" applyBorder="1" applyAlignment="1">
      <alignment horizontal="right"/>
    </xf>
    <xf numFmtId="169" fontId="2451" fillId="0" borderId="2325" xfId="0" applyNumberFormat="1" applyFont="1" applyBorder="1" applyAlignment="1">
      <alignment horizontal="right"/>
    </xf>
    <xf numFmtId="169" fontId="2452" fillId="0" borderId="2325" xfId="0" applyNumberFormat="1" applyFont="1" applyBorder="1" applyAlignment="1">
      <alignment horizontal="right"/>
    </xf>
    <xf numFmtId="169" fontId="2453" fillId="0" borderId="2325" xfId="0" applyNumberFormat="1" applyFont="1" applyBorder="1" applyAlignment="1">
      <alignment horizontal="right"/>
    </xf>
    <xf numFmtId="169" fontId="2454" fillId="0" borderId="2325" xfId="0" applyNumberFormat="1" applyFont="1" applyBorder="1" applyAlignment="1">
      <alignment horizontal="right"/>
    </xf>
    <xf numFmtId="169" fontId="2455" fillId="0" borderId="2325" xfId="0" applyNumberFormat="1" applyFont="1" applyBorder="1" applyAlignment="1">
      <alignment horizontal="right"/>
    </xf>
    <xf numFmtId="169" fontId="2456" fillId="0" borderId="2325" xfId="0" applyNumberFormat="1" applyFont="1" applyBorder="1" applyAlignment="1">
      <alignment horizontal="right"/>
    </xf>
    <xf numFmtId="169" fontId="2457" fillId="0" borderId="2325" xfId="0" applyNumberFormat="1" applyFont="1" applyBorder="1" applyAlignment="1">
      <alignment horizontal="right"/>
    </xf>
    <xf numFmtId="169" fontId="2458" fillId="0" borderId="2325" xfId="0" applyNumberFormat="1" applyFont="1" applyBorder="1" applyAlignment="1">
      <alignment horizontal="right"/>
    </xf>
    <xf numFmtId="0" fontId="2459" fillId="0" borderId="2325" xfId="0" applyFont="1" applyBorder="1" applyAlignment="1">
      <alignment horizontal="center"/>
    </xf>
    <xf numFmtId="0" fontId="2460" fillId="0" borderId="2325" xfId="0" applyFont="1" applyBorder="1" applyAlignment="1">
      <alignment horizontal="right"/>
    </xf>
    <xf numFmtId="0" fontId="2461" fillId="0" borderId="2325" xfId="0" applyFont="1" applyBorder="1"/>
    <xf numFmtId="169" fontId="2462" fillId="0" borderId="2325" xfId="0" applyNumberFormat="1" applyFont="1" applyBorder="1" applyAlignment="1">
      <alignment horizontal="right"/>
    </xf>
    <xf numFmtId="169" fontId="2463" fillId="0" borderId="2325" xfId="0" applyNumberFormat="1" applyFont="1" applyBorder="1" applyAlignment="1">
      <alignment horizontal="right"/>
    </xf>
    <xf numFmtId="169" fontId="2464" fillId="0" borderId="2325" xfId="0" applyNumberFormat="1" applyFont="1" applyBorder="1" applyAlignment="1">
      <alignment horizontal="right"/>
    </xf>
    <xf numFmtId="169" fontId="2465" fillId="0" borderId="2325" xfId="0" applyNumberFormat="1" applyFont="1" applyBorder="1" applyAlignment="1">
      <alignment horizontal="right"/>
    </xf>
    <xf numFmtId="169" fontId="2466" fillId="0" borderId="2325" xfId="0" applyNumberFormat="1" applyFont="1" applyBorder="1" applyAlignment="1">
      <alignment horizontal="right"/>
    </xf>
    <xf numFmtId="169" fontId="2467" fillId="0" borderId="2325" xfId="0" applyNumberFormat="1" applyFont="1" applyBorder="1" applyAlignment="1">
      <alignment horizontal="right"/>
    </xf>
    <xf numFmtId="169" fontId="2468" fillId="0" borderId="2325" xfId="0" applyNumberFormat="1" applyFont="1" applyBorder="1" applyAlignment="1">
      <alignment horizontal="right"/>
    </xf>
    <xf numFmtId="169" fontId="2469" fillId="0" borderId="2325" xfId="0" applyNumberFormat="1" applyFont="1" applyBorder="1" applyAlignment="1">
      <alignment horizontal="right"/>
    </xf>
    <xf numFmtId="169" fontId="2470" fillId="0" borderId="2325" xfId="0" applyNumberFormat="1" applyFont="1" applyBorder="1" applyAlignment="1">
      <alignment horizontal="right"/>
    </xf>
    <xf numFmtId="169" fontId="2471" fillId="0" borderId="2325" xfId="0" applyNumberFormat="1" applyFont="1" applyBorder="1" applyAlignment="1">
      <alignment horizontal="right"/>
    </xf>
    <xf numFmtId="169" fontId="2472" fillId="0" borderId="2325" xfId="0" applyNumberFormat="1" applyFont="1" applyBorder="1" applyAlignment="1">
      <alignment horizontal="right"/>
    </xf>
    <xf numFmtId="169" fontId="2473" fillId="0" borderId="2325" xfId="0" applyNumberFormat="1" applyFont="1" applyBorder="1" applyAlignment="1">
      <alignment horizontal="right"/>
    </xf>
    <xf numFmtId="169" fontId="2474" fillId="0" borderId="2325" xfId="0" applyNumberFormat="1" applyFont="1" applyBorder="1" applyAlignment="1">
      <alignment horizontal="right"/>
    </xf>
    <xf numFmtId="169" fontId="2481" fillId="0" borderId="2325" xfId="0" applyNumberFormat="1" applyFont="1" applyBorder="1" applyAlignment="1">
      <alignment horizontal="right"/>
    </xf>
    <xf numFmtId="169" fontId="2482" fillId="0" borderId="2325" xfId="0" applyNumberFormat="1" applyFont="1" applyBorder="1" applyAlignment="1">
      <alignment horizontal="right"/>
    </xf>
    <xf numFmtId="169" fontId="2483" fillId="0" borderId="2325" xfId="0" applyNumberFormat="1" applyFont="1" applyBorder="1" applyAlignment="1">
      <alignment horizontal="right"/>
    </xf>
    <xf numFmtId="169" fontId="2484" fillId="0" borderId="2325" xfId="0" applyNumberFormat="1" applyFont="1" applyBorder="1" applyAlignment="1">
      <alignment horizontal="right"/>
    </xf>
    <xf numFmtId="0" fontId="2485" fillId="0" borderId="2325" xfId="0" applyFont="1" applyBorder="1" applyAlignment="1">
      <alignment horizontal="center"/>
    </xf>
    <xf numFmtId="0" fontId="2486" fillId="0" borderId="2325" xfId="0" applyFont="1" applyBorder="1" applyAlignment="1">
      <alignment horizontal="right"/>
    </xf>
    <xf numFmtId="0" fontId="2487" fillId="0" borderId="2325" xfId="0" applyFont="1" applyBorder="1"/>
    <xf numFmtId="169" fontId="2488" fillId="0" borderId="2325" xfId="0" applyNumberFormat="1" applyFont="1" applyBorder="1" applyAlignment="1">
      <alignment horizontal="right"/>
    </xf>
    <xf numFmtId="169" fontId="2489" fillId="0" borderId="2325" xfId="0" applyNumberFormat="1" applyFont="1" applyBorder="1" applyAlignment="1">
      <alignment horizontal="right"/>
    </xf>
    <xf numFmtId="169" fontId="2490" fillId="0" borderId="2325" xfId="0" applyNumberFormat="1" applyFont="1" applyBorder="1" applyAlignment="1">
      <alignment horizontal="right"/>
    </xf>
    <xf numFmtId="169" fontId="2491" fillId="0" borderId="2325" xfId="0" applyNumberFormat="1" applyFont="1" applyBorder="1" applyAlignment="1">
      <alignment horizontal="right"/>
    </xf>
    <xf numFmtId="169" fontId="2492" fillId="0" borderId="2325" xfId="0" applyNumberFormat="1" applyFont="1" applyBorder="1" applyAlignment="1">
      <alignment horizontal="right"/>
    </xf>
    <xf numFmtId="169" fontId="2493" fillId="0" borderId="2325" xfId="0" applyNumberFormat="1" applyFont="1" applyBorder="1" applyAlignment="1">
      <alignment horizontal="right"/>
    </xf>
    <xf numFmtId="169" fontId="2494" fillId="0" borderId="2325" xfId="0" applyNumberFormat="1" applyFont="1" applyBorder="1" applyAlignment="1">
      <alignment horizontal="right"/>
    </xf>
    <xf numFmtId="169" fontId="2495" fillId="0" borderId="2325" xfId="0" applyNumberFormat="1" applyFont="1" applyBorder="1" applyAlignment="1">
      <alignment horizontal="right"/>
    </xf>
    <xf numFmtId="169" fontId="2496" fillId="0" borderId="2325" xfId="0" applyNumberFormat="1" applyFont="1" applyBorder="1" applyAlignment="1">
      <alignment horizontal="right"/>
    </xf>
    <xf numFmtId="169" fontId="2497" fillId="0" borderId="2325" xfId="0" applyNumberFormat="1" applyFont="1" applyBorder="1" applyAlignment="1">
      <alignment horizontal="right"/>
    </xf>
    <xf numFmtId="169" fontId="2498" fillId="0" borderId="2325" xfId="0" applyNumberFormat="1" applyFont="1" applyBorder="1" applyAlignment="1">
      <alignment horizontal="right"/>
    </xf>
    <xf numFmtId="169" fontId="2499" fillId="0" borderId="2325" xfId="0" applyNumberFormat="1" applyFont="1" applyBorder="1" applyAlignment="1">
      <alignment horizontal="right"/>
    </xf>
    <xf numFmtId="169" fontId="2500" fillId="0" borderId="2325" xfId="0" applyNumberFormat="1" applyFont="1" applyBorder="1" applyAlignment="1">
      <alignment horizontal="right"/>
    </xf>
    <xf numFmtId="169" fontId="2501" fillId="0" borderId="2325" xfId="0" applyNumberFormat="1" applyFont="1" applyBorder="1" applyAlignment="1">
      <alignment horizontal="right"/>
    </xf>
    <xf numFmtId="169" fontId="2502" fillId="0" borderId="2325" xfId="0" applyNumberFormat="1" applyFont="1" applyBorder="1" applyAlignment="1">
      <alignment horizontal="right"/>
    </xf>
    <xf numFmtId="169" fontId="2503" fillId="0" borderId="2325" xfId="0" applyNumberFormat="1" applyFont="1" applyBorder="1" applyAlignment="1">
      <alignment horizontal="right"/>
    </xf>
    <xf numFmtId="169" fontId="2504" fillId="0" borderId="2325" xfId="0" applyNumberFormat="1" applyFont="1" applyBorder="1" applyAlignment="1">
      <alignment horizontal="right"/>
    </xf>
    <xf numFmtId="0" fontId="2505" fillId="0" borderId="2325" xfId="0" applyFont="1" applyBorder="1" applyAlignment="1">
      <alignment horizontal="center"/>
    </xf>
    <xf numFmtId="0" fontId="2506" fillId="0" borderId="2325" xfId="0" applyFont="1" applyBorder="1" applyAlignment="1">
      <alignment horizontal="right"/>
    </xf>
    <xf numFmtId="0" fontId="2507" fillId="0" borderId="2325" xfId="0" applyFont="1" applyBorder="1"/>
    <xf numFmtId="169" fontId="2508" fillId="0" borderId="2325" xfId="0" applyNumberFormat="1" applyFont="1" applyBorder="1" applyAlignment="1">
      <alignment horizontal="right"/>
    </xf>
    <xf numFmtId="169" fontId="2509" fillId="0" borderId="2325" xfId="0" applyNumberFormat="1" applyFont="1" applyBorder="1" applyAlignment="1">
      <alignment horizontal="right"/>
    </xf>
    <xf numFmtId="169" fontId="2510" fillId="0" borderId="2325" xfId="0" applyNumberFormat="1" applyFont="1" applyBorder="1" applyAlignment="1">
      <alignment horizontal="right"/>
    </xf>
    <xf numFmtId="169" fontId="2511" fillId="0" borderId="2325" xfId="0" applyNumberFormat="1" applyFont="1" applyBorder="1" applyAlignment="1">
      <alignment horizontal="right"/>
    </xf>
    <xf numFmtId="169" fontId="2512" fillId="0" borderId="2325" xfId="0" applyNumberFormat="1" applyFont="1" applyBorder="1" applyAlignment="1">
      <alignment horizontal="right"/>
    </xf>
    <xf numFmtId="169" fontId="2513" fillId="0" borderId="2325" xfId="0" applyNumberFormat="1" applyFont="1" applyBorder="1" applyAlignment="1">
      <alignment horizontal="right"/>
    </xf>
    <xf numFmtId="169" fontId="2514" fillId="0" borderId="2325" xfId="0" applyNumberFormat="1" applyFont="1" applyBorder="1" applyAlignment="1">
      <alignment horizontal="right"/>
    </xf>
    <xf numFmtId="169" fontId="2515" fillId="0" borderId="2325" xfId="0" applyNumberFormat="1" applyFont="1" applyBorder="1" applyAlignment="1">
      <alignment horizontal="right"/>
    </xf>
    <xf numFmtId="169" fontId="2516" fillId="0" borderId="2325" xfId="0" applyNumberFormat="1" applyFont="1" applyBorder="1" applyAlignment="1">
      <alignment horizontal="right"/>
    </xf>
    <xf numFmtId="169" fontId="2517" fillId="0" borderId="2325" xfId="0" applyNumberFormat="1" applyFont="1" applyBorder="1" applyAlignment="1">
      <alignment horizontal="right"/>
    </xf>
    <xf numFmtId="169" fontId="2518" fillId="0" borderId="2325" xfId="0" applyNumberFormat="1" applyFont="1" applyBorder="1" applyAlignment="1">
      <alignment horizontal="right"/>
    </xf>
    <xf numFmtId="0" fontId="2519" fillId="0" borderId="2325" xfId="0" applyFont="1" applyBorder="1" applyAlignment="1">
      <alignment horizontal="center"/>
    </xf>
    <xf numFmtId="0" fontId="2520" fillId="0" borderId="2325" xfId="0" applyFont="1" applyBorder="1" applyAlignment="1">
      <alignment horizontal="right"/>
    </xf>
    <xf numFmtId="0" fontId="2521" fillId="0" borderId="2325" xfId="0" applyFont="1" applyBorder="1"/>
    <xf numFmtId="169" fontId="2522" fillId="0" borderId="2325" xfId="0" applyNumberFormat="1" applyFont="1" applyBorder="1" applyAlignment="1">
      <alignment horizontal="right"/>
    </xf>
    <xf numFmtId="169" fontId="2523" fillId="0" borderId="2325" xfId="0" applyNumberFormat="1" applyFont="1" applyBorder="1" applyAlignment="1">
      <alignment horizontal="right"/>
    </xf>
    <xf numFmtId="169" fontId="2524" fillId="0" borderId="2325" xfId="0" applyNumberFormat="1" applyFont="1" applyBorder="1" applyAlignment="1">
      <alignment horizontal="right"/>
    </xf>
    <xf numFmtId="169" fontId="2525" fillId="0" borderId="2325" xfId="0" applyNumberFormat="1" applyFont="1" applyBorder="1" applyAlignment="1">
      <alignment horizontal="right"/>
    </xf>
    <xf numFmtId="169" fontId="2526" fillId="0" borderId="2325" xfId="0" applyNumberFormat="1" applyFont="1" applyBorder="1" applyAlignment="1">
      <alignment horizontal="right"/>
    </xf>
    <xf numFmtId="169" fontId="2527" fillId="0" borderId="2325" xfId="0" applyNumberFormat="1" applyFont="1" applyBorder="1" applyAlignment="1">
      <alignment horizontal="right"/>
    </xf>
    <xf numFmtId="169" fontId="2528" fillId="0" borderId="2325" xfId="0" applyNumberFormat="1" applyFont="1" applyBorder="1" applyAlignment="1">
      <alignment horizontal="right"/>
    </xf>
    <xf numFmtId="169" fontId="2529" fillId="0" borderId="2325" xfId="0" applyNumberFormat="1" applyFont="1" applyBorder="1" applyAlignment="1">
      <alignment horizontal="right"/>
    </xf>
    <xf numFmtId="169" fontId="2530" fillId="0" borderId="2325" xfId="0" applyNumberFormat="1" applyFont="1" applyBorder="1" applyAlignment="1">
      <alignment horizontal="right"/>
    </xf>
    <xf numFmtId="169" fontId="2531" fillId="0" borderId="2325" xfId="0" applyNumberFormat="1" applyFont="1" applyBorder="1" applyAlignment="1">
      <alignment horizontal="right"/>
    </xf>
    <xf numFmtId="169" fontId="2532" fillId="0" borderId="2325" xfId="0" applyNumberFormat="1" applyFont="1" applyBorder="1" applyAlignment="1">
      <alignment horizontal="right"/>
    </xf>
    <xf numFmtId="169" fontId="2533" fillId="0" borderId="2325" xfId="0" applyNumberFormat="1" applyFont="1" applyBorder="1" applyAlignment="1">
      <alignment horizontal="right"/>
    </xf>
    <xf numFmtId="169" fontId="2534" fillId="0" borderId="2325" xfId="0" applyNumberFormat="1" applyFont="1" applyBorder="1" applyAlignment="1">
      <alignment horizontal="right"/>
    </xf>
    <xf numFmtId="169" fontId="2535" fillId="0" borderId="2325" xfId="0" applyNumberFormat="1" applyFont="1" applyBorder="1" applyAlignment="1">
      <alignment horizontal="right"/>
    </xf>
    <xf numFmtId="169" fontId="2536" fillId="0" borderId="2325" xfId="0" applyNumberFormat="1" applyFont="1" applyBorder="1" applyAlignment="1">
      <alignment horizontal="right"/>
    </xf>
    <xf numFmtId="169" fontId="2537" fillId="0" borderId="2325" xfId="0" applyNumberFormat="1" applyFont="1" applyBorder="1" applyAlignment="1">
      <alignment horizontal="right"/>
    </xf>
    <xf numFmtId="169" fontId="2538" fillId="0" borderId="2325" xfId="0" applyNumberFormat="1" applyFont="1" applyBorder="1" applyAlignment="1">
      <alignment horizontal="right"/>
    </xf>
    <xf numFmtId="0" fontId="2539" fillId="0" borderId="2325" xfId="0" applyFont="1" applyBorder="1" applyAlignment="1">
      <alignment horizontal="center"/>
    </xf>
    <xf numFmtId="0" fontId="2540" fillId="0" borderId="2325" xfId="0" applyFont="1" applyBorder="1" applyAlignment="1">
      <alignment horizontal="right"/>
    </xf>
    <xf numFmtId="0" fontId="2541" fillId="0" borderId="2325" xfId="0" applyFont="1" applyBorder="1"/>
    <xf numFmtId="169" fontId="2542" fillId="0" borderId="2325" xfId="0" applyNumberFormat="1" applyFont="1" applyBorder="1" applyAlignment="1">
      <alignment horizontal="right"/>
    </xf>
    <xf numFmtId="169" fontId="2543" fillId="0" borderId="2325" xfId="0" applyNumberFormat="1" applyFont="1" applyBorder="1" applyAlignment="1">
      <alignment horizontal="right"/>
    </xf>
    <xf numFmtId="169" fontId="2544" fillId="0" borderId="2325" xfId="0" applyNumberFormat="1" applyFont="1" applyBorder="1" applyAlignment="1">
      <alignment horizontal="right"/>
    </xf>
    <xf numFmtId="169" fontId="2545" fillId="0" borderId="2325" xfId="0" applyNumberFormat="1" applyFont="1" applyBorder="1" applyAlignment="1">
      <alignment horizontal="right"/>
    </xf>
    <xf numFmtId="169" fontId="2546" fillId="0" borderId="2325" xfId="0" applyNumberFormat="1" applyFont="1" applyBorder="1" applyAlignment="1">
      <alignment horizontal="right"/>
    </xf>
    <xf numFmtId="169" fontId="2547" fillId="0" borderId="2325" xfId="0" applyNumberFormat="1" applyFont="1" applyBorder="1" applyAlignment="1">
      <alignment horizontal="right"/>
    </xf>
    <xf numFmtId="169" fontId="2548" fillId="0" borderId="2325" xfId="0" applyNumberFormat="1" applyFont="1" applyBorder="1" applyAlignment="1">
      <alignment horizontal="right"/>
    </xf>
    <xf numFmtId="169" fontId="2549" fillId="0" borderId="2325" xfId="0" applyNumberFormat="1" applyFont="1" applyBorder="1" applyAlignment="1">
      <alignment horizontal="right"/>
    </xf>
    <xf numFmtId="169" fontId="2550" fillId="0" borderId="2325" xfId="0" applyNumberFormat="1" applyFont="1" applyBorder="1" applyAlignment="1">
      <alignment horizontal="right"/>
    </xf>
    <xf numFmtId="169" fontId="2551" fillId="0" borderId="2325" xfId="0" applyNumberFormat="1" applyFont="1" applyBorder="1" applyAlignment="1">
      <alignment horizontal="right"/>
    </xf>
    <xf numFmtId="169" fontId="2552" fillId="0" borderId="2325" xfId="0" applyNumberFormat="1" applyFont="1" applyBorder="1" applyAlignment="1">
      <alignment horizontal="right"/>
    </xf>
    <xf numFmtId="169" fontId="2553" fillId="0" borderId="2325" xfId="0" applyNumberFormat="1" applyFont="1" applyBorder="1" applyAlignment="1">
      <alignment horizontal="right"/>
    </xf>
    <xf numFmtId="169" fontId="2554" fillId="0" borderId="2325" xfId="0" applyNumberFormat="1" applyFont="1" applyBorder="1" applyAlignment="1">
      <alignment horizontal="right"/>
    </xf>
    <xf numFmtId="169" fontId="2555" fillId="0" borderId="2325" xfId="0" applyNumberFormat="1" applyFont="1" applyBorder="1" applyAlignment="1">
      <alignment horizontal="right"/>
    </xf>
    <xf numFmtId="169" fontId="2556" fillId="0" borderId="2325" xfId="0" applyNumberFormat="1" applyFont="1" applyBorder="1" applyAlignment="1">
      <alignment horizontal="right"/>
    </xf>
    <xf numFmtId="169" fontId="2557" fillId="0" borderId="2325" xfId="0" applyNumberFormat="1" applyFont="1" applyBorder="1" applyAlignment="1">
      <alignment horizontal="right"/>
    </xf>
    <xf numFmtId="0" fontId="2558" fillId="0" borderId="2325" xfId="0" applyFont="1" applyBorder="1" applyAlignment="1">
      <alignment horizontal="center"/>
    </xf>
    <xf numFmtId="0" fontId="2559" fillId="0" borderId="2325" xfId="0" applyFont="1" applyBorder="1" applyAlignment="1">
      <alignment horizontal="right"/>
    </xf>
    <xf numFmtId="0" fontId="2560" fillId="0" borderId="2325" xfId="0" applyFont="1" applyBorder="1"/>
    <xf numFmtId="169" fontId="2561" fillId="0" borderId="2325" xfId="0" applyNumberFormat="1" applyFont="1" applyBorder="1" applyAlignment="1">
      <alignment horizontal="right"/>
    </xf>
    <xf numFmtId="169" fontId="2562" fillId="0" borderId="2325" xfId="0" applyNumberFormat="1" applyFont="1" applyBorder="1" applyAlignment="1">
      <alignment horizontal="right"/>
    </xf>
    <xf numFmtId="169" fontId="2563" fillId="0" borderId="2325" xfId="0" applyNumberFormat="1" applyFont="1" applyBorder="1" applyAlignment="1">
      <alignment horizontal="right"/>
    </xf>
    <xf numFmtId="169" fontId="2564" fillId="0" borderId="2325" xfId="0" applyNumberFormat="1" applyFont="1" applyBorder="1" applyAlignment="1">
      <alignment horizontal="right"/>
    </xf>
    <xf numFmtId="169" fontId="2565" fillId="0" borderId="2325" xfId="0" applyNumberFormat="1" applyFont="1" applyBorder="1" applyAlignment="1">
      <alignment horizontal="right"/>
    </xf>
    <xf numFmtId="169" fontId="2566" fillId="0" borderId="2325" xfId="0" applyNumberFormat="1" applyFont="1" applyBorder="1" applyAlignment="1">
      <alignment horizontal="right"/>
    </xf>
    <xf numFmtId="169" fontId="2567" fillId="0" borderId="2325" xfId="0" applyNumberFormat="1" applyFont="1" applyBorder="1" applyAlignment="1">
      <alignment horizontal="right"/>
    </xf>
    <xf numFmtId="169" fontId="2568" fillId="0" borderId="2325" xfId="0" applyNumberFormat="1" applyFont="1" applyBorder="1" applyAlignment="1">
      <alignment horizontal="right"/>
    </xf>
    <xf numFmtId="169" fontId="2569" fillId="0" borderId="2325" xfId="0" applyNumberFormat="1" applyFont="1" applyBorder="1" applyAlignment="1">
      <alignment horizontal="right"/>
    </xf>
    <xf numFmtId="169" fontId="2570" fillId="0" borderId="2325" xfId="0" applyNumberFormat="1" applyFont="1" applyBorder="1" applyAlignment="1">
      <alignment horizontal="right"/>
    </xf>
    <xf numFmtId="169" fontId="2571" fillId="0" borderId="2325" xfId="0" applyNumberFormat="1" applyFont="1" applyBorder="1" applyAlignment="1">
      <alignment horizontal="right"/>
    </xf>
    <xf numFmtId="169" fontId="2572" fillId="0" borderId="2325" xfId="0" applyNumberFormat="1" applyFont="1" applyBorder="1" applyAlignment="1">
      <alignment horizontal="right"/>
    </xf>
    <xf numFmtId="169" fontId="2573" fillId="0" borderId="2325" xfId="0" applyNumberFormat="1" applyFont="1" applyBorder="1" applyAlignment="1">
      <alignment horizontal="right"/>
    </xf>
    <xf numFmtId="0" fontId="2574" fillId="0" borderId="2325" xfId="0" applyFont="1" applyBorder="1"/>
    <xf numFmtId="169" fontId="2575" fillId="0" borderId="2325" xfId="0" applyNumberFormat="1" applyFont="1" applyBorder="1" applyAlignment="1">
      <alignment horizontal="right"/>
    </xf>
    <xf numFmtId="169" fontId="2576" fillId="0" borderId="2325" xfId="0" applyNumberFormat="1" applyFont="1" applyBorder="1" applyAlignment="1">
      <alignment horizontal="right"/>
    </xf>
    <xf numFmtId="169" fontId="2577" fillId="0" borderId="2325" xfId="0" applyNumberFormat="1" applyFont="1" applyBorder="1" applyAlignment="1">
      <alignment horizontal="right"/>
    </xf>
    <xf numFmtId="169" fontId="2578" fillId="0" borderId="2325" xfId="0" applyNumberFormat="1" applyFont="1" applyBorder="1" applyAlignment="1">
      <alignment horizontal="right"/>
    </xf>
    <xf numFmtId="169" fontId="2579" fillId="0" borderId="2325" xfId="0" applyNumberFormat="1" applyFont="1" applyBorder="1" applyAlignment="1">
      <alignment horizontal="right"/>
    </xf>
    <xf numFmtId="169" fontId="2580" fillId="0" borderId="2325" xfId="0" applyNumberFormat="1" applyFont="1" applyBorder="1" applyAlignment="1">
      <alignment horizontal="right"/>
    </xf>
    <xf numFmtId="169" fontId="2581" fillId="0" borderId="2325" xfId="0" applyNumberFormat="1" applyFont="1" applyBorder="1" applyAlignment="1">
      <alignment horizontal="right"/>
    </xf>
    <xf numFmtId="169" fontId="2582" fillId="0" borderId="2325" xfId="0" applyNumberFormat="1" applyFont="1" applyBorder="1" applyAlignment="1">
      <alignment horizontal="right"/>
    </xf>
    <xf numFmtId="169" fontId="2583" fillId="0" borderId="2325" xfId="0" applyNumberFormat="1" applyFont="1" applyBorder="1" applyAlignment="1">
      <alignment horizontal="right"/>
    </xf>
    <xf numFmtId="169" fontId="2584" fillId="0" borderId="2325" xfId="0" applyNumberFormat="1" applyFont="1" applyBorder="1" applyAlignment="1">
      <alignment horizontal="right"/>
    </xf>
    <xf numFmtId="169" fontId="2585" fillId="0" borderId="2325" xfId="0" applyNumberFormat="1" applyFont="1" applyBorder="1" applyAlignment="1">
      <alignment horizontal="right"/>
    </xf>
    <xf numFmtId="169" fontId="2586" fillId="0" borderId="2325" xfId="0" applyNumberFormat="1" applyFont="1" applyBorder="1" applyAlignment="1">
      <alignment horizontal="right"/>
    </xf>
    <xf numFmtId="169" fontId="2587" fillId="0" borderId="2325" xfId="0" applyNumberFormat="1" applyFont="1" applyBorder="1" applyAlignment="1">
      <alignment horizontal="right"/>
    </xf>
    <xf numFmtId="169" fontId="2588" fillId="0" borderId="2325" xfId="0" applyNumberFormat="1" applyFont="1" applyBorder="1" applyAlignment="1">
      <alignment horizontal="right"/>
    </xf>
    <xf numFmtId="169" fontId="2589" fillId="0" borderId="2326" xfId="0" applyNumberFormat="1" applyFont="1" applyBorder="1" applyAlignment="1">
      <alignment horizontal="right"/>
    </xf>
    <xf numFmtId="0" fontId="2590" fillId="0" borderId="2325" xfId="0" applyFont="1" applyBorder="1" applyAlignment="1">
      <alignment horizontal="center"/>
    </xf>
    <xf numFmtId="0" fontId="2591" fillId="0" borderId="2325" xfId="0" applyFont="1" applyBorder="1" applyAlignment="1">
      <alignment horizontal="right"/>
    </xf>
    <xf numFmtId="0" fontId="2592" fillId="0" borderId="2325" xfId="0" applyFont="1" applyBorder="1"/>
    <xf numFmtId="169" fontId="2593" fillId="0" borderId="2325" xfId="0" applyNumberFormat="1" applyFont="1" applyBorder="1" applyAlignment="1">
      <alignment horizontal="right"/>
    </xf>
    <xf numFmtId="169" fontId="2594" fillId="0" borderId="2325" xfId="0" applyNumberFormat="1" applyFont="1" applyBorder="1" applyAlignment="1">
      <alignment horizontal="right"/>
    </xf>
    <xf numFmtId="169" fontId="2595" fillId="0" borderId="2325" xfId="0" applyNumberFormat="1" applyFont="1" applyBorder="1" applyAlignment="1">
      <alignment horizontal="right"/>
    </xf>
    <xf numFmtId="169" fontId="2596" fillId="0" borderId="2325" xfId="0" applyNumberFormat="1" applyFont="1" applyBorder="1" applyAlignment="1">
      <alignment horizontal="right"/>
    </xf>
    <xf numFmtId="169" fontId="2597" fillId="0" borderId="2325" xfId="0" applyNumberFormat="1" applyFont="1" applyBorder="1" applyAlignment="1">
      <alignment horizontal="right"/>
    </xf>
    <xf numFmtId="169" fontId="2598" fillId="0" borderId="2325" xfId="0" applyNumberFormat="1" applyFont="1" applyBorder="1" applyAlignment="1">
      <alignment horizontal="right"/>
    </xf>
    <xf numFmtId="169" fontId="2599" fillId="0" borderId="2325" xfId="0" applyNumberFormat="1" applyFont="1" applyBorder="1" applyAlignment="1">
      <alignment horizontal="right"/>
    </xf>
    <xf numFmtId="169" fontId="2600" fillId="0" borderId="2325" xfId="0" applyNumberFormat="1" applyFont="1" applyBorder="1" applyAlignment="1">
      <alignment horizontal="right"/>
    </xf>
    <xf numFmtId="169" fontId="2601" fillId="0" borderId="2325" xfId="0" applyNumberFormat="1" applyFont="1" applyBorder="1" applyAlignment="1">
      <alignment horizontal="right"/>
    </xf>
    <xf numFmtId="169" fontId="2602" fillId="0" borderId="2325" xfId="0" applyNumberFormat="1" applyFont="1" applyBorder="1" applyAlignment="1">
      <alignment horizontal="right"/>
    </xf>
    <xf numFmtId="169" fontId="2603" fillId="0" borderId="2325" xfId="0" applyNumberFormat="1" applyFont="1" applyBorder="1" applyAlignment="1">
      <alignment horizontal="right"/>
    </xf>
    <xf numFmtId="169" fontId="2604" fillId="0" borderId="2325" xfId="0" applyNumberFormat="1" applyFont="1" applyBorder="1" applyAlignment="1">
      <alignment horizontal="right"/>
    </xf>
    <xf numFmtId="169" fontId="2605" fillId="0" borderId="2325" xfId="0" applyNumberFormat="1" applyFont="1" applyBorder="1" applyAlignment="1">
      <alignment horizontal="right"/>
    </xf>
    <xf numFmtId="169" fontId="2606" fillId="0" borderId="2325" xfId="0" applyNumberFormat="1" applyFont="1" applyBorder="1" applyAlignment="1">
      <alignment horizontal="right"/>
    </xf>
    <xf numFmtId="169" fontId="2607" fillId="0" borderId="2325" xfId="0" applyNumberFormat="1" applyFont="1" applyBorder="1" applyAlignment="1">
      <alignment horizontal="right"/>
    </xf>
    <xf numFmtId="169" fontId="2608" fillId="0" borderId="2326" xfId="0" applyNumberFormat="1" applyFont="1" applyBorder="1" applyAlignment="1">
      <alignment horizontal="right"/>
    </xf>
    <xf numFmtId="0" fontId="2609" fillId="0" borderId="2325" xfId="0" applyFont="1" applyBorder="1" applyAlignment="1">
      <alignment horizontal="center"/>
    </xf>
    <xf numFmtId="0" fontId="2610" fillId="0" borderId="2325" xfId="0" applyFont="1" applyBorder="1" applyAlignment="1">
      <alignment horizontal="right"/>
    </xf>
    <xf numFmtId="0" fontId="2611" fillId="0" borderId="2325" xfId="0" applyFont="1" applyBorder="1"/>
    <xf numFmtId="169" fontId="2612" fillId="0" borderId="2325" xfId="0" applyNumberFormat="1" applyFont="1" applyBorder="1" applyAlignment="1">
      <alignment horizontal="right"/>
    </xf>
    <xf numFmtId="169" fontId="2613" fillId="0" borderId="2325" xfId="0" applyNumberFormat="1" applyFont="1" applyBorder="1" applyAlignment="1">
      <alignment horizontal="right"/>
    </xf>
    <xf numFmtId="169" fontId="2614" fillId="0" borderId="2325" xfId="0" applyNumberFormat="1" applyFont="1" applyBorder="1" applyAlignment="1">
      <alignment horizontal="right"/>
    </xf>
    <xf numFmtId="169" fontId="2615" fillId="0" borderId="2325" xfId="0" applyNumberFormat="1" applyFont="1" applyBorder="1" applyAlignment="1">
      <alignment horizontal="right"/>
    </xf>
    <xf numFmtId="169" fontId="2616" fillId="0" borderId="2325" xfId="0" applyNumberFormat="1" applyFont="1" applyBorder="1" applyAlignment="1">
      <alignment horizontal="right"/>
    </xf>
    <xf numFmtId="169" fontId="2617" fillId="0" borderId="2325" xfId="0" applyNumberFormat="1" applyFont="1" applyBorder="1" applyAlignment="1">
      <alignment horizontal="right"/>
    </xf>
    <xf numFmtId="169" fontId="2618" fillId="0" borderId="2325" xfId="0" applyNumberFormat="1" applyFont="1" applyBorder="1" applyAlignment="1">
      <alignment horizontal="right"/>
    </xf>
    <xf numFmtId="169" fontId="2619" fillId="0" borderId="2325" xfId="0" applyNumberFormat="1" applyFont="1" applyBorder="1" applyAlignment="1">
      <alignment horizontal="right"/>
    </xf>
    <xf numFmtId="169" fontId="2620" fillId="0" borderId="2325" xfId="0" applyNumberFormat="1" applyFont="1" applyBorder="1" applyAlignment="1">
      <alignment horizontal="right"/>
    </xf>
    <xf numFmtId="169" fontId="2621" fillId="0" borderId="2325" xfId="0" applyNumberFormat="1" applyFont="1" applyBorder="1" applyAlignment="1">
      <alignment horizontal="right"/>
    </xf>
    <xf numFmtId="169" fontId="2622" fillId="0" borderId="2325" xfId="0" applyNumberFormat="1" applyFont="1" applyBorder="1" applyAlignment="1">
      <alignment horizontal="right"/>
    </xf>
    <xf numFmtId="169" fontId="2623" fillId="0" borderId="2325" xfId="0" applyNumberFormat="1" applyFont="1" applyBorder="1" applyAlignment="1">
      <alignment horizontal="right"/>
    </xf>
    <xf numFmtId="169" fontId="2624" fillId="0" borderId="2325" xfId="0" applyNumberFormat="1" applyFont="1" applyBorder="1" applyAlignment="1">
      <alignment horizontal="right"/>
    </xf>
    <xf numFmtId="169" fontId="2625" fillId="0" borderId="2325" xfId="0" applyNumberFormat="1" applyFont="1" applyBorder="1" applyAlignment="1">
      <alignment horizontal="right"/>
    </xf>
    <xf numFmtId="169" fontId="2626" fillId="0" borderId="2325" xfId="0" applyNumberFormat="1" applyFont="1" applyBorder="1" applyAlignment="1">
      <alignment horizontal="right"/>
    </xf>
    <xf numFmtId="169" fontId="2627" fillId="0" borderId="2326" xfId="0" applyNumberFormat="1" applyFont="1" applyBorder="1" applyAlignment="1">
      <alignment horizontal="right"/>
    </xf>
    <xf numFmtId="0" fontId="2628" fillId="0" borderId="2325" xfId="0" applyFont="1" applyBorder="1" applyAlignment="1">
      <alignment horizontal="center"/>
    </xf>
    <xf numFmtId="0" fontId="2629" fillId="0" borderId="2325" xfId="0" applyFont="1" applyBorder="1" applyAlignment="1">
      <alignment horizontal="right"/>
    </xf>
    <xf numFmtId="0" fontId="2630" fillId="0" borderId="2325" xfId="0" applyFont="1" applyBorder="1"/>
    <xf numFmtId="169" fontId="2631" fillId="0" borderId="2325" xfId="0" applyNumberFormat="1" applyFont="1" applyBorder="1" applyAlignment="1">
      <alignment horizontal="right"/>
    </xf>
    <xf numFmtId="169" fontId="2632" fillId="0" borderId="2325" xfId="0" applyNumberFormat="1" applyFont="1" applyBorder="1" applyAlignment="1">
      <alignment horizontal="right"/>
    </xf>
    <xf numFmtId="169" fontId="2633" fillId="0" borderId="2325" xfId="0" applyNumberFormat="1" applyFont="1" applyBorder="1" applyAlignment="1">
      <alignment horizontal="right"/>
    </xf>
    <xf numFmtId="169" fontId="2634" fillId="0" borderId="2325" xfId="0" applyNumberFormat="1" applyFont="1" applyBorder="1" applyAlignment="1">
      <alignment horizontal="right"/>
    </xf>
    <xf numFmtId="169" fontId="2635" fillId="0" borderId="2325" xfId="0" applyNumberFormat="1" applyFont="1" applyBorder="1" applyAlignment="1">
      <alignment horizontal="right"/>
    </xf>
    <xf numFmtId="169" fontId="2636" fillId="0" borderId="2325" xfId="0" applyNumberFormat="1" applyFont="1" applyBorder="1" applyAlignment="1">
      <alignment horizontal="right"/>
    </xf>
    <xf numFmtId="169" fontId="2637" fillId="0" borderId="2325" xfId="0" applyNumberFormat="1" applyFont="1" applyBorder="1" applyAlignment="1">
      <alignment horizontal="right"/>
    </xf>
    <xf numFmtId="169" fontId="2638" fillId="0" borderId="2325" xfId="0" applyNumberFormat="1" applyFont="1" applyBorder="1" applyAlignment="1">
      <alignment horizontal="right"/>
    </xf>
    <xf numFmtId="169" fontId="2639" fillId="0" borderId="2325" xfId="0" applyNumberFormat="1" applyFont="1" applyBorder="1" applyAlignment="1">
      <alignment horizontal="right"/>
    </xf>
    <xf numFmtId="169" fontId="2640" fillId="0" borderId="2325" xfId="0" applyNumberFormat="1" applyFont="1" applyBorder="1" applyAlignment="1">
      <alignment horizontal="right"/>
    </xf>
    <xf numFmtId="169" fontId="2641" fillId="0" borderId="2325" xfId="0" applyNumberFormat="1" applyFont="1" applyBorder="1" applyAlignment="1">
      <alignment horizontal="right"/>
    </xf>
    <xf numFmtId="169" fontId="2642" fillId="0" borderId="2325" xfId="0" applyNumberFormat="1" applyFont="1" applyBorder="1" applyAlignment="1">
      <alignment horizontal="right"/>
    </xf>
    <xf numFmtId="169" fontId="2643" fillId="0" borderId="2325" xfId="0" applyNumberFormat="1" applyFont="1" applyBorder="1" applyAlignment="1">
      <alignment horizontal="right"/>
    </xf>
    <xf numFmtId="169" fontId="2644" fillId="0" borderId="2325" xfId="0" applyNumberFormat="1" applyFont="1" applyBorder="1" applyAlignment="1">
      <alignment horizontal="right"/>
    </xf>
    <xf numFmtId="169" fontId="2645" fillId="0" borderId="2325" xfId="0" applyNumberFormat="1" applyFont="1" applyBorder="1" applyAlignment="1">
      <alignment horizontal="right"/>
    </xf>
    <xf numFmtId="169" fontId="2646" fillId="0" borderId="2326" xfId="0" applyNumberFormat="1" applyFont="1" applyBorder="1" applyAlignment="1">
      <alignment horizontal="right"/>
    </xf>
    <xf numFmtId="0" fontId="2647" fillId="0" borderId="2325" xfId="0" applyFont="1" applyBorder="1" applyAlignment="1">
      <alignment horizontal="center"/>
    </xf>
    <xf numFmtId="0" fontId="2648" fillId="0" borderId="2325" xfId="0" applyFont="1" applyBorder="1" applyAlignment="1">
      <alignment horizontal="right"/>
    </xf>
    <xf numFmtId="0" fontId="2649" fillId="0" borderId="2325" xfId="0" applyFont="1" applyBorder="1"/>
    <xf numFmtId="169" fontId="2650" fillId="0" borderId="2325" xfId="0" applyNumberFormat="1" applyFont="1" applyBorder="1" applyAlignment="1">
      <alignment horizontal="right"/>
    </xf>
    <xf numFmtId="169" fontId="2651" fillId="0" borderId="2325" xfId="0" applyNumberFormat="1" applyFont="1" applyBorder="1" applyAlignment="1">
      <alignment horizontal="right"/>
    </xf>
    <xf numFmtId="169" fontId="2652" fillId="0" borderId="2325" xfId="0" applyNumberFormat="1" applyFont="1" applyBorder="1" applyAlignment="1">
      <alignment horizontal="right"/>
    </xf>
    <xf numFmtId="169" fontId="2653" fillId="0" borderId="2325" xfId="0" applyNumberFormat="1" applyFont="1" applyBorder="1" applyAlignment="1">
      <alignment horizontal="right"/>
    </xf>
    <xf numFmtId="169" fontId="2654" fillId="0" borderId="2325" xfId="0" applyNumberFormat="1" applyFont="1" applyBorder="1" applyAlignment="1">
      <alignment horizontal="right"/>
    </xf>
    <xf numFmtId="169" fontId="2655" fillId="0" borderId="2325" xfId="0" applyNumberFormat="1" applyFont="1" applyBorder="1" applyAlignment="1">
      <alignment horizontal="right"/>
    </xf>
    <xf numFmtId="169" fontId="2656" fillId="0" borderId="2325" xfId="0" applyNumberFormat="1" applyFont="1" applyBorder="1" applyAlignment="1">
      <alignment horizontal="right"/>
    </xf>
    <xf numFmtId="169" fontId="2657" fillId="0" borderId="2325" xfId="0" applyNumberFormat="1" applyFont="1" applyBorder="1" applyAlignment="1">
      <alignment horizontal="right"/>
    </xf>
    <xf numFmtId="169" fontId="2658" fillId="0" borderId="2325" xfId="0" applyNumberFormat="1" applyFont="1" applyBorder="1" applyAlignment="1">
      <alignment horizontal="right"/>
    </xf>
    <xf numFmtId="169" fontId="2659" fillId="0" borderId="2325" xfId="0" applyNumberFormat="1" applyFont="1" applyBorder="1" applyAlignment="1">
      <alignment horizontal="right"/>
    </xf>
    <xf numFmtId="169" fontId="2660" fillId="0" borderId="2325" xfId="0" applyNumberFormat="1" applyFont="1" applyBorder="1" applyAlignment="1">
      <alignment horizontal="right"/>
    </xf>
    <xf numFmtId="169" fontId="2661" fillId="0" borderId="2325" xfId="0" applyNumberFormat="1" applyFont="1" applyBorder="1" applyAlignment="1">
      <alignment horizontal="right"/>
    </xf>
    <xf numFmtId="169" fontId="2662" fillId="0" borderId="2325" xfId="0" applyNumberFormat="1" applyFont="1" applyBorder="1" applyAlignment="1">
      <alignment horizontal="right"/>
    </xf>
    <xf numFmtId="169" fontId="2663" fillId="0" borderId="2325" xfId="0" applyNumberFormat="1" applyFont="1" applyBorder="1" applyAlignment="1">
      <alignment horizontal="right"/>
    </xf>
    <xf numFmtId="169" fontId="2664" fillId="0" borderId="2325" xfId="0" applyNumberFormat="1" applyFont="1" applyBorder="1" applyAlignment="1">
      <alignment horizontal="right"/>
    </xf>
    <xf numFmtId="169" fontId="2665" fillId="0" borderId="2326" xfId="0" applyNumberFormat="1" applyFont="1" applyBorder="1" applyAlignment="1">
      <alignment horizontal="right"/>
    </xf>
    <xf numFmtId="0" fontId="2666" fillId="0" borderId="2325" xfId="0" applyFont="1" applyBorder="1" applyAlignment="1">
      <alignment horizontal="center"/>
    </xf>
    <xf numFmtId="0" fontId="2667" fillId="0" borderId="2325" xfId="0" applyFont="1" applyBorder="1" applyAlignment="1">
      <alignment horizontal="right"/>
    </xf>
    <xf numFmtId="0" fontId="2668" fillId="0" borderId="2325" xfId="0" applyFont="1" applyBorder="1"/>
    <xf numFmtId="169" fontId="2669" fillId="0" borderId="2325" xfId="0" applyNumberFormat="1" applyFont="1" applyBorder="1" applyAlignment="1">
      <alignment horizontal="right"/>
    </xf>
    <xf numFmtId="169" fontId="2670" fillId="0" borderId="2325" xfId="0" applyNumberFormat="1" applyFont="1" applyBorder="1" applyAlignment="1">
      <alignment horizontal="right"/>
    </xf>
    <xf numFmtId="169" fontId="2671" fillId="0" borderId="2325" xfId="0" applyNumberFormat="1" applyFont="1" applyBorder="1" applyAlignment="1">
      <alignment horizontal="right"/>
    </xf>
    <xf numFmtId="169" fontId="2672" fillId="0" borderId="2325" xfId="0" applyNumberFormat="1" applyFont="1" applyBorder="1" applyAlignment="1">
      <alignment horizontal="right"/>
    </xf>
    <xf numFmtId="169" fontId="2673" fillId="0" borderId="2325" xfId="0" applyNumberFormat="1" applyFont="1" applyBorder="1" applyAlignment="1">
      <alignment horizontal="right"/>
    </xf>
    <xf numFmtId="169" fontId="2674" fillId="0" borderId="2325" xfId="0" applyNumberFormat="1" applyFont="1" applyBorder="1" applyAlignment="1">
      <alignment horizontal="right"/>
    </xf>
    <xf numFmtId="169" fontId="2675" fillId="0" borderId="2325" xfId="0" applyNumberFormat="1" applyFont="1" applyBorder="1" applyAlignment="1">
      <alignment horizontal="right"/>
    </xf>
    <xf numFmtId="169" fontId="2676" fillId="0" borderId="2325" xfId="0" applyNumberFormat="1" applyFont="1" applyBorder="1" applyAlignment="1">
      <alignment horizontal="right"/>
    </xf>
    <xf numFmtId="169" fontId="2677" fillId="0" borderId="2325" xfId="0" applyNumberFormat="1" applyFont="1" applyBorder="1" applyAlignment="1">
      <alignment horizontal="right"/>
    </xf>
    <xf numFmtId="169" fontId="2678" fillId="0" borderId="2325" xfId="0" applyNumberFormat="1" applyFont="1" applyBorder="1" applyAlignment="1">
      <alignment horizontal="right"/>
    </xf>
    <xf numFmtId="169" fontId="2679" fillId="0" borderId="2325" xfId="0" applyNumberFormat="1" applyFont="1" applyBorder="1" applyAlignment="1">
      <alignment horizontal="right"/>
    </xf>
    <xf numFmtId="169" fontId="2680" fillId="0" borderId="2325" xfId="0" applyNumberFormat="1" applyFont="1" applyBorder="1" applyAlignment="1">
      <alignment horizontal="right"/>
    </xf>
    <xf numFmtId="169" fontId="2681" fillId="0" borderId="2325" xfId="0" applyNumberFormat="1" applyFont="1" applyBorder="1" applyAlignment="1">
      <alignment horizontal="right"/>
    </xf>
    <xf numFmtId="169" fontId="2682" fillId="0" borderId="2325" xfId="0" applyNumberFormat="1" applyFont="1" applyBorder="1" applyAlignment="1">
      <alignment horizontal="right"/>
    </xf>
    <xf numFmtId="169" fontId="2683" fillId="0" borderId="2325" xfId="0" applyNumberFormat="1" applyFont="1" applyBorder="1" applyAlignment="1">
      <alignment horizontal="right"/>
    </xf>
    <xf numFmtId="169" fontId="2684" fillId="0" borderId="2325" xfId="0" applyNumberFormat="1" applyFont="1" applyBorder="1" applyAlignment="1">
      <alignment horizontal="right"/>
    </xf>
    <xf numFmtId="169" fontId="2685" fillId="0" borderId="2326" xfId="0" applyNumberFormat="1" applyFont="1" applyBorder="1" applyAlignment="1">
      <alignment horizontal="center"/>
    </xf>
    <xf numFmtId="0" fontId="2686" fillId="0" borderId="2325" xfId="0" applyFont="1" applyBorder="1" applyAlignment="1">
      <alignment horizontal="right"/>
    </xf>
    <xf numFmtId="0" fontId="2687" fillId="0" borderId="2325" xfId="0" applyFont="1" applyBorder="1"/>
    <xf numFmtId="169" fontId="2688" fillId="0" borderId="2325" xfId="0" applyNumberFormat="1" applyFont="1" applyBorder="1" applyAlignment="1">
      <alignment horizontal="right"/>
    </xf>
    <xf numFmtId="169" fontId="2689" fillId="0" borderId="2325" xfId="0" applyNumberFormat="1" applyFont="1" applyBorder="1" applyAlignment="1">
      <alignment horizontal="right"/>
    </xf>
    <xf numFmtId="169" fontId="2690" fillId="0" borderId="2325" xfId="0" applyNumberFormat="1" applyFont="1" applyBorder="1" applyAlignment="1">
      <alignment horizontal="right"/>
    </xf>
    <xf numFmtId="169" fontId="2691" fillId="0" borderId="2325" xfId="0" applyNumberFormat="1" applyFont="1" applyBorder="1" applyAlignment="1">
      <alignment horizontal="right"/>
    </xf>
    <xf numFmtId="169" fontId="2692" fillId="0" borderId="2325" xfId="0" applyNumberFormat="1" applyFont="1" applyBorder="1" applyAlignment="1">
      <alignment horizontal="right"/>
    </xf>
    <xf numFmtId="169" fontId="2693" fillId="0" borderId="2325" xfId="0" applyNumberFormat="1" applyFont="1" applyBorder="1" applyAlignment="1">
      <alignment horizontal="right"/>
    </xf>
    <xf numFmtId="169" fontId="2694" fillId="0" borderId="2325" xfId="0" applyNumberFormat="1" applyFont="1" applyBorder="1" applyAlignment="1">
      <alignment horizontal="right"/>
    </xf>
    <xf numFmtId="169" fontId="2695" fillId="0" borderId="2325" xfId="0" applyNumberFormat="1" applyFont="1" applyBorder="1" applyAlignment="1">
      <alignment horizontal="right"/>
    </xf>
    <xf numFmtId="169" fontId="2696" fillId="0" borderId="2325" xfId="0" applyNumberFormat="1" applyFont="1" applyBorder="1" applyAlignment="1">
      <alignment horizontal="right"/>
    </xf>
    <xf numFmtId="169" fontId="2697" fillId="0" borderId="2325" xfId="0" applyNumberFormat="1" applyFont="1" applyBorder="1" applyAlignment="1">
      <alignment horizontal="right"/>
    </xf>
    <xf numFmtId="169" fontId="2698" fillId="0" borderId="2325" xfId="0" applyNumberFormat="1" applyFont="1" applyBorder="1" applyAlignment="1">
      <alignment horizontal="right"/>
    </xf>
    <xf numFmtId="169" fontId="2699" fillId="0" borderId="2325" xfId="0" applyNumberFormat="1" applyFont="1" applyBorder="1" applyAlignment="1">
      <alignment horizontal="right"/>
    </xf>
    <xf numFmtId="169" fontId="2700" fillId="0" borderId="2325" xfId="0" applyNumberFormat="1" applyFont="1" applyBorder="1" applyAlignment="1">
      <alignment horizontal="right"/>
    </xf>
    <xf numFmtId="169" fontId="2701" fillId="0" borderId="2325" xfId="0" applyNumberFormat="1" applyFont="1" applyBorder="1" applyAlignment="1">
      <alignment horizontal="right"/>
    </xf>
    <xf numFmtId="169" fontId="2702" fillId="0" borderId="2325" xfId="0" applyNumberFormat="1" applyFont="1" applyBorder="1" applyAlignment="1">
      <alignment horizontal="right"/>
    </xf>
    <xf numFmtId="169" fontId="2703" fillId="0" borderId="2325" xfId="0" applyNumberFormat="1" applyFont="1" applyBorder="1" applyAlignment="1">
      <alignment horizontal="right"/>
    </xf>
    <xf numFmtId="169" fontId="2704" fillId="0" borderId="2326" xfId="0" applyNumberFormat="1" applyFont="1" applyBorder="1" applyAlignment="1">
      <alignment horizontal="center"/>
    </xf>
    <xf numFmtId="0" fontId="2705" fillId="0" borderId="2325" xfId="0" applyFont="1" applyBorder="1" applyAlignment="1">
      <alignment horizontal="right"/>
    </xf>
    <xf numFmtId="0" fontId="2706" fillId="0" borderId="2325" xfId="0" applyFont="1" applyBorder="1"/>
    <xf numFmtId="169" fontId="2707" fillId="0" borderId="2325" xfId="0" applyNumberFormat="1" applyFont="1" applyBorder="1" applyAlignment="1">
      <alignment horizontal="right"/>
    </xf>
    <xf numFmtId="169" fontId="2708" fillId="0" borderId="2325" xfId="0" applyNumberFormat="1" applyFont="1" applyBorder="1" applyAlignment="1">
      <alignment horizontal="right"/>
    </xf>
    <xf numFmtId="169" fontId="2709" fillId="0" borderId="2325" xfId="0" applyNumberFormat="1" applyFont="1" applyBorder="1" applyAlignment="1">
      <alignment horizontal="right"/>
    </xf>
    <xf numFmtId="169" fontId="2710" fillId="0" borderId="2325" xfId="0" applyNumberFormat="1" applyFont="1" applyBorder="1" applyAlignment="1">
      <alignment horizontal="right"/>
    </xf>
    <xf numFmtId="169" fontId="2711" fillId="0" borderId="2325" xfId="0" applyNumberFormat="1" applyFont="1" applyBorder="1" applyAlignment="1">
      <alignment horizontal="right"/>
    </xf>
    <xf numFmtId="169" fontId="2712" fillId="0" borderId="2325" xfId="0" applyNumberFormat="1" applyFont="1" applyBorder="1" applyAlignment="1">
      <alignment horizontal="right"/>
    </xf>
    <xf numFmtId="169" fontId="2713" fillId="0" borderId="2325" xfId="0" applyNumberFormat="1" applyFont="1" applyBorder="1" applyAlignment="1">
      <alignment horizontal="right"/>
    </xf>
    <xf numFmtId="169" fontId="2714" fillId="0" borderId="2325" xfId="0" applyNumberFormat="1" applyFont="1" applyBorder="1" applyAlignment="1">
      <alignment horizontal="right"/>
    </xf>
    <xf numFmtId="169" fontId="2715" fillId="0" borderId="2325" xfId="0" applyNumberFormat="1" applyFont="1" applyBorder="1" applyAlignment="1">
      <alignment horizontal="right"/>
    </xf>
    <xf numFmtId="169" fontId="2716" fillId="0" borderId="2325" xfId="0" applyNumberFormat="1" applyFont="1" applyBorder="1" applyAlignment="1">
      <alignment horizontal="right"/>
    </xf>
    <xf numFmtId="169" fontId="2717" fillId="0" borderId="2326" xfId="0" applyNumberFormat="1" applyFont="1" applyBorder="1" applyAlignment="1">
      <alignment horizontal="right"/>
    </xf>
    <xf numFmtId="0" fontId="2718" fillId="0" borderId="2325" xfId="0" applyFont="1" applyBorder="1" applyAlignment="1">
      <alignment horizontal="center"/>
    </xf>
    <xf numFmtId="0" fontId="2719" fillId="0" borderId="2325" xfId="0" applyFont="1" applyBorder="1" applyAlignment="1">
      <alignment horizontal="right"/>
    </xf>
    <xf numFmtId="0" fontId="2720" fillId="0" borderId="2325" xfId="0" applyFont="1" applyBorder="1"/>
    <xf numFmtId="169" fontId="2721" fillId="0" borderId="2325" xfId="0" applyNumberFormat="1" applyFont="1" applyBorder="1" applyAlignment="1">
      <alignment horizontal="right"/>
    </xf>
    <xf numFmtId="169" fontId="2722" fillId="0" borderId="2325" xfId="0" applyNumberFormat="1" applyFont="1" applyBorder="1" applyAlignment="1">
      <alignment horizontal="right"/>
    </xf>
    <xf numFmtId="169" fontId="2723" fillId="0" borderId="2325" xfId="0" applyNumberFormat="1" applyFont="1" applyBorder="1" applyAlignment="1">
      <alignment horizontal="right"/>
    </xf>
    <xf numFmtId="169" fontId="2724" fillId="0" borderId="2325" xfId="0" applyNumberFormat="1" applyFont="1" applyBorder="1" applyAlignment="1">
      <alignment horizontal="right"/>
    </xf>
    <xf numFmtId="169" fontId="2725" fillId="0" borderId="2325" xfId="0" applyNumberFormat="1" applyFont="1" applyBorder="1" applyAlignment="1">
      <alignment horizontal="right"/>
    </xf>
    <xf numFmtId="169" fontId="2726" fillId="0" borderId="2325" xfId="0" applyNumberFormat="1" applyFont="1" applyBorder="1" applyAlignment="1">
      <alignment horizontal="right"/>
    </xf>
    <xf numFmtId="169" fontId="2727" fillId="0" borderId="2325" xfId="0" applyNumberFormat="1" applyFont="1" applyBorder="1" applyAlignment="1">
      <alignment horizontal="right"/>
    </xf>
    <xf numFmtId="169" fontId="2728" fillId="0" borderId="2325" xfId="0" applyNumberFormat="1" applyFont="1" applyBorder="1" applyAlignment="1">
      <alignment horizontal="right"/>
    </xf>
    <xf numFmtId="169" fontId="2729" fillId="0" borderId="2325" xfId="0" applyNumberFormat="1" applyFont="1" applyBorder="1" applyAlignment="1">
      <alignment horizontal="right"/>
    </xf>
    <xf numFmtId="169" fontId="2730" fillId="0" borderId="2325" xfId="0" applyNumberFormat="1" applyFont="1" applyBorder="1" applyAlignment="1">
      <alignment horizontal="right"/>
    </xf>
    <xf numFmtId="169" fontId="2731" fillId="0" borderId="2325" xfId="0" applyNumberFormat="1" applyFont="1" applyBorder="1" applyAlignment="1">
      <alignment horizontal="right"/>
    </xf>
    <xf numFmtId="169" fontId="2732" fillId="0" borderId="2325" xfId="0" applyNumberFormat="1" applyFont="1" applyBorder="1" applyAlignment="1">
      <alignment horizontal="right"/>
    </xf>
    <xf numFmtId="169" fontId="2733" fillId="0" borderId="2325" xfId="0" applyNumberFormat="1" applyFont="1" applyBorder="1" applyAlignment="1">
      <alignment horizontal="right"/>
    </xf>
    <xf numFmtId="169" fontId="2734" fillId="0" borderId="2325" xfId="0" applyNumberFormat="1" applyFont="1" applyBorder="1" applyAlignment="1">
      <alignment horizontal="right"/>
    </xf>
    <xf numFmtId="169" fontId="2735" fillId="0" borderId="2325" xfId="0" applyNumberFormat="1" applyFont="1" applyBorder="1" applyAlignment="1">
      <alignment horizontal="right"/>
    </xf>
    <xf numFmtId="169" fontId="2736" fillId="0" borderId="2325" xfId="0" applyNumberFormat="1" applyFont="1" applyBorder="1" applyAlignment="1">
      <alignment horizontal="right"/>
    </xf>
    <xf numFmtId="169" fontId="2737" fillId="0" borderId="2326" xfId="0" applyNumberFormat="1" applyFont="1" applyBorder="1" applyAlignment="1">
      <alignment horizontal="center"/>
    </xf>
    <xf numFmtId="0" fontId="2738" fillId="0" borderId="2325" xfId="0" applyFont="1" applyBorder="1" applyAlignment="1">
      <alignment horizontal="right"/>
    </xf>
    <xf numFmtId="0" fontId="2739" fillId="0" borderId="2325" xfId="0" applyFont="1" applyBorder="1"/>
    <xf numFmtId="169" fontId="2740" fillId="0" borderId="2325" xfId="0" applyNumberFormat="1" applyFont="1" applyBorder="1" applyAlignment="1">
      <alignment horizontal="right"/>
    </xf>
    <xf numFmtId="169" fontId="2741" fillId="0" borderId="2325" xfId="0" applyNumberFormat="1" applyFont="1" applyBorder="1" applyAlignment="1">
      <alignment horizontal="right"/>
    </xf>
    <xf numFmtId="169" fontId="2742" fillId="0" borderId="2325" xfId="0" applyNumberFormat="1" applyFont="1" applyBorder="1" applyAlignment="1">
      <alignment horizontal="right"/>
    </xf>
    <xf numFmtId="169" fontId="2743" fillId="0" borderId="2325" xfId="0" applyNumberFormat="1" applyFont="1" applyBorder="1" applyAlignment="1">
      <alignment horizontal="right"/>
    </xf>
    <xf numFmtId="169" fontId="2744" fillId="0" borderId="2325" xfId="0" applyNumberFormat="1" applyFont="1" applyBorder="1" applyAlignment="1">
      <alignment horizontal="right"/>
    </xf>
    <xf numFmtId="169" fontId="2745" fillId="0" borderId="2325" xfId="0" applyNumberFormat="1" applyFont="1" applyBorder="1" applyAlignment="1">
      <alignment horizontal="right"/>
    </xf>
    <xf numFmtId="169" fontId="2746" fillId="0" borderId="2325" xfId="0" applyNumberFormat="1" applyFont="1" applyBorder="1" applyAlignment="1">
      <alignment horizontal="right"/>
    </xf>
    <xf numFmtId="169" fontId="2747" fillId="0" borderId="2325" xfId="0" applyNumberFormat="1" applyFont="1" applyBorder="1" applyAlignment="1">
      <alignment horizontal="right"/>
    </xf>
    <xf numFmtId="169" fontId="2748" fillId="0" borderId="2325" xfId="0" applyNumberFormat="1" applyFont="1" applyBorder="1" applyAlignment="1">
      <alignment horizontal="right"/>
    </xf>
    <xf numFmtId="169" fontId="2749" fillId="0" borderId="2325" xfId="0" applyNumberFormat="1" applyFont="1" applyBorder="1" applyAlignment="1">
      <alignment horizontal="right"/>
    </xf>
    <xf numFmtId="169" fontId="2750" fillId="0" borderId="2325" xfId="0" applyNumberFormat="1" applyFont="1" applyBorder="1" applyAlignment="1">
      <alignment horizontal="right"/>
    </xf>
    <xf numFmtId="169" fontId="2751" fillId="0" borderId="2325" xfId="0" applyNumberFormat="1" applyFont="1" applyBorder="1" applyAlignment="1">
      <alignment horizontal="right"/>
    </xf>
    <xf numFmtId="169" fontId="2752" fillId="0" borderId="2325" xfId="0" applyNumberFormat="1" applyFont="1" applyBorder="1" applyAlignment="1">
      <alignment horizontal="right"/>
    </xf>
    <xf numFmtId="169" fontId="2753" fillId="0" borderId="2325" xfId="0" applyNumberFormat="1" applyFont="1" applyBorder="1" applyAlignment="1">
      <alignment horizontal="right"/>
    </xf>
    <xf numFmtId="169" fontId="2754" fillId="0" borderId="2325" xfId="0" applyNumberFormat="1" applyFont="1" applyBorder="1" applyAlignment="1">
      <alignment horizontal="right"/>
    </xf>
    <xf numFmtId="1" fontId="0" fillId="0" borderId="2325" xfId="0" applyNumberFormat="1" applyBorder="1"/>
    <xf numFmtId="0" fontId="0" fillId="0" borderId="2325" xfId="0" applyBorder="1"/>
    <xf numFmtId="0" fontId="2756" fillId="0" borderId="0" xfId="0" applyFont="1"/>
    <xf numFmtId="0" fontId="2756" fillId="0" borderId="2326" xfId="0" applyFont="1" applyBorder="1"/>
    <xf numFmtId="1" fontId="2756" fillId="0" borderId="0" xfId="0" applyNumberFormat="1" applyFont="1"/>
    <xf numFmtId="1" fontId="2756" fillId="0" borderId="2326" xfId="0" applyNumberFormat="1" applyFont="1" applyBorder="1"/>
    <xf numFmtId="0" fontId="2757" fillId="0" borderId="0" xfId="0" applyFont="1"/>
    <xf numFmtId="0" fontId="2" fillId="0" borderId="2326" xfId="0" applyFont="1" applyBorder="1"/>
    <xf numFmtId="0" fontId="2758" fillId="0" borderId="2327" xfId="0" applyFont="1" applyBorder="1"/>
    <xf numFmtId="0" fontId="2763" fillId="0" borderId="2332" xfId="0" applyFont="1" applyBorder="1"/>
    <xf numFmtId="0" fontId="2765" fillId="0" borderId="2334" xfId="0" applyFont="1" applyBorder="1"/>
    <xf numFmtId="0" fontId="2767" fillId="0" borderId="2336" xfId="0" applyFont="1" applyBorder="1"/>
    <xf numFmtId="0" fontId="2771" fillId="0" borderId="2340" xfId="0" applyFont="1" applyBorder="1" applyAlignment="1">
      <alignment horizontal="left"/>
    </xf>
    <xf numFmtId="0" fontId="2776" fillId="0" borderId="2345" xfId="0" applyFont="1" applyBorder="1" applyAlignment="1">
      <alignment horizontal="left"/>
    </xf>
    <xf numFmtId="0" fontId="2781" fillId="0" borderId="2350" xfId="0" applyFont="1" applyBorder="1" applyAlignment="1">
      <alignment horizontal="left"/>
    </xf>
    <xf numFmtId="0" fontId="2785" fillId="0" borderId="2354" xfId="0" applyFont="1" applyBorder="1" applyAlignment="1">
      <alignment horizontal="left"/>
    </xf>
    <xf numFmtId="0" fontId="2790" fillId="0" borderId="2359" xfId="0" applyFont="1" applyBorder="1" applyAlignment="1">
      <alignment horizontal="left"/>
    </xf>
    <xf numFmtId="0" fontId="2795" fillId="0" borderId="2364" xfId="0" applyFont="1" applyBorder="1" applyAlignment="1">
      <alignment horizontal="left"/>
    </xf>
    <xf numFmtId="0" fontId="2800" fillId="0" borderId="2369" xfId="0" applyFont="1" applyBorder="1" applyAlignment="1">
      <alignment horizontal="left"/>
    </xf>
    <xf numFmtId="0" fontId="2805" fillId="0" borderId="2374" xfId="0" applyFont="1" applyBorder="1" applyAlignment="1">
      <alignment horizontal="left"/>
    </xf>
    <xf numFmtId="0" fontId="2810" fillId="0" borderId="2379" xfId="0" applyFont="1" applyBorder="1" applyAlignment="1">
      <alignment horizontal="left"/>
    </xf>
    <xf numFmtId="0" fontId="2815" fillId="0" borderId="2384" xfId="0" applyFont="1" applyBorder="1" applyAlignment="1">
      <alignment horizontal="left"/>
    </xf>
    <xf numFmtId="0" fontId="2820" fillId="0" borderId="2389" xfId="0" applyFont="1" applyBorder="1" applyAlignment="1">
      <alignment horizontal="left"/>
    </xf>
    <xf numFmtId="0" fontId="2825" fillId="0" borderId="2394" xfId="0" applyFont="1" applyBorder="1" applyAlignment="1">
      <alignment horizontal="left"/>
    </xf>
    <xf numFmtId="0" fontId="2830" fillId="0" borderId="2399" xfId="0" applyFont="1" applyBorder="1" applyAlignment="1">
      <alignment horizontal="left"/>
    </xf>
    <xf numFmtId="0" fontId="2835" fillId="0" borderId="2404" xfId="0" applyFont="1" applyBorder="1" applyAlignment="1">
      <alignment horizontal="left"/>
    </xf>
    <xf numFmtId="0" fontId="2840" fillId="0" borderId="2409" xfId="0" applyFont="1" applyBorder="1" applyAlignment="1">
      <alignment horizontal="left"/>
    </xf>
    <xf numFmtId="0" fontId="3287" fillId="0" borderId="2856" xfId="0" applyFont="1" applyBorder="1" applyAlignment="1">
      <alignment horizontal="right"/>
    </xf>
    <xf numFmtId="0" fontId="3300" fillId="0" borderId="2869" xfId="0" applyFont="1" applyBorder="1"/>
    <xf numFmtId="169" fontId="3305" fillId="0" borderId="2874" xfId="0" applyNumberFormat="1" applyFont="1" applyBorder="1" applyAlignment="1">
      <alignment horizontal="right"/>
    </xf>
    <xf numFmtId="169" fontId="3310" fillId="0" borderId="2879" xfId="0" applyNumberFormat="1" applyFont="1" applyBorder="1" applyAlignment="1">
      <alignment horizontal="right"/>
    </xf>
    <xf numFmtId="169" fontId="3315" fillId="0" borderId="2884" xfId="0" applyNumberFormat="1" applyFont="1" applyBorder="1" applyAlignment="1">
      <alignment horizontal="right"/>
    </xf>
    <xf numFmtId="169" fontId="3320" fillId="0" borderId="2889" xfId="0" applyNumberFormat="1" applyFont="1" applyBorder="1" applyAlignment="1">
      <alignment horizontal="right"/>
    </xf>
    <xf numFmtId="169" fontId="3325" fillId="0" borderId="2894" xfId="0" applyNumberFormat="1" applyFont="1" applyBorder="1" applyAlignment="1">
      <alignment horizontal="right"/>
    </xf>
    <xf numFmtId="169" fontId="3330" fillId="0" borderId="2899" xfId="0" applyNumberFormat="1" applyFont="1" applyBorder="1" applyAlignment="1">
      <alignment horizontal="right"/>
    </xf>
    <xf numFmtId="169" fontId="3335" fillId="0" borderId="2904" xfId="0" applyNumberFormat="1" applyFont="1" applyBorder="1" applyAlignment="1">
      <alignment horizontal="right"/>
    </xf>
    <xf numFmtId="169" fontId="3340" fillId="0" borderId="2909" xfId="0" applyNumberFormat="1" applyFont="1" applyBorder="1" applyAlignment="1">
      <alignment horizontal="right"/>
    </xf>
    <xf numFmtId="169" fontId="3345" fillId="0" borderId="2914" xfId="0" applyNumberFormat="1" applyFont="1" applyBorder="1" applyAlignment="1">
      <alignment horizontal="right"/>
    </xf>
    <xf numFmtId="169" fontId="3350" fillId="0" borderId="2919" xfId="0" applyNumberFormat="1" applyFont="1" applyBorder="1" applyAlignment="1">
      <alignment horizontal="right"/>
    </xf>
    <xf numFmtId="169" fontId="3355" fillId="0" borderId="2924" xfId="0" applyNumberFormat="1" applyFont="1" applyBorder="1" applyAlignment="1">
      <alignment horizontal="right"/>
    </xf>
    <xf numFmtId="3" fontId="2759" fillId="0" borderId="2328" xfId="0" applyNumberFormat="1" applyFont="1" applyBorder="1"/>
    <xf numFmtId="3" fontId="2760" fillId="0" borderId="2329" xfId="0" applyNumberFormat="1" applyFont="1" applyBorder="1"/>
    <xf numFmtId="3" fontId="2761" fillId="0" borderId="2330" xfId="0" applyNumberFormat="1" applyFont="1" applyBorder="1"/>
    <xf numFmtId="3" fontId="2762" fillId="0" borderId="2331" xfId="0" applyNumberFormat="1" applyFont="1" applyBorder="1" applyAlignment="1">
      <alignment horizontal="right"/>
    </xf>
    <xf numFmtId="3" fontId="2845" fillId="0" borderId="2414" xfId="0" applyNumberFormat="1" applyFont="1" applyBorder="1"/>
    <xf numFmtId="3" fontId="2846" fillId="0" borderId="2415" xfId="0" applyNumberFormat="1" applyFont="1" applyBorder="1"/>
    <xf numFmtId="3" fontId="2847" fillId="0" borderId="2416" xfId="0" applyNumberFormat="1" applyFont="1" applyBorder="1"/>
    <xf numFmtId="3" fontId="2848" fillId="0" borderId="2417" xfId="0" applyNumberFormat="1" applyFont="1" applyBorder="1"/>
    <xf numFmtId="3" fontId="2849" fillId="0" borderId="2418" xfId="0" applyNumberFormat="1" applyFont="1" applyBorder="1" applyAlignment="1">
      <alignment horizontal="right"/>
    </xf>
    <xf numFmtId="3" fontId="2953" fillId="0" borderId="2522" xfId="0" applyNumberFormat="1" applyFont="1" applyBorder="1"/>
    <xf numFmtId="3" fontId="2954" fillId="0" borderId="2523" xfId="0" applyNumberFormat="1" applyFont="1" applyBorder="1"/>
    <xf numFmtId="3" fontId="2955" fillId="0" borderId="2524" xfId="0" applyNumberFormat="1" applyFont="1" applyBorder="1"/>
    <xf numFmtId="3" fontId="2956" fillId="0" borderId="2525" xfId="0" applyNumberFormat="1" applyFont="1" applyBorder="1"/>
    <xf numFmtId="3" fontId="2957" fillId="0" borderId="2526" xfId="0" applyNumberFormat="1" applyFont="1" applyBorder="1" applyAlignment="1">
      <alignment horizontal="right"/>
    </xf>
    <xf numFmtId="3" fontId="3061" fillId="0" borderId="2630" xfId="0" applyNumberFormat="1" applyFont="1" applyBorder="1"/>
    <xf numFmtId="3" fontId="3062" fillId="0" borderId="2631" xfId="0" applyNumberFormat="1" applyFont="1" applyBorder="1"/>
    <xf numFmtId="3" fontId="3063" fillId="0" borderId="2632" xfId="0" applyNumberFormat="1" applyFont="1" applyBorder="1"/>
    <xf numFmtId="3" fontId="3064" fillId="0" borderId="2633" xfId="0" applyNumberFormat="1" applyFont="1" applyBorder="1"/>
    <xf numFmtId="3" fontId="3065" fillId="0" borderId="2634" xfId="0" applyNumberFormat="1" applyFont="1" applyBorder="1" applyAlignment="1">
      <alignment horizontal="right"/>
    </xf>
    <xf numFmtId="3" fontId="3169" fillId="0" borderId="2738" xfId="0" applyNumberFormat="1" applyFont="1" applyBorder="1"/>
    <xf numFmtId="3" fontId="3170" fillId="0" borderId="2739" xfId="0" applyNumberFormat="1" applyFont="1" applyBorder="1"/>
    <xf numFmtId="3" fontId="3171" fillId="0" borderId="2740" xfId="0" applyNumberFormat="1" applyFont="1" applyBorder="1"/>
    <xf numFmtId="3" fontId="3172" fillId="0" borderId="2741" xfId="0" applyNumberFormat="1" applyFont="1" applyBorder="1"/>
    <xf numFmtId="3" fontId="3173" fillId="0" borderId="2742" xfId="0" applyNumberFormat="1" applyFont="1" applyBorder="1" applyAlignment="1">
      <alignment horizontal="right"/>
    </xf>
    <xf numFmtId="3" fontId="3230" fillId="0" borderId="2799" xfId="0" applyNumberFormat="1" applyFont="1" applyBorder="1"/>
    <xf numFmtId="3" fontId="3231" fillId="0" borderId="2800" xfId="0" applyNumberFormat="1" applyFont="1" applyBorder="1"/>
    <xf numFmtId="3" fontId="3232" fillId="0" borderId="2801" xfId="0" applyNumberFormat="1" applyFont="1" applyBorder="1"/>
    <xf numFmtId="3" fontId="3233" fillId="0" borderId="2802" xfId="0" applyNumberFormat="1" applyFont="1" applyBorder="1"/>
    <xf numFmtId="3" fontId="3234" fillId="0" borderId="2803" xfId="0" applyNumberFormat="1" applyFont="1" applyBorder="1" applyAlignment="1">
      <alignment horizontal="right"/>
    </xf>
    <xf numFmtId="3" fontId="3283" fillId="0" borderId="2852" xfId="0" applyNumberFormat="1" applyFont="1" applyBorder="1"/>
    <xf numFmtId="3" fontId="3284" fillId="0" borderId="2853" xfId="0" applyNumberFormat="1" applyFont="1" applyBorder="1"/>
    <xf numFmtId="3" fontId="3285" fillId="0" borderId="2854" xfId="0" applyNumberFormat="1" applyFont="1" applyBorder="1"/>
    <xf numFmtId="3" fontId="3286" fillId="0" borderId="2855" xfId="0" applyNumberFormat="1" applyFont="1" applyBorder="1"/>
    <xf numFmtId="3" fontId="2764" fillId="0" borderId="2333" xfId="0" applyNumberFormat="1" applyFont="1" applyBorder="1"/>
    <xf numFmtId="3" fontId="2850" fillId="0" borderId="2419" xfId="0" applyNumberFormat="1" applyFont="1" applyBorder="1"/>
    <xf numFmtId="3" fontId="2851" fillId="0" borderId="2420" xfId="0" applyNumberFormat="1" applyFont="1" applyBorder="1"/>
    <xf numFmtId="3" fontId="2958" fillId="0" borderId="2527" xfId="0" applyNumberFormat="1" applyFont="1" applyBorder="1"/>
    <xf numFmtId="3" fontId="2959" fillId="0" borderId="2528" xfId="0" applyNumberFormat="1" applyFont="1" applyBorder="1"/>
    <xf numFmtId="3" fontId="3066" fillId="0" borderId="2635" xfId="0" applyNumberFormat="1" applyFont="1" applyBorder="1"/>
    <xf numFmtId="3" fontId="3067" fillId="0" borderId="2636" xfId="0" applyNumberFormat="1" applyFont="1" applyBorder="1"/>
    <xf numFmtId="3" fontId="3174" fillId="0" borderId="2743" xfId="0" applyNumberFormat="1" applyFont="1" applyBorder="1"/>
    <xf numFmtId="3" fontId="3175" fillId="0" borderId="2744" xfId="0" applyNumberFormat="1" applyFont="1" applyBorder="1"/>
    <xf numFmtId="3" fontId="3235" fillId="0" borderId="2804" xfId="0" applyNumberFormat="1" applyFont="1" applyBorder="1"/>
    <xf numFmtId="3" fontId="3236" fillId="0" borderId="2805" xfId="0" applyNumberFormat="1" applyFont="1" applyBorder="1"/>
    <xf numFmtId="3" fontId="3288" fillId="0" borderId="2857" xfId="0" applyNumberFormat="1" applyFont="1" applyBorder="1"/>
    <xf numFmtId="3" fontId="3289" fillId="0" borderId="2858" xfId="0" applyNumberFormat="1" applyFont="1" applyBorder="1"/>
    <xf numFmtId="3" fontId="2766" fillId="0" borderId="2335" xfId="0" applyNumberFormat="1" applyFont="1" applyBorder="1"/>
    <xf numFmtId="3" fontId="2852" fillId="0" borderId="2421" xfId="0" applyNumberFormat="1" applyFont="1" applyBorder="1"/>
    <xf numFmtId="3" fontId="2853" fillId="0" borderId="2422" xfId="0" applyNumberFormat="1" applyFont="1" applyBorder="1"/>
    <xf numFmtId="3" fontId="2960" fillId="0" borderId="2529" xfId="0" applyNumberFormat="1" applyFont="1" applyBorder="1"/>
    <xf numFmtId="3" fontId="2961" fillId="0" borderId="2530" xfId="0" applyNumberFormat="1" applyFont="1" applyBorder="1"/>
    <xf numFmtId="3" fontId="3068" fillId="0" borderId="2637" xfId="0" applyNumberFormat="1" applyFont="1" applyBorder="1"/>
    <xf numFmtId="3" fontId="3069" fillId="0" borderId="2638" xfId="0" applyNumberFormat="1" applyFont="1" applyBorder="1"/>
    <xf numFmtId="3" fontId="3176" fillId="0" borderId="2745" xfId="0" applyNumberFormat="1" applyFont="1" applyBorder="1"/>
    <xf numFmtId="3" fontId="3177" fillId="0" borderId="2746" xfId="0" applyNumberFormat="1" applyFont="1" applyBorder="1"/>
    <xf numFmtId="3" fontId="3237" fillId="0" borderId="2806" xfId="0" applyNumberFormat="1" applyFont="1" applyBorder="1"/>
    <xf numFmtId="3" fontId="3238" fillId="0" borderId="2807" xfId="0" applyNumberFormat="1" applyFont="1" applyBorder="1"/>
    <xf numFmtId="3" fontId="3290" fillId="0" borderId="2859" xfId="0" applyNumberFormat="1" applyFont="1" applyBorder="1"/>
    <xf numFmtId="3" fontId="3291" fillId="0" borderId="2860" xfId="0" applyNumberFormat="1" applyFont="1" applyBorder="1"/>
    <xf numFmtId="3" fontId="2768" fillId="0" borderId="2337" xfId="0" applyNumberFormat="1" applyFont="1" applyBorder="1" applyAlignment="1">
      <alignment horizontal="right"/>
    </xf>
    <xf numFmtId="3" fontId="2769" fillId="0" borderId="2338" xfId="0" applyNumberFormat="1" applyFont="1" applyBorder="1" applyAlignment="1">
      <alignment horizontal="right"/>
    </xf>
    <xf numFmtId="3" fontId="2770" fillId="0" borderId="2339" xfId="0" applyNumberFormat="1" applyFont="1" applyBorder="1" applyAlignment="1">
      <alignment horizontal="right"/>
    </xf>
    <xf numFmtId="3" fontId="2854" fillId="0" borderId="2423" xfId="0" applyNumberFormat="1" applyFont="1" applyBorder="1"/>
    <xf numFmtId="3" fontId="2855" fillId="0" borderId="2424" xfId="0" applyNumberFormat="1" applyFont="1" applyBorder="1" applyAlignment="1">
      <alignment horizontal="right"/>
    </xf>
    <xf numFmtId="3" fontId="2856" fillId="0" borderId="2425" xfId="0" applyNumberFormat="1" applyFont="1" applyBorder="1" applyAlignment="1">
      <alignment horizontal="right"/>
    </xf>
    <xf numFmtId="3" fontId="2857" fillId="0" borderId="2426" xfId="0" applyNumberFormat="1" applyFont="1" applyBorder="1" applyAlignment="1">
      <alignment horizontal="right"/>
    </xf>
    <xf numFmtId="3" fontId="2962" fillId="0" borderId="2531" xfId="0" applyNumberFormat="1" applyFont="1" applyBorder="1"/>
    <xf numFmtId="3" fontId="2963" fillId="0" borderId="2532" xfId="0" applyNumberFormat="1" applyFont="1" applyBorder="1" applyAlignment="1">
      <alignment horizontal="right"/>
    </xf>
    <xf numFmtId="3" fontId="2964" fillId="0" borderId="2533" xfId="0" applyNumberFormat="1" applyFont="1" applyBorder="1" applyAlignment="1">
      <alignment horizontal="right"/>
    </xf>
    <xf numFmtId="3" fontId="2965" fillId="0" borderId="2534" xfId="0" applyNumberFormat="1" applyFont="1" applyBorder="1" applyAlignment="1">
      <alignment horizontal="right"/>
    </xf>
    <xf numFmtId="3" fontId="3070" fillId="0" borderId="2639" xfId="0" applyNumberFormat="1" applyFont="1" applyBorder="1"/>
    <xf numFmtId="3" fontId="3071" fillId="0" borderId="2640" xfId="0" applyNumberFormat="1" applyFont="1" applyBorder="1" applyAlignment="1">
      <alignment horizontal="right"/>
    </xf>
    <xf numFmtId="3" fontId="3072" fillId="0" borderId="2641" xfId="0" applyNumberFormat="1" applyFont="1" applyBorder="1" applyAlignment="1">
      <alignment horizontal="right"/>
    </xf>
    <xf numFmtId="3" fontId="3073" fillId="0" borderId="2642" xfId="0" applyNumberFormat="1" applyFont="1" applyBorder="1" applyAlignment="1">
      <alignment horizontal="right"/>
    </xf>
    <xf numFmtId="3" fontId="3178" fillId="0" borderId="2747" xfId="0" applyNumberFormat="1" applyFont="1" applyBorder="1"/>
    <xf numFmtId="3" fontId="3179" fillId="0" borderId="2748" xfId="0" applyNumberFormat="1" applyFont="1" applyBorder="1" applyAlignment="1">
      <alignment horizontal="right"/>
    </xf>
    <xf numFmtId="3" fontId="3180" fillId="0" borderId="2749" xfId="0" applyNumberFormat="1" applyFont="1" applyBorder="1" applyAlignment="1">
      <alignment horizontal="right"/>
    </xf>
    <xf numFmtId="3" fontId="3181" fillId="0" borderId="2750" xfId="0" applyNumberFormat="1" applyFont="1" applyBorder="1" applyAlignment="1">
      <alignment horizontal="right"/>
    </xf>
    <xf numFmtId="3" fontId="3239" fillId="0" borderId="2808" xfId="0" applyNumberFormat="1" applyFont="1" applyBorder="1"/>
    <xf numFmtId="3" fontId="3240" fillId="0" borderId="2809" xfId="0" applyNumberFormat="1" applyFont="1" applyBorder="1" applyAlignment="1">
      <alignment horizontal="right"/>
    </xf>
    <xf numFmtId="3" fontId="3241" fillId="0" borderId="2810" xfId="0" applyNumberFormat="1" applyFont="1" applyBorder="1" applyAlignment="1">
      <alignment horizontal="right"/>
    </xf>
    <xf numFmtId="3" fontId="3242" fillId="0" borderId="2811" xfId="0" applyNumberFormat="1" applyFont="1" applyBorder="1" applyAlignment="1">
      <alignment horizontal="right"/>
    </xf>
    <xf numFmtId="3" fontId="3292" fillId="0" borderId="2861" xfId="0" applyNumberFormat="1" applyFont="1" applyBorder="1"/>
    <xf numFmtId="3" fontId="3293" fillId="0" borderId="2862" xfId="0" applyNumberFormat="1" applyFont="1" applyBorder="1" applyAlignment="1">
      <alignment horizontal="right"/>
    </xf>
    <xf numFmtId="3" fontId="3294" fillId="0" borderId="2863" xfId="0" applyNumberFormat="1" applyFont="1" applyBorder="1" applyAlignment="1">
      <alignment horizontal="right"/>
    </xf>
    <xf numFmtId="3" fontId="3295" fillId="0" borderId="2864" xfId="0" applyNumberFormat="1" applyFont="1" applyBorder="1" applyAlignment="1">
      <alignment horizontal="right"/>
    </xf>
    <xf numFmtId="3" fontId="2772" fillId="0" borderId="2341" xfId="0" applyNumberFormat="1" applyFont="1" applyBorder="1"/>
    <xf numFmtId="3" fontId="2773" fillId="0" borderId="2342" xfId="0" applyNumberFormat="1" applyFont="1" applyBorder="1"/>
    <xf numFmtId="3" fontId="2774" fillId="0" borderId="2343" xfId="0" applyNumberFormat="1" applyFont="1" applyBorder="1"/>
    <xf numFmtId="3" fontId="2775" fillId="0" borderId="2344" xfId="0" applyNumberFormat="1" applyFont="1" applyBorder="1"/>
    <xf numFmtId="3" fontId="2858" fillId="0" borderId="2427" xfId="0" applyNumberFormat="1" applyFont="1" applyBorder="1" applyAlignment="1">
      <alignment horizontal="left"/>
    </xf>
    <xf numFmtId="3" fontId="2859" fillId="0" borderId="2428" xfId="0" applyNumberFormat="1" applyFont="1" applyBorder="1"/>
    <xf numFmtId="3" fontId="2860" fillId="0" borderId="2429" xfId="0" applyNumberFormat="1" applyFont="1" applyBorder="1"/>
    <xf numFmtId="3" fontId="2861" fillId="0" borderId="2430" xfId="0" applyNumberFormat="1" applyFont="1" applyBorder="1"/>
    <xf numFmtId="3" fontId="2862" fillId="0" borderId="2431" xfId="0" applyNumberFormat="1" applyFont="1" applyBorder="1"/>
    <xf numFmtId="3" fontId="2966" fillId="0" borderId="2535" xfId="0" applyNumberFormat="1" applyFont="1" applyBorder="1" applyAlignment="1">
      <alignment horizontal="left"/>
    </xf>
    <xf numFmtId="3" fontId="2967" fillId="0" borderId="2536" xfId="0" applyNumberFormat="1" applyFont="1" applyBorder="1"/>
    <xf numFmtId="3" fontId="2968" fillId="0" borderId="2537" xfId="0" applyNumberFormat="1" applyFont="1" applyBorder="1"/>
    <xf numFmtId="3" fontId="2969" fillId="0" borderId="2538" xfId="0" applyNumberFormat="1" applyFont="1" applyBorder="1"/>
    <xf numFmtId="3" fontId="2970" fillId="0" borderId="2539" xfId="0" applyNumberFormat="1" applyFont="1" applyBorder="1"/>
    <xf numFmtId="3" fontId="3074" fillId="0" borderId="2643" xfId="0" applyNumberFormat="1" applyFont="1" applyBorder="1" applyAlignment="1">
      <alignment horizontal="left"/>
    </xf>
    <xf numFmtId="3" fontId="3075" fillId="0" borderId="2644" xfId="0" applyNumberFormat="1" applyFont="1" applyBorder="1"/>
    <xf numFmtId="3" fontId="3076" fillId="0" borderId="2645" xfId="0" applyNumberFormat="1" applyFont="1" applyBorder="1"/>
    <xf numFmtId="3" fontId="3077" fillId="0" borderId="2646" xfId="0" applyNumberFormat="1" applyFont="1" applyBorder="1"/>
    <xf numFmtId="3" fontId="3078" fillId="0" borderId="2647" xfId="0" applyNumberFormat="1" applyFont="1" applyBorder="1"/>
    <xf numFmtId="3" fontId="3182" fillId="0" borderId="2751" xfId="0" applyNumberFormat="1" applyFont="1" applyBorder="1" applyAlignment="1">
      <alignment horizontal="left"/>
    </xf>
    <xf numFmtId="3" fontId="3183" fillId="0" borderId="2752" xfId="0" applyNumberFormat="1" applyFont="1" applyBorder="1"/>
    <xf numFmtId="3" fontId="3184" fillId="0" borderId="2753" xfId="0" applyNumberFormat="1" applyFont="1" applyBorder="1"/>
    <xf numFmtId="3" fontId="3185" fillId="0" borderId="2754" xfId="0" applyNumberFormat="1" applyFont="1" applyBorder="1"/>
    <xf numFmtId="3" fontId="3186" fillId="0" borderId="2755" xfId="0" applyNumberFormat="1" applyFont="1" applyBorder="1"/>
    <xf numFmtId="3" fontId="3243" fillId="0" borderId="2812" xfId="0" applyNumberFormat="1" applyFont="1" applyBorder="1" applyAlignment="1">
      <alignment horizontal="left"/>
    </xf>
    <xf numFmtId="3" fontId="3244" fillId="0" borderId="2813" xfId="0" applyNumberFormat="1" applyFont="1" applyBorder="1"/>
    <xf numFmtId="3" fontId="3245" fillId="0" borderId="2814" xfId="0" applyNumberFormat="1" applyFont="1" applyBorder="1"/>
    <xf numFmtId="3" fontId="3246" fillId="0" borderId="2815" xfId="0" applyNumberFormat="1" applyFont="1" applyBorder="1"/>
    <xf numFmtId="3" fontId="3247" fillId="0" borderId="2816" xfId="0" applyNumberFormat="1" applyFont="1" applyBorder="1"/>
    <xf numFmtId="3" fontId="3296" fillId="0" borderId="2865" xfId="0" applyNumberFormat="1" applyFont="1" applyBorder="1" applyAlignment="1">
      <alignment horizontal="left"/>
    </xf>
    <xf numFmtId="3" fontId="3297" fillId="0" borderId="2866" xfId="0" applyNumberFormat="1" applyFont="1" applyBorder="1"/>
    <xf numFmtId="3" fontId="3298" fillId="0" borderId="2867" xfId="0" applyNumberFormat="1" applyFont="1" applyBorder="1"/>
    <xf numFmtId="3" fontId="3299" fillId="0" borderId="2868" xfId="0" applyNumberFormat="1" applyFont="1" applyBorder="1"/>
    <xf numFmtId="3" fontId="2777" fillId="0" borderId="2346" xfId="0" applyNumberFormat="1" applyFont="1" applyBorder="1" applyAlignment="1">
      <alignment horizontal="right"/>
    </xf>
    <xf numFmtId="3" fontId="2778" fillId="0" borderId="2347" xfId="0" applyNumberFormat="1" applyFont="1" applyBorder="1" applyAlignment="1">
      <alignment horizontal="right"/>
    </xf>
    <xf numFmtId="3" fontId="2779" fillId="0" borderId="2348" xfId="0" applyNumberFormat="1" applyFont="1" applyBorder="1" applyAlignment="1">
      <alignment horizontal="right"/>
    </xf>
    <xf numFmtId="3" fontId="2780" fillId="0" borderId="2349" xfId="0" applyNumberFormat="1" applyFont="1" applyBorder="1" applyAlignment="1">
      <alignment horizontal="right"/>
    </xf>
    <xf numFmtId="3" fontId="2863" fillId="0" borderId="2432" xfId="0" applyNumberFormat="1" applyFont="1" applyBorder="1" applyAlignment="1">
      <alignment horizontal="left"/>
    </xf>
    <xf numFmtId="3" fontId="2864" fillId="0" borderId="2433" xfId="0" applyNumberFormat="1" applyFont="1" applyBorder="1" applyAlignment="1">
      <alignment horizontal="right"/>
    </xf>
    <xf numFmtId="3" fontId="2865" fillId="0" borderId="2434" xfId="0" applyNumberFormat="1" applyFont="1" applyBorder="1" applyAlignment="1">
      <alignment horizontal="right"/>
    </xf>
    <xf numFmtId="3" fontId="2866" fillId="0" borderId="2435" xfId="0" applyNumberFormat="1" applyFont="1" applyBorder="1" applyAlignment="1">
      <alignment horizontal="right"/>
    </xf>
    <xf numFmtId="3" fontId="2867" fillId="0" borderId="2436" xfId="0" applyNumberFormat="1" applyFont="1" applyBorder="1" applyAlignment="1">
      <alignment horizontal="right"/>
    </xf>
    <xf numFmtId="3" fontId="2971" fillId="0" borderId="2540" xfId="0" applyNumberFormat="1" applyFont="1" applyBorder="1" applyAlignment="1">
      <alignment horizontal="left"/>
    </xf>
    <xf numFmtId="3" fontId="2972" fillId="0" borderId="2541" xfId="0" applyNumberFormat="1" applyFont="1" applyBorder="1" applyAlignment="1">
      <alignment horizontal="right"/>
    </xf>
    <xf numFmtId="3" fontId="2973" fillId="0" borderId="2542" xfId="0" applyNumberFormat="1" applyFont="1" applyBorder="1" applyAlignment="1">
      <alignment horizontal="right"/>
    </xf>
    <xf numFmtId="3" fontId="2974" fillId="0" borderId="2543" xfId="0" applyNumberFormat="1" applyFont="1" applyBorder="1" applyAlignment="1">
      <alignment horizontal="right"/>
    </xf>
    <xf numFmtId="3" fontId="2975" fillId="0" borderId="2544" xfId="0" applyNumberFormat="1" applyFont="1" applyBorder="1" applyAlignment="1">
      <alignment horizontal="right"/>
    </xf>
    <xf numFmtId="3" fontId="3079" fillId="0" borderId="2648" xfId="0" applyNumberFormat="1" applyFont="1" applyBorder="1" applyAlignment="1">
      <alignment horizontal="left"/>
    </xf>
    <xf numFmtId="3" fontId="3080" fillId="0" borderId="2649" xfId="0" applyNumberFormat="1" applyFont="1" applyBorder="1" applyAlignment="1">
      <alignment horizontal="right"/>
    </xf>
    <xf numFmtId="3" fontId="3081" fillId="0" borderId="2650" xfId="0" applyNumberFormat="1" applyFont="1" applyBorder="1" applyAlignment="1">
      <alignment horizontal="right"/>
    </xf>
    <xf numFmtId="3" fontId="3082" fillId="0" borderId="2651" xfId="0" applyNumberFormat="1" applyFont="1" applyBorder="1" applyAlignment="1">
      <alignment horizontal="right"/>
    </xf>
    <xf numFmtId="3" fontId="3083" fillId="0" borderId="2652" xfId="0" applyNumberFormat="1" applyFont="1" applyBorder="1" applyAlignment="1">
      <alignment horizontal="right"/>
    </xf>
    <xf numFmtId="3" fontId="3187" fillId="0" borderId="2756" xfId="0" applyNumberFormat="1" applyFont="1" applyBorder="1" applyAlignment="1">
      <alignment horizontal="left"/>
    </xf>
    <xf numFmtId="3" fontId="3188" fillId="0" borderId="2757" xfId="0" applyNumberFormat="1" applyFont="1" applyBorder="1" applyAlignment="1">
      <alignment horizontal="right"/>
    </xf>
    <xf numFmtId="3" fontId="3189" fillId="0" borderId="2758" xfId="0" applyNumberFormat="1" applyFont="1" applyBorder="1" applyAlignment="1">
      <alignment horizontal="right"/>
    </xf>
    <xf numFmtId="3" fontId="3248" fillId="0" borderId="2817" xfId="0" applyNumberFormat="1" applyFont="1" applyBorder="1" applyAlignment="1">
      <alignment horizontal="left"/>
    </xf>
    <xf numFmtId="3" fontId="3249" fillId="0" borderId="2818" xfId="0" applyNumberFormat="1" applyFont="1" applyBorder="1" applyAlignment="1">
      <alignment horizontal="right"/>
    </xf>
    <xf numFmtId="3" fontId="3250" fillId="0" borderId="2819" xfId="0" applyNumberFormat="1" applyFont="1" applyBorder="1" applyAlignment="1">
      <alignment horizontal="right"/>
    </xf>
    <xf numFmtId="3" fontId="3251" fillId="0" borderId="2820" xfId="0" applyNumberFormat="1" applyFont="1" applyBorder="1" applyAlignment="1">
      <alignment horizontal="right"/>
    </xf>
    <xf numFmtId="3" fontId="3252" fillId="0" borderId="2821" xfId="0" applyNumberFormat="1" applyFont="1" applyBorder="1" applyAlignment="1">
      <alignment horizontal="right"/>
    </xf>
    <xf numFmtId="3" fontId="3301" fillId="0" borderId="2870" xfId="0" applyNumberFormat="1" applyFont="1" applyBorder="1" applyAlignment="1">
      <alignment horizontal="left"/>
    </xf>
    <xf numFmtId="3" fontId="3302" fillId="0" borderId="2871" xfId="0" applyNumberFormat="1" applyFont="1" applyBorder="1" applyAlignment="1">
      <alignment horizontal="right"/>
    </xf>
    <xf numFmtId="3" fontId="3303" fillId="0" borderId="2872" xfId="0" applyNumberFormat="1" applyFont="1" applyBorder="1" applyAlignment="1">
      <alignment horizontal="right"/>
    </xf>
    <xf numFmtId="3" fontId="3304" fillId="0" borderId="2873" xfId="0" applyNumberFormat="1" applyFont="1" applyBorder="1" applyAlignment="1">
      <alignment horizontal="right"/>
    </xf>
    <xf numFmtId="3" fontId="2782" fillId="0" borderId="2351" xfId="0" applyNumberFormat="1" applyFont="1" applyBorder="1" applyAlignment="1">
      <alignment horizontal="right"/>
    </xf>
    <xf numFmtId="3" fontId="2783" fillId="0" borderId="2352" xfId="0" applyNumberFormat="1" applyFont="1" applyBorder="1" applyAlignment="1">
      <alignment horizontal="right"/>
    </xf>
    <xf numFmtId="3" fontId="2784" fillId="0" borderId="2353" xfId="0" applyNumberFormat="1" applyFont="1" applyBorder="1" applyAlignment="1">
      <alignment horizontal="right"/>
    </xf>
    <xf numFmtId="3" fontId="2868" fillId="0" borderId="2437" xfId="0" applyNumberFormat="1" applyFont="1" applyBorder="1" applyAlignment="1">
      <alignment horizontal="left"/>
    </xf>
    <xf numFmtId="3" fontId="2869" fillId="0" borderId="2438" xfId="0" applyNumberFormat="1" applyFont="1" applyBorder="1" applyAlignment="1">
      <alignment horizontal="right"/>
    </xf>
    <xf numFmtId="3" fontId="2870" fillId="0" borderId="2439" xfId="0" applyNumberFormat="1" applyFont="1" applyBorder="1" applyAlignment="1">
      <alignment horizontal="right"/>
    </xf>
    <xf numFmtId="3" fontId="2871" fillId="0" borderId="2440" xfId="0" applyNumberFormat="1" applyFont="1" applyBorder="1" applyAlignment="1">
      <alignment horizontal="right"/>
    </xf>
    <xf numFmtId="3" fontId="2872" fillId="0" borderId="2441" xfId="0" applyNumberFormat="1" applyFont="1" applyBorder="1" applyAlignment="1">
      <alignment horizontal="right"/>
    </xf>
    <xf numFmtId="3" fontId="2976" fillId="0" borderId="2545" xfId="0" applyNumberFormat="1" applyFont="1" applyBorder="1" applyAlignment="1">
      <alignment horizontal="left"/>
    </xf>
    <xf numFmtId="3" fontId="2977" fillId="0" borderId="2546" xfId="0" applyNumberFormat="1" applyFont="1" applyBorder="1" applyAlignment="1">
      <alignment horizontal="right"/>
    </xf>
    <xf numFmtId="3" fontId="2978" fillId="0" borderId="2547" xfId="0" applyNumberFormat="1" applyFont="1" applyBorder="1" applyAlignment="1">
      <alignment horizontal="right"/>
    </xf>
    <xf numFmtId="3" fontId="2979" fillId="0" borderId="2548" xfId="0" applyNumberFormat="1" applyFont="1" applyBorder="1" applyAlignment="1">
      <alignment horizontal="right"/>
    </xf>
    <xf numFmtId="3" fontId="2980" fillId="0" borderId="2549" xfId="0" applyNumberFormat="1" applyFont="1" applyBorder="1" applyAlignment="1">
      <alignment horizontal="right"/>
    </xf>
    <xf numFmtId="3" fontId="3084" fillId="0" borderId="2653" xfId="0" applyNumberFormat="1" applyFont="1" applyBorder="1" applyAlignment="1">
      <alignment horizontal="left"/>
    </xf>
    <xf numFmtId="3" fontId="3085" fillId="0" borderId="2654" xfId="0" applyNumberFormat="1" applyFont="1" applyBorder="1" applyAlignment="1">
      <alignment horizontal="right"/>
    </xf>
    <xf numFmtId="3" fontId="3086" fillId="0" borderId="2655" xfId="0" applyNumberFormat="1" applyFont="1" applyBorder="1" applyAlignment="1">
      <alignment horizontal="right"/>
    </xf>
    <xf numFmtId="3" fontId="3087" fillId="0" borderId="2656" xfId="0" applyNumberFormat="1" applyFont="1" applyBorder="1" applyAlignment="1">
      <alignment horizontal="right"/>
    </xf>
    <xf numFmtId="3" fontId="3088" fillId="0" borderId="2657" xfId="0" applyNumberFormat="1" applyFont="1" applyBorder="1" applyAlignment="1">
      <alignment horizontal="right"/>
    </xf>
    <xf numFmtId="3" fontId="3190" fillId="0" borderId="2759" xfId="0" applyNumberFormat="1" applyFont="1" applyBorder="1" applyAlignment="1">
      <alignment horizontal="left"/>
    </xf>
    <xf numFmtId="3" fontId="3191" fillId="0" borderId="2760" xfId="0" applyNumberFormat="1" applyFont="1" applyBorder="1" applyAlignment="1">
      <alignment horizontal="right"/>
    </xf>
    <xf numFmtId="3" fontId="3192" fillId="0" borderId="2761" xfId="0" applyNumberFormat="1" applyFont="1" applyBorder="1" applyAlignment="1">
      <alignment horizontal="right"/>
    </xf>
    <xf numFmtId="3" fontId="3193" fillId="0" borderId="2762" xfId="0" applyNumberFormat="1" applyFont="1" applyBorder="1" applyAlignment="1">
      <alignment horizontal="right"/>
    </xf>
    <xf numFmtId="3" fontId="3194" fillId="0" borderId="2763" xfId="0" applyNumberFormat="1" applyFont="1" applyBorder="1" applyAlignment="1">
      <alignment horizontal="right"/>
    </xf>
    <xf numFmtId="3" fontId="3253" fillId="0" borderId="2822" xfId="0" applyNumberFormat="1" applyFont="1" applyBorder="1" applyAlignment="1">
      <alignment horizontal="left"/>
    </xf>
    <xf numFmtId="3" fontId="3254" fillId="0" borderId="2823" xfId="0" applyNumberFormat="1" applyFont="1" applyBorder="1" applyAlignment="1">
      <alignment horizontal="right"/>
    </xf>
    <xf numFmtId="3" fontId="3255" fillId="0" borderId="2824" xfId="0" applyNumberFormat="1" applyFont="1" applyBorder="1" applyAlignment="1">
      <alignment horizontal="right"/>
    </xf>
    <xf numFmtId="3" fontId="3256" fillId="0" borderId="2825" xfId="0" applyNumberFormat="1" applyFont="1" applyBorder="1" applyAlignment="1">
      <alignment horizontal="right"/>
    </xf>
    <xf numFmtId="3" fontId="3257" fillId="0" borderId="2826" xfId="0" applyNumberFormat="1" applyFont="1" applyBorder="1" applyAlignment="1">
      <alignment horizontal="right"/>
    </xf>
    <xf numFmtId="3" fontId="3306" fillId="0" borderId="2875" xfId="0" applyNumberFormat="1" applyFont="1" applyBorder="1" applyAlignment="1">
      <alignment horizontal="left"/>
    </xf>
    <xf numFmtId="3" fontId="3307" fillId="0" borderId="2876" xfId="0" applyNumberFormat="1" applyFont="1" applyBorder="1" applyAlignment="1">
      <alignment horizontal="right"/>
    </xf>
    <xf numFmtId="3" fontId="3308" fillId="0" borderId="2877" xfId="0" applyNumberFormat="1" applyFont="1" applyBorder="1" applyAlignment="1">
      <alignment horizontal="right"/>
    </xf>
    <xf numFmtId="3" fontId="3309" fillId="0" borderId="2878" xfId="0" applyNumberFormat="1" applyFont="1" applyBorder="1" applyAlignment="1">
      <alignment horizontal="right"/>
    </xf>
    <xf numFmtId="3" fontId="2786" fillId="0" borderId="2355" xfId="0" applyNumberFormat="1" applyFont="1" applyBorder="1" applyAlignment="1">
      <alignment horizontal="right"/>
    </xf>
    <xf numFmtId="3" fontId="2787" fillId="0" borderId="2356" xfId="0" applyNumberFormat="1" applyFont="1" applyBorder="1" applyAlignment="1">
      <alignment horizontal="right"/>
    </xf>
    <xf numFmtId="3" fontId="2788" fillId="0" borderId="2357" xfId="0" applyNumberFormat="1" applyFont="1" applyBorder="1" applyAlignment="1">
      <alignment horizontal="right"/>
    </xf>
    <xf numFmtId="3" fontId="2789" fillId="0" borderId="2358" xfId="0" applyNumberFormat="1" applyFont="1" applyBorder="1" applyAlignment="1">
      <alignment horizontal="right"/>
    </xf>
    <xf numFmtId="3" fontId="2873" fillId="0" borderId="2442" xfId="0" applyNumberFormat="1" applyFont="1" applyBorder="1" applyAlignment="1">
      <alignment horizontal="left"/>
    </xf>
    <xf numFmtId="3" fontId="2874" fillId="0" borderId="2443" xfId="0" applyNumberFormat="1" applyFont="1" applyBorder="1" applyAlignment="1">
      <alignment horizontal="right"/>
    </xf>
    <xf numFmtId="3" fontId="2875" fillId="0" borderId="2444" xfId="0" applyNumberFormat="1" applyFont="1" applyBorder="1" applyAlignment="1">
      <alignment horizontal="right"/>
    </xf>
    <xf numFmtId="3" fontId="2876" fillId="0" borderId="2445" xfId="0" applyNumberFormat="1" applyFont="1" applyBorder="1" applyAlignment="1">
      <alignment horizontal="right"/>
    </xf>
    <xf numFmtId="3" fontId="2877" fillId="0" borderId="2446" xfId="0" applyNumberFormat="1" applyFont="1" applyBorder="1" applyAlignment="1">
      <alignment horizontal="right"/>
    </xf>
    <xf numFmtId="3" fontId="2981" fillId="0" borderId="2550" xfId="0" applyNumberFormat="1" applyFont="1" applyBorder="1" applyAlignment="1">
      <alignment horizontal="left"/>
    </xf>
    <xf numFmtId="3" fontId="2982" fillId="0" borderId="2551" xfId="0" applyNumberFormat="1" applyFont="1" applyBorder="1" applyAlignment="1">
      <alignment horizontal="right"/>
    </xf>
    <xf numFmtId="3" fontId="2983" fillId="0" borderId="2552" xfId="0" applyNumberFormat="1" applyFont="1" applyBorder="1" applyAlignment="1">
      <alignment horizontal="right"/>
    </xf>
    <xf numFmtId="3" fontId="2984" fillId="0" borderId="2553" xfId="0" applyNumberFormat="1" applyFont="1" applyBorder="1" applyAlignment="1">
      <alignment horizontal="right"/>
    </xf>
    <xf numFmtId="3" fontId="2985" fillId="0" borderId="2554" xfId="0" applyNumberFormat="1" applyFont="1" applyBorder="1" applyAlignment="1">
      <alignment horizontal="right"/>
    </xf>
    <xf numFmtId="3" fontId="3089" fillId="0" borderId="2658" xfId="0" applyNumberFormat="1" applyFont="1" applyBorder="1" applyAlignment="1">
      <alignment horizontal="left"/>
    </xf>
    <xf numFmtId="3" fontId="3090" fillId="0" borderId="2659" xfId="0" applyNumberFormat="1" applyFont="1" applyBorder="1" applyAlignment="1">
      <alignment horizontal="right"/>
    </xf>
    <xf numFmtId="3" fontId="3091" fillId="0" borderId="2660" xfId="0" applyNumberFormat="1" applyFont="1" applyBorder="1" applyAlignment="1">
      <alignment horizontal="right"/>
    </xf>
    <xf numFmtId="3" fontId="3092" fillId="0" borderId="2661" xfId="0" applyNumberFormat="1" applyFont="1" applyBorder="1" applyAlignment="1">
      <alignment horizontal="right"/>
    </xf>
    <xf numFmtId="3" fontId="3093" fillId="0" borderId="2662" xfId="0" applyNumberFormat="1" applyFont="1" applyBorder="1" applyAlignment="1">
      <alignment horizontal="right"/>
    </xf>
    <xf numFmtId="3" fontId="3195" fillId="0" borderId="2764" xfId="0" applyNumberFormat="1" applyFont="1" applyBorder="1" applyAlignment="1">
      <alignment horizontal="left"/>
    </xf>
    <xf numFmtId="3" fontId="3196" fillId="0" borderId="2765" xfId="0" applyNumberFormat="1" applyFont="1" applyBorder="1" applyAlignment="1">
      <alignment horizontal="right"/>
    </xf>
    <xf numFmtId="3" fontId="3197" fillId="0" borderId="2766" xfId="0" applyNumberFormat="1" applyFont="1" applyBorder="1" applyAlignment="1">
      <alignment horizontal="right"/>
    </xf>
    <xf numFmtId="3" fontId="3198" fillId="0" borderId="2767" xfId="0" applyNumberFormat="1" applyFont="1" applyBorder="1" applyAlignment="1">
      <alignment horizontal="right"/>
    </xf>
    <xf numFmtId="3" fontId="3199" fillId="0" borderId="2768" xfId="0" applyNumberFormat="1" applyFont="1" applyBorder="1" applyAlignment="1">
      <alignment horizontal="right"/>
    </xf>
    <xf numFmtId="3" fontId="3258" fillId="0" borderId="2827" xfId="0" applyNumberFormat="1" applyFont="1" applyBorder="1" applyAlignment="1">
      <alignment horizontal="left"/>
    </xf>
    <xf numFmtId="3" fontId="3259" fillId="0" borderId="2828" xfId="0" applyNumberFormat="1" applyFont="1" applyBorder="1" applyAlignment="1">
      <alignment horizontal="right"/>
    </xf>
    <xf numFmtId="3" fontId="3260" fillId="0" borderId="2829" xfId="0" applyNumberFormat="1" applyFont="1" applyBorder="1" applyAlignment="1">
      <alignment horizontal="right"/>
    </xf>
    <xf numFmtId="3" fontId="3261" fillId="0" borderId="2830" xfId="0" applyNumberFormat="1" applyFont="1" applyBorder="1" applyAlignment="1">
      <alignment horizontal="right"/>
    </xf>
    <xf numFmtId="3" fontId="3262" fillId="0" borderId="2831" xfId="0" applyNumberFormat="1" applyFont="1" applyBorder="1" applyAlignment="1">
      <alignment horizontal="right"/>
    </xf>
    <xf numFmtId="3" fontId="3311" fillId="0" borderId="2880" xfId="0" applyNumberFormat="1" applyFont="1" applyBorder="1" applyAlignment="1">
      <alignment horizontal="left"/>
    </xf>
    <xf numFmtId="3" fontId="3312" fillId="0" borderId="2881" xfId="0" applyNumberFormat="1" applyFont="1" applyBorder="1" applyAlignment="1">
      <alignment horizontal="right"/>
    </xf>
    <xf numFmtId="3" fontId="3313" fillId="0" borderId="2882" xfId="0" applyNumberFormat="1" applyFont="1" applyBorder="1" applyAlignment="1">
      <alignment horizontal="right"/>
    </xf>
    <xf numFmtId="3" fontId="3314" fillId="0" borderId="2883" xfId="0" applyNumberFormat="1" applyFont="1" applyBorder="1" applyAlignment="1">
      <alignment horizontal="right"/>
    </xf>
    <xf numFmtId="3" fontId="2791" fillId="0" borderId="2360" xfId="0" applyNumberFormat="1" applyFont="1" applyBorder="1" applyAlignment="1">
      <alignment horizontal="right"/>
    </xf>
    <xf numFmtId="3" fontId="2792" fillId="0" borderId="2361" xfId="0" applyNumberFormat="1" applyFont="1" applyBorder="1" applyAlignment="1">
      <alignment horizontal="right"/>
    </xf>
    <xf numFmtId="3" fontId="2793" fillId="0" borderId="2362" xfId="0" applyNumberFormat="1" applyFont="1" applyBorder="1" applyAlignment="1">
      <alignment horizontal="right"/>
    </xf>
    <xf numFmtId="3" fontId="2794" fillId="0" borderId="2363" xfId="0" applyNumberFormat="1" applyFont="1" applyBorder="1" applyAlignment="1">
      <alignment horizontal="right"/>
    </xf>
    <xf numFmtId="3" fontId="2878" fillId="0" borderId="2447" xfId="0" applyNumberFormat="1" applyFont="1" applyBorder="1" applyAlignment="1">
      <alignment horizontal="left"/>
    </xf>
    <xf numFmtId="3" fontId="2879" fillId="0" borderId="2448" xfId="0" applyNumberFormat="1" applyFont="1" applyBorder="1" applyAlignment="1">
      <alignment horizontal="right"/>
    </xf>
    <xf numFmtId="3" fontId="2880" fillId="0" borderId="2449" xfId="0" applyNumberFormat="1" applyFont="1" applyBorder="1" applyAlignment="1">
      <alignment horizontal="right"/>
    </xf>
    <xf numFmtId="3" fontId="2881" fillId="0" borderId="2450" xfId="0" applyNumberFormat="1" applyFont="1" applyBorder="1" applyAlignment="1">
      <alignment horizontal="right"/>
    </xf>
    <xf numFmtId="3" fontId="2882" fillId="0" borderId="2451" xfId="0" applyNumberFormat="1" applyFont="1" applyBorder="1" applyAlignment="1">
      <alignment horizontal="right"/>
    </xf>
    <xf numFmtId="3" fontId="2986" fillId="0" borderId="2555" xfId="0" applyNumberFormat="1" applyFont="1" applyBorder="1" applyAlignment="1">
      <alignment horizontal="left"/>
    </xf>
    <xf numFmtId="3" fontId="2987" fillId="0" borderId="2556" xfId="0" applyNumberFormat="1" applyFont="1" applyBorder="1" applyAlignment="1">
      <alignment horizontal="right"/>
    </xf>
    <xf numFmtId="3" fontId="2988" fillId="0" borderId="2557" xfId="0" applyNumberFormat="1" applyFont="1" applyBorder="1" applyAlignment="1">
      <alignment horizontal="right"/>
    </xf>
    <xf numFmtId="3" fontId="2989" fillId="0" borderId="2558" xfId="0" applyNumberFormat="1" applyFont="1" applyBorder="1" applyAlignment="1">
      <alignment horizontal="right"/>
    </xf>
    <xf numFmtId="3" fontId="2990" fillId="0" borderId="2559" xfId="0" applyNumberFormat="1" applyFont="1" applyBorder="1" applyAlignment="1">
      <alignment horizontal="right"/>
    </xf>
    <xf numFmtId="3" fontId="3094" fillId="0" borderId="2663" xfId="0" applyNumberFormat="1" applyFont="1" applyBorder="1" applyAlignment="1">
      <alignment horizontal="left"/>
    </xf>
    <xf numFmtId="3" fontId="3095" fillId="0" borderId="2664" xfId="0" applyNumberFormat="1" applyFont="1" applyBorder="1" applyAlignment="1">
      <alignment horizontal="right"/>
    </xf>
    <xf numFmtId="3" fontId="3096" fillId="0" borderId="2665" xfId="0" applyNumberFormat="1" applyFont="1" applyBorder="1" applyAlignment="1">
      <alignment horizontal="right"/>
    </xf>
    <xf numFmtId="3" fontId="3097" fillId="0" borderId="2666" xfId="0" applyNumberFormat="1" applyFont="1" applyBorder="1" applyAlignment="1">
      <alignment horizontal="right"/>
    </xf>
    <xf numFmtId="3" fontId="3098" fillId="0" borderId="2667" xfId="0" applyNumberFormat="1" applyFont="1" applyBorder="1" applyAlignment="1">
      <alignment horizontal="right"/>
    </xf>
    <xf numFmtId="3" fontId="3200" fillId="0" borderId="2769" xfId="0" applyNumberFormat="1" applyFont="1" applyBorder="1" applyAlignment="1">
      <alignment horizontal="left"/>
    </xf>
    <xf numFmtId="3" fontId="3201" fillId="0" borderId="2770" xfId="0" applyNumberFormat="1" applyFont="1" applyBorder="1" applyAlignment="1">
      <alignment horizontal="right"/>
    </xf>
    <xf numFmtId="3" fontId="3202" fillId="0" borderId="2771" xfId="0" applyNumberFormat="1" applyFont="1" applyBorder="1" applyAlignment="1">
      <alignment horizontal="right"/>
    </xf>
    <xf numFmtId="3" fontId="3203" fillId="0" borderId="2772" xfId="0" applyNumberFormat="1" applyFont="1" applyBorder="1" applyAlignment="1">
      <alignment horizontal="right"/>
    </xf>
    <xf numFmtId="3" fontId="3204" fillId="0" borderId="2773" xfId="0" applyNumberFormat="1" applyFont="1" applyBorder="1" applyAlignment="1">
      <alignment horizontal="right"/>
    </xf>
    <xf numFmtId="3" fontId="3263" fillId="0" borderId="2832" xfId="0" applyNumberFormat="1" applyFont="1" applyBorder="1" applyAlignment="1">
      <alignment horizontal="left"/>
    </xf>
    <xf numFmtId="3" fontId="3264" fillId="0" borderId="2833" xfId="0" applyNumberFormat="1" applyFont="1" applyBorder="1" applyAlignment="1">
      <alignment horizontal="right"/>
    </xf>
    <xf numFmtId="3" fontId="3265" fillId="0" borderId="2834" xfId="0" applyNumberFormat="1" applyFont="1" applyBorder="1" applyAlignment="1">
      <alignment horizontal="right"/>
    </xf>
    <xf numFmtId="3" fontId="3266" fillId="0" borderId="2835" xfId="0" applyNumberFormat="1" applyFont="1" applyBorder="1" applyAlignment="1">
      <alignment horizontal="right"/>
    </xf>
    <xf numFmtId="3" fontId="3267" fillId="0" borderId="2836" xfId="0" applyNumberFormat="1" applyFont="1" applyBorder="1" applyAlignment="1">
      <alignment horizontal="right"/>
    </xf>
    <xf numFmtId="3" fontId="3316" fillId="0" borderId="2885" xfId="0" applyNumberFormat="1" applyFont="1" applyBorder="1" applyAlignment="1">
      <alignment horizontal="left"/>
    </xf>
    <xf numFmtId="3" fontId="3317" fillId="0" borderId="2886" xfId="0" applyNumberFormat="1" applyFont="1" applyBorder="1" applyAlignment="1">
      <alignment horizontal="right"/>
    </xf>
    <xf numFmtId="3" fontId="3318" fillId="0" borderId="2887" xfId="0" applyNumberFormat="1" applyFont="1" applyBorder="1" applyAlignment="1">
      <alignment horizontal="right"/>
    </xf>
    <xf numFmtId="3" fontId="3319" fillId="0" borderId="2888" xfId="0" applyNumberFormat="1" applyFont="1" applyBorder="1" applyAlignment="1">
      <alignment horizontal="right"/>
    </xf>
    <xf numFmtId="3" fontId="2796" fillId="0" borderId="2365" xfId="0" applyNumberFormat="1" applyFont="1" applyBorder="1" applyAlignment="1">
      <alignment horizontal="right"/>
    </xf>
    <xf numFmtId="3" fontId="2797" fillId="0" borderId="2366" xfId="0" applyNumberFormat="1" applyFont="1" applyBorder="1" applyAlignment="1">
      <alignment horizontal="right"/>
    </xf>
    <xf numFmtId="3" fontId="2798" fillId="0" borderId="2367" xfId="0" applyNumberFormat="1" applyFont="1" applyBorder="1" applyAlignment="1">
      <alignment horizontal="right"/>
    </xf>
    <xf numFmtId="3" fontId="2799" fillId="0" borderId="2368" xfId="0" applyNumberFormat="1" applyFont="1" applyBorder="1" applyAlignment="1">
      <alignment horizontal="right"/>
    </xf>
    <xf numFmtId="3" fontId="2883" fillId="0" borderId="2452" xfId="0" applyNumberFormat="1" applyFont="1" applyBorder="1" applyAlignment="1">
      <alignment horizontal="left"/>
    </xf>
    <xf numFmtId="3" fontId="2884" fillId="0" borderId="2453" xfId="0" applyNumberFormat="1" applyFont="1" applyBorder="1" applyAlignment="1">
      <alignment horizontal="right"/>
    </xf>
    <xf numFmtId="3" fontId="2885" fillId="0" borderId="2454" xfId="0" applyNumberFormat="1" applyFont="1" applyBorder="1" applyAlignment="1">
      <alignment horizontal="right"/>
    </xf>
    <xf numFmtId="3" fontId="2886" fillId="0" borderId="2455" xfId="0" applyNumberFormat="1" applyFont="1" applyBorder="1" applyAlignment="1">
      <alignment horizontal="right"/>
    </xf>
    <xf numFmtId="3" fontId="2887" fillId="0" borderId="2456" xfId="0" applyNumberFormat="1" applyFont="1" applyBorder="1" applyAlignment="1">
      <alignment horizontal="right"/>
    </xf>
    <xf numFmtId="3" fontId="2991" fillId="0" borderId="2560" xfId="0" applyNumberFormat="1" applyFont="1" applyBorder="1" applyAlignment="1">
      <alignment horizontal="left"/>
    </xf>
    <xf numFmtId="3" fontId="2992" fillId="0" borderId="2561" xfId="0" applyNumberFormat="1" applyFont="1" applyBorder="1" applyAlignment="1">
      <alignment horizontal="right"/>
    </xf>
    <xf numFmtId="3" fontId="2993" fillId="0" borderId="2562" xfId="0" applyNumberFormat="1" applyFont="1" applyBorder="1" applyAlignment="1">
      <alignment horizontal="right"/>
    </xf>
    <xf numFmtId="3" fontId="2994" fillId="0" borderId="2563" xfId="0" applyNumberFormat="1" applyFont="1" applyBorder="1" applyAlignment="1">
      <alignment horizontal="right"/>
    </xf>
    <xf numFmtId="3" fontId="2995" fillId="0" borderId="2564" xfId="0" applyNumberFormat="1" applyFont="1" applyBorder="1" applyAlignment="1">
      <alignment horizontal="right"/>
    </xf>
    <xf numFmtId="3" fontId="3099" fillId="0" borderId="2668" xfId="0" applyNumberFormat="1" applyFont="1" applyBorder="1" applyAlignment="1">
      <alignment horizontal="left"/>
    </xf>
    <xf numFmtId="3" fontId="3100" fillId="0" borderId="2669" xfId="0" applyNumberFormat="1" applyFont="1" applyBorder="1" applyAlignment="1">
      <alignment horizontal="right"/>
    </xf>
    <xf numFmtId="3" fontId="3101" fillId="0" borderId="2670" xfId="0" applyNumberFormat="1" applyFont="1" applyBorder="1" applyAlignment="1">
      <alignment horizontal="right"/>
    </xf>
    <xf numFmtId="3" fontId="3102" fillId="0" borderId="2671" xfId="0" applyNumberFormat="1" applyFont="1" applyBorder="1" applyAlignment="1">
      <alignment horizontal="right"/>
    </xf>
    <xf numFmtId="3" fontId="3103" fillId="0" borderId="2672" xfId="0" applyNumberFormat="1" applyFont="1" applyBorder="1" applyAlignment="1">
      <alignment horizontal="right"/>
    </xf>
    <xf numFmtId="3" fontId="3205" fillId="0" borderId="2774" xfId="0" applyNumberFormat="1" applyFont="1" applyBorder="1" applyAlignment="1">
      <alignment horizontal="left"/>
    </xf>
    <xf numFmtId="3" fontId="3206" fillId="0" borderId="2775" xfId="0" applyNumberFormat="1" applyFont="1" applyBorder="1" applyAlignment="1">
      <alignment horizontal="right"/>
    </xf>
    <xf numFmtId="3" fontId="3207" fillId="0" borderId="2776" xfId="0" applyNumberFormat="1" applyFont="1" applyBorder="1" applyAlignment="1">
      <alignment horizontal="right"/>
    </xf>
    <xf numFmtId="3" fontId="3208" fillId="0" borderId="2777" xfId="0" applyNumberFormat="1" applyFont="1" applyBorder="1" applyAlignment="1">
      <alignment horizontal="right"/>
    </xf>
    <xf numFmtId="3" fontId="3209" fillId="0" borderId="2778" xfId="0" applyNumberFormat="1" applyFont="1" applyBorder="1" applyAlignment="1">
      <alignment horizontal="right"/>
    </xf>
    <xf numFmtId="3" fontId="3268" fillId="0" borderId="2837" xfId="0" applyNumberFormat="1" applyFont="1" applyBorder="1" applyAlignment="1">
      <alignment horizontal="left"/>
    </xf>
    <xf numFmtId="3" fontId="3269" fillId="0" borderId="2838" xfId="0" applyNumberFormat="1" applyFont="1" applyBorder="1" applyAlignment="1">
      <alignment horizontal="right"/>
    </xf>
    <xf numFmtId="3" fontId="3270" fillId="0" borderId="2839" xfId="0" applyNumberFormat="1" applyFont="1" applyBorder="1" applyAlignment="1">
      <alignment horizontal="right"/>
    </xf>
    <xf numFmtId="3" fontId="3271" fillId="0" borderId="2840" xfId="0" applyNumberFormat="1" applyFont="1" applyBorder="1" applyAlignment="1">
      <alignment horizontal="right"/>
    </xf>
    <xf numFmtId="3" fontId="3272" fillId="0" borderId="2841" xfId="0" applyNumberFormat="1" applyFont="1" applyBorder="1" applyAlignment="1">
      <alignment horizontal="right"/>
    </xf>
    <xf numFmtId="3" fontId="3321" fillId="0" borderId="2890" xfId="0" applyNumberFormat="1" applyFont="1" applyBorder="1" applyAlignment="1">
      <alignment horizontal="left"/>
    </xf>
    <xf numFmtId="3" fontId="3322" fillId="0" borderId="2891" xfId="0" applyNumberFormat="1" applyFont="1" applyBorder="1" applyAlignment="1">
      <alignment horizontal="right"/>
    </xf>
    <xf numFmtId="3" fontId="3323" fillId="0" borderId="2892" xfId="0" applyNumberFormat="1" applyFont="1" applyBorder="1" applyAlignment="1">
      <alignment horizontal="right"/>
    </xf>
    <xf numFmtId="3" fontId="3324" fillId="0" borderId="2893" xfId="0" applyNumberFormat="1" applyFont="1" applyBorder="1" applyAlignment="1">
      <alignment horizontal="right"/>
    </xf>
    <xf numFmtId="3" fontId="2801" fillId="0" borderId="2370" xfId="0" applyNumberFormat="1" applyFont="1" applyBorder="1" applyAlignment="1">
      <alignment horizontal="right"/>
    </xf>
    <xf numFmtId="3" fontId="2802" fillId="0" borderId="2371" xfId="0" applyNumberFormat="1" applyFont="1" applyBorder="1" applyAlignment="1">
      <alignment horizontal="right"/>
    </xf>
    <xf numFmtId="3" fontId="2803" fillId="0" borderId="2372" xfId="0" applyNumberFormat="1" applyFont="1" applyBorder="1" applyAlignment="1">
      <alignment horizontal="right"/>
    </xf>
    <xf numFmtId="3" fontId="2804" fillId="0" borderId="2373" xfId="0" applyNumberFormat="1" applyFont="1" applyBorder="1" applyAlignment="1">
      <alignment horizontal="right"/>
    </xf>
    <xf numFmtId="3" fontId="2888" fillId="0" borderId="2457" xfId="0" applyNumberFormat="1" applyFont="1" applyBorder="1" applyAlignment="1">
      <alignment horizontal="left"/>
    </xf>
    <xf numFmtId="3" fontId="2889" fillId="0" borderId="2458" xfId="0" applyNumberFormat="1" applyFont="1" applyBorder="1" applyAlignment="1">
      <alignment horizontal="right"/>
    </xf>
    <xf numFmtId="3" fontId="2890" fillId="0" borderId="2459" xfId="0" applyNumberFormat="1" applyFont="1" applyBorder="1" applyAlignment="1">
      <alignment horizontal="right"/>
    </xf>
    <xf numFmtId="3" fontId="2891" fillId="0" borderId="2460" xfId="0" applyNumberFormat="1" applyFont="1" applyBorder="1" applyAlignment="1">
      <alignment horizontal="right"/>
    </xf>
    <xf numFmtId="3" fontId="2892" fillId="0" borderId="2461" xfId="0" applyNumberFormat="1" applyFont="1" applyBorder="1" applyAlignment="1">
      <alignment horizontal="right"/>
    </xf>
    <xf numFmtId="3" fontId="2996" fillId="0" borderId="2565" xfId="0" applyNumberFormat="1" applyFont="1" applyBorder="1" applyAlignment="1">
      <alignment horizontal="left"/>
    </xf>
    <xf numFmtId="3" fontId="2997" fillId="0" borderId="2566" xfId="0" applyNumberFormat="1" applyFont="1" applyBorder="1" applyAlignment="1">
      <alignment horizontal="right"/>
    </xf>
    <xf numFmtId="3" fontId="2998" fillId="0" borderId="2567" xfId="0" applyNumberFormat="1" applyFont="1" applyBorder="1" applyAlignment="1">
      <alignment horizontal="right"/>
    </xf>
    <xf numFmtId="3" fontId="2999" fillId="0" borderId="2568" xfId="0" applyNumberFormat="1" applyFont="1" applyBorder="1" applyAlignment="1">
      <alignment horizontal="right"/>
    </xf>
    <xf numFmtId="3" fontId="3000" fillId="0" borderId="2569" xfId="0" applyNumberFormat="1" applyFont="1" applyBorder="1" applyAlignment="1">
      <alignment horizontal="right"/>
    </xf>
    <xf numFmtId="3" fontId="3104" fillId="0" borderId="2673" xfId="0" applyNumberFormat="1" applyFont="1" applyBorder="1" applyAlignment="1">
      <alignment horizontal="left"/>
    </xf>
    <xf numFmtId="3" fontId="3105" fillId="0" borderId="2674" xfId="0" applyNumberFormat="1" applyFont="1" applyBorder="1" applyAlignment="1">
      <alignment horizontal="right"/>
    </xf>
    <xf numFmtId="3" fontId="3106" fillId="0" borderId="2675" xfId="0" applyNumberFormat="1" applyFont="1" applyBorder="1" applyAlignment="1">
      <alignment horizontal="right"/>
    </xf>
    <xf numFmtId="3" fontId="3107" fillId="0" borderId="2676" xfId="0" applyNumberFormat="1" applyFont="1" applyBorder="1" applyAlignment="1">
      <alignment horizontal="right"/>
    </xf>
    <xf numFmtId="3" fontId="3108" fillId="0" borderId="2677" xfId="0" applyNumberFormat="1" applyFont="1" applyBorder="1" applyAlignment="1">
      <alignment horizontal="right"/>
    </xf>
    <xf numFmtId="3" fontId="3210" fillId="0" borderId="2779" xfId="0" applyNumberFormat="1" applyFont="1" applyBorder="1" applyAlignment="1">
      <alignment horizontal="left"/>
    </xf>
    <xf numFmtId="3" fontId="3211" fillId="0" borderId="2780" xfId="0" applyNumberFormat="1" applyFont="1" applyBorder="1" applyAlignment="1">
      <alignment horizontal="right"/>
    </xf>
    <xf numFmtId="3" fontId="3212" fillId="0" borderId="2781" xfId="0" applyNumberFormat="1" applyFont="1" applyBorder="1" applyAlignment="1">
      <alignment horizontal="right"/>
    </xf>
    <xf numFmtId="3" fontId="3213" fillId="0" borderId="2782" xfId="0" applyNumberFormat="1" applyFont="1" applyBorder="1" applyAlignment="1">
      <alignment horizontal="right"/>
    </xf>
    <xf numFmtId="3" fontId="3214" fillId="0" borderId="2783" xfId="0" applyNumberFormat="1" applyFont="1" applyBorder="1" applyAlignment="1">
      <alignment horizontal="right"/>
    </xf>
    <xf numFmtId="3" fontId="3273" fillId="0" borderId="2842" xfId="0" applyNumberFormat="1" applyFont="1" applyBorder="1" applyAlignment="1">
      <alignment horizontal="left"/>
    </xf>
    <xf numFmtId="3" fontId="3274" fillId="0" borderId="2843" xfId="0" applyNumberFormat="1" applyFont="1" applyBorder="1" applyAlignment="1">
      <alignment horizontal="right"/>
    </xf>
    <xf numFmtId="3" fontId="3275" fillId="0" borderId="2844" xfId="0" applyNumberFormat="1" applyFont="1" applyBorder="1" applyAlignment="1">
      <alignment horizontal="right"/>
    </xf>
    <xf numFmtId="3" fontId="3276" fillId="0" borderId="2845" xfId="0" applyNumberFormat="1" applyFont="1" applyBorder="1" applyAlignment="1">
      <alignment horizontal="right"/>
    </xf>
    <xf numFmtId="3" fontId="3277" fillId="0" borderId="2846" xfId="0" applyNumberFormat="1" applyFont="1" applyBorder="1" applyAlignment="1">
      <alignment horizontal="right"/>
    </xf>
    <xf numFmtId="3" fontId="3326" fillId="0" borderId="2895" xfId="0" applyNumberFormat="1" applyFont="1" applyBorder="1" applyAlignment="1">
      <alignment horizontal="left"/>
    </xf>
    <xf numFmtId="3" fontId="3327" fillId="0" borderId="2896" xfId="0" applyNumberFormat="1" applyFont="1" applyBorder="1" applyAlignment="1">
      <alignment horizontal="right"/>
    </xf>
    <xf numFmtId="3" fontId="3328" fillId="0" borderId="2897" xfId="0" applyNumberFormat="1" applyFont="1" applyBorder="1" applyAlignment="1">
      <alignment horizontal="right"/>
    </xf>
    <xf numFmtId="3" fontId="3329" fillId="0" borderId="2898" xfId="0" applyNumberFormat="1" applyFont="1" applyBorder="1" applyAlignment="1">
      <alignment horizontal="right"/>
    </xf>
    <xf numFmtId="3" fontId="2806" fillId="0" borderId="2375" xfId="0" applyNumberFormat="1" applyFont="1" applyBorder="1" applyAlignment="1">
      <alignment horizontal="right"/>
    </xf>
    <xf numFmtId="3" fontId="2807" fillId="0" borderId="2376" xfId="0" applyNumberFormat="1" applyFont="1" applyBorder="1" applyAlignment="1">
      <alignment horizontal="right"/>
    </xf>
    <xf numFmtId="3" fontId="2808" fillId="0" borderId="2377" xfId="0" applyNumberFormat="1" applyFont="1" applyBorder="1" applyAlignment="1">
      <alignment horizontal="right"/>
    </xf>
    <xf numFmtId="3" fontId="2809" fillId="0" borderId="2378" xfId="0" applyNumberFormat="1" applyFont="1" applyBorder="1" applyAlignment="1">
      <alignment horizontal="right"/>
    </xf>
    <xf numFmtId="3" fontId="2893" fillId="0" borderId="2462" xfId="0" applyNumberFormat="1" applyFont="1" applyBorder="1" applyAlignment="1">
      <alignment horizontal="left"/>
    </xf>
    <xf numFmtId="3" fontId="2894" fillId="0" borderId="2463" xfId="0" applyNumberFormat="1" applyFont="1" applyBorder="1" applyAlignment="1">
      <alignment horizontal="right"/>
    </xf>
    <xf numFmtId="3" fontId="2895" fillId="0" borderId="2464" xfId="0" applyNumberFormat="1" applyFont="1" applyBorder="1" applyAlignment="1">
      <alignment horizontal="right"/>
    </xf>
    <xf numFmtId="3" fontId="2896" fillId="0" borderId="2465" xfId="0" applyNumberFormat="1" applyFont="1" applyBorder="1" applyAlignment="1">
      <alignment horizontal="right"/>
    </xf>
    <xf numFmtId="3" fontId="2897" fillId="0" borderId="2466" xfId="0" applyNumberFormat="1" applyFont="1" applyBorder="1" applyAlignment="1">
      <alignment horizontal="right"/>
    </xf>
    <xf numFmtId="3" fontId="3001" fillId="0" borderId="2570" xfId="0" applyNumberFormat="1" applyFont="1" applyBorder="1" applyAlignment="1">
      <alignment horizontal="left"/>
    </xf>
    <xf numFmtId="3" fontId="3002" fillId="0" borderId="2571" xfId="0" applyNumberFormat="1" applyFont="1" applyBorder="1" applyAlignment="1">
      <alignment horizontal="right"/>
    </xf>
    <xf numFmtId="3" fontId="3003" fillId="0" borderId="2572" xfId="0" applyNumberFormat="1" applyFont="1" applyBorder="1" applyAlignment="1">
      <alignment horizontal="right"/>
    </xf>
    <xf numFmtId="3" fontId="3004" fillId="0" borderId="2573" xfId="0" applyNumberFormat="1" applyFont="1" applyBorder="1" applyAlignment="1">
      <alignment horizontal="right"/>
    </xf>
    <xf numFmtId="3" fontId="3005" fillId="0" borderId="2574" xfId="0" applyNumberFormat="1" applyFont="1" applyBorder="1" applyAlignment="1">
      <alignment horizontal="right"/>
    </xf>
    <xf numFmtId="3" fontId="3109" fillId="0" borderId="2678" xfId="0" applyNumberFormat="1" applyFont="1" applyBorder="1" applyAlignment="1">
      <alignment horizontal="left"/>
    </xf>
    <xf numFmtId="3" fontId="3110" fillId="0" borderId="2679" xfId="0" applyNumberFormat="1" applyFont="1" applyBorder="1" applyAlignment="1">
      <alignment horizontal="right"/>
    </xf>
    <xf numFmtId="3" fontId="3111" fillId="0" borderId="2680" xfId="0" applyNumberFormat="1" applyFont="1" applyBorder="1" applyAlignment="1">
      <alignment horizontal="right"/>
    </xf>
    <xf numFmtId="3" fontId="3112" fillId="0" borderId="2681" xfId="0" applyNumberFormat="1" applyFont="1" applyBorder="1" applyAlignment="1">
      <alignment horizontal="right"/>
    </xf>
    <xf numFmtId="3" fontId="3113" fillId="0" borderId="2682" xfId="0" applyNumberFormat="1" applyFont="1" applyBorder="1" applyAlignment="1">
      <alignment horizontal="right"/>
    </xf>
    <xf numFmtId="3" fontId="3215" fillId="0" borderId="2784" xfId="0" applyNumberFormat="1" applyFont="1" applyBorder="1" applyAlignment="1">
      <alignment horizontal="left"/>
    </xf>
    <xf numFmtId="3" fontId="3216" fillId="0" borderId="2785" xfId="0" applyNumberFormat="1" applyFont="1" applyBorder="1" applyAlignment="1">
      <alignment horizontal="right"/>
    </xf>
    <xf numFmtId="3" fontId="3217" fillId="0" borderId="2786" xfId="0" applyNumberFormat="1" applyFont="1" applyBorder="1" applyAlignment="1">
      <alignment horizontal="right"/>
    </xf>
    <xf numFmtId="3" fontId="3218" fillId="0" borderId="2787" xfId="0" applyNumberFormat="1" applyFont="1" applyBorder="1" applyAlignment="1">
      <alignment horizontal="right"/>
    </xf>
    <xf numFmtId="3" fontId="3219" fillId="0" borderId="2788" xfId="0" applyNumberFormat="1" applyFont="1" applyBorder="1" applyAlignment="1">
      <alignment horizontal="right"/>
    </xf>
    <xf numFmtId="3" fontId="3278" fillId="0" borderId="2847" xfId="0" applyNumberFormat="1" applyFont="1" applyBorder="1" applyAlignment="1">
      <alignment horizontal="left"/>
    </xf>
    <xf numFmtId="3" fontId="3279" fillId="0" borderId="2848" xfId="0" applyNumberFormat="1" applyFont="1" applyBorder="1" applyAlignment="1">
      <alignment horizontal="right"/>
    </xf>
    <xf numFmtId="3" fontId="3280" fillId="0" borderId="2849" xfId="0" applyNumberFormat="1" applyFont="1" applyBorder="1" applyAlignment="1">
      <alignment horizontal="right"/>
    </xf>
    <xf numFmtId="3" fontId="3281" fillId="0" borderId="2850" xfId="0" applyNumberFormat="1" applyFont="1" applyBorder="1" applyAlignment="1">
      <alignment horizontal="right"/>
    </xf>
    <xf numFmtId="3" fontId="3282" fillId="0" borderId="2851" xfId="0" applyNumberFormat="1" applyFont="1" applyBorder="1" applyAlignment="1">
      <alignment horizontal="right"/>
    </xf>
    <xf numFmtId="3" fontId="3331" fillId="0" borderId="2900" xfId="0" applyNumberFormat="1" applyFont="1" applyBorder="1" applyAlignment="1">
      <alignment horizontal="left"/>
    </xf>
    <xf numFmtId="3" fontId="3332" fillId="0" borderId="2901" xfId="0" applyNumberFormat="1" applyFont="1" applyBorder="1" applyAlignment="1">
      <alignment horizontal="right"/>
    </xf>
    <xf numFmtId="3" fontId="3333" fillId="0" borderId="2902" xfId="0" applyNumberFormat="1" applyFont="1" applyBorder="1" applyAlignment="1">
      <alignment horizontal="right"/>
    </xf>
    <xf numFmtId="3" fontId="3334" fillId="0" borderId="2903" xfId="0" applyNumberFormat="1" applyFont="1" applyBorder="1" applyAlignment="1">
      <alignment horizontal="right"/>
    </xf>
    <xf numFmtId="3" fontId="2811" fillId="0" borderId="2380" xfId="0" applyNumberFormat="1" applyFont="1" applyBorder="1" applyAlignment="1">
      <alignment horizontal="right"/>
    </xf>
    <xf numFmtId="3" fontId="2812" fillId="0" borderId="2381" xfId="0" applyNumberFormat="1" applyFont="1" applyBorder="1" applyAlignment="1">
      <alignment horizontal="right"/>
    </xf>
    <xf numFmtId="3" fontId="2813" fillId="0" borderId="2382" xfId="0" applyNumberFormat="1" applyFont="1" applyBorder="1" applyAlignment="1">
      <alignment horizontal="right"/>
    </xf>
    <xf numFmtId="3" fontId="2814" fillId="0" borderId="2383" xfId="0" applyNumberFormat="1" applyFont="1" applyBorder="1" applyAlignment="1">
      <alignment horizontal="right"/>
    </xf>
    <xf numFmtId="3" fontId="2898" fillId="0" borderId="2467" xfId="0" applyNumberFormat="1" applyFont="1" applyBorder="1" applyAlignment="1">
      <alignment horizontal="left"/>
    </xf>
    <xf numFmtId="3" fontId="2899" fillId="0" borderId="2468" xfId="0" applyNumberFormat="1" applyFont="1" applyBorder="1" applyAlignment="1">
      <alignment horizontal="right"/>
    </xf>
    <xf numFmtId="3" fontId="2900" fillId="0" borderId="2469" xfId="0" applyNumberFormat="1" applyFont="1" applyBorder="1" applyAlignment="1">
      <alignment horizontal="right"/>
    </xf>
    <xf numFmtId="3" fontId="2901" fillId="0" borderId="2470" xfId="0" applyNumberFormat="1" applyFont="1" applyBorder="1" applyAlignment="1">
      <alignment horizontal="right"/>
    </xf>
    <xf numFmtId="3" fontId="2902" fillId="0" borderId="2471" xfId="0" applyNumberFormat="1" applyFont="1" applyBorder="1" applyAlignment="1">
      <alignment horizontal="right"/>
    </xf>
    <xf numFmtId="3" fontId="3006" fillId="0" borderId="2575" xfId="0" applyNumberFormat="1" applyFont="1" applyBorder="1" applyAlignment="1">
      <alignment horizontal="left"/>
    </xf>
    <xf numFmtId="3" fontId="3007" fillId="0" borderId="2576" xfId="0" applyNumberFormat="1" applyFont="1" applyBorder="1" applyAlignment="1">
      <alignment horizontal="right"/>
    </xf>
    <xf numFmtId="3" fontId="3008" fillId="0" borderId="2577" xfId="0" applyNumberFormat="1" applyFont="1" applyBorder="1" applyAlignment="1">
      <alignment horizontal="right"/>
    </xf>
    <xf numFmtId="3" fontId="3009" fillId="0" borderId="2578" xfId="0" applyNumberFormat="1" applyFont="1" applyBorder="1" applyAlignment="1">
      <alignment horizontal="right"/>
    </xf>
    <xf numFmtId="3" fontId="3010" fillId="0" borderId="2579" xfId="0" applyNumberFormat="1" applyFont="1" applyBorder="1" applyAlignment="1">
      <alignment horizontal="right"/>
    </xf>
    <xf numFmtId="3" fontId="3114" fillId="0" borderId="2683" xfId="0" applyNumberFormat="1" applyFont="1" applyBorder="1" applyAlignment="1">
      <alignment horizontal="left"/>
    </xf>
    <xf numFmtId="3" fontId="3115" fillId="0" borderId="2684" xfId="0" applyNumberFormat="1" applyFont="1" applyBorder="1" applyAlignment="1">
      <alignment horizontal="right"/>
    </xf>
    <xf numFmtId="3" fontId="3116" fillId="0" borderId="2685" xfId="0" applyNumberFormat="1" applyFont="1" applyBorder="1" applyAlignment="1">
      <alignment horizontal="right"/>
    </xf>
    <xf numFmtId="3" fontId="3117" fillId="0" borderId="2686" xfId="0" applyNumberFormat="1" applyFont="1" applyBorder="1" applyAlignment="1">
      <alignment horizontal="right"/>
    </xf>
    <xf numFmtId="3" fontId="3118" fillId="0" borderId="2687" xfId="0" applyNumberFormat="1" applyFont="1" applyBorder="1" applyAlignment="1">
      <alignment horizontal="right"/>
    </xf>
    <xf numFmtId="3" fontId="3220" fillId="0" borderId="2789" xfId="0" applyNumberFormat="1" applyFont="1" applyBorder="1" applyAlignment="1">
      <alignment horizontal="left"/>
    </xf>
    <xf numFmtId="3" fontId="3221" fillId="0" borderId="2790" xfId="0" applyNumberFormat="1" applyFont="1" applyBorder="1" applyAlignment="1">
      <alignment horizontal="right"/>
    </xf>
    <xf numFmtId="3" fontId="3222" fillId="0" borderId="2791" xfId="0" applyNumberFormat="1" applyFont="1" applyBorder="1" applyAlignment="1">
      <alignment horizontal="right"/>
    </xf>
    <xf numFmtId="3" fontId="3223" fillId="0" borderId="2792" xfId="0" applyNumberFormat="1" applyFont="1" applyBorder="1" applyAlignment="1">
      <alignment horizontal="right"/>
    </xf>
    <xf numFmtId="3" fontId="3224" fillId="0" borderId="2793" xfId="0" applyNumberFormat="1" applyFont="1" applyBorder="1" applyAlignment="1">
      <alignment horizontal="right"/>
    </xf>
    <xf numFmtId="3" fontId="3336" fillId="0" borderId="2905" xfId="0" applyNumberFormat="1" applyFont="1" applyBorder="1" applyAlignment="1">
      <alignment horizontal="left"/>
    </xf>
    <xf numFmtId="3" fontId="3337" fillId="0" borderId="2906" xfId="0" applyNumberFormat="1" applyFont="1" applyBorder="1" applyAlignment="1">
      <alignment horizontal="right"/>
    </xf>
    <xf numFmtId="3" fontId="3338" fillId="0" borderId="2907" xfId="0" applyNumberFormat="1" applyFont="1" applyBorder="1" applyAlignment="1">
      <alignment horizontal="right"/>
    </xf>
    <xf numFmtId="3" fontId="3339" fillId="0" borderId="2908" xfId="0" applyNumberFormat="1" applyFont="1" applyBorder="1" applyAlignment="1">
      <alignment horizontal="right"/>
    </xf>
    <xf numFmtId="3" fontId="2816" fillId="0" borderId="2385" xfId="0" applyNumberFormat="1" applyFont="1" applyBorder="1" applyAlignment="1">
      <alignment horizontal="right"/>
    </xf>
    <xf numFmtId="3" fontId="2817" fillId="0" borderId="2386" xfId="0" applyNumberFormat="1" applyFont="1" applyBorder="1" applyAlignment="1">
      <alignment horizontal="right"/>
    </xf>
    <xf numFmtId="3" fontId="2818" fillId="0" borderId="2387" xfId="0" applyNumberFormat="1" applyFont="1" applyBorder="1" applyAlignment="1">
      <alignment horizontal="right"/>
    </xf>
    <xf numFmtId="3" fontId="2819" fillId="0" borderId="2388" xfId="0" applyNumberFormat="1" applyFont="1" applyBorder="1" applyAlignment="1">
      <alignment horizontal="right"/>
    </xf>
    <xf numFmtId="3" fontId="2903" fillId="0" borderId="2472" xfId="0" applyNumberFormat="1" applyFont="1" applyBorder="1" applyAlignment="1">
      <alignment horizontal="left"/>
    </xf>
    <xf numFmtId="3" fontId="2904" fillId="0" borderId="2473" xfId="0" applyNumberFormat="1" applyFont="1" applyBorder="1" applyAlignment="1">
      <alignment horizontal="right"/>
    </xf>
    <xf numFmtId="3" fontId="2905" fillId="0" borderId="2474" xfId="0" applyNumberFormat="1" applyFont="1" applyBorder="1" applyAlignment="1">
      <alignment horizontal="right"/>
    </xf>
    <xf numFmtId="3" fontId="2906" fillId="0" borderId="2475" xfId="0" applyNumberFormat="1" applyFont="1" applyBorder="1" applyAlignment="1">
      <alignment horizontal="right"/>
    </xf>
    <xf numFmtId="3" fontId="2907" fillId="0" borderId="2476" xfId="0" applyNumberFormat="1" applyFont="1" applyBorder="1" applyAlignment="1">
      <alignment horizontal="right"/>
    </xf>
    <xf numFmtId="3" fontId="3011" fillId="0" borderId="2580" xfId="0" applyNumberFormat="1" applyFont="1" applyBorder="1" applyAlignment="1">
      <alignment horizontal="left"/>
    </xf>
    <xf numFmtId="3" fontId="3012" fillId="0" borderId="2581" xfId="0" applyNumberFormat="1" applyFont="1" applyBorder="1" applyAlignment="1">
      <alignment horizontal="right"/>
    </xf>
    <xf numFmtId="3" fontId="3013" fillId="0" borderId="2582" xfId="0" applyNumberFormat="1" applyFont="1" applyBorder="1" applyAlignment="1">
      <alignment horizontal="right"/>
    </xf>
    <xf numFmtId="3" fontId="3014" fillId="0" borderId="2583" xfId="0" applyNumberFormat="1" applyFont="1" applyBorder="1" applyAlignment="1">
      <alignment horizontal="right"/>
    </xf>
    <xf numFmtId="3" fontId="3015" fillId="0" borderId="2584" xfId="0" applyNumberFormat="1" applyFont="1" applyBorder="1" applyAlignment="1">
      <alignment horizontal="right"/>
    </xf>
    <xf numFmtId="3" fontId="3119" fillId="0" borderId="2688" xfId="0" applyNumberFormat="1" applyFont="1" applyBorder="1" applyAlignment="1">
      <alignment horizontal="left"/>
    </xf>
    <xf numFmtId="3" fontId="3120" fillId="0" borderId="2689" xfId="0" applyNumberFormat="1" applyFont="1" applyBorder="1" applyAlignment="1">
      <alignment horizontal="right"/>
    </xf>
    <xf numFmtId="3" fontId="3121" fillId="0" borderId="2690" xfId="0" applyNumberFormat="1" applyFont="1" applyBorder="1" applyAlignment="1">
      <alignment horizontal="right"/>
    </xf>
    <xf numFmtId="3" fontId="3122" fillId="0" borderId="2691" xfId="0" applyNumberFormat="1" applyFont="1" applyBorder="1" applyAlignment="1">
      <alignment horizontal="right"/>
    </xf>
    <xf numFmtId="3" fontId="3123" fillId="0" borderId="2692" xfId="0" applyNumberFormat="1" applyFont="1" applyBorder="1" applyAlignment="1">
      <alignment horizontal="right"/>
    </xf>
    <xf numFmtId="3" fontId="3225" fillId="0" borderId="2794" xfId="0" applyNumberFormat="1" applyFont="1" applyBorder="1" applyAlignment="1">
      <alignment horizontal="left"/>
    </xf>
    <xf numFmtId="3" fontId="3226" fillId="0" borderId="2795" xfId="0" applyNumberFormat="1" applyFont="1" applyBorder="1" applyAlignment="1">
      <alignment horizontal="right"/>
    </xf>
    <xf numFmtId="3" fontId="3227" fillId="0" borderId="2796" xfId="0" applyNumberFormat="1" applyFont="1" applyBorder="1" applyAlignment="1">
      <alignment horizontal="right"/>
    </xf>
    <xf numFmtId="3" fontId="3228" fillId="0" borderId="2797" xfId="0" applyNumberFormat="1" applyFont="1" applyBorder="1" applyAlignment="1">
      <alignment horizontal="right"/>
    </xf>
    <xf numFmtId="3" fontId="3229" fillId="0" borderId="2798" xfId="0" applyNumberFormat="1" applyFont="1" applyBorder="1" applyAlignment="1">
      <alignment horizontal="right"/>
    </xf>
    <xf numFmtId="3" fontId="3341" fillId="0" borderId="2910" xfId="0" applyNumberFormat="1" applyFont="1" applyBorder="1" applyAlignment="1">
      <alignment horizontal="left"/>
    </xf>
    <xf numFmtId="3" fontId="3342" fillId="0" borderId="2911" xfId="0" applyNumberFormat="1" applyFont="1" applyBorder="1" applyAlignment="1">
      <alignment horizontal="right"/>
    </xf>
    <xf numFmtId="3" fontId="3343" fillId="0" borderId="2912" xfId="0" applyNumberFormat="1" applyFont="1" applyBorder="1" applyAlignment="1">
      <alignment horizontal="right"/>
    </xf>
    <xf numFmtId="3" fontId="3344" fillId="0" borderId="2913" xfId="0" applyNumberFormat="1" applyFont="1" applyBorder="1" applyAlignment="1">
      <alignment horizontal="right"/>
    </xf>
    <xf numFmtId="3" fontId="2821" fillId="0" borderId="2390" xfId="0" applyNumberFormat="1" applyFont="1" applyBorder="1" applyAlignment="1">
      <alignment horizontal="right"/>
    </xf>
    <xf numFmtId="3" fontId="2822" fillId="0" borderId="2391" xfId="0" applyNumberFormat="1" applyFont="1" applyBorder="1" applyAlignment="1">
      <alignment horizontal="right"/>
    </xf>
    <xf numFmtId="3" fontId="2823" fillId="0" borderId="2392" xfId="0" applyNumberFormat="1" applyFont="1" applyBorder="1" applyAlignment="1">
      <alignment horizontal="right"/>
    </xf>
    <xf numFmtId="3" fontId="2824" fillId="0" borderId="2393" xfId="0" applyNumberFormat="1" applyFont="1" applyBorder="1" applyAlignment="1">
      <alignment horizontal="right"/>
    </xf>
    <xf numFmtId="3" fontId="2908" fillId="0" borderId="2477" xfId="0" applyNumberFormat="1" applyFont="1" applyBorder="1" applyAlignment="1">
      <alignment horizontal="left"/>
    </xf>
    <xf numFmtId="3" fontId="2909" fillId="0" borderId="2478" xfId="0" applyNumberFormat="1" applyFont="1" applyBorder="1" applyAlignment="1">
      <alignment horizontal="right"/>
    </xf>
    <xf numFmtId="3" fontId="2910" fillId="0" borderId="2479" xfId="0" applyNumberFormat="1" applyFont="1" applyBorder="1" applyAlignment="1">
      <alignment horizontal="right"/>
    </xf>
    <xf numFmtId="3" fontId="2911" fillId="0" borderId="2480" xfId="0" applyNumberFormat="1" applyFont="1" applyBorder="1" applyAlignment="1">
      <alignment horizontal="right"/>
    </xf>
    <xf numFmtId="3" fontId="2912" fillId="0" borderId="2481" xfId="0" applyNumberFormat="1" applyFont="1" applyBorder="1" applyAlignment="1">
      <alignment horizontal="right"/>
    </xf>
    <xf numFmtId="3" fontId="3016" fillId="0" borderId="2585" xfId="0" applyNumberFormat="1" applyFont="1" applyBorder="1" applyAlignment="1">
      <alignment horizontal="left"/>
    </xf>
    <xf numFmtId="3" fontId="3017" fillId="0" borderId="2586" xfId="0" applyNumberFormat="1" applyFont="1" applyBorder="1" applyAlignment="1">
      <alignment horizontal="right"/>
    </xf>
    <xf numFmtId="3" fontId="3018" fillId="0" borderId="2587" xfId="0" applyNumberFormat="1" applyFont="1" applyBorder="1" applyAlignment="1">
      <alignment horizontal="right"/>
    </xf>
    <xf numFmtId="3" fontId="3019" fillId="0" borderId="2588" xfId="0" applyNumberFormat="1" applyFont="1" applyBorder="1" applyAlignment="1">
      <alignment horizontal="right"/>
    </xf>
    <xf numFmtId="3" fontId="3020" fillId="0" borderId="2589" xfId="0" applyNumberFormat="1" applyFont="1" applyBorder="1" applyAlignment="1">
      <alignment horizontal="right"/>
    </xf>
    <xf numFmtId="3" fontId="3124" fillId="0" borderId="2693" xfId="0" applyNumberFormat="1" applyFont="1" applyBorder="1" applyAlignment="1">
      <alignment horizontal="left"/>
    </xf>
    <xf numFmtId="3" fontId="3125" fillId="0" borderId="2694" xfId="0" applyNumberFormat="1" applyFont="1" applyBorder="1" applyAlignment="1">
      <alignment horizontal="right"/>
    </xf>
    <xf numFmtId="3" fontId="3126" fillId="0" borderId="2695" xfId="0" applyNumberFormat="1" applyFont="1" applyBorder="1" applyAlignment="1">
      <alignment horizontal="right"/>
    </xf>
    <xf numFmtId="3" fontId="3127" fillId="0" borderId="2696" xfId="0" applyNumberFormat="1" applyFont="1" applyBorder="1" applyAlignment="1">
      <alignment horizontal="right"/>
    </xf>
    <xf numFmtId="3" fontId="3128" fillId="0" borderId="2697" xfId="0" applyNumberFormat="1" applyFont="1" applyBorder="1" applyAlignment="1">
      <alignment horizontal="right"/>
    </xf>
    <xf numFmtId="3" fontId="3346" fillId="0" borderId="2915" xfId="0" applyNumberFormat="1" applyFont="1" applyBorder="1" applyAlignment="1">
      <alignment horizontal="left"/>
    </xf>
    <xf numFmtId="3" fontId="3347" fillId="0" borderId="2916" xfId="0" applyNumberFormat="1" applyFont="1" applyBorder="1" applyAlignment="1">
      <alignment horizontal="right"/>
    </xf>
    <xf numFmtId="3" fontId="3348" fillId="0" borderId="2917" xfId="0" applyNumberFormat="1" applyFont="1" applyBorder="1" applyAlignment="1">
      <alignment horizontal="right"/>
    </xf>
    <xf numFmtId="3" fontId="3349" fillId="0" borderId="2918" xfId="0" applyNumberFormat="1" applyFont="1" applyBorder="1" applyAlignment="1">
      <alignment horizontal="right"/>
    </xf>
    <xf numFmtId="3" fontId="2826" fillId="0" borderId="2395" xfId="0" applyNumberFormat="1" applyFont="1" applyBorder="1" applyAlignment="1">
      <alignment horizontal="right"/>
    </xf>
    <xf numFmtId="3" fontId="2827" fillId="0" borderId="2396" xfId="0" applyNumberFormat="1" applyFont="1" applyBorder="1" applyAlignment="1">
      <alignment horizontal="right"/>
    </xf>
    <xf numFmtId="3" fontId="2828" fillId="0" borderId="2397" xfId="0" applyNumberFormat="1" applyFont="1" applyBorder="1" applyAlignment="1">
      <alignment horizontal="right"/>
    </xf>
    <xf numFmtId="3" fontId="2829" fillId="0" borderId="2398" xfId="0" applyNumberFormat="1" applyFont="1" applyBorder="1" applyAlignment="1">
      <alignment horizontal="right"/>
    </xf>
    <xf numFmtId="3" fontId="2913" fillId="0" borderId="2482" xfId="0" applyNumberFormat="1" applyFont="1" applyBorder="1" applyAlignment="1">
      <alignment horizontal="left"/>
    </xf>
    <xf numFmtId="3" fontId="2914" fillId="0" borderId="2483" xfId="0" applyNumberFormat="1" applyFont="1" applyBorder="1" applyAlignment="1">
      <alignment horizontal="right"/>
    </xf>
    <xf numFmtId="3" fontId="2915" fillId="0" borderId="2484" xfId="0" applyNumberFormat="1" applyFont="1" applyBorder="1" applyAlignment="1">
      <alignment horizontal="right"/>
    </xf>
    <xf numFmtId="3" fontId="2916" fillId="0" borderId="2485" xfId="0" applyNumberFormat="1" applyFont="1" applyBorder="1" applyAlignment="1">
      <alignment horizontal="right"/>
    </xf>
    <xf numFmtId="3" fontId="2917" fillId="0" borderId="2486" xfId="0" applyNumberFormat="1" applyFont="1" applyBorder="1" applyAlignment="1">
      <alignment horizontal="right"/>
    </xf>
    <xf numFmtId="3" fontId="3021" fillId="0" borderId="2590" xfId="0" applyNumberFormat="1" applyFont="1" applyBorder="1" applyAlignment="1">
      <alignment horizontal="left"/>
    </xf>
    <xf numFmtId="3" fontId="3022" fillId="0" borderId="2591" xfId="0" applyNumberFormat="1" applyFont="1" applyBorder="1" applyAlignment="1">
      <alignment horizontal="right"/>
    </xf>
    <xf numFmtId="3" fontId="3023" fillId="0" borderId="2592" xfId="0" applyNumberFormat="1" applyFont="1" applyBorder="1" applyAlignment="1">
      <alignment horizontal="right"/>
    </xf>
    <xf numFmtId="3" fontId="3024" fillId="0" borderId="2593" xfId="0" applyNumberFormat="1" applyFont="1" applyBorder="1" applyAlignment="1">
      <alignment horizontal="right"/>
    </xf>
    <xf numFmtId="3" fontId="3025" fillId="0" borderId="2594" xfId="0" applyNumberFormat="1" applyFont="1" applyBorder="1" applyAlignment="1">
      <alignment horizontal="right"/>
    </xf>
    <xf numFmtId="3" fontId="3129" fillId="0" borderId="2698" xfId="0" applyNumberFormat="1" applyFont="1" applyBorder="1" applyAlignment="1">
      <alignment horizontal="left"/>
    </xf>
    <xf numFmtId="3" fontId="3130" fillId="0" borderId="2699" xfId="0" applyNumberFormat="1" applyFont="1" applyBorder="1" applyAlignment="1">
      <alignment horizontal="right"/>
    </xf>
    <xf numFmtId="3" fontId="3131" fillId="0" borderId="2700" xfId="0" applyNumberFormat="1" applyFont="1" applyBorder="1" applyAlignment="1">
      <alignment horizontal="right"/>
    </xf>
    <xf numFmtId="3" fontId="3132" fillId="0" borderId="2701" xfId="0" applyNumberFormat="1" applyFont="1" applyBorder="1" applyAlignment="1">
      <alignment horizontal="right"/>
    </xf>
    <xf numFmtId="3" fontId="3133" fillId="0" borderId="2702" xfId="0" applyNumberFormat="1" applyFont="1" applyBorder="1" applyAlignment="1">
      <alignment horizontal="right"/>
    </xf>
    <xf numFmtId="3" fontId="3351" fillId="0" borderId="2920" xfId="0" applyNumberFormat="1" applyFont="1" applyBorder="1" applyAlignment="1">
      <alignment horizontal="left"/>
    </xf>
    <xf numFmtId="3" fontId="3352" fillId="0" borderId="2921" xfId="0" applyNumberFormat="1" applyFont="1" applyBorder="1" applyAlignment="1">
      <alignment horizontal="right"/>
    </xf>
    <xf numFmtId="3" fontId="3353" fillId="0" borderId="2922" xfId="0" applyNumberFormat="1" applyFont="1" applyBorder="1" applyAlignment="1">
      <alignment horizontal="right"/>
    </xf>
    <xf numFmtId="3" fontId="3354" fillId="0" borderId="2923" xfId="0" applyNumberFormat="1" applyFont="1" applyBorder="1" applyAlignment="1">
      <alignment horizontal="right"/>
    </xf>
    <xf numFmtId="3" fontId="2831" fillId="0" borderId="2400" xfId="0" applyNumberFormat="1" applyFont="1" applyBorder="1" applyAlignment="1">
      <alignment horizontal="right"/>
    </xf>
    <xf numFmtId="3" fontId="2832" fillId="0" borderId="2401" xfId="0" applyNumberFormat="1" applyFont="1" applyBorder="1" applyAlignment="1">
      <alignment horizontal="right"/>
    </xf>
    <xf numFmtId="3" fontId="2833" fillId="0" borderId="2402" xfId="0" applyNumberFormat="1" applyFont="1" applyBorder="1" applyAlignment="1">
      <alignment horizontal="right"/>
    </xf>
    <xf numFmtId="3" fontId="2834" fillId="0" borderId="2403" xfId="0" applyNumberFormat="1" applyFont="1" applyBorder="1" applyAlignment="1">
      <alignment horizontal="right"/>
    </xf>
    <xf numFmtId="3" fontId="2918" fillId="0" borderId="2487" xfId="0" applyNumberFormat="1" applyFont="1" applyBorder="1" applyAlignment="1">
      <alignment horizontal="left"/>
    </xf>
    <xf numFmtId="3" fontId="2919" fillId="0" borderId="2488" xfId="0" applyNumberFormat="1" applyFont="1" applyBorder="1" applyAlignment="1">
      <alignment horizontal="right"/>
    </xf>
    <xf numFmtId="3" fontId="2920" fillId="0" borderId="2489" xfId="0" applyNumberFormat="1" applyFont="1" applyBorder="1" applyAlignment="1">
      <alignment horizontal="right"/>
    </xf>
    <xf numFmtId="3" fontId="2921" fillId="0" borderId="2490" xfId="0" applyNumberFormat="1" applyFont="1" applyBorder="1" applyAlignment="1">
      <alignment horizontal="right"/>
    </xf>
    <xf numFmtId="3" fontId="2922" fillId="0" borderId="2491" xfId="0" applyNumberFormat="1" applyFont="1" applyBorder="1" applyAlignment="1">
      <alignment horizontal="right"/>
    </xf>
    <xf numFmtId="3" fontId="3026" fillId="0" borderId="2595" xfId="0" applyNumberFormat="1" applyFont="1" applyBorder="1" applyAlignment="1">
      <alignment horizontal="left"/>
    </xf>
    <xf numFmtId="3" fontId="3027" fillId="0" borderId="2596" xfId="0" applyNumberFormat="1" applyFont="1" applyBorder="1" applyAlignment="1">
      <alignment horizontal="right"/>
    </xf>
    <xf numFmtId="3" fontId="3028" fillId="0" borderId="2597" xfId="0" applyNumberFormat="1" applyFont="1" applyBorder="1" applyAlignment="1">
      <alignment horizontal="right"/>
    </xf>
    <xf numFmtId="3" fontId="3029" fillId="0" borderId="2598" xfId="0" applyNumberFormat="1" applyFont="1" applyBorder="1" applyAlignment="1">
      <alignment horizontal="right"/>
    </xf>
    <xf numFmtId="3" fontId="3030" fillId="0" borderId="2599" xfId="0" applyNumberFormat="1" applyFont="1" applyBorder="1" applyAlignment="1">
      <alignment horizontal="right"/>
    </xf>
    <xf numFmtId="3" fontId="3134" fillId="0" borderId="2703" xfId="0" applyNumberFormat="1" applyFont="1" applyBorder="1" applyAlignment="1">
      <alignment horizontal="left"/>
    </xf>
    <xf numFmtId="3" fontId="3135" fillId="0" borderId="2704" xfId="0" applyNumberFormat="1" applyFont="1" applyBorder="1" applyAlignment="1">
      <alignment horizontal="right"/>
    </xf>
    <xf numFmtId="3" fontId="3136" fillId="0" borderId="2705" xfId="0" applyNumberFormat="1" applyFont="1" applyBorder="1" applyAlignment="1">
      <alignment horizontal="right"/>
    </xf>
    <xf numFmtId="3" fontId="3137" fillId="0" borderId="2706" xfId="0" applyNumberFormat="1" applyFont="1" applyBorder="1" applyAlignment="1">
      <alignment horizontal="right"/>
    </xf>
    <xf numFmtId="3" fontId="3138" fillId="0" borderId="2707" xfId="0" applyNumberFormat="1" applyFont="1" applyBorder="1" applyAlignment="1">
      <alignment horizontal="right"/>
    </xf>
    <xf numFmtId="3" fontId="2836" fillId="0" borderId="2405" xfId="0" applyNumberFormat="1" applyFont="1" applyBorder="1" applyAlignment="1">
      <alignment horizontal="right"/>
    </xf>
    <xf numFmtId="3" fontId="2837" fillId="0" borderId="2406" xfId="0" applyNumberFormat="1" applyFont="1" applyBorder="1" applyAlignment="1">
      <alignment horizontal="right"/>
    </xf>
    <xf numFmtId="3" fontId="2838" fillId="0" borderId="2407" xfId="0" applyNumberFormat="1" applyFont="1" applyBorder="1" applyAlignment="1">
      <alignment horizontal="right"/>
    </xf>
    <xf numFmtId="3" fontId="2839" fillId="0" borderId="2408" xfId="0" applyNumberFormat="1" applyFont="1" applyBorder="1" applyAlignment="1">
      <alignment horizontal="right"/>
    </xf>
    <xf numFmtId="3" fontId="2923" fillId="0" borderId="2492" xfId="0" applyNumberFormat="1" applyFont="1" applyBorder="1" applyAlignment="1">
      <alignment horizontal="left"/>
    </xf>
    <xf numFmtId="3" fontId="2924" fillId="0" borderId="2493" xfId="0" applyNumberFormat="1" applyFont="1" applyBorder="1" applyAlignment="1">
      <alignment horizontal="right"/>
    </xf>
    <xf numFmtId="3" fontId="2925" fillId="0" borderId="2494" xfId="0" applyNumberFormat="1" applyFont="1" applyBorder="1" applyAlignment="1">
      <alignment horizontal="right"/>
    </xf>
    <xf numFmtId="3" fontId="2926" fillId="0" borderId="2495" xfId="0" applyNumberFormat="1" applyFont="1" applyBorder="1" applyAlignment="1">
      <alignment horizontal="right"/>
    </xf>
    <xf numFmtId="3" fontId="2927" fillId="0" borderId="2496" xfId="0" applyNumberFormat="1" applyFont="1" applyBorder="1" applyAlignment="1">
      <alignment horizontal="right"/>
    </xf>
    <xf numFmtId="3" fontId="3031" fillId="0" borderId="2600" xfId="0" applyNumberFormat="1" applyFont="1" applyBorder="1" applyAlignment="1">
      <alignment horizontal="left"/>
    </xf>
    <xf numFmtId="3" fontId="3032" fillId="0" borderId="2601" xfId="0" applyNumberFormat="1" applyFont="1" applyBorder="1" applyAlignment="1">
      <alignment horizontal="right"/>
    </xf>
    <xf numFmtId="3" fontId="3033" fillId="0" borderId="2602" xfId="0" applyNumberFormat="1" applyFont="1" applyBorder="1" applyAlignment="1">
      <alignment horizontal="right"/>
    </xf>
    <xf numFmtId="3" fontId="3034" fillId="0" borderId="2603" xfId="0" applyNumberFormat="1" applyFont="1" applyBorder="1" applyAlignment="1">
      <alignment horizontal="right"/>
    </xf>
    <xf numFmtId="3" fontId="3035" fillId="0" borderId="2604" xfId="0" applyNumberFormat="1" applyFont="1" applyBorder="1" applyAlignment="1">
      <alignment horizontal="right"/>
    </xf>
    <xf numFmtId="3" fontId="3139" fillId="0" borderId="2708" xfId="0" applyNumberFormat="1" applyFont="1" applyBorder="1" applyAlignment="1">
      <alignment horizontal="left"/>
    </xf>
    <xf numFmtId="3" fontId="3140" fillId="0" borderId="2709" xfId="0" applyNumberFormat="1" applyFont="1" applyBorder="1" applyAlignment="1">
      <alignment horizontal="right"/>
    </xf>
    <xf numFmtId="3" fontId="3141" fillId="0" borderId="2710" xfId="0" applyNumberFormat="1" applyFont="1" applyBorder="1" applyAlignment="1">
      <alignment horizontal="right"/>
    </xf>
    <xf numFmtId="3" fontId="3142" fillId="0" borderId="2711" xfId="0" applyNumberFormat="1" applyFont="1" applyBorder="1" applyAlignment="1">
      <alignment horizontal="right"/>
    </xf>
    <xf numFmtId="3" fontId="3143" fillId="0" borderId="2712" xfId="0" applyNumberFormat="1" applyFont="1" applyBorder="1" applyAlignment="1">
      <alignment horizontal="right"/>
    </xf>
    <xf numFmtId="3" fontId="2841" fillId="0" borderId="2410" xfId="0" applyNumberFormat="1" applyFont="1" applyBorder="1" applyAlignment="1">
      <alignment horizontal="right"/>
    </xf>
    <xf numFmtId="3" fontId="2842" fillId="0" borderId="2411" xfId="0" applyNumberFormat="1" applyFont="1" applyBorder="1" applyAlignment="1">
      <alignment horizontal="right"/>
    </xf>
    <xf numFmtId="3" fontId="2843" fillId="0" borderId="2412" xfId="0" applyNumberFormat="1" applyFont="1" applyBorder="1" applyAlignment="1">
      <alignment horizontal="right"/>
    </xf>
    <xf numFmtId="3" fontId="2844" fillId="0" borderId="2413" xfId="0" applyNumberFormat="1" applyFont="1" applyBorder="1" applyAlignment="1">
      <alignment horizontal="right"/>
    </xf>
    <xf numFmtId="3" fontId="2928" fillId="0" borderId="2497" xfId="0" applyNumberFormat="1" applyFont="1" applyBorder="1" applyAlignment="1">
      <alignment horizontal="left"/>
    </xf>
    <xf numFmtId="3" fontId="2929" fillId="0" borderId="2498" xfId="0" applyNumberFormat="1" applyFont="1" applyBorder="1" applyAlignment="1">
      <alignment horizontal="right"/>
    </xf>
    <xf numFmtId="3" fontId="2930" fillId="0" borderId="2499" xfId="0" applyNumberFormat="1" applyFont="1" applyBorder="1" applyAlignment="1">
      <alignment horizontal="right"/>
    </xf>
    <xf numFmtId="3" fontId="2931" fillId="0" borderId="2500" xfId="0" applyNumberFormat="1" applyFont="1" applyBorder="1" applyAlignment="1">
      <alignment horizontal="right"/>
    </xf>
    <xf numFmtId="3" fontId="2932" fillId="0" borderId="2501" xfId="0" applyNumberFormat="1" applyFont="1" applyBorder="1" applyAlignment="1">
      <alignment horizontal="right"/>
    </xf>
    <xf numFmtId="3" fontId="3036" fillId="0" borderId="2605" xfId="0" applyNumberFormat="1" applyFont="1" applyBorder="1" applyAlignment="1">
      <alignment horizontal="left"/>
    </xf>
    <xf numFmtId="3" fontId="3037" fillId="0" borderId="2606" xfId="0" applyNumberFormat="1" applyFont="1" applyBorder="1" applyAlignment="1">
      <alignment horizontal="right"/>
    </xf>
    <xf numFmtId="3" fontId="3038" fillId="0" borderId="2607" xfId="0" applyNumberFormat="1" applyFont="1" applyBorder="1" applyAlignment="1">
      <alignment horizontal="right"/>
    </xf>
    <xf numFmtId="3" fontId="3039" fillId="0" borderId="2608" xfId="0" applyNumberFormat="1" applyFont="1" applyBorder="1" applyAlignment="1">
      <alignment horizontal="right"/>
    </xf>
    <xf numFmtId="3" fontId="3040" fillId="0" borderId="2609" xfId="0" applyNumberFormat="1" applyFont="1" applyBorder="1" applyAlignment="1">
      <alignment horizontal="right"/>
    </xf>
    <xf numFmtId="3" fontId="3144" fillId="0" borderId="2713" xfId="0" applyNumberFormat="1" applyFont="1" applyBorder="1" applyAlignment="1">
      <alignment horizontal="left"/>
    </xf>
    <xf numFmtId="3" fontId="3145" fillId="0" borderId="2714" xfId="0" applyNumberFormat="1" applyFont="1" applyBorder="1" applyAlignment="1">
      <alignment horizontal="right"/>
    </xf>
    <xf numFmtId="3" fontId="3146" fillId="0" borderId="2715" xfId="0" applyNumberFormat="1" applyFont="1" applyBorder="1" applyAlignment="1">
      <alignment horizontal="right"/>
    </xf>
    <xf numFmtId="3" fontId="3147" fillId="0" borderId="2716" xfId="0" applyNumberFormat="1" applyFont="1" applyBorder="1" applyAlignment="1">
      <alignment horizontal="right"/>
    </xf>
    <xf numFmtId="3" fontId="3148" fillId="0" borderId="2717" xfId="0" applyNumberFormat="1" applyFont="1" applyBorder="1" applyAlignment="1">
      <alignment horizontal="right"/>
    </xf>
    <xf numFmtId="3" fontId="2933" fillId="0" borderId="2502" xfId="0" applyNumberFormat="1" applyFont="1" applyBorder="1" applyAlignment="1">
      <alignment horizontal="left"/>
    </xf>
    <xf numFmtId="3" fontId="2934" fillId="0" borderId="2503" xfId="0" applyNumberFormat="1" applyFont="1" applyBorder="1" applyAlignment="1">
      <alignment horizontal="right"/>
    </xf>
    <xf numFmtId="3" fontId="2935" fillId="0" borderId="2504" xfId="0" applyNumberFormat="1" applyFont="1" applyBorder="1" applyAlignment="1">
      <alignment horizontal="right"/>
    </xf>
    <xf numFmtId="3" fontId="2936" fillId="0" borderId="2505" xfId="0" applyNumberFormat="1" applyFont="1" applyBorder="1" applyAlignment="1">
      <alignment horizontal="right"/>
    </xf>
    <xf numFmtId="3" fontId="2937" fillId="0" borderId="2506" xfId="0" applyNumberFormat="1" applyFont="1" applyBorder="1" applyAlignment="1">
      <alignment horizontal="right"/>
    </xf>
    <xf numFmtId="3" fontId="3041" fillId="0" borderId="2610" xfId="0" applyNumberFormat="1" applyFont="1" applyBorder="1" applyAlignment="1">
      <alignment horizontal="left"/>
    </xf>
    <xf numFmtId="3" fontId="3042" fillId="0" borderId="2611" xfId="0" applyNumberFormat="1" applyFont="1" applyBorder="1" applyAlignment="1">
      <alignment horizontal="right"/>
    </xf>
    <xf numFmtId="3" fontId="3043" fillId="0" borderId="2612" xfId="0" applyNumberFormat="1" applyFont="1" applyBorder="1" applyAlignment="1">
      <alignment horizontal="right"/>
    </xf>
    <xf numFmtId="3" fontId="3044" fillId="0" borderId="2613" xfId="0" applyNumberFormat="1" applyFont="1" applyBorder="1" applyAlignment="1">
      <alignment horizontal="right"/>
    </xf>
    <xf numFmtId="3" fontId="3045" fillId="0" borderId="2614" xfId="0" applyNumberFormat="1" applyFont="1" applyBorder="1" applyAlignment="1">
      <alignment horizontal="right"/>
    </xf>
    <xf numFmtId="3" fontId="3149" fillId="0" borderId="2718" xfId="0" applyNumberFormat="1" applyFont="1" applyBorder="1" applyAlignment="1">
      <alignment horizontal="left"/>
    </xf>
    <xf numFmtId="3" fontId="3150" fillId="0" borderId="2719" xfId="0" applyNumberFormat="1" applyFont="1" applyBorder="1" applyAlignment="1">
      <alignment horizontal="right"/>
    </xf>
    <xf numFmtId="3" fontId="3151" fillId="0" borderId="2720" xfId="0" applyNumberFormat="1" applyFont="1" applyBorder="1" applyAlignment="1">
      <alignment horizontal="right"/>
    </xf>
    <xf numFmtId="3" fontId="3152" fillId="0" borderId="2721" xfId="0" applyNumberFormat="1" applyFont="1" applyBorder="1" applyAlignment="1">
      <alignment horizontal="right"/>
    </xf>
    <xf numFmtId="3" fontId="3153" fillId="0" borderId="2722" xfId="0" applyNumberFormat="1" applyFont="1" applyBorder="1" applyAlignment="1">
      <alignment horizontal="right"/>
    </xf>
    <xf numFmtId="3" fontId="2938" fillId="0" borderId="2507" xfId="0" applyNumberFormat="1" applyFont="1" applyBorder="1" applyAlignment="1">
      <alignment horizontal="left"/>
    </xf>
    <xf numFmtId="3" fontId="2939" fillId="0" borderId="2508" xfId="0" applyNumberFormat="1" applyFont="1" applyBorder="1" applyAlignment="1">
      <alignment horizontal="right"/>
    </xf>
    <xf numFmtId="3" fontId="2940" fillId="0" borderId="2509" xfId="0" applyNumberFormat="1" applyFont="1" applyBorder="1" applyAlignment="1">
      <alignment horizontal="right"/>
    </xf>
    <xf numFmtId="3" fontId="2941" fillId="0" borderId="2510" xfId="0" applyNumberFormat="1" applyFont="1" applyBorder="1" applyAlignment="1">
      <alignment horizontal="right"/>
    </xf>
    <xf numFmtId="3" fontId="2942" fillId="0" borderId="2511" xfId="0" applyNumberFormat="1" applyFont="1" applyBorder="1" applyAlignment="1">
      <alignment horizontal="right"/>
    </xf>
    <xf numFmtId="3" fontId="3046" fillId="0" borderId="2615" xfId="0" applyNumberFormat="1" applyFont="1" applyBorder="1" applyAlignment="1">
      <alignment horizontal="left"/>
    </xf>
    <xf numFmtId="3" fontId="3047" fillId="0" borderId="2616" xfId="0" applyNumberFormat="1" applyFont="1" applyBorder="1" applyAlignment="1">
      <alignment horizontal="right"/>
    </xf>
    <xf numFmtId="3" fontId="3048" fillId="0" borderId="2617" xfId="0" applyNumberFormat="1" applyFont="1" applyBorder="1" applyAlignment="1">
      <alignment horizontal="right"/>
    </xf>
    <xf numFmtId="3" fontId="3049" fillId="0" borderId="2618" xfId="0" applyNumberFormat="1" applyFont="1" applyBorder="1" applyAlignment="1">
      <alignment horizontal="right"/>
    </xf>
    <xf numFmtId="3" fontId="3050" fillId="0" borderId="2619" xfId="0" applyNumberFormat="1" applyFont="1" applyBorder="1" applyAlignment="1">
      <alignment horizontal="right"/>
    </xf>
    <xf numFmtId="3" fontId="3154" fillId="0" borderId="2723" xfId="0" applyNumberFormat="1" applyFont="1" applyBorder="1" applyAlignment="1">
      <alignment horizontal="left"/>
    </xf>
    <xf numFmtId="3" fontId="3155" fillId="0" borderId="2724" xfId="0" applyNumberFormat="1" applyFont="1" applyBorder="1" applyAlignment="1">
      <alignment horizontal="right"/>
    </xf>
    <xf numFmtId="3" fontId="3156" fillId="0" borderId="2725" xfId="0" applyNumberFormat="1" applyFont="1" applyBorder="1" applyAlignment="1">
      <alignment horizontal="right"/>
    </xf>
    <xf numFmtId="3" fontId="3157" fillId="0" borderId="2726" xfId="0" applyNumberFormat="1" applyFont="1" applyBorder="1" applyAlignment="1">
      <alignment horizontal="right"/>
    </xf>
    <xf numFmtId="3" fontId="3158" fillId="0" borderId="2727" xfId="0" applyNumberFormat="1" applyFont="1" applyBorder="1" applyAlignment="1">
      <alignment horizontal="right"/>
    </xf>
    <xf numFmtId="3" fontId="2943" fillId="0" borderId="2512" xfId="0" applyNumberFormat="1" applyFont="1" applyBorder="1" applyAlignment="1">
      <alignment horizontal="left"/>
    </xf>
    <xf numFmtId="3" fontId="2944" fillId="0" borderId="2513" xfId="0" applyNumberFormat="1" applyFont="1" applyBorder="1" applyAlignment="1">
      <alignment horizontal="right"/>
    </xf>
    <xf numFmtId="3" fontId="2945" fillId="0" borderId="2514" xfId="0" applyNumberFormat="1" applyFont="1" applyBorder="1" applyAlignment="1">
      <alignment horizontal="right"/>
    </xf>
    <xf numFmtId="3" fontId="2946" fillId="0" borderId="2515" xfId="0" applyNumberFormat="1" applyFont="1" applyBorder="1" applyAlignment="1">
      <alignment horizontal="right"/>
    </xf>
    <xf numFmtId="3" fontId="2947" fillId="0" borderId="2516" xfId="0" applyNumberFormat="1" applyFont="1" applyBorder="1" applyAlignment="1">
      <alignment horizontal="right"/>
    </xf>
    <xf numFmtId="3" fontId="3051" fillId="0" borderId="2620" xfId="0" applyNumberFormat="1" applyFont="1" applyBorder="1" applyAlignment="1">
      <alignment horizontal="left"/>
    </xf>
    <xf numFmtId="3" fontId="3052" fillId="0" borderId="2621" xfId="0" applyNumberFormat="1" applyFont="1" applyBorder="1" applyAlignment="1">
      <alignment horizontal="right"/>
    </xf>
    <xf numFmtId="3" fontId="3053" fillId="0" borderId="2622" xfId="0" applyNumberFormat="1" applyFont="1" applyBorder="1" applyAlignment="1">
      <alignment horizontal="right"/>
    </xf>
    <xf numFmtId="3" fontId="3054" fillId="0" borderId="2623" xfId="0" applyNumberFormat="1" applyFont="1" applyBorder="1" applyAlignment="1">
      <alignment horizontal="right"/>
    </xf>
    <xf numFmtId="3" fontId="3055" fillId="0" borderId="2624" xfId="0" applyNumberFormat="1" applyFont="1" applyBorder="1" applyAlignment="1">
      <alignment horizontal="right"/>
    </xf>
    <xf numFmtId="3" fontId="3159" fillId="0" borderId="2728" xfId="0" applyNumberFormat="1" applyFont="1" applyBorder="1" applyAlignment="1">
      <alignment horizontal="left"/>
    </xf>
    <xf numFmtId="3" fontId="3160" fillId="0" borderId="2729" xfId="0" applyNumberFormat="1" applyFont="1" applyBorder="1" applyAlignment="1">
      <alignment horizontal="right"/>
    </xf>
    <xf numFmtId="3" fontId="3161" fillId="0" borderId="2730" xfId="0" applyNumberFormat="1" applyFont="1" applyBorder="1" applyAlignment="1">
      <alignment horizontal="right"/>
    </xf>
    <xf numFmtId="3" fontId="3162" fillId="0" borderId="2731" xfId="0" applyNumberFormat="1" applyFont="1" applyBorder="1" applyAlignment="1">
      <alignment horizontal="right"/>
    </xf>
    <xf numFmtId="3" fontId="3163" fillId="0" borderId="2732" xfId="0" applyNumberFormat="1" applyFont="1" applyBorder="1" applyAlignment="1">
      <alignment horizontal="right"/>
    </xf>
    <xf numFmtId="3" fontId="2948" fillId="0" borderId="2517" xfId="0" applyNumberFormat="1" applyFont="1" applyBorder="1" applyAlignment="1">
      <alignment horizontal="left"/>
    </xf>
    <xf numFmtId="3" fontId="2949" fillId="0" borderId="2518" xfId="0" applyNumberFormat="1" applyFont="1" applyBorder="1" applyAlignment="1">
      <alignment horizontal="right"/>
    </xf>
    <xf numFmtId="3" fontId="2950" fillId="0" borderId="2519" xfId="0" applyNumberFormat="1" applyFont="1" applyBorder="1" applyAlignment="1">
      <alignment horizontal="right"/>
    </xf>
    <xf numFmtId="3" fontId="2951" fillId="0" borderId="2520" xfId="0" applyNumberFormat="1" applyFont="1" applyBorder="1" applyAlignment="1">
      <alignment horizontal="right"/>
    </xf>
    <xf numFmtId="3" fontId="2952" fillId="0" borderId="2521" xfId="0" applyNumberFormat="1" applyFont="1" applyBorder="1" applyAlignment="1">
      <alignment horizontal="right"/>
    </xf>
    <xf numFmtId="3" fontId="3056" fillId="0" borderId="2625" xfId="0" applyNumberFormat="1" applyFont="1" applyBorder="1" applyAlignment="1">
      <alignment horizontal="left"/>
    </xf>
    <xf numFmtId="3" fontId="3057" fillId="0" borderId="2626" xfId="0" applyNumberFormat="1" applyFont="1" applyBorder="1" applyAlignment="1">
      <alignment horizontal="right"/>
    </xf>
    <xf numFmtId="3" fontId="3058" fillId="0" borderId="2627" xfId="0" applyNumberFormat="1" applyFont="1" applyBorder="1" applyAlignment="1">
      <alignment horizontal="right"/>
    </xf>
    <xf numFmtId="3" fontId="3059" fillId="0" borderId="2628" xfId="0" applyNumberFormat="1" applyFont="1" applyBorder="1" applyAlignment="1">
      <alignment horizontal="right"/>
    </xf>
    <xf numFmtId="3" fontId="3060" fillId="0" borderId="2629" xfId="0" applyNumberFormat="1" applyFont="1" applyBorder="1" applyAlignment="1">
      <alignment horizontal="right"/>
    </xf>
    <xf numFmtId="3" fontId="3164" fillId="0" borderId="2733" xfId="0" applyNumberFormat="1" applyFont="1" applyBorder="1" applyAlignment="1">
      <alignment horizontal="left"/>
    </xf>
    <xf numFmtId="3" fontId="3165" fillId="0" borderId="2734" xfId="0" applyNumberFormat="1" applyFont="1" applyBorder="1" applyAlignment="1">
      <alignment horizontal="right"/>
    </xf>
    <xf numFmtId="3" fontId="3166" fillId="0" borderId="2735" xfId="0" applyNumberFormat="1" applyFont="1" applyBorder="1" applyAlignment="1">
      <alignment horizontal="right"/>
    </xf>
    <xf numFmtId="3" fontId="3167" fillId="0" borderId="2736" xfId="0" applyNumberFormat="1" applyFont="1" applyBorder="1" applyAlignment="1">
      <alignment horizontal="right"/>
    </xf>
    <xf numFmtId="3" fontId="3168" fillId="0" borderId="2737" xfId="0" applyNumberFormat="1" applyFont="1" applyBorder="1" applyAlignment="1">
      <alignment horizontal="right"/>
    </xf>
    <xf numFmtId="3" fontId="0" fillId="21" borderId="0" xfId="0" applyNumberFormat="1" applyFill="1"/>
    <xf numFmtId="1" fontId="3" fillId="19" borderId="2919" xfId="0" applyNumberFormat="1" applyFont="1" applyFill="1" applyBorder="1" applyAlignment="1">
      <alignment horizontal="left"/>
    </xf>
    <xf numFmtId="164" fontId="0" fillId="3" borderId="0" xfId="0" applyNumberFormat="1" applyFill="1"/>
    <xf numFmtId="2" fontId="0" fillId="3" borderId="0" xfId="0" applyNumberFormat="1" applyFill="1"/>
    <xf numFmtId="0" fontId="2558" fillId="0" borderId="2919" xfId="0" applyFont="1" applyBorder="1" applyAlignment="1">
      <alignment horizontal="center"/>
    </xf>
    <xf numFmtId="0" fontId="2559" fillId="0" borderId="2919" xfId="0" applyFont="1" applyBorder="1" applyAlignment="1">
      <alignment horizontal="right"/>
    </xf>
    <xf numFmtId="0" fontId="2560" fillId="0" borderId="2919" xfId="0" applyFont="1" applyBorder="1"/>
    <xf numFmtId="169" fontId="2561" fillId="0" borderId="2919" xfId="0" applyNumberFormat="1" applyFont="1" applyBorder="1" applyAlignment="1">
      <alignment horizontal="right"/>
    </xf>
    <xf numFmtId="169" fontId="2562" fillId="0" borderId="2919" xfId="0" applyNumberFormat="1" applyFont="1" applyBorder="1" applyAlignment="1">
      <alignment horizontal="right"/>
    </xf>
    <xf numFmtId="169" fontId="2563" fillId="0" borderId="2919" xfId="0" applyNumberFormat="1" applyFont="1" applyBorder="1" applyAlignment="1">
      <alignment horizontal="right"/>
    </xf>
    <xf numFmtId="169" fontId="2564" fillId="0" borderId="2919" xfId="0" applyNumberFormat="1" applyFont="1" applyBorder="1" applyAlignment="1">
      <alignment horizontal="right"/>
    </xf>
    <xf numFmtId="169" fontId="2565" fillId="0" borderId="2919" xfId="0" applyNumberFormat="1" applyFont="1" applyBorder="1" applyAlignment="1">
      <alignment horizontal="right"/>
    </xf>
    <xf numFmtId="169" fontId="2566" fillId="0" borderId="2919" xfId="0" applyNumberFormat="1" applyFont="1" applyBorder="1" applyAlignment="1">
      <alignment horizontal="right"/>
    </xf>
    <xf numFmtId="169" fontId="2567" fillId="0" borderId="2919" xfId="0" applyNumberFormat="1" applyFont="1" applyBorder="1" applyAlignment="1">
      <alignment horizontal="right"/>
    </xf>
    <xf numFmtId="169" fontId="2568" fillId="0" borderId="2919" xfId="0" applyNumberFormat="1" applyFont="1" applyBorder="1" applyAlignment="1">
      <alignment horizontal="right"/>
    </xf>
    <xf numFmtId="169" fontId="2569" fillId="0" borderId="2919" xfId="0" applyNumberFormat="1" applyFont="1" applyBorder="1" applyAlignment="1">
      <alignment horizontal="right"/>
    </xf>
    <xf numFmtId="169" fontId="2570" fillId="0" borderId="2919" xfId="0" applyNumberFormat="1" applyFont="1" applyBorder="1" applyAlignment="1">
      <alignment horizontal="right"/>
    </xf>
    <xf numFmtId="169" fontId="2571" fillId="0" borderId="2919" xfId="0" applyNumberFormat="1" applyFont="1" applyBorder="1" applyAlignment="1">
      <alignment horizontal="right"/>
    </xf>
    <xf numFmtId="169" fontId="2572" fillId="0" borderId="2919" xfId="0" applyNumberFormat="1" applyFont="1" applyBorder="1" applyAlignment="1">
      <alignment horizontal="right"/>
    </xf>
    <xf numFmtId="169" fontId="2573" fillId="0" borderId="2919" xfId="0" applyNumberFormat="1" applyFont="1" applyBorder="1" applyAlignment="1">
      <alignment horizontal="right"/>
    </xf>
    <xf numFmtId="0" fontId="2574" fillId="0" borderId="2919" xfId="0" applyFont="1" applyBorder="1"/>
    <xf numFmtId="169" fontId="2575" fillId="0" borderId="2919" xfId="0" applyNumberFormat="1" applyFont="1" applyBorder="1" applyAlignment="1">
      <alignment horizontal="right"/>
    </xf>
    <xf numFmtId="169" fontId="2576" fillId="0" borderId="2919" xfId="0" applyNumberFormat="1" applyFont="1" applyBorder="1" applyAlignment="1">
      <alignment horizontal="right"/>
    </xf>
    <xf numFmtId="169" fontId="2577" fillId="0" borderId="2919" xfId="0" applyNumberFormat="1" applyFont="1" applyBorder="1" applyAlignment="1">
      <alignment horizontal="right"/>
    </xf>
    <xf numFmtId="169" fontId="2578" fillId="0" borderId="2919" xfId="0" applyNumberFormat="1" applyFont="1" applyBorder="1" applyAlignment="1">
      <alignment horizontal="right"/>
    </xf>
    <xf numFmtId="169" fontId="2579" fillId="0" borderId="2919" xfId="0" applyNumberFormat="1" applyFont="1" applyBorder="1" applyAlignment="1">
      <alignment horizontal="right"/>
    </xf>
    <xf numFmtId="169" fontId="2580" fillId="0" borderId="2919" xfId="0" applyNumberFormat="1" applyFont="1" applyBorder="1" applyAlignment="1">
      <alignment horizontal="right"/>
    </xf>
    <xf numFmtId="169" fontId="2581" fillId="0" borderId="2919" xfId="0" applyNumberFormat="1" applyFont="1" applyBorder="1" applyAlignment="1">
      <alignment horizontal="right"/>
    </xf>
    <xf numFmtId="169" fontId="2582" fillId="0" borderId="2919" xfId="0" applyNumberFormat="1" applyFont="1" applyBorder="1" applyAlignment="1">
      <alignment horizontal="right"/>
    </xf>
    <xf numFmtId="169" fontId="2583" fillId="0" borderId="2919" xfId="0" applyNumberFormat="1" applyFont="1" applyBorder="1" applyAlignment="1">
      <alignment horizontal="right"/>
    </xf>
    <xf numFmtId="169" fontId="2584" fillId="0" borderId="2919" xfId="0" applyNumberFormat="1" applyFont="1" applyBorder="1" applyAlignment="1">
      <alignment horizontal="right"/>
    </xf>
    <xf numFmtId="169" fontId="2585" fillId="0" borderId="2919" xfId="0" applyNumberFormat="1" applyFont="1" applyBorder="1" applyAlignment="1">
      <alignment horizontal="right"/>
    </xf>
    <xf numFmtId="169" fontId="2586" fillId="0" borderId="2919" xfId="0" applyNumberFormat="1" applyFont="1" applyBorder="1" applyAlignment="1">
      <alignment horizontal="right"/>
    </xf>
    <xf numFmtId="169" fontId="2587" fillId="0" borderId="2919" xfId="0" applyNumberFormat="1" applyFont="1" applyBorder="1" applyAlignment="1">
      <alignment horizontal="right"/>
    </xf>
    <xf numFmtId="169" fontId="2588" fillId="0" borderId="2919" xfId="0" applyNumberFormat="1" applyFont="1" applyBorder="1" applyAlignment="1">
      <alignment horizontal="right"/>
    </xf>
    <xf numFmtId="169" fontId="2589" fillId="0" borderId="2919" xfId="0" applyNumberFormat="1" applyFont="1" applyBorder="1" applyAlignment="1">
      <alignment horizontal="right"/>
    </xf>
    <xf numFmtId="0" fontId="2590" fillId="0" borderId="2919" xfId="0" applyFont="1" applyBorder="1" applyAlignment="1">
      <alignment horizontal="center"/>
    </xf>
    <xf numFmtId="0" fontId="2591" fillId="0" borderId="2919" xfId="0" applyFont="1" applyBorder="1" applyAlignment="1">
      <alignment horizontal="right"/>
    </xf>
    <xf numFmtId="0" fontId="2592" fillId="0" borderId="2919" xfId="0" applyFont="1" applyBorder="1"/>
    <xf numFmtId="169" fontId="2593" fillId="0" borderId="2919" xfId="0" applyNumberFormat="1" applyFont="1" applyBorder="1" applyAlignment="1">
      <alignment horizontal="right"/>
    </xf>
    <xf numFmtId="169" fontId="2594" fillId="0" borderId="2919" xfId="0" applyNumberFormat="1" applyFont="1" applyBorder="1" applyAlignment="1">
      <alignment horizontal="right"/>
    </xf>
    <xf numFmtId="169" fontId="2595" fillId="0" borderId="2919" xfId="0" applyNumberFormat="1" applyFont="1" applyBorder="1" applyAlignment="1">
      <alignment horizontal="right"/>
    </xf>
    <xf numFmtId="169" fontId="2596" fillId="0" borderId="2919" xfId="0" applyNumberFormat="1" applyFont="1" applyBorder="1" applyAlignment="1">
      <alignment horizontal="right"/>
    </xf>
    <xf numFmtId="169" fontId="2597" fillId="0" borderId="2919" xfId="0" applyNumberFormat="1" applyFont="1" applyBorder="1" applyAlignment="1">
      <alignment horizontal="right"/>
    </xf>
    <xf numFmtId="169" fontId="2598" fillId="0" borderId="2919" xfId="0" applyNumberFormat="1" applyFont="1" applyBorder="1" applyAlignment="1">
      <alignment horizontal="right"/>
    </xf>
    <xf numFmtId="169" fontId="2599" fillId="0" borderId="2919" xfId="0" applyNumberFormat="1" applyFont="1" applyBorder="1" applyAlignment="1">
      <alignment horizontal="right"/>
    </xf>
    <xf numFmtId="169" fontId="2600" fillId="0" borderId="2919" xfId="0" applyNumberFormat="1" applyFont="1" applyBorder="1" applyAlignment="1">
      <alignment horizontal="right"/>
    </xf>
    <xf numFmtId="169" fontId="2601" fillId="0" borderId="2919" xfId="0" applyNumberFormat="1" applyFont="1" applyBorder="1" applyAlignment="1">
      <alignment horizontal="right"/>
    </xf>
    <xf numFmtId="169" fontId="2602" fillId="0" borderId="2919" xfId="0" applyNumberFormat="1" applyFont="1" applyBorder="1" applyAlignment="1">
      <alignment horizontal="right"/>
    </xf>
    <xf numFmtId="169" fontId="2603" fillId="0" borderId="2919" xfId="0" applyNumberFormat="1" applyFont="1" applyBorder="1" applyAlignment="1">
      <alignment horizontal="right"/>
    </xf>
    <xf numFmtId="169" fontId="2604" fillId="0" borderId="2919" xfId="0" applyNumberFormat="1" applyFont="1" applyBorder="1" applyAlignment="1">
      <alignment horizontal="right"/>
    </xf>
    <xf numFmtId="169" fontId="2605" fillId="0" borderId="2919" xfId="0" applyNumberFormat="1" applyFont="1" applyBorder="1" applyAlignment="1">
      <alignment horizontal="right"/>
    </xf>
    <xf numFmtId="169" fontId="2606" fillId="0" borderId="2919" xfId="0" applyNumberFormat="1" applyFont="1" applyBorder="1" applyAlignment="1">
      <alignment horizontal="right"/>
    </xf>
    <xf numFmtId="169" fontId="2607" fillId="0" borderId="2919" xfId="0" applyNumberFormat="1" applyFont="1" applyBorder="1" applyAlignment="1">
      <alignment horizontal="right"/>
    </xf>
    <xf numFmtId="169" fontId="2608" fillId="0" borderId="2919" xfId="0" applyNumberFormat="1" applyFont="1" applyBorder="1" applyAlignment="1">
      <alignment horizontal="right"/>
    </xf>
    <xf numFmtId="0" fontId="2609" fillId="0" borderId="2919" xfId="0" applyFont="1" applyBorder="1" applyAlignment="1">
      <alignment horizontal="center"/>
    </xf>
    <xf numFmtId="0" fontId="2610" fillId="0" borderId="2919" xfId="0" applyFont="1" applyBorder="1" applyAlignment="1">
      <alignment horizontal="right"/>
    </xf>
    <xf numFmtId="0" fontId="2611" fillId="0" borderId="2919" xfId="0" applyFont="1" applyBorder="1"/>
    <xf numFmtId="169" fontId="2612" fillId="0" borderId="2919" xfId="0" applyNumberFormat="1" applyFont="1" applyBorder="1" applyAlignment="1">
      <alignment horizontal="right"/>
    </xf>
    <xf numFmtId="169" fontId="2613" fillId="0" borderId="2919" xfId="0" applyNumberFormat="1" applyFont="1" applyBorder="1" applyAlignment="1">
      <alignment horizontal="right"/>
    </xf>
    <xf numFmtId="169" fontId="2614" fillId="0" borderId="2919" xfId="0" applyNumberFormat="1" applyFont="1" applyBorder="1" applyAlignment="1">
      <alignment horizontal="right"/>
    </xf>
    <xf numFmtId="169" fontId="2615" fillId="0" borderId="2919" xfId="0" applyNumberFormat="1" applyFont="1" applyBorder="1" applyAlignment="1">
      <alignment horizontal="right"/>
    </xf>
    <xf numFmtId="169" fontId="2616" fillId="0" borderId="2919" xfId="0" applyNumberFormat="1" applyFont="1" applyBorder="1" applyAlignment="1">
      <alignment horizontal="right"/>
    </xf>
    <xf numFmtId="169" fontId="2617" fillId="0" borderId="2919" xfId="0" applyNumberFormat="1" applyFont="1" applyBorder="1" applyAlignment="1">
      <alignment horizontal="right"/>
    </xf>
    <xf numFmtId="169" fontId="2618" fillId="0" borderId="2919" xfId="0" applyNumberFormat="1" applyFont="1" applyBorder="1" applyAlignment="1">
      <alignment horizontal="right"/>
    </xf>
    <xf numFmtId="169" fontId="2619" fillId="0" borderId="2919" xfId="0" applyNumberFormat="1" applyFont="1" applyBorder="1" applyAlignment="1">
      <alignment horizontal="right"/>
    </xf>
    <xf numFmtId="169" fontId="2620" fillId="0" borderId="2919" xfId="0" applyNumberFormat="1" applyFont="1" applyBorder="1" applyAlignment="1">
      <alignment horizontal="right"/>
    </xf>
    <xf numFmtId="169" fontId="2621" fillId="0" borderId="2919" xfId="0" applyNumberFormat="1" applyFont="1" applyBorder="1" applyAlignment="1">
      <alignment horizontal="right"/>
    </xf>
    <xf numFmtId="169" fontId="2622" fillId="0" borderId="2919" xfId="0" applyNumberFormat="1" applyFont="1" applyBorder="1" applyAlignment="1">
      <alignment horizontal="right"/>
    </xf>
    <xf numFmtId="169" fontId="2623" fillId="0" borderId="2919" xfId="0" applyNumberFormat="1" applyFont="1" applyBorder="1" applyAlignment="1">
      <alignment horizontal="right"/>
    </xf>
    <xf numFmtId="169" fontId="2624" fillId="0" borderId="2919" xfId="0" applyNumberFormat="1" applyFont="1" applyBorder="1" applyAlignment="1">
      <alignment horizontal="right"/>
    </xf>
    <xf numFmtId="169" fontId="2625" fillId="0" borderId="2919" xfId="0" applyNumberFormat="1" applyFont="1" applyBorder="1" applyAlignment="1">
      <alignment horizontal="right"/>
    </xf>
    <xf numFmtId="169" fontId="2626" fillId="0" borderId="2919" xfId="0" applyNumberFormat="1" applyFont="1" applyBorder="1" applyAlignment="1">
      <alignment horizontal="right"/>
    </xf>
    <xf numFmtId="169" fontId="2627" fillId="0" borderId="2919" xfId="0" applyNumberFormat="1" applyFont="1" applyBorder="1" applyAlignment="1">
      <alignment horizontal="right"/>
    </xf>
    <xf numFmtId="0" fontId="2628" fillId="0" borderId="2919" xfId="0" applyFont="1" applyBorder="1" applyAlignment="1">
      <alignment horizontal="center"/>
    </xf>
    <xf numFmtId="0" fontId="2629" fillId="0" borderId="2919" xfId="0" applyFont="1" applyBorder="1" applyAlignment="1">
      <alignment horizontal="right"/>
    </xf>
    <xf numFmtId="0" fontId="2630" fillId="0" borderId="2919" xfId="0" applyFont="1" applyBorder="1"/>
    <xf numFmtId="169" fontId="2631" fillId="0" borderId="2919" xfId="0" applyNumberFormat="1" applyFont="1" applyBorder="1" applyAlignment="1">
      <alignment horizontal="right"/>
    </xf>
    <xf numFmtId="169" fontId="2632" fillId="0" borderId="2919" xfId="0" applyNumberFormat="1" applyFont="1" applyBorder="1" applyAlignment="1">
      <alignment horizontal="right"/>
    </xf>
    <xf numFmtId="169" fontId="2633" fillId="0" borderId="2919" xfId="0" applyNumberFormat="1" applyFont="1" applyBorder="1" applyAlignment="1">
      <alignment horizontal="right"/>
    </xf>
    <xf numFmtId="169" fontId="2634" fillId="0" borderId="2919" xfId="0" applyNumberFormat="1" applyFont="1" applyBorder="1" applyAlignment="1">
      <alignment horizontal="right"/>
    </xf>
    <xf numFmtId="169" fontId="2635" fillId="0" borderId="2919" xfId="0" applyNumberFormat="1" applyFont="1" applyBorder="1" applyAlignment="1">
      <alignment horizontal="right"/>
    </xf>
    <xf numFmtId="169" fontId="2636" fillId="0" borderId="2919" xfId="0" applyNumberFormat="1" applyFont="1" applyBorder="1" applyAlignment="1">
      <alignment horizontal="right"/>
    </xf>
    <xf numFmtId="169" fontId="2637" fillId="0" borderId="2919" xfId="0" applyNumberFormat="1" applyFont="1" applyBorder="1" applyAlignment="1">
      <alignment horizontal="right"/>
    </xf>
    <xf numFmtId="169" fontId="2638" fillId="0" borderId="2919" xfId="0" applyNumberFormat="1" applyFont="1" applyBorder="1" applyAlignment="1">
      <alignment horizontal="right"/>
    </xf>
    <xf numFmtId="169" fontId="2639" fillId="0" borderId="2919" xfId="0" applyNumberFormat="1" applyFont="1" applyBorder="1" applyAlignment="1">
      <alignment horizontal="right"/>
    </xf>
    <xf numFmtId="169" fontId="2640" fillId="0" borderId="2919" xfId="0" applyNumberFormat="1" applyFont="1" applyBorder="1" applyAlignment="1">
      <alignment horizontal="right"/>
    </xf>
    <xf numFmtId="169" fontId="2641" fillId="0" borderId="2919" xfId="0" applyNumberFormat="1" applyFont="1" applyBorder="1" applyAlignment="1">
      <alignment horizontal="right"/>
    </xf>
    <xf numFmtId="169" fontId="2642" fillId="0" borderId="2919" xfId="0" applyNumberFormat="1" applyFont="1" applyBorder="1" applyAlignment="1">
      <alignment horizontal="right"/>
    </xf>
    <xf numFmtId="169" fontId="2643" fillId="0" borderId="2919" xfId="0" applyNumberFormat="1" applyFont="1" applyBorder="1" applyAlignment="1">
      <alignment horizontal="right"/>
    </xf>
    <xf numFmtId="169" fontId="2644" fillId="0" borderId="2919" xfId="0" applyNumberFormat="1" applyFont="1" applyBorder="1" applyAlignment="1">
      <alignment horizontal="right"/>
    </xf>
    <xf numFmtId="169" fontId="2645" fillId="0" borderId="2919" xfId="0" applyNumberFormat="1" applyFont="1" applyBorder="1" applyAlignment="1">
      <alignment horizontal="right"/>
    </xf>
    <xf numFmtId="169" fontId="2646" fillId="0" borderId="2919" xfId="0" applyNumberFormat="1" applyFont="1" applyBorder="1" applyAlignment="1">
      <alignment horizontal="right"/>
    </xf>
    <xf numFmtId="0" fontId="2647" fillId="0" borderId="2919" xfId="0" applyFont="1" applyBorder="1" applyAlignment="1">
      <alignment horizontal="center"/>
    </xf>
    <xf numFmtId="0" fontId="2648" fillId="0" borderId="2919" xfId="0" applyFont="1" applyBorder="1" applyAlignment="1">
      <alignment horizontal="right"/>
    </xf>
    <xf numFmtId="0" fontId="2649" fillId="0" borderId="2919" xfId="0" applyFont="1" applyBorder="1"/>
    <xf numFmtId="169" fontId="2650" fillId="0" borderId="2919" xfId="0" applyNumberFormat="1" applyFont="1" applyBorder="1" applyAlignment="1">
      <alignment horizontal="right"/>
    </xf>
    <xf numFmtId="169" fontId="2651" fillId="0" borderId="2919" xfId="0" applyNumberFormat="1" applyFont="1" applyBorder="1" applyAlignment="1">
      <alignment horizontal="right"/>
    </xf>
    <xf numFmtId="169" fontId="2652" fillId="0" borderId="2919" xfId="0" applyNumberFormat="1" applyFont="1" applyBorder="1" applyAlignment="1">
      <alignment horizontal="right"/>
    </xf>
    <xf numFmtId="169" fontId="2653" fillId="0" borderId="2919" xfId="0" applyNumberFormat="1" applyFont="1" applyBorder="1" applyAlignment="1">
      <alignment horizontal="right"/>
    </xf>
    <xf numFmtId="169" fontId="2654" fillId="0" borderId="2919" xfId="0" applyNumberFormat="1" applyFont="1" applyBorder="1" applyAlignment="1">
      <alignment horizontal="right"/>
    </xf>
    <xf numFmtId="169" fontId="2655" fillId="0" borderId="2919" xfId="0" applyNumberFormat="1" applyFont="1" applyBorder="1" applyAlignment="1">
      <alignment horizontal="right"/>
    </xf>
    <xf numFmtId="169" fontId="2656" fillId="0" borderId="2919" xfId="0" applyNumberFormat="1" applyFont="1" applyBorder="1" applyAlignment="1">
      <alignment horizontal="right"/>
    </xf>
    <xf numFmtId="169" fontId="2657" fillId="0" borderId="2919" xfId="0" applyNumberFormat="1" applyFont="1" applyBorder="1" applyAlignment="1">
      <alignment horizontal="right"/>
    </xf>
    <xf numFmtId="169" fontId="2658" fillId="0" borderId="2919" xfId="0" applyNumberFormat="1" applyFont="1" applyBorder="1" applyAlignment="1">
      <alignment horizontal="right"/>
    </xf>
    <xf numFmtId="169" fontId="2659" fillId="0" borderId="2919" xfId="0" applyNumberFormat="1" applyFont="1" applyBorder="1" applyAlignment="1">
      <alignment horizontal="right"/>
    </xf>
    <xf numFmtId="169" fontId="2660" fillId="0" borderId="2919" xfId="0" applyNumberFormat="1" applyFont="1" applyBorder="1" applyAlignment="1">
      <alignment horizontal="right"/>
    </xf>
    <xf numFmtId="169" fontId="2661" fillId="0" borderId="2919" xfId="0" applyNumberFormat="1" applyFont="1" applyBorder="1" applyAlignment="1">
      <alignment horizontal="right"/>
    </xf>
    <xf numFmtId="169" fontId="2662" fillId="0" borderId="2919" xfId="0" applyNumberFormat="1" applyFont="1" applyBorder="1" applyAlignment="1">
      <alignment horizontal="right"/>
    </xf>
    <xf numFmtId="169" fontId="2663" fillId="0" borderId="2919" xfId="0" applyNumberFormat="1" applyFont="1" applyBorder="1" applyAlignment="1">
      <alignment horizontal="right"/>
    </xf>
    <xf numFmtId="169" fontId="2664" fillId="0" borderId="2919" xfId="0" applyNumberFormat="1" applyFont="1" applyBorder="1" applyAlignment="1">
      <alignment horizontal="right"/>
    </xf>
    <xf numFmtId="169" fontId="2665" fillId="0" borderId="2919" xfId="0" applyNumberFormat="1" applyFont="1" applyBorder="1" applyAlignment="1">
      <alignment horizontal="right"/>
    </xf>
    <xf numFmtId="0" fontId="2666" fillId="0" borderId="2919" xfId="0" applyFont="1" applyBorder="1" applyAlignment="1">
      <alignment horizontal="center"/>
    </xf>
    <xf numFmtId="0" fontId="2667" fillId="0" borderId="2919" xfId="0" applyFont="1" applyBorder="1" applyAlignment="1">
      <alignment horizontal="right"/>
    </xf>
    <xf numFmtId="0" fontId="2668" fillId="0" borderId="2919" xfId="0" applyFont="1" applyBorder="1"/>
    <xf numFmtId="169" fontId="2669" fillId="0" borderId="2919" xfId="0" applyNumberFormat="1" applyFont="1" applyBorder="1" applyAlignment="1">
      <alignment horizontal="right"/>
    </xf>
    <xf numFmtId="169" fontId="2670" fillId="0" borderId="2919" xfId="0" applyNumberFormat="1" applyFont="1" applyBorder="1" applyAlignment="1">
      <alignment horizontal="right"/>
    </xf>
    <xf numFmtId="169" fontId="2671" fillId="0" borderId="2919" xfId="0" applyNumberFormat="1" applyFont="1" applyBorder="1" applyAlignment="1">
      <alignment horizontal="right"/>
    </xf>
    <xf numFmtId="169" fontId="2672" fillId="0" borderId="2919" xfId="0" applyNumberFormat="1" applyFont="1" applyBorder="1" applyAlignment="1">
      <alignment horizontal="right"/>
    </xf>
    <xf numFmtId="169" fontId="2673" fillId="0" borderId="2919" xfId="0" applyNumberFormat="1" applyFont="1" applyBorder="1" applyAlignment="1">
      <alignment horizontal="right"/>
    </xf>
    <xf numFmtId="169" fontId="2674" fillId="0" borderId="2919" xfId="0" applyNumberFormat="1" applyFont="1" applyBorder="1" applyAlignment="1">
      <alignment horizontal="right"/>
    </xf>
    <xf numFmtId="169" fontId="2675" fillId="0" borderId="2919" xfId="0" applyNumberFormat="1" applyFont="1" applyBorder="1" applyAlignment="1">
      <alignment horizontal="right"/>
    </xf>
    <xf numFmtId="169" fontId="2676" fillId="0" borderId="2919" xfId="0" applyNumberFormat="1" applyFont="1" applyBorder="1" applyAlignment="1">
      <alignment horizontal="right"/>
    </xf>
    <xf numFmtId="169" fontId="2677" fillId="0" borderId="2919" xfId="0" applyNumberFormat="1" applyFont="1" applyBorder="1" applyAlignment="1">
      <alignment horizontal="right"/>
    </xf>
    <xf numFmtId="169" fontId="2678" fillId="0" borderId="2919" xfId="0" applyNumberFormat="1" applyFont="1" applyBorder="1" applyAlignment="1">
      <alignment horizontal="right"/>
    </xf>
    <xf numFmtId="169" fontId="2679" fillId="0" borderId="2919" xfId="0" applyNumberFormat="1" applyFont="1" applyBorder="1" applyAlignment="1">
      <alignment horizontal="right"/>
    </xf>
    <xf numFmtId="169" fontId="2680" fillId="0" borderId="2919" xfId="0" applyNumberFormat="1" applyFont="1" applyBorder="1" applyAlignment="1">
      <alignment horizontal="right"/>
    </xf>
    <xf numFmtId="169" fontId="2681" fillId="0" borderId="2919" xfId="0" applyNumberFormat="1" applyFont="1" applyBorder="1" applyAlignment="1">
      <alignment horizontal="right"/>
    </xf>
    <xf numFmtId="169" fontId="2682" fillId="0" borderId="2919" xfId="0" applyNumberFormat="1" applyFont="1" applyBorder="1" applyAlignment="1">
      <alignment horizontal="right"/>
    </xf>
    <xf numFmtId="169" fontId="2683" fillId="0" borderId="2919" xfId="0" applyNumberFormat="1" applyFont="1" applyBorder="1" applyAlignment="1">
      <alignment horizontal="right"/>
    </xf>
    <xf numFmtId="169" fontId="2684" fillId="0" borderId="2919" xfId="0" applyNumberFormat="1" applyFont="1" applyBorder="1" applyAlignment="1">
      <alignment horizontal="right"/>
    </xf>
    <xf numFmtId="169" fontId="2685" fillId="0" borderId="2919" xfId="0" applyNumberFormat="1" applyFont="1" applyBorder="1" applyAlignment="1">
      <alignment horizontal="center"/>
    </xf>
    <xf numFmtId="0" fontId="2686" fillId="0" borderId="2919" xfId="0" applyFont="1" applyBorder="1" applyAlignment="1">
      <alignment horizontal="right"/>
    </xf>
    <xf numFmtId="0" fontId="2687" fillId="0" borderId="2919" xfId="0" applyFont="1" applyBorder="1"/>
    <xf numFmtId="169" fontId="2688" fillId="0" borderId="2919" xfId="0" applyNumberFormat="1" applyFont="1" applyBorder="1" applyAlignment="1">
      <alignment horizontal="right"/>
    </xf>
    <xf numFmtId="169" fontId="2689" fillId="0" borderId="2919" xfId="0" applyNumberFormat="1" applyFont="1" applyBorder="1" applyAlignment="1">
      <alignment horizontal="right"/>
    </xf>
    <xf numFmtId="169" fontId="2690" fillId="0" borderId="2919" xfId="0" applyNumberFormat="1" applyFont="1" applyBorder="1" applyAlignment="1">
      <alignment horizontal="right"/>
    </xf>
    <xf numFmtId="169" fontId="2691" fillId="0" borderId="2919" xfId="0" applyNumberFormat="1" applyFont="1" applyBorder="1" applyAlignment="1">
      <alignment horizontal="right"/>
    </xf>
    <xf numFmtId="169" fontId="2692" fillId="0" borderId="2919" xfId="0" applyNumberFormat="1" applyFont="1" applyBorder="1" applyAlignment="1">
      <alignment horizontal="right"/>
    </xf>
    <xf numFmtId="169" fontId="2693" fillId="0" borderId="2919" xfId="0" applyNumberFormat="1" applyFont="1" applyBorder="1" applyAlignment="1">
      <alignment horizontal="right"/>
    </xf>
    <xf numFmtId="169" fontId="2694" fillId="0" borderId="2919" xfId="0" applyNumberFormat="1" applyFont="1" applyBorder="1" applyAlignment="1">
      <alignment horizontal="right"/>
    </xf>
    <xf numFmtId="169" fontId="2695" fillId="0" borderId="2919" xfId="0" applyNumberFormat="1" applyFont="1" applyBorder="1" applyAlignment="1">
      <alignment horizontal="right"/>
    </xf>
    <xf numFmtId="169" fontId="2696" fillId="0" borderId="2919" xfId="0" applyNumberFormat="1" applyFont="1" applyBorder="1" applyAlignment="1">
      <alignment horizontal="right"/>
    </xf>
    <xf numFmtId="169" fontId="2697" fillId="0" borderId="2919" xfId="0" applyNumberFormat="1" applyFont="1" applyBorder="1" applyAlignment="1">
      <alignment horizontal="right"/>
    </xf>
    <xf numFmtId="169" fontId="2698" fillId="0" borderId="2919" xfId="0" applyNumberFormat="1" applyFont="1" applyBorder="1" applyAlignment="1">
      <alignment horizontal="right"/>
    </xf>
    <xf numFmtId="169" fontId="2699" fillId="0" borderId="2919" xfId="0" applyNumberFormat="1" applyFont="1" applyBorder="1" applyAlignment="1">
      <alignment horizontal="right"/>
    </xf>
    <xf numFmtId="169" fontId="2700" fillId="0" borderId="2919" xfId="0" applyNumberFormat="1" applyFont="1" applyBorder="1" applyAlignment="1">
      <alignment horizontal="right"/>
    </xf>
    <xf numFmtId="169" fontId="2701" fillId="0" borderId="2919" xfId="0" applyNumberFormat="1" applyFont="1" applyBorder="1" applyAlignment="1">
      <alignment horizontal="right"/>
    </xf>
    <xf numFmtId="169" fontId="2702" fillId="0" borderId="2919" xfId="0" applyNumberFormat="1" applyFont="1" applyBorder="1" applyAlignment="1">
      <alignment horizontal="right"/>
    </xf>
    <xf numFmtId="169" fontId="2703" fillId="0" borderId="2919" xfId="0" applyNumberFormat="1" applyFont="1" applyBorder="1" applyAlignment="1">
      <alignment horizontal="right"/>
    </xf>
    <xf numFmtId="169" fontId="2704" fillId="0" borderId="2919" xfId="0" applyNumberFormat="1" applyFont="1" applyBorder="1" applyAlignment="1">
      <alignment horizontal="center"/>
    </xf>
    <xf numFmtId="0" fontId="2705" fillId="0" borderId="2919" xfId="0" applyFont="1" applyBorder="1" applyAlignment="1">
      <alignment horizontal="right"/>
    </xf>
    <xf numFmtId="0" fontId="2706" fillId="0" borderId="2919" xfId="0" applyFont="1" applyBorder="1"/>
    <xf numFmtId="169" fontId="2707" fillId="0" borderId="2919" xfId="0" applyNumberFormat="1" applyFont="1" applyBorder="1" applyAlignment="1">
      <alignment horizontal="right"/>
    </xf>
    <xf numFmtId="169" fontId="2708" fillId="0" borderId="2919" xfId="0" applyNumberFormat="1" applyFont="1" applyBorder="1" applyAlignment="1">
      <alignment horizontal="right"/>
    </xf>
    <xf numFmtId="169" fontId="2709" fillId="0" borderId="2919" xfId="0" applyNumberFormat="1" applyFont="1" applyBorder="1" applyAlignment="1">
      <alignment horizontal="right"/>
    </xf>
    <xf numFmtId="169" fontId="2710" fillId="0" borderId="2919" xfId="0" applyNumberFormat="1" applyFont="1" applyBorder="1" applyAlignment="1">
      <alignment horizontal="right"/>
    </xf>
    <xf numFmtId="169" fontId="2711" fillId="0" borderId="2919" xfId="0" applyNumberFormat="1" applyFont="1" applyBorder="1" applyAlignment="1">
      <alignment horizontal="right"/>
    </xf>
    <xf numFmtId="169" fontId="2712" fillId="0" borderId="2919" xfId="0" applyNumberFormat="1" applyFont="1" applyBorder="1" applyAlignment="1">
      <alignment horizontal="right"/>
    </xf>
    <xf numFmtId="169" fontId="2713" fillId="0" borderId="2919" xfId="0" applyNumberFormat="1" applyFont="1" applyBorder="1" applyAlignment="1">
      <alignment horizontal="right"/>
    </xf>
    <xf numFmtId="169" fontId="2714" fillId="0" borderId="2919" xfId="0" applyNumberFormat="1" applyFont="1" applyBorder="1" applyAlignment="1">
      <alignment horizontal="right"/>
    </xf>
    <xf numFmtId="169" fontId="2715" fillId="0" borderId="2919" xfId="0" applyNumberFormat="1" applyFont="1" applyBorder="1" applyAlignment="1">
      <alignment horizontal="right"/>
    </xf>
    <xf numFmtId="169" fontId="2716" fillId="0" borderId="2919" xfId="0" applyNumberFormat="1" applyFont="1" applyBorder="1" applyAlignment="1">
      <alignment horizontal="right"/>
    </xf>
    <xf numFmtId="169" fontId="2717" fillId="0" borderId="2919" xfId="0" applyNumberFormat="1" applyFont="1" applyBorder="1" applyAlignment="1">
      <alignment horizontal="right"/>
    </xf>
    <xf numFmtId="0" fontId="2718" fillId="0" borderId="2919" xfId="0" applyFont="1" applyBorder="1" applyAlignment="1">
      <alignment horizontal="center"/>
    </xf>
    <xf numFmtId="0" fontId="2719" fillId="0" borderId="2919" xfId="0" applyFont="1" applyBorder="1" applyAlignment="1">
      <alignment horizontal="right"/>
    </xf>
    <xf numFmtId="0" fontId="2720" fillId="0" borderId="2919" xfId="0" applyFont="1" applyBorder="1"/>
    <xf numFmtId="169" fontId="2721" fillId="0" borderId="2919" xfId="0" applyNumberFormat="1" applyFont="1" applyBorder="1" applyAlignment="1">
      <alignment horizontal="right"/>
    </xf>
    <xf numFmtId="169" fontId="2722" fillId="0" borderId="2919" xfId="0" applyNumberFormat="1" applyFont="1" applyBorder="1" applyAlignment="1">
      <alignment horizontal="right"/>
    </xf>
    <xf numFmtId="169" fontId="2723" fillId="0" borderId="2919" xfId="0" applyNumberFormat="1" applyFont="1" applyBorder="1" applyAlignment="1">
      <alignment horizontal="right"/>
    </xf>
    <xf numFmtId="169" fontId="2724" fillId="0" borderId="2919" xfId="0" applyNumberFormat="1" applyFont="1" applyBorder="1" applyAlignment="1">
      <alignment horizontal="right"/>
    </xf>
    <xf numFmtId="169" fontId="2725" fillId="0" borderId="2919" xfId="0" applyNumberFormat="1" applyFont="1" applyBorder="1" applyAlignment="1">
      <alignment horizontal="right"/>
    </xf>
    <xf numFmtId="169" fontId="2726" fillId="0" borderId="2919" xfId="0" applyNumberFormat="1" applyFont="1" applyBorder="1" applyAlignment="1">
      <alignment horizontal="right"/>
    </xf>
    <xf numFmtId="169" fontId="2727" fillId="0" borderId="2919" xfId="0" applyNumberFormat="1" applyFont="1" applyBorder="1" applyAlignment="1">
      <alignment horizontal="right"/>
    </xf>
    <xf numFmtId="169" fontId="2728" fillId="0" borderId="2919" xfId="0" applyNumberFormat="1" applyFont="1" applyBorder="1" applyAlignment="1">
      <alignment horizontal="right"/>
    </xf>
    <xf numFmtId="169" fontId="2729" fillId="0" borderId="2919" xfId="0" applyNumberFormat="1" applyFont="1" applyBorder="1" applyAlignment="1">
      <alignment horizontal="right"/>
    </xf>
    <xf numFmtId="169" fontId="2730" fillId="0" borderId="2919" xfId="0" applyNumberFormat="1" applyFont="1" applyBorder="1" applyAlignment="1">
      <alignment horizontal="right"/>
    </xf>
    <xf numFmtId="169" fontId="2731" fillId="0" borderId="2919" xfId="0" applyNumberFormat="1" applyFont="1" applyBorder="1" applyAlignment="1">
      <alignment horizontal="right"/>
    </xf>
    <xf numFmtId="169" fontId="2732" fillId="0" borderId="2919" xfId="0" applyNumberFormat="1" applyFont="1" applyBorder="1" applyAlignment="1">
      <alignment horizontal="right"/>
    </xf>
    <xf numFmtId="169" fontId="2733" fillId="0" borderId="2919" xfId="0" applyNumberFormat="1" applyFont="1" applyBorder="1" applyAlignment="1">
      <alignment horizontal="right"/>
    </xf>
    <xf numFmtId="169" fontId="2734" fillId="0" borderId="2919" xfId="0" applyNumberFormat="1" applyFont="1" applyBorder="1" applyAlignment="1">
      <alignment horizontal="right"/>
    </xf>
    <xf numFmtId="169" fontId="2735" fillId="0" borderId="2919" xfId="0" applyNumberFormat="1" applyFont="1" applyBorder="1" applyAlignment="1">
      <alignment horizontal="right"/>
    </xf>
    <xf numFmtId="169" fontId="2736" fillId="0" borderId="2919" xfId="0" applyNumberFormat="1" applyFont="1" applyBorder="1" applyAlignment="1">
      <alignment horizontal="right"/>
    </xf>
    <xf numFmtId="169" fontId="2737" fillId="0" borderId="2919" xfId="0" applyNumberFormat="1" applyFont="1" applyBorder="1" applyAlignment="1">
      <alignment horizontal="center"/>
    </xf>
    <xf numFmtId="0" fontId="2738" fillId="0" borderId="2919" xfId="0" applyFont="1" applyBorder="1" applyAlignment="1">
      <alignment horizontal="right"/>
    </xf>
    <xf numFmtId="0" fontId="2739" fillId="0" borderId="2919" xfId="0" applyFont="1" applyBorder="1"/>
    <xf numFmtId="169" fontId="2740" fillId="0" borderId="2919" xfId="0" applyNumberFormat="1" applyFont="1" applyBorder="1" applyAlignment="1">
      <alignment horizontal="right"/>
    </xf>
    <xf numFmtId="169" fontId="2741" fillId="0" borderId="2919" xfId="0" applyNumberFormat="1" applyFont="1" applyBorder="1" applyAlignment="1">
      <alignment horizontal="right"/>
    </xf>
    <xf numFmtId="169" fontId="2742" fillId="0" borderId="2919" xfId="0" applyNumberFormat="1" applyFont="1" applyBorder="1" applyAlignment="1">
      <alignment horizontal="right"/>
    </xf>
    <xf numFmtId="169" fontId="2743" fillId="0" borderId="2919" xfId="0" applyNumberFormat="1" applyFont="1" applyBorder="1" applyAlignment="1">
      <alignment horizontal="right"/>
    </xf>
    <xf numFmtId="169" fontId="2744" fillId="0" borderId="2919" xfId="0" applyNumberFormat="1" applyFont="1" applyBorder="1" applyAlignment="1">
      <alignment horizontal="right"/>
    </xf>
    <xf numFmtId="169" fontId="2745" fillId="0" borderId="2919" xfId="0" applyNumberFormat="1" applyFont="1" applyBorder="1" applyAlignment="1">
      <alignment horizontal="right"/>
    </xf>
    <xf numFmtId="169" fontId="2746" fillId="0" borderId="2919" xfId="0" applyNumberFormat="1" applyFont="1" applyBorder="1" applyAlignment="1">
      <alignment horizontal="right"/>
    </xf>
    <xf numFmtId="169" fontId="2747" fillId="0" borderId="2919" xfId="0" applyNumberFormat="1" applyFont="1" applyBorder="1" applyAlignment="1">
      <alignment horizontal="right"/>
    </xf>
    <xf numFmtId="169" fontId="2748" fillId="0" borderId="2919" xfId="0" applyNumberFormat="1" applyFont="1" applyBorder="1" applyAlignment="1">
      <alignment horizontal="right"/>
    </xf>
    <xf numFmtId="169" fontId="2749" fillId="0" borderId="2919" xfId="0" applyNumberFormat="1" applyFont="1" applyBorder="1" applyAlignment="1">
      <alignment horizontal="right"/>
    </xf>
    <xf numFmtId="169" fontId="2750" fillId="0" borderId="2919" xfId="0" applyNumberFormat="1" applyFont="1" applyBorder="1" applyAlignment="1">
      <alignment horizontal="right"/>
    </xf>
    <xf numFmtId="169" fontId="2751" fillId="0" borderId="2919" xfId="0" applyNumberFormat="1" applyFont="1" applyBorder="1" applyAlignment="1">
      <alignment horizontal="right"/>
    </xf>
    <xf numFmtId="169" fontId="2752" fillId="0" borderId="2919" xfId="0" applyNumberFormat="1" applyFont="1" applyBorder="1" applyAlignment="1">
      <alignment horizontal="right"/>
    </xf>
    <xf numFmtId="169" fontId="2753" fillId="0" borderId="2919" xfId="0" applyNumberFormat="1" applyFont="1" applyBorder="1" applyAlignment="1">
      <alignment horizontal="right"/>
    </xf>
    <xf numFmtId="169" fontId="2754" fillId="0" borderId="2919" xfId="0" applyNumberFormat="1" applyFont="1" applyBorder="1" applyAlignment="1">
      <alignment horizontal="right"/>
    </xf>
    <xf numFmtId="169" fontId="2755" fillId="0" borderId="2919" xfId="0" applyNumberFormat="1" applyFont="1" applyBorder="1" applyAlignment="1">
      <alignment horizontal="right"/>
    </xf>
    <xf numFmtId="0" fontId="3" fillId="6" borderId="1" xfId="3" applyFont="1" applyFill="1"/>
    <xf numFmtId="164" fontId="3" fillId="6" borderId="1" xfId="3" applyNumberFormat="1" applyFont="1" applyFill="1"/>
    <xf numFmtId="1" fontId="3356" fillId="0" borderId="2925" xfId="0" applyNumberFormat="1" applyFont="1" applyBorder="1" applyAlignment="1">
      <alignment horizontal="right"/>
    </xf>
    <xf numFmtId="1" fontId="3357" fillId="0" borderId="2926" xfId="0" applyNumberFormat="1" applyFont="1" applyBorder="1" applyAlignment="1">
      <alignment horizontal="center"/>
    </xf>
    <xf numFmtId="1" fontId="3358" fillId="0" borderId="2927" xfId="0" applyNumberFormat="1" applyFont="1" applyBorder="1" applyAlignment="1">
      <alignment horizontal="right"/>
    </xf>
    <xf numFmtId="1" fontId="3359" fillId="0" borderId="2928" xfId="0" applyNumberFormat="1" applyFont="1" applyBorder="1" applyAlignment="1">
      <alignment horizontal="right"/>
    </xf>
    <xf numFmtId="1" fontId="3360" fillId="0" borderId="2929" xfId="0" applyNumberFormat="1" applyFont="1" applyBorder="1" applyAlignment="1">
      <alignment horizontal="center"/>
    </xf>
    <xf numFmtId="1" fontId="3361" fillId="0" borderId="2930" xfId="0" applyNumberFormat="1" applyFont="1" applyBorder="1" applyAlignment="1">
      <alignment horizontal="right"/>
    </xf>
    <xf numFmtId="1" fontId="3362" fillId="0" borderId="2931" xfId="0" applyNumberFormat="1" applyFont="1" applyBorder="1" applyAlignment="1">
      <alignment horizontal="right"/>
    </xf>
    <xf numFmtId="1" fontId="3363" fillId="0" borderId="2932" xfId="0" applyNumberFormat="1" applyFont="1" applyBorder="1" applyAlignment="1">
      <alignment horizontal="center"/>
    </xf>
    <xf numFmtId="1" fontId="3364" fillId="0" borderId="2933" xfId="0" applyNumberFormat="1" applyFont="1" applyBorder="1" applyAlignment="1">
      <alignment horizontal="right"/>
    </xf>
    <xf numFmtId="1" fontId="3365" fillId="0" borderId="2934" xfId="0" applyNumberFormat="1" applyFont="1" applyBorder="1" applyAlignment="1">
      <alignment horizontal="right"/>
    </xf>
    <xf numFmtId="1" fontId="3366" fillId="0" borderId="2935" xfId="0" applyNumberFormat="1" applyFont="1" applyBorder="1" applyAlignment="1">
      <alignment horizontal="center"/>
    </xf>
    <xf numFmtId="1" fontId="3367" fillId="0" borderId="2936" xfId="0" applyNumberFormat="1" applyFont="1" applyBorder="1" applyAlignment="1">
      <alignment horizontal="right"/>
    </xf>
    <xf numFmtId="1" fontId="3368" fillId="0" borderId="2937" xfId="0" applyNumberFormat="1" applyFont="1" applyBorder="1" applyAlignment="1">
      <alignment horizontal="right"/>
    </xf>
    <xf numFmtId="1" fontId="3369" fillId="0" borderId="2938" xfId="0" applyNumberFormat="1" applyFont="1" applyBorder="1" applyAlignment="1">
      <alignment horizontal="center"/>
    </xf>
    <xf numFmtId="1" fontId="3370" fillId="0" borderId="2939" xfId="0" applyNumberFormat="1" applyFont="1" applyBorder="1" applyAlignment="1">
      <alignment horizontal="right"/>
    </xf>
    <xf numFmtId="1" fontId="3" fillId="0" borderId="2940" xfId="0" applyNumberFormat="1" applyFont="1" applyBorder="1"/>
    <xf numFmtId="0" fontId="3371" fillId="0" borderId="2941" xfId="0" applyFont="1" applyBorder="1"/>
    <xf numFmtId="0" fontId="3378" fillId="0" borderId="2948" xfId="0" applyFont="1" applyBorder="1" applyAlignment="1">
      <alignment horizontal="right"/>
    </xf>
    <xf numFmtId="0" fontId="3379" fillId="0" borderId="2949" xfId="0" applyFont="1" applyBorder="1" applyAlignment="1">
      <alignment horizontal="center"/>
    </xf>
    <xf numFmtId="0" fontId="3380" fillId="0" borderId="2950" xfId="0" applyFont="1" applyBorder="1"/>
    <xf numFmtId="0" fontId="3384" fillId="0" borderId="2954" xfId="0" applyFont="1" applyBorder="1" applyAlignment="1">
      <alignment horizontal="right"/>
    </xf>
    <xf numFmtId="0" fontId="3385" fillId="0" borderId="2955" xfId="0" applyFont="1" applyBorder="1"/>
    <xf numFmtId="0" fontId="3389" fillId="0" borderId="2959" xfId="0" applyFont="1" applyBorder="1"/>
    <xf numFmtId="2" fontId="3390" fillId="0" borderId="2960" xfId="0" applyNumberFormat="1" applyFont="1" applyBorder="1" applyAlignment="1">
      <alignment horizontal="right"/>
    </xf>
    <xf numFmtId="2" fontId="3391" fillId="0" borderId="2961" xfId="0" applyNumberFormat="1" applyFont="1" applyBorder="1" applyAlignment="1">
      <alignment horizontal="right"/>
    </xf>
    <xf numFmtId="2" fontId="3392" fillId="0" borderId="2962" xfId="0" applyNumberFormat="1" applyFont="1" applyBorder="1" applyAlignment="1">
      <alignment horizontal="right"/>
    </xf>
    <xf numFmtId="2" fontId="3393" fillId="0" borderId="2963" xfId="0" applyNumberFormat="1" applyFont="1" applyBorder="1" applyAlignment="1">
      <alignment horizontal="right"/>
    </xf>
    <xf numFmtId="2" fontId="3394" fillId="0" borderId="2964" xfId="0" applyNumberFormat="1" applyFont="1" applyBorder="1" applyAlignment="1">
      <alignment horizontal="right"/>
    </xf>
    <xf numFmtId="2" fontId="3395" fillId="0" borderId="2965" xfId="0" applyNumberFormat="1" applyFont="1" applyBorder="1" applyAlignment="1">
      <alignment horizontal="right"/>
    </xf>
    <xf numFmtId="0" fontId="3396" fillId="0" borderId="2966" xfId="0" applyFont="1" applyBorder="1"/>
    <xf numFmtId="2" fontId="3397" fillId="0" borderId="2967" xfId="0" applyNumberFormat="1" applyFont="1" applyBorder="1" applyAlignment="1">
      <alignment horizontal="center"/>
    </xf>
    <xf numFmtId="2" fontId="3398" fillId="0" borderId="2968" xfId="0" applyNumberFormat="1" applyFont="1" applyBorder="1" applyAlignment="1">
      <alignment horizontal="center"/>
    </xf>
    <xf numFmtId="2" fontId="3399" fillId="0" borderId="2969" xfId="0" applyNumberFormat="1" applyFont="1" applyBorder="1" applyAlignment="1">
      <alignment horizontal="center"/>
    </xf>
    <xf numFmtId="2" fontId="3400" fillId="0" borderId="2970" xfId="0" applyNumberFormat="1" applyFont="1" applyBorder="1" applyAlignment="1">
      <alignment horizontal="center"/>
    </xf>
    <xf numFmtId="2" fontId="3401" fillId="0" borderId="2971" xfId="0" applyNumberFormat="1" applyFont="1" applyBorder="1" applyAlignment="1">
      <alignment horizontal="center"/>
    </xf>
    <xf numFmtId="2" fontId="3402" fillId="0" borderId="2972" xfId="0" applyNumberFormat="1" applyFont="1" applyBorder="1" applyAlignment="1">
      <alignment horizontal="center"/>
    </xf>
    <xf numFmtId="0" fontId="3403" fillId="0" borderId="2973" xfId="0" applyFont="1" applyBorder="1"/>
    <xf numFmtId="2" fontId="3404" fillId="0" borderId="2974" xfId="0" applyNumberFormat="1" applyFont="1" applyBorder="1" applyAlignment="1">
      <alignment horizontal="right"/>
    </xf>
    <xf numFmtId="2" fontId="3405" fillId="0" borderId="2975" xfId="0" applyNumberFormat="1" applyFont="1" applyBorder="1" applyAlignment="1">
      <alignment horizontal="right"/>
    </xf>
    <xf numFmtId="2" fontId="3406" fillId="0" borderId="2976" xfId="0" applyNumberFormat="1" applyFont="1" applyBorder="1" applyAlignment="1">
      <alignment horizontal="right"/>
    </xf>
    <xf numFmtId="2" fontId="3407" fillId="0" borderId="2977" xfId="0" applyNumberFormat="1" applyFont="1" applyBorder="1" applyAlignment="1">
      <alignment horizontal="right"/>
    </xf>
    <xf numFmtId="2" fontId="3408" fillId="0" borderId="2978" xfId="0" applyNumberFormat="1" applyFont="1" applyBorder="1" applyAlignment="1">
      <alignment horizontal="right"/>
    </xf>
    <xf numFmtId="2" fontId="3409" fillId="0" borderId="2979" xfId="0" applyNumberFormat="1" applyFont="1" applyBorder="1" applyAlignment="1">
      <alignment horizontal="right"/>
    </xf>
    <xf numFmtId="0" fontId="3410" fillId="0" borderId="2980" xfId="0" applyFont="1" applyBorder="1" applyAlignment="1">
      <alignment horizontal="left"/>
    </xf>
    <xf numFmtId="2" fontId="3411" fillId="0" borderId="2981" xfId="0" applyNumberFormat="1" applyFont="1" applyBorder="1"/>
    <xf numFmtId="2" fontId="3412" fillId="0" borderId="2982" xfId="0" applyNumberFormat="1" applyFont="1" applyBorder="1"/>
    <xf numFmtId="2" fontId="3413" fillId="0" borderId="2983" xfId="0" applyNumberFormat="1" applyFont="1" applyBorder="1"/>
    <xf numFmtId="2" fontId="3414" fillId="0" borderId="2984" xfId="0" applyNumberFormat="1" applyFont="1" applyBorder="1"/>
    <xf numFmtId="2" fontId="3415" fillId="0" borderId="2985" xfId="0" applyNumberFormat="1" applyFont="1" applyBorder="1"/>
    <xf numFmtId="2" fontId="3416" fillId="0" borderId="2986" xfId="0" applyNumberFormat="1" applyFont="1" applyBorder="1"/>
    <xf numFmtId="0" fontId="3417" fillId="0" borderId="2987" xfId="0" applyFont="1" applyBorder="1"/>
    <xf numFmtId="0" fontId="3418" fillId="0" borderId="2988" xfId="0" applyFont="1" applyBorder="1"/>
    <xf numFmtId="0" fontId="3419" fillId="0" borderId="2989" xfId="0" applyFont="1" applyBorder="1" applyAlignment="1">
      <alignment horizontal="left"/>
    </xf>
    <xf numFmtId="169" fontId="3420" fillId="0" borderId="2990" xfId="0" applyNumberFormat="1" applyFont="1" applyBorder="1" applyAlignment="1">
      <alignment horizontal="right"/>
    </xf>
    <xf numFmtId="169" fontId="3421" fillId="0" borderId="2991" xfId="0" applyNumberFormat="1" applyFont="1" applyBorder="1" applyAlignment="1">
      <alignment horizontal="right"/>
    </xf>
    <xf numFmtId="169" fontId="3422" fillId="0" borderId="2992" xfId="0" applyNumberFormat="1" applyFont="1" applyBorder="1" applyAlignment="1">
      <alignment horizontal="right"/>
    </xf>
    <xf numFmtId="169" fontId="3423" fillId="0" borderId="2993" xfId="0" applyNumberFormat="1" applyFont="1" applyBorder="1" applyAlignment="1">
      <alignment horizontal="right"/>
    </xf>
    <xf numFmtId="169" fontId="3424" fillId="0" borderId="2994" xfId="0" applyNumberFormat="1" applyFont="1" applyBorder="1" applyAlignment="1">
      <alignment horizontal="right"/>
    </xf>
    <xf numFmtId="169" fontId="3425" fillId="0" borderId="2995" xfId="0" applyNumberFormat="1" applyFont="1" applyBorder="1" applyAlignment="1">
      <alignment horizontal="right"/>
    </xf>
    <xf numFmtId="169" fontId="3426" fillId="0" borderId="2996" xfId="0" applyNumberFormat="1" applyFont="1" applyBorder="1" applyAlignment="1">
      <alignment horizontal="right"/>
    </xf>
    <xf numFmtId="169" fontId="3427" fillId="0" borderId="2997" xfId="0" applyNumberFormat="1" applyFont="1" applyBorder="1" applyAlignment="1">
      <alignment horizontal="right"/>
    </xf>
    <xf numFmtId="0" fontId="3428" fillId="0" borderId="2998" xfId="0" applyFont="1" applyBorder="1" applyAlignment="1">
      <alignment horizontal="left"/>
    </xf>
    <xf numFmtId="169" fontId="3429" fillId="0" borderId="2999" xfId="0" applyNumberFormat="1" applyFont="1" applyBorder="1" applyAlignment="1">
      <alignment horizontal="right"/>
    </xf>
    <xf numFmtId="169" fontId="3430" fillId="0" borderId="3000" xfId="0" applyNumberFormat="1" applyFont="1" applyBorder="1" applyAlignment="1">
      <alignment horizontal="right"/>
    </xf>
    <xf numFmtId="169" fontId="3431" fillId="0" borderId="3001" xfId="0" applyNumberFormat="1" applyFont="1" applyBorder="1" applyAlignment="1">
      <alignment horizontal="right"/>
    </xf>
    <xf numFmtId="169" fontId="3432" fillId="0" borderId="3002" xfId="0" applyNumberFormat="1" applyFont="1" applyBorder="1" applyAlignment="1">
      <alignment horizontal="right"/>
    </xf>
    <xf numFmtId="169" fontId="3433" fillId="0" borderId="3003" xfId="0" applyNumberFormat="1" applyFont="1" applyBorder="1" applyAlignment="1">
      <alignment horizontal="right"/>
    </xf>
    <xf numFmtId="169" fontId="3434" fillId="0" borderId="3004" xfId="0" applyNumberFormat="1" applyFont="1" applyBorder="1" applyAlignment="1">
      <alignment horizontal="right"/>
    </xf>
    <xf numFmtId="169" fontId="3435" fillId="0" borderId="3005" xfId="0" applyNumberFormat="1" applyFont="1" applyBorder="1" applyAlignment="1">
      <alignment horizontal="right"/>
    </xf>
    <xf numFmtId="169" fontId="3436" fillId="0" borderId="3006" xfId="0" applyNumberFormat="1" applyFont="1" applyBorder="1" applyAlignment="1">
      <alignment horizontal="right"/>
    </xf>
    <xf numFmtId="0" fontId="3437" fillId="0" borderId="3007" xfId="0" applyFont="1" applyBorder="1" applyAlignment="1">
      <alignment horizontal="left"/>
    </xf>
    <xf numFmtId="169" fontId="3438" fillId="0" borderId="3008" xfId="0" applyNumberFormat="1" applyFont="1" applyBorder="1" applyAlignment="1">
      <alignment horizontal="right"/>
    </xf>
    <xf numFmtId="169" fontId="3439" fillId="0" borderId="3009" xfId="0" applyNumberFormat="1" applyFont="1" applyBorder="1" applyAlignment="1">
      <alignment horizontal="right"/>
    </xf>
    <xf numFmtId="169" fontId="3440" fillId="0" borderId="3010" xfId="0" applyNumberFormat="1" applyFont="1" applyBorder="1" applyAlignment="1">
      <alignment horizontal="right"/>
    </xf>
    <xf numFmtId="169" fontId="3441" fillId="0" borderId="3011" xfId="0" applyNumberFormat="1" applyFont="1" applyBorder="1" applyAlignment="1">
      <alignment horizontal="right"/>
    </xf>
    <xf numFmtId="169" fontId="3442" fillId="0" borderId="3012" xfId="0" applyNumberFormat="1" applyFont="1" applyBorder="1" applyAlignment="1">
      <alignment horizontal="right"/>
    </xf>
    <xf numFmtId="169" fontId="3443" fillId="0" borderId="3013" xfId="0" applyNumberFormat="1" applyFont="1" applyBorder="1" applyAlignment="1">
      <alignment horizontal="right"/>
    </xf>
    <xf numFmtId="169" fontId="3444" fillId="0" borderId="3014" xfId="0" applyNumberFormat="1" applyFont="1" applyBorder="1" applyAlignment="1">
      <alignment horizontal="right"/>
    </xf>
    <xf numFmtId="169" fontId="3445" fillId="0" borderId="3015" xfId="0" applyNumberFormat="1" applyFont="1" applyBorder="1" applyAlignment="1">
      <alignment horizontal="right"/>
    </xf>
    <xf numFmtId="0" fontId="3446" fillId="0" borderId="3016" xfId="0" applyFont="1" applyBorder="1" applyAlignment="1">
      <alignment horizontal="left"/>
    </xf>
    <xf numFmtId="169" fontId="3447" fillId="0" borderId="3017" xfId="0" applyNumberFormat="1" applyFont="1" applyBorder="1" applyAlignment="1">
      <alignment horizontal="right"/>
    </xf>
    <xf numFmtId="169" fontId="3448" fillId="0" borderId="3018" xfId="0" applyNumberFormat="1" applyFont="1" applyBorder="1" applyAlignment="1">
      <alignment horizontal="right"/>
    </xf>
    <xf numFmtId="169" fontId="3449" fillId="0" borderId="3019" xfId="0" applyNumberFormat="1" applyFont="1" applyBorder="1" applyAlignment="1">
      <alignment horizontal="right"/>
    </xf>
    <xf numFmtId="169" fontId="3450" fillId="0" borderId="3020" xfId="0" applyNumberFormat="1" applyFont="1" applyBorder="1" applyAlignment="1">
      <alignment horizontal="right"/>
    </xf>
    <xf numFmtId="169" fontId="3451" fillId="0" borderId="3021" xfId="0" applyNumberFormat="1" applyFont="1" applyBorder="1" applyAlignment="1">
      <alignment horizontal="right"/>
    </xf>
    <xf numFmtId="169" fontId="3452" fillId="0" borderId="3022" xfId="0" applyNumberFormat="1" applyFont="1" applyBorder="1" applyAlignment="1">
      <alignment horizontal="right"/>
    </xf>
    <xf numFmtId="169" fontId="3453" fillId="0" borderId="3023" xfId="0" applyNumberFormat="1" applyFont="1" applyBorder="1" applyAlignment="1">
      <alignment horizontal="right"/>
    </xf>
    <xf numFmtId="169" fontId="3454" fillId="0" borderId="3024" xfId="0" applyNumberFormat="1" applyFont="1" applyBorder="1" applyAlignment="1">
      <alignment horizontal="right"/>
    </xf>
    <xf numFmtId="0" fontId="3455" fillId="0" borderId="3025" xfId="0" applyFont="1" applyBorder="1" applyAlignment="1">
      <alignment horizontal="left"/>
    </xf>
    <xf numFmtId="169" fontId="3456" fillId="0" borderId="3026" xfId="0" applyNumberFormat="1" applyFont="1" applyBorder="1" applyAlignment="1">
      <alignment horizontal="right"/>
    </xf>
    <xf numFmtId="169" fontId="3457" fillId="0" borderId="3027" xfId="0" applyNumberFormat="1" applyFont="1" applyBorder="1" applyAlignment="1">
      <alignment horizontal="right"/>
    </xf>
    <xf numFmtId="169" fontId="3458" fillId="0" borderId="3028" xfId="0" applyNumberFormat="1" applyFont="1" applyBorder="1" applyAlignment="1">
      <alignment horizontal="right"/>
    </xf>
    <xf numFmtId="169" fontId="3459" fillId="0" borderId="3029" xfId="0" applyNumberFormat="1" applyFont="1" applyBorder="1" applyAlignment="1">
      <alignment horizontal="right"/>
    </xf>
    <xf numFmtId="169" fontId="3460" fillId="0" borderId="3030" xfId="0" applyNumberFormat="1" applyFont="1" applyBorder="1" applyAlignment="1">
      <alignment horizontal="right"/>
    </xf>
    <xf numFmtId="169" fontId="3461" fillId="0" borderId="3031" xfId="0" applyNumberFormat="1" applyFont="1" applyBorder="1" applyAlignment="1">
      <alignment horizontal="right"/>
    </xf>
    <xf numFmtId="169" fontId="3462" fillId="0" borderId="3032" xfId="0" applyNumberFormat="1" applyFont="1" applyBorder="1" applyAlignment="1">
      <alignment horizontal="right"/>
    </xf>
    <xf numFmtId="169" fontId="3463" fillId="0" borderId="3033" xfId="0" applyNumberFormat="1" applyFont="1" applyBorder="1" applyAlignment="1">
      <alignment horizontal="right"/>
    </xf>
    <xf numFmtId="0" fontId="3464" fillId="0" borderId="3034" xfId="0" applyFont="1" applyBorder="1" applyAlignment="1">
      <alignment horizontal="left"/>
    </xf>
    <xf numFmtId="169" fontId="3465" fillId="0" borderId="3035" xfId="0" applyNumberFormat="1" applyFont="1" applyBorder="1" applyAlignment="1">
      <alignment horizontal="right"/>
    </xf>
    <xf numFmtId="169" fontId="3466" fillId="0" borderId="3036" xfId="0" applyNumberFormat="1" applyFont="1" applyBorder="1" applyAlignment="1">
      <alignment horizontal="right"/>
    </xf>
    <xf numFmtId="169" fontId="3467" fillId="0" borderId="3037" xfId="0" applyNumberFormat="1" applyFont="1" applyBorder="1" applyAlignment="1">
      <alignment horizontal="right"/>
    </xf>
    <xf numFmtId="169" fontId="3468" fillId="0" borderId="3038" xfId="0" applyNumberFormat="1" applyFont="1" applyBorder="1" applyAlignment="1">
      <alignment horizontal="right"/>
    </xf>
    <xf numFmtId="169" fontId="3469" fillId="0" borderId="3039" xfId="0" applyNumberFormat="1" applyFont="1" applyBorder="1" applyAlignment="1">
      <alignment horizontal="right"/>
    </xf>
    <xf numFmtId="169" fontId="3470" fillId="0" borderId="3040" xfId="0" applyNumberFormat="1" applyFont="1" applyBorder="1" applyAlignment="1">
      <alignment horizontal="right"/>
    </xf>
    <xf numFmtId="169" fontId="3471" fillId="0" borderId="3041" xfId="0" applyNumberFormat="1" applyFont="1" applyBorder="1" applyAlignment="1">
      <alignment horizontal="right"/>
    </xf>
    <xf numFmtId="169" fontId="3472" fillId="0" borderId="3042" xfId="0" applyNumberFormat="1" applyFont="1" applyBorder="1" applyAlignment="1">
      <alignment horizontal="right"/>
    </xf>
    <xf numFmtId="0" fontId="3473" fillId="0" borderId="3043" xfId="0" applyFont="1" applyBorder="1" applyAlignment="1">
      <alignment horizontal="left"/>
    </xf>
    <xf numFmtId="169" fontId="3474" fillId="0" borderId="3044" xfId="0" applyNumberFormat="1" applyFont="1" applyBorder="1" applyAlignment="1">
      <alignment horizontal="right"/>
    </xf>
    <xf numFmtId="169" fontId="3475" fillId="0" borderId="3045" xfId="0" applyNumberFormat="1" applyFont="1" applyBorder="1" applyAlignment="1">
      <alignment horizontal="right"/>
    </xf>
    <xf numFmtId="169" fontId="3476" fillId="0" borderId="3046" xfId="0" applyNumberFormat="1" applyFont="1" applyBorder="1" applyAlignment="1">
      <alignment horizontal="right"/>
    </xf>
    <xf numFmtId="169" fontId="3477" fillId="0" borderId="3047" xfId="0" applyNumberFormat="1" applyFont="1" applyBorder="1" applyAlignment="1">
      <alignment horizontal="right"/>
    </xf>
    <xf numFmtId="169" fontId="3478" fillId="0" borderId="3048" xfId="0" applyNumberFormat="1" applyFont="1" applyBorder="1" applyAlignment="1">
      <alignment horizontal="right"/>
    </xf>
    <xf numFmtId="169" fontId="3479" fillId="0" borderId="3049" xfId="0" applyNumberFormat="1" applyFont="1" applyBorder="1" applyAlignment="1">
      <alignment horizontal="right"/>
    </xf>
    <xf numFmtId="169" fontId="3480" fillId="0" borderId="3050" xfId="0" applyNumberFormat="1" applyFont="1" applyBorder="1" applyAlignment="1">
      <alignment horizontal="right"/>
    </xf>
    <xf numFmtId="169" fontId="3481" fillId="0" borderId="3051" xfId="0" applyNumberFormat="1" applyFont="1" applyBorder="1" applyAlignment="1">
      <alignment horizontal="right"/>
    </xf>
    <xf numFmtId="0" fontId="3482" fillId="0" borderId="3052" xfId="0" applyFont="1" applyBorder="1" applyAlignment="1">
      <alignment horizontal="left"/>
    </xf>
    <xf numFmtId="169" fontId="3483" fillId="0" borderId="3053" xfId="0" applyNumberFormat="1" applyFont="1" applyBorder="1" applyAlignment="1">
      <alignment horizontal="right"/>
    </xf>
    <xf numFmtId="169" fontId="3484" fillId="0" borderId="3054" xfId="0" applyNumberFormat="1" applyFont="1" applyBorder="1" applyAlignment="1">
      <alignment horizontal="right"/>
    </xf>
    <xf numFmtId="169" fontId="3485" fillId="0" borderId="3055" xfId="0" applyNumberFormat="1" applyFont="1" applyBorder="1" applyAlignment="1">
      <alignment horizontal="right"/>
    </xf>
    <xf numFmtId="169" fontId="3486" fillId="0" borderId="3056" xfId="0" applyNumberFormat="1" applyFont="1" applyBorder="1" applyAlignment="1">
      <alignment horizontal="right"/>
    </xf>
    <xf numFmtId="169" fontId="3487" fillId="0" borderId="3057" xfId="0" applyNumberFormat="1" applyFont="1" applyBorder="1" applyAlignment="1">
      <alignment horizontal="right"/>
    </xf>
    <xf numFmtId="169" fontId="3488" fillId="0" borderId="3058" xfId="0" applyNumberFormat="1" applyFont="1" applyBorder="1" applyAlignment="1">
      <alignment horizontal="right"/>
    </xf>
    <xf numFmtId="169" fontId="3489" fillId="0" borderId="3059" xfId="0" applyNumberFormat="1" applyFont="1" applyBorder="1" applyAlignment="1">
      <alignment horizontal="right"/>
    </xf>
    <xf numFmtId="169" fontId="3490" fillId="0" borderId="3060" xfId="0" applyNumberFormat="1" applyFont="1" applyBorder="1" applyAlignment="1">
      <alignment horizontal="right"/>
    </xf>
    <xf numFmtId="0" fontId="3491" fillId="0" borderId="3061" xfId="0" applyFont="1" applyBorder="1" applyAlignment="1">
      <alignment horizontal="left"/>
    </xf>
    <xf numFmtId="169" fontId="3492" fillId="0" borderId="3062" xfId="0" applyNumberFormat="1" applyFont="1" applyBorder="1" applyAlignment="1">
      <alignment horizontal="right"/>
    </xf>
    <xf numFmtId="169" fontId="3493" fillId="0" borderId="3063" xfId="0" applyNumberFormat="1" applyFont="1" applyBorder="1" applyAlignment="1">
      <alignment horizontal="right"/>
    </xf>
    <xf numFmtId="169" fontId="3494" fillId="0" borderId="3064" xfId="0" applyNumberFormat="1" applyFont="1" applyBorder="1" applyAlignment="1">
      <alignment horizontal="right"/>
    </xf>
    <xf numFmtId="169" fontId="3495" fillId="0" borderId="3065" xfId="0" applyNumberFormat="1" applyFont="1" applyBorder="1" applyAlignment="1">
      <alignment horizontal="right"/>
    </xf>
    <xf numFmtId="169" fontId="3496" fillId="0" borderId="3066" xfId="0" applyNumberFormat="1" applyFont="1" applyBorder="1" applyAlignment="1">
      <alignment horizontal="right"/>
    </xf>
    <xf numFmtId="169" fontId="3497" fillId="0" borderId="3067" xfId="0" applyNumberFormat="1" applyFont="1" applyBorder="1" applyAlignment="1">
      <alignment horizontal="right"/>
    </xf>
    <xf numFmtId="169" fontId="3498" fillId="0" borderId="3068" xfId="0" applyNumberFormat="1" applyFont="1" applyBorder="1" applyAlignment="1">
      <alignment horizontal="right"/>
    </xf>
    <xf numFmtId="169" fontId="3499" fillId="0" borderId="3069" xfId="0" applyNumberFormat="1" applyFont="1" applyBorder="1" applyAlignment="1">
      <alignment horizontal="right"/>
    </xf>
    <xf numFmtId="0" fontId="3500" fillId="0" borderId="3070" xfId="0" applyFont="1" applyBorder="1" applyAlignment="1">
      <alignment horizontal="left"/>
    </xf>
    <xf numFmtId="169" fontId="3501" fillId="0" borderId="3071" xfId="0" applyNumberFormat="1" applyFont="1" applyBorder="1" applyAlignment="1">
      <alignment horizontal="right"/>
    </xf>
    <xf numFmtId="169" fontId="3502" fillId="0" borderId="3072" xfId="0" applyNumberFormat="1" applyFont="1" applyBorder="1" applyAlignment="1">
      <alignment horizontal="right"/>
    </xf>
    <xf numFmtId="169" fontId="3503" fillId="0" borderId="3073" xfId="0" applyNumberFormat="1" applyFont="1" applyBorder="1" applyAlignment="1">
      <alignment horizontal="right"/>
    </xf>
    <xf numFmtId="169" fontId="3504" fillId="0" borderId="3074" xfId="0" applyNumberFormat="1" applyFont="1" applyBorder="1" applyAlignment="1">
      <alignment horizontal="right"/>
    </xf>
    <xf numFmtId="169" fontId="3505" fillId="0" borderId="3075" xfId="0" applyNumberFormat="1" applyFont="1" applyBorder="1" applyAlignment="1">
      <alignment horizontal="right"/>
    </xf>
    <xf numFmtId="169" fontId="3506" fillId="0" borderId="3076" xfId="0" applyNumberFormat="1" applyFont="1" applyBorder="1" applyAlignment="1">
      <alignment horizontal="right"/>
    </xf>
    <xf numFmtId="169" fontId="3507" fillId="0" borderId="3077" xfId="0" applyNumberFormat="1" applyFont="1" applyBorder="1" applyAlignment="1">
      <alignment horizontal="right"/>
    </xf>
    <xf numFmtId="169" fontId="3508" fillId="0" borderId="3078" xfId="0" applyNumberFormat="1" applyFont="1" applyBorder="1" applyAlignment="1">
      <alignment horizontal="right"/>
    </xf>
    <xf numFmtId="0" fontId="3509" fillId="0" borderId="3079" xfId="0" applyFont="1" applyBorder="1" applyAlignment="1">
      <alignment horizontal="left"/>
    </xf>
    <xf numFmtId="169" fontId="3510" fillId="0" borderId="3080" xfId="0" applyNumberFormat="1" applyFont="1" applyBorder="1" applyAlignment="1">
      <alignment horizontal="right"/>
    </xf>
    <xf numFmtId="169" fontId="3511" fillId="0" borderId="3081" xfId="0" applyNumberFormat="1" applyFont="1" applyBorder="1" applyAlignment="1">
      <alignment horizontal="right"/>
    </xf>
    <xf numFmtId="169" fontId="3512" fillId="0" borderId="3082" xfId="0" applyNumberFormat="1" applyFont="1" applyBorder="1" applyAlignment="1">
      <alignment horizontal="right"/>
    </xf>
    <xf numFmtId="169" fontId="3513" fillId="0" borderId="3083" xfId="0" applyNumberFormat="1" applyFont="1" applyBorder="1" applyAlignment="1">
      <alignment horizontal="right"/>
    </xf>
    <xf numFmtId="169" fontId="3514" fillId="0" borderId="3084" xfId="0" applyNumberFormat="1" applyFont="1" applyBorder="1" applyAlignment="1">
      <alignment horizontal="right"/>
    </xf>
    <xf numFmtId="169" fontId="3515" fillId="0" borderId="3085" xfId="0" applyNumberFormat="1" applyFont="1" applyBorder="1" applyAlignment="1">
      <alignment horizontal="right"/>
    </xf>
    <xf numFmtId="169" fontId="3516" fillId="0" borderId="3086" xfId="0" applyNumberFormat="1" applyFont="1" applyBorder="1" applyAlignment="1">
      <alignment horizontal="right"/>
    </xf>
    <xf numFmtId="169" fontId="3517" fillId="0" borderId="3087" xfId="0" applyNumberFormat="1" applyFont="1" applyBorder="1" applyAlignment="1">
      <alignment horizontal="right"/>
    </xf>
    <xf numFmtId="0" fontId="3518" fillId="0" borderId="3088" xfId="0" applyFont="1" applyBorder="1" applyAlignment="1">
      <alignment horizontal="left"/>
    </xf>
    <xf numFmtId="169" fontId="3519" fillId="0" borderId="3089" xfId="0" applyNumberFormat="1" applyFont="1" applyBorder="1" applyAlignment="1">
      <alignment horizontal="right"/>
    </xf>
    <xf numFmtId="169" fontId="3520" fillId="0" borderId="3090" xfId="0" applyNumberFormat="1" applyFont="1" applyBorder="1" applyAlignment="1">
      <alignment horizontal="right"/>
    </xf>
    <xf numFmtId="169" fontId="3521" fillId="0" borderId="3091" xfId="0" applyNumberFormat="1" applyFont="1" applyBorder="1" applyAlignment="1">
      <alignment horizontal="right"/>
    </xf>
    <xf numFmtId="169" fontId="3522" fillId="0" borderId="3092" xfId="0" applyNumberFormat="1" applyFont="1" applyBorder="1" applyAlignment="1">
      <alignment horizontal="right"/>
    </xf>
    <xf numFmtId="169" fontId="3523" fillId="0" borderId="3093" xfId="0" applyNumberFormat="1" applyFont="1" applyBorder="1" applyAlignment="1">
      <alignment horizontal="right"/>
    </xf>
    <xf numFmtId="169" fontId="3524" fillId="0" borderId="3094" xfId="0" applyNumberFormat="1" applyFont="1" applyBorder="1" applyAlignment="1">
      <alignment horizontal="right"/>
    </xf>
    <xf numFmtId="169" fontId="3525" fillId="0" borderId="3095" xfId="0" applyNumberFormat="1" applyFont="1" applyBorder="1" applyAlignment="1">
      <alignment horizontal="right"/>
    </xf>
    <xf numFmtId="169" fontId="3526" fillId="0" borderId="3096" xfId="0" applyNumberFormat="1" applyFont="1" applyBorder="1" applyAlignment="1">
      <alignment horizontal="right"/>
    </xf>
    <xf numFmtId="0" fontId="3527" fillId="0" borderId="3097" xfId="0" applyFont="1" applyBorder="1" applyAlignment="1">
      <alignment horizontal="left"/>
    </xf>
    <xf numFmtId="169" fontId="3528" fillId="0" borderId="3098" xfId="0" applyNumberFormat="1" applyFont="1" applyBorder="1" applyAlignment="1">
      <alignment horizontal="right"/>
    </xf>
    <xf numFmtId="169" fontId="3529" fillId="0" borderId="3099" xfId="0" applyNumberFormat="1" applyFont="1" applyBorder="1" applyAlignment="1">
      <alignment horizontal="right"/>
    </xf>
    <xf numFmtId="169" fontId="3530" fillId="0" borderId="3100" xfId="0" applyNumberFormat="1" applyFont="1" applyBorder="1" applyAlignment="1">
      <alignment horizontal="right"/>
    </xf>
    <xf numFmtId="169" fontId="3531" fillId="0" borderId="3101" xfId="0" applyNumberFormat="1" applyFont="1" applyBorder="1" applyAlignment="1">
      <alignment horizontal="right"/>
    </xf>
    <xf numFmtId="169" fontId="3532" fillId="0" borderId="3102" xfId="0" applyNumberFormat="1" applyFont="1" applyBorder="1" applyAlignment="1">
      <alignment horizontal="right"/>
    </xf>
    <xf numFmtId="169" fontId="3533" fillId="0" borderId="3103" xfId="0" applyNumberFormat="1" applyFont="1" applyBorder="1" applyAlignment="1">
      <alignment horizontal="right"/>
    </xf>
    <xf numFmtId="169" fontId="3534" fillId="0" borderId="3104" xfId="0" applyNumberFormat="1" applyFont="1" applyBorder="1" applyAlignment="1">
      <alignment horizontal="right"/>
    </xf>
    <xf numFmtId="169" fontId="3535" fillId="0" borderId="3105" xfId="0" applyNumberFormat="1" applyFont="1" applyBorder="1" applyAlignment="1">
      <alignment horizontal="right"/>
    </xf>
    <xf numFmtId="0" fontId="3536" fillId="0" borderId="3106" xfId="0" applyFont="1" applyBorder="1" applyAlignment="1">
      <alignment horizontal="left"/>
    </xf>
    <xf numFmtId="169" fontId="3537" fillId="0" borderId="3107" xfId="0" applyNumberFormat="1" applyFont="1" applyBorder="1" applyAlignment="1">
      <alignment horizontal="right"/>
    </xf>
    <xf numFmtId="169" fontId="3538" fillId="0" borderId="3108" xfId="0" applyNumberFormat="1" applyFont="1" applyBorder="1" applyAlignment="1">
      <alignment horizontal="right"/>
    </xf>
    <xf numFmtId="169" fontId="3539" fillId="0" borderId="3109" xfId="0" applyNumberFormat="1" applyFont="1" applyBorder="1" applyAlignment="1">
      <alignment horizontal="right"/>
    </xf>
    <xf numFmtId="169" fontId="3540" fillId="0" borderId="3110" xfId="0" applyNumberFormat="1" applyFont="1" applyBorder="1" applyAlignment="1">
      <alignment horizontal="right"/>
    </xf>
    <xf numFmtId="169" fontId="3541" fillId="0" borderId="3111" xfId="0" applyNumberFormat="1" applyFont="1" applyBorder="1" applyAlignment="1">
      <alignment horizontal="right"/>
    </xf>
    <xf numFmtId="169" fontId="3542" fillId="0" borderId="3112" xfId="0" applyNumberFormat="1" applyFont="1" applyBorder="1" applyAlignment="1">
      <alignment horizontal="right"/>
    </xf>
    <xf numFmtId="169" fontId="3543" fillId="0" borderId="3113" xfId="0" applyNumberFormat="1" applyFont="1" applyBorder="1" applyAlignment="1">
      <alignment horizontal="right"/>
    </xf>
    <xf numFmtId="169" fontId="3544" fillId="0" borderId="3114" xfId="0" applyNumberFormat="1" applyFont="1" applyBorder="1" applyAlignment="1">
      <alignment horizontal="right"/>
    </xf>
    <xf numFmtId="0" fontId="3545" fillId="0" borderId="3115" xfId="0" applyFont="1" applyBorder="1" applyAlignment="1">
      <alignment horizontal="left"/>
    </xf>
    <xf numFmtId="2" fontId="3546" fillId="0" borderId="3116" xfId="0" applyNumberFormat="1" applyFont="1" applyBorder="1"/>
    <xf numFmtId="2" fontId="3547" fillId="0" borderId="3117" xfId="0" applyNumberFormat="1" applyFont="1" applyBorder="1"/>
    <xf numFmtId="2" fontId="3548" fillId="0" borderId="3118" xfId="0" applyNumberFormat="1" applyFont="1" applyBorder="1"/>
    <xf numFmtId="2" fontId="3549" fillId="0" borderId="3119" xfId="0" applyNumberFormat="1" applyFont="1" applyBorder="1"/>
    <xf numFmtId="2" fontId="3550" fillId="0" borderId="3120" xfId="0" applyNumberFormat="1" applyFont="1" applyBorder="1"/>
    <xf numFmtId="2" fontId="3551" fillId="0" borderId="3121" xfId="0" applyNumberFormat="1" applyFont="1" applyBorder="1"/>
    <xf numFmtId="169" fontId="3552" fillId="0" borderId="3122" xfId="0" applyNumberFormat="1" applyFont="1" applyBorder="1" applyAlignment="1">
      <alignment horizontal="right"/>
    </xf>
    <xf numFmtId="169" fontId="3553" fillId="0" borderId="3123" xfId="0" applyNumberFormat="1" applyFont="1" applyBorder="1" applyAlignment="1">
      <alignment horizontal="right"/>
    </xf>
    <xf numFmtId="0" fontId="3554" fillId="0" borderId="3124" xfId="0" applyFont="1" applyBorder="1"/>
    <xf numFmtId="0" fontId="3561" fillId="0" borderId="3131" xfId="0" applyFont="1" applyBorder="1" applyAlignment="1">
      <alignment horizontal="right"/>
    </xf>
    <xf numFmtId="0" fontId="3562" fillId="0" borderId="3132" xfId="0" applyFont="1" applyBorder="1" applyAlignment="1">
      <alignment horizontal="center"/>
    </xf>
    <xf numFmtId="0" fontId="3563" fillId="0" borderId="3133" xfId="0" applyFont="1" applyBorder="1"/>
    <xf numFmtId="0" fontId="3567" fillId="0" borderId="3137" xfId="0" applyFont="1" applyBorder="1" applyAlignment="1">
      <alignment horizontal="right"/>
    </xf>
    <xf numFmtId="0" fontId="3568" fillId="0" borderId="3138" xfId="0" applyFont="1" applyBorder="1"/>
    <xf numFmtId="0" fontId="3572" fillId="0" borderId="3142" xfId="0" applyFont="1" applyBorder="1"/>
    <xf numFmtId="2" fontId="3573" fillId="0" borderId="3143" xfId="0" applyNumberFormat="1" applyFont="1" applyBorder="1" applyAlignment="1">
      <alignment horizontal="right"/>
    </xf>
    <xf numFmtId="2" fontId="3574" fillId="0" borderId="3144" xfId="0" applyNumberFormat="1" applyFont="1" applyBorder="1" applyAlignment="1">
      <alignment horizontal="right"/>
    </xf>
    <xf numFmtId="2" fontId="3575" fillId="0" borderId="3145" xfId="0" applyNumberFormat="1" applyFont="1" applyBorder="1" applyAlignment="1">
      <alignment horizontal="right"/>
    </xf>
    <xf numFmtId="2" fontId="3576" fillId="0" borderId="3146" xfId="0" applyNumberFormat="1" applyFont="1" applyBorder="1" applyAlignment="1">
      <alignment horizontal="right"/>
    </xf>
    <xf numFmtId="2" fontId="3577" fillId="0" borderId="3147" xfId="0" applyNumberFormat="1" applyFont="1" applyBorder="1" applyAlignment="1">
      <alignment horizontal="right"/>
    </xf>
    <xf numFmtId="2" fontId="3578" fillId="0" borderId="3148" xfId="0" applyNumberFormat="1" applyFont="1" applyBorder="1" applyAlignment="1">
      <alignment horizontal="right"/>
    </xf>
    <xf numFmtId="0" fontId="3579" fillId="0" borderId="3149" xfId="0" applyFont="1" applyBorder="1"/>
    <xf numFmtId="2" fontId="3580" fillId="0" borderId="3150" xfId="0" applyNumberFormat="1" applyFont="1" applyBorder="1" applyAlignment="1">
      <alignment horizontal="center"/>
    </xf>
    <xf numFmtId="2" fontId="3581" fillId="0" borderId="3151" xfId="0" applyNumberFormat="1" applyFont="1" applyBorder="1" applyAlignment="1">
      <alignment horizontal="center"/>
    </xf>
    <xf numFmtId="2" fontId="3582" fillId="0" borderId="3152" xfId="0" applyNumberFormat="1" applyFont="1" applyBorder="1" applyAlignment="1">
      <alignment horizontal="center"/>
    </xf>
    <xf numFmtId="2" fontId="3583" fillId="0" borderId="3153" xfId="0" applyNumberFormat="1" applyFont="1" applyBorder="1" applyAlignment="1">
      <alignment horizontal="center"/>
    </xf>
    <xf numFmtId="2" fontId="3584" fillId="0" borderId="3154" xfId="0" applyNumberFormat="1" applyFont="1" applyBorder="1" applyAlignment="1">
      <alignment horizontal="center"/>
    </xf>
    <xf numFmtId="2" fontId="3585" fillId="0" borderId="3155" xfId="0" applyNumberFormat="1" applyFont="1" applyBorder="1" applyAlignment="1">
      <alignment horizontal="center"/>
    </xf>
    <xf numFmtId="0" fontId="3586" fillId="0" borderId="3156" xfId="0" applyFont="1" applyBorder="1"/>
    <xf numFmtId="2" fontId="3587" fillId="0" borderId="3157" xfId="0" applyNumberFormat="1" applyFont="1" applyBorder="1" applyAlignment="1">
      <alignment horizontal="right"/>
    </xf>
    <xf numFmtId="2" fontId="3588" fillId="0" borderId="3158" xfId="0" applyNumberFormat="1" applyFont="1" applyBorder="1" applyAlignment="1">
      <alignment horizontal="right"/>
    </xf>
    <xf numFmtId="2" fontId="3589" fillId="0" borderId="3159" xfId="0" applyNumberFormat="1" applyFont="1" applyBorder="1" applyAlignment="1">
      <alignment horizontal="right"/>
    </xf>
    <xf numFmtId="2" fontId="3590" fillId="0" borderId="3160" xfId="0" applyNumberFormat="1" applyFont="1" applyBorder="1" applyAlignment="1">
      <alignment horizontal="right"/>
    </xf>
    <xf numFmtId="2" fontId="3591" fillId="0" borderId="3161" xfId="0" applyNumberFormat="1" applyFont="1" applyBorder="1" applyAlignment="1">
      <alignment horizontal="right"/>
    </xf>
    <xf numFmtId="2" fontId="3592" fillId="0" borderId="3162" xfId="0" applyNumberFormat="1" applyFont="1" applyBorder="1" applyAlignment="1">
      <alignment horizontal="right"/>
    </xf>
    <xf numFmtId="0" fontId="3593" fillId="0" borderId="3163" xfId="0" applyFont="1" applyBorder="1" applyAlignment="1">
      <alignment horizontal="left"/>
    </xf>
    <xf numFmtId="2" fontId="3594" fillId="0" borderId="3164" xfId="0" applyNumberFormat="1" applyFont="1" applyBorder="1"/>
    <xf numFmtId="2" fontId="3595" fillId="0" borderId="3165" xfId="0" applyNumberFormat="1" applyFont="1" applyBorder="1"/>
    <xf numFmtId="2" fontId="3596" fillId="0" borderId="3166" xfId="0" applyNumberFormat="1" applyFont="1" applyBorder="1"/>
    <xf numFmtId="2" fontId="3597" fillId="0" borderId="3167" xfId="0" applyNumberFormat="1" applyFont="1" applyBorder="1"/>
    <xf numFmtId="2" fontId="3598" fillId="0" borderId="3168" xfId="0" applyNumberFormat="1" applyFont="1" applyBorder="1"/>
    <xf numFmtId="2" fontId="3599" fillId="0" borderId="3169" xfId="0" applyNumberFormat="1" applyFont="1" applyBorder="1"/>
    <xf numFmtId="0" fontId="3600" fillId="0" borderId="3170" xfId="0" applyFont="1" applyBorder="1"/>
    <xf numFmtId="0" fontId="3601" fillId="0" borderId="3171" xfId="0" applyFont="1" applyBorder="1"/>
    <xf numFmtId="0" fontId="3602" fillId="0" borderId="3172" xfId="0" applyFont="1" applyBorder="1" applyAlignment="1">
      <alignment horizontal="left"/>
    </xf>
    <xf numFmtId="169" fontId="3603" fillId="0" borderId="3173" xfId="0" applyNumberFormat="1" applyFont="1" applyBorder="1" applyAlignment="1">
      <alignment horizontal="right"/>
    </xf>
    <xf numFmtId="169" fontId="3604" fillId="0" borderId="3174" xfId="0" applyNumberFormat="1" applyFont="1" applyBorder="1" applyAlignment="1">
      <alignment horizontal="right"/>
    </xf>
    <xf numFmtId="169" fontId="3605" fillId="0" borderId="3175" xfId="0" applyNumberFormat="1" applyFont="1" applyBorder="1" applyAlignment="1">
      <alignment horizontal="right"/>
    </xf>
    <xf numFmtId="169" fontId="3606" fillId="0" borderId="3176" xfId="0" applyNumberFormat="1" applyFont="1" applyBorder="1" applyAlignment="1">
      <alignment horizontal="right"/>
    </xf>
    <xf numFmtId="169" fontId="3607" fillId="0" borderId="3177" xfId="0" applyNumberFormat="1" applyFont="1" applyBorder="1" applyAlignment="1">
      <alignment horizontal="right"/>
    </xf>
    <xf numFmtId="169" fontId="3608" fillId="0" borderId="3178" xfId="0" applyNumberFormat="1" applyFont="1" applyBorder="1" applyAlignment="1">
      <alignment horizontal="right"/>
    </xf>
    <xf numFmtId="169" fontId="3609" fillId="0" borderId="3179" xfId="0" applyNumberFormat="1" applyFont="1" applyBorder="1" applyAlignment="1">
      <alignment horizontal="right"/>
    </xf>
    <xf numFmtId="169" fontId="3610" fillId="0" borderId="3180" xfId="0" applyNumberFormat="1" applyFont="1" applyBorder="1" applyAlignment="1">
      <alignment horizontal="right"/>
    </xf>
    <xf numFmtId="0" fontId="3611" fillId="0" borderId="3181" xfId="0" applyFont="1" applyBorder="1" applyAlignment="1">
      <alignment horizontal="left"/>
    </xf>
    <xf numFmtId="169" fontId="3612" fillId="0" borderId="3182" xfId="0" applyNumberFormat="1" applyFont="1" applyBorder="1" applyAlignment="1">
      <alignment horizontal="right"/>
    </xf>
    <xf numFmtId="169" fontId="3613" fillId="0" borderId="3183" xfId="0" applyNumberFormat="1" applyFont="1" applyBorder="1" applyAlignment="1">
      <alignment horizontal="right"/>
    </xf>
    <xf numFmtId="169" fontId="3614" fillId="0" borderId="3184" xfId="0" applyNumberFormat="1" applyFont="1" applyBorder="1" applyAlignment="1">
      <alignment horizontal="right"/>
    </xf>
    <xf numFmtId="169" fontId="3615" fillId="0" borderId="3185" xfId="0" applyNumberFormat="1" applyFont="1" applyBorder="1" applyAlignment="1">
      <alignment horizontal="right"/>
    </xf>
    <xf numFmtId="169" fontId="3616" fillId="0" borderId="3186" xfId="0" applyNumberFormat="1" applyFont="1" applyBorder="1" applyAlignment="1">
      <alignment horizontal="right"/>
    </xf>
    <xf numFmtId="169" fontId="3617" fillId="0" borderId="3187" xfId="0" applyNumberFormat="1" applyFont="1" applyBorder="1" applyAlignment="1">
      <alignment horizontal="right"/>
    </xf>
    <xf numFmtId="169" fontId="3618" fillId="0" borderId="3188" xfId="0" applyNumberFormat="1" applyFont="1" applyBorder="1" applyAlignment="1">
      <alignment horizontal="right"/>
    </xf>
    <xf numFmtId="169" fontId="3619" fillId="0" borderId="3189" xfId="0" applyNumberFormat="1" applyFont="1" applyBorder="1" applyAlignment="1">
      <alignment horizontal="right"/>
    </xf>
    <xf numFmtId="0" fontId="3620" fillId="0" borderId="3190" xfId="0" applyFont="1" applyBorder="1" applyAlignment="1">
      <alignment horizontal="left"/>
    </xf>
    <xf numFmtId="169" fontId="3621" fillId="0" borderId="3191" xfId="0" applyNumberFormat="1" applyFont="1" applyBorder="1" applyAlignment="1">
      <alignment horizontal="right"/>
    </xf>
    <xf numFmtId="169" fontId="3622" fillId="0" borderId="3192" xfId="0" applyNumberFormat="1" applyFont="1" applyBorder="1" applyAlignment="1">
      <alignment horizontal="right"/>
    </xf>
    <xf numFmtId="169" fontId="3623" fillId="0" borderId="3193" xfId="0" applyNumberFormat="1" applyFont="1" applyBorder="1" applyAlignment="1">
      <alignment horizontal="right"/>
    </xf>
    <xf numFmtId="169" fontId="3624" fillId="0" borderId="3194" xfId="0" applyNumberFormat="1" applyFont="1" applyBorder="1" applyAlignment="1">
      <alignment horizontal="right"/>
    </xf>
    <xf numFmtId="169" fontId="3625" fillId="0" borderId="3195" xfId="0" applyNumberFormat="1" applyFont="1" applyBorder="1" applyAlignment="1">
      <alignment horizontal="right"/>
    </xf>
    <xf numFmtId="169" fontId="3626" fillId="0" borderId="3196" xfId="0" applyNumberFormat="1" applyFont="1" applyBorder="1" applyAlignment="1">
      <alignment horizontal="right"/>
    </xf>
    <xf numFmtId="169" fontId="3627" fillId="0" borderId="3197" xfId="0" applyNumberFormat="1" applyFont="1" applyBorder="1" applyAlignment="1">
      <alignment horizontal="right"/>
    </xf>
    <xf numFmtId="169" fontId="3628" fillId="0" borderId="3198" xfId="0" applyNumberFormat="1" applyFont="1" applyBorder="1" applyAlignment="1">
      <alignment horizontal="right"/>
    </xf>
    <xf numFmtId="0" fontId="3629" fillId="0" borderId="3199" xfId="0" applyFont="1" applyBorder="1" applyAlignment="1">
      <alignment horizontal="left"/>
    </xf>
    <xf numFmtId="169" fontId="3630" fillId="0" borderId="3200" xfId="0" applyNumberFormat="1" applyFont="1" applyBorder="1" applyAlignment="1">
      <alignment horizontal="right"/>
    </xf>
    <xf numFmtId="169" fontId="3631" fillId="0" borderId="3201" xfId="0" applyNumberFormat="1" applyFont="1" applyBorder="1" applyAlignment="1">
      <alignment horizontal="right"/>
    </xf>
    <xf numFmtId="169" fontId="3632" fillId="0" borderId="3202" xfId="0" applyNumberFormat="1" applyFont="1" applyBorder="1" applyAlignment="1">
      <alignment horizontal="right"/>
    </xf>
    <xf numFmtId="169" fontId="3633" fillId="0" borderId="3203" xfId="0" applyNumberFormat="1" applyFont="1" applyBorder="1" applyAlignment="1">
      <alignment horizontal="right"/>
    </xf>
    <xf numFmtId="169" fontId="3634" fillId="0" borderId="3204" xfId="0" applyNumberFormat="1" applyFont="1" applyBorder="1" applyAlignment="1">
      <alignment horizontal="right"/>
    </xf>
    <xf numFmtId="169" fontId="3635" fillId="0" borderId="3205" xfId="0" applyNumberFormat="1" applyFont="1" applyBorder="1" applyAlignment="1">
      <alignment horizontal="right"/>
    </xf>
    <xf numFmtId="169" fontId="3636" fillId="0" borderId="3206" xfId="0" applyNumberFormat="1" applyFont="1" applyBorder="1" applyAlignment="1">
      <alignment horizontal="right"/>
    </xf>
    <xf numFmtId="169" fontId="3637" fillId="0" borderId="3207" xfId="0" applyNumberFormat="1" applyFont="1" applyBorder="1" applyAlignment="1">
      <alignment horizontal="right"/>
    </xf>
    <xf numFmtId="0" fontId="3638" fillId="0" borderId="3208" xfId="0" applyFont="1" applyBorder="1" applyAlignment="1">
      <alignment horizontal="left"/>
    </xf>
    <xf numFmtId="169" fontId="3639" fillId="0" borderId="3209" xfId="0" applyNumberFormat="1" applyFont="1" applyBorder="1" applyAlignment="1">
      <alignment horizontal="right"/>
    </xf>
    <xf numFmtId="169" fontId="3640" fillId="0" borderId="3210" xfId="0" applyNumberFormat="1" applyFont="1" applyBorder="1" applyAlignment="1">
      <alignment horizontal="right"/>
    </xf>
    <xf numFmtId="169" fontId="3641" fillId="0" borderId="3211" xfId="0" applyNumberFormat="1" applyFont="1" applyBorder="1" applyAlignment="1">
      <alignment horizontal="right"/>
    </xf>
    <xf numFmtId="169" fontId="3642" fillId="0" borderId="3212" xfId="0" applyNumberFormat="1" applyFont="1" applyBorder="1" applyAlignment="1">
      <alignment horizontal="right"/>
    </xf>
    <xf numFmtId="169" fontId="3643" fillId="0" borderId="3213" xfId="0" applyNumberFormat="1" applyFont="1" applyBorder="1" applyAlignment="1">
      <alignment horizontal="right"/>
    </xf>
    <xf numFmtId="169" fontId="3644" fillId="0" borderId="3214" xfId="0" applyNumberFormat="1" applyFont="1" applyBorder="1" applyAlignment="1">
      <alignment horizontal="right"/>
    </xf>
    <xf numFmtId="169" fontId="3645" fillId="0" borderId="3215" xfId="0" applyNumberFormat="1" applyFont="1" applyBorder="1" applyAlignment="1">
      <alignment horizontal="right"/>
    </xf>
    <xf numFmtId="169" fontId="3646" fillId="0" borderId="3216" xfId="0" applyNumberFormat="1" applyFont="1" applyBorder="1" applyAlignment="1">
      <alignment horizontal="right"/>
    </xf>
    <xf numFmtId="0" fontId="3647" fillId="0" borderId="3217" xfId="0" applyFont="1" applyBorder="1" applyAlignment="1">
      <alignment horizontal="left"/>
    </xf>
    <xf numFmtId="169" fontId="3648" fillId="0" borderId="3218" xfId="0" applyNumberFormat="1" applyFont="1" applyBorder="1" applyAlignment="1">
      <alignment horizontal="right"/>
    </xf>
    <xf numFmtId="169" fontId="3649" fillId="0" borderId="3219" xfId="0" applyNumberFormat="1" applyFont="1" applyBorder="1" applyAlignment="1">
      <alignment horizontal="right"/>
    </xf>
    <xf numFmtId="169" fontId="3650" fillId="0" borderId="3220" xfId="0" applyNumberFormat="1" applyFont="1" applyBorder="1" applyAlignment="1">
      <alignment horizontal="right"/>
    </xf>
    <xf numFmtId="169" fontId="3651" fillId="0" borderId="3221" xfId="0" applyNumberFormat="1" applyFont="1" applyBorder="1" applyAlignment="1">
      <alignment horizontal="right"/>
    </xf>
    <xf numFmtId="169" fontId="3652" fillId="0" borderId="3222" xfId="0" applyNumberFormat="1" applyFont="1" applyBorder="1" applyAlignment="1">
      <alignment horizontal="right"/>
    </xf>
    <xf numFmtId="169" fontId="3653" fillId="0" borderId="3223" xfId="0" applyNumberFormat="1" applyFont="1" applyBorder="1" applyAlignment="1">
      <alignment horizontal="right"/>
    </xf>
    <xf numFmtId="169" fontId="3654" fillId="0" borderId="3224" xfId="0" applyNumberFormat="1" applyFont="1" applyBorder="1" applyAlignment="1">
      <alignment horizontal="right"/>
    </xf>
    <xf numFmtId="169" fontId="3655" fillId="0" borderId="3225" xfId="0" applyNumberFormat="1" applyFont="1" applyBorder="1" applyAlignment="1">
      <alignment horizontal="right"/>
    </xf>
    <xf numFmtId="0" fontId="3656" fillId="0" borderId="3226" xfId="0" applyFont="1" applyBorder="1" applyAlignment="1">
      <alignment horizontal="left"/>
    </xf>
    <xf numFmtId="169" fontId="3657" fillId="0" borderId="3227" xfId="0" applyNumberFormat="1" applyFont="1" applyBorder="1" applyAlignment="1">
      <alignment horizontal="right"/>
    </xf>
    <xf numFmtId="169" fontId="3658" fillId="0" borderId="3228" xfId="0" applyNumberFormat="1" applyFont="1" applyBorder="1" applyAlignment="1">
      <alignment horizontal="right"/>
    </xf>
    <xf numFmtId="169" fontId="3659" fillId="0" borderId="3229" xfId="0" applyNumberFormat="1" applyFont="1" applyBorder="1" applyAlignment="1">
      <alignment horizontal="right"/>
    </xf>
    <xf numFmtId="169" fontId="3660" fillId="0" borderId="3230" xfId="0" applyNumberFormat="1" applyFont="1" applyBorder="1" applyAlignment="1">
      <alignment horizontal="right"/>
    </xf>
    <xf numFmtId="169" fontId="3661" fillId="0" borderId="3231" xfId="0" applyNumberFormat="1" applyFont="1" applyBorder="1" applyAlignment="1">
      <alignment horizontal="right"/>
    </xf>
    <xf numFmtId="169" fontId="3662" fillId="0" borderId="3232" xfId="0" applyNumberFormat="1" applyFont="1" applyBorder="1" applyAlignment="1">
      <alignment horizontal="right"/>
    </xf>
    <xf numFmtId="169" fontId="3663" fillId="0" borderId="3233" xfId="0" applyNumberFormat="1" applyFont="1" applyBorder="1" applyAlignment="1">
      <alignment horizontal="right"/>
    </xf>
    <xf numFmtId="169" fontId="3664" fillId="0" borderId="3234" xfId="0" applyNumberFormat="1" applyFont="1" applyBorder="1" applyAlignment="1">
      <alignment horizontal="right"/>
    </xf>
    <xf numFmtId="0" fontId="3665" fillId="0" borderId="3235" xfId="0" applyFont="1" applyBorder="1" applyAlignment="1">
      <alignment horizontal="left"/>
    </xf>
    <xf numFmtId="169" fontId="3666" fillId="0" borderId="3236" xfId="0" applyNumberFormat="1" applyFont="1" applyBorder="1" applyAlignment="1">
      <alignment horizontal="right"/>
    </xf>
    <xf numFmtId="169" fontId="3667" fillId="0" borderId="3237" xfId="0" applyNumberFormat="1" applyFont="1" applyBorder="1" applyAlignment="1">
      <alignment horizontal="right"/>
    </xf>
    <xf numFmtId="169" fontId="3668" fillId="0" borderId="3238" xfId="0" applyNumberFormat="1" applyFont="1" applyBorder="1" applyAlignment="1">
      <alignment horizontal="right"/>
    </xf>
    <xf numFmtId="169" fontId="3669" fillId="0" borderId="3239" xfId="0" applyNumberFormat="1" applyFont="1" applyBorder="1" applyAlignment="1">
      <alignment horizontal="right"/>
    </xf>
    <xf numFmtId="169" fontId="3670" fillId="0" borderId="3240" xfId="0" applyNumberFormat="1" applyFont="1" applyBorder="1" applyAlignment="1">
      <alignment horizontal="right"/>
    </xf>
    <xf numFmtId="169" fontId="3671" fillId="0" borderId="3241" xfId="0" applyNumberFormat="1" applyFont="1" applyBorder="1" applyAlignment="1">
      <alignment horizontal="right"/>
    </xf>
    <xf numFmtId="169" fontId="3672" fillId="0" borderId="3242" xfId="0" applyNumberFormat="1" applyFont="1" applyBorder="1" applyAlignment="1">
      <alignment horizontal="right"/>
    </xf>
    <xf numFmtId="169" fontId="3673" fillId="0" borderId="3243" xfId="0" applyNumberFormat="1" applyFont="1" applyBorder="1" applyAlignment="1">
      <alignment horizontal="right"/>
    </xf>
    <xf numFmtId="0" fontId="3674" fillId="0" borderId="3244" xfId="0" applyFont="1" applyBorder="1" applyAlignment="1">
      <alignment horizontal="left"/>
    </xf>
    <xf numFmtId="169" fontId="3675" fillId="0" borderId="3245" xfId="0" applyNumberFormat="1" applyFont="1" applyBorder="1" applyAlignment="1">
      <alignment horizontal="right"/>
    </xf>
    <xf numFmtId="169" fontId="3676" fillId="0" borderId="3246" xfId="0" applyNumberFormat="1" applyFont="1" applyBorder="1" applyAlignment="1">
      <alignment horizontal="right"/>
    </xf>
    <xf numFmtId="169" fontId="3677" fillId="0" borderId="3247" xfId="0" applyNumberFormat="1" applyFont="1" applyBorder="1" applyAlignment="1">
      <alignment horizontal="right"/>
    </xf>
    <xf numFmtId="169" fontId="3678" fillId="0" borderId="3248" xfId="0" applyNumberFormat="1" applyFont="1" applyBorder="1" applyAlignment="1">
      <alignment horizontal="right"/>
    </xf>
    <xf numFmtId="169" fontId="3679" fillId="0" borderId="3249" xfId="0" applyNumberFormat="1" applyFont="1" applyBorder="1" applyAlignment="1">
      <alignment horizontal="right"/>
    </xf>
    <xf numFmtId="169" fontId="3680" fillId="0" borderId="3250" xfId="0" applyNumberFormat="1" applyFont="1" applyBorder="1" applyAlignment="1">
      <alignment horizontal="right"/>
    </xf>
    <xf numFmtId="169" fontId="3681" fillId="0" borderId="3251" xfId="0" applyNumberFormat="1" applyFont="1" applyBorder="1" applyAlignment="1">
      <alignment horizontal="right"/>
    </xf>
    <xf numFmtId="169" fontId="3682" fillId="0" borderId="3252" xfId="0" applyNumberFormat="1" applyFont="1" applyBorder="1" applyAlignment="1">
      <alignment horizontal="right"/>
    </xf>
    <xf numFmtId="0" fontId="3683" fillId="0" borderId="3253" xfId="0" applyFont="1" applyBorder="1" applyAlignment="1">
      <alignment horizontal="left"/>
    </xf>
    <xf numFmtId="169" fontId="3684" fillId="0" borderId="3254" xfId="0" applyNumberFormat="1" applyFont="1" applyBorder="1" applyAlignment="1">
      <alignment horizontal="right"/>
    </xf>
    <xf numFmtId="169" fontId="3685" fillId="0" borderId="3255" xfId="0" applyNumberFormat="1" applyFont="1" applyBorder="1" applyAlignment="1">
      <alignment horizontal="right"/>
    </xf>
    <xf numFmtId="169" fontId="3686" fillId="0" borderId="3256" xfId="0" applyNumberFormat="1" applyFont="1" applyBorder="1" applyAlignment="1">
      <alignment horizontal="right"/>
    </xf>
    <xf numFmtId="169" fontId="3687" fillId="0" borderId="3257" xfId="0" applyNumberFormat="1" applyFont="1" applyBorder="1" applyAlignment="1">
      <alignment horizontal="right"/>
    </xf>
    <xf numFmtId="169" fontId="3688" fillId="0" borderId="3258" xfId="0" applyNumberFormat="1" applyFont="1" applyBorder="1" applyAlignment="1">
      <alignment horizontal="right"/>
    </xf>
    <xf numFmtId="169" fontId="3689" fillId="0" borderId="3259" xfId="0" applyNumberFormat="1" applyFont="1" applyBorder="1" applyAlignment="1">
      <alignment horizontal="right"/>
    </xf>
    <xf numFmtId="169" fontId="3690" fillId="0" borderId="3260" xfId="0" applyNumberFormat="1" applyFont="1" applyBorder="1" applyAlignment="1">
      <alignment horizontal="right"/>
    </xf>
    <xf numFmtId="169" fontId="3691" fillId="0" borderId="3261" xfId="0" applyNumberFormat="1" applyFont="1" applyBorder="1" applyAlignment="1">
      <alignment horizontal="right"/>
    </xf>
    <xf numFmtId="0" fontId="3692" fillId="0" borderId="3262" xfId="0" applyFont="1" applyBorder="1" applyAlignment="1">
      <alignment horizontal="left"/>
    </xf>
    <xf numFmtId="169" fontId="3693" fillId="0" borderId="3263" xfId="0" applyNumberFormat="1" applyFont="1" applyBorder="1" applyAlignment="1">
      <alignment horizontal="right"/>
    </xf>
    <xf numFmtId="169" fontId="3694" fillId="0" borderId="3264" xfId="0" applyNumberFormat="1" applyFont="1" applyBorder="1" applyAlignment="1">
      <alignment horizontal="right"/>
    </xf>
    <xf numFmtId="169" fontId="3695" fillId="0" borderId="3265" xfId="0" applyNumberFormat="1" applyFont="1" applyBorder="1" applyAlignment="1">
      <alignment horizontal="right"/>
    </xf>
    <xf numFmtId="169" fontId="3696" fillId="0" borderId="3266" xfId="0" applyNumberFormat="1" applyFont="1" applyBorder="1" applyAlignment="1">
      <alignment horizontal="right"/>
    </xf>
    <xf numFmtId="169" fontId="3697" fillId="0" borderId="3267" xfId="0" applyNumberFormat="1" applyFont="1" applyBorder="1" applyAlignment="1">
      <alignment horizontal="right"/>
    </xf>
    <xf numFmtId="169" fontId="3698" fillId="0" borderId="3268" xfId="0" applyNumberFormat="1" applyFont="1" applyBorder="1" applyAlignment="1">
      <alignment horizontal="right"/>
    </xf>
    <xf numFmtId="169" fontId="3699" fillId="0" borderId="3269" xfId="0" applyNumberFormat="1" applyFont="1" applyBorder="1" applyAlignment="1">
      <alignment horizontal="right"/>
    </xf>
    <xf numFmtId="169" fontId="3700" fillId="0" borderId="3270" xfId="0" applyNumberFormat="1" applyFont="1" applyBorder="1" applyAlignment="1">
      <alignment horizontal="right"/>
    </xf>
    <xf numFmtId="0" fontId="3701" fillId="0" borderId="3271" xfId="0" applyFont="1" applyBorder="1" applyAlignment="1">
      <alignment horizontal="left"/>
    </xf>
    <xf numFmtId="169" fontId="3702" fillId="0" borderId="3272" xfId="0" applyNumberFormat="1" applyFont="1" applyBorder="1" applyAlignment="1">
      <alignment horizontal="right"/>
    </xf>
    <xf numFmtId="169" fontId="3703" fillId="0" borderId="3273" xfId="0" applyNumberFormat="1" applyFont="1" applyBorder="1" applyAlignment="1">
      <alignment horizontal="right"/>
    </xf>
    <xf numFmtId="169" fontId="3704" fillId="0" borderId="3274" xfId="0" applyNumberFormat="1" applyFont="1" applyBorder="1" applyAlignment="1">
      <alignment horizontal="right"/>
    </xf>
    <xf numFmtId="169" fontId="3705" fillId="0" borderId="3275" xfId="0" applyNumberFormat="1" applyFont="1" applyBorder="1" applyAlignment="1">
      <alignment horizontal="right"/>
    </xf>
    <xf numFmtId="169" fontId="3706" fillId="0" borderId="3276" xfId="0" applyNumberFormat="1" applyFont="1" applyBorder="1" applyAlignment="1">
      <alignment horizontal="right"/>
    </xf>
    <xf numFmtId="169" fontId="3707" fillId="0" borderId="3277" xfId="0" applyNumberFormat="1" applyFont="1" applyBorder="1" applyAlignment="1">
      <alignment horizontal="right"/>
    </xf>
    <xf numFmtId="169" fontId="3708" fillId="0" borderId="3278" xfId="0" applyNumberFormat="1" applyFont="1" applyBorder="1" applyAlignment="1">
      <alignment horizontal="right"/>
    </xf>
    <xf numFmtId="169" fontId="3709" fillId="0" borderId="3279" xfId="0" applyNumberFormat="1" applyFont="1" applyBorder="1" applyAlignment="1">
      <alignment horizontal="right"/>
    </xf>
    <xf numFmtId="0" fontId="3710" fillId="0" borderId="3280" xfId="0" applyFont="1" applyBorder="1" applyAlignment="1">
      <alignment horizontal="left"/>
    </xf>
    <xf numFmtId="169" fontId="3711" fillId="0" borderId="3281" xfId="0" applyNumberFormat="1" applyFont="1" applyBorder="1" applyAlignment="1">
      <alignment horizontal="right"/>
    </xf>
    <xf numFmtId="169" fontId="3712" fillId="0" borderId="3282" xfId="0" applyNumberFormat="1" applyFont="1" applyBorder="1" applyAlignment="1">
      <alignment horizontal="right"/>
    </xf>
    <xf numFmtId="169" fontId="3713" fillId="0" borderId="3283" xfId="0" applyNumberFormat="1" applyFont="1" applyBorder="1" applyAlignment="1">
      <alignment horizontal="right"/>
    </xf>
    <xf numFmtId="169" fontId="3714" fillId="0" borderId="3284" xfId="0" applyNumberFormat="1" applyFont="1" applyBorder="1" applyAlignment="1">
      <alignment horizontal="right"/>
    </xf>
    <xf numFmtId="169" fontId="3715" fillId="0" borderId="3285" xfId="0" applyNumberFormat="1" applyFont="1" applyBorder="1" applyAlignment="1">
      <alignment horizontal="right"/>
    </xf>
    <xf numFmtId="169" fontId="3716" fillId="0" borderId="3286" xfId="0" applyNumberFormat="1" applyFont="1" applyBorder="1" applyAlignment="1">
      <alignment horizontal="right"/>
    </xf>
    <xf numFmtId="169" fontId="3717" fillId="0" borderId="3287" xfId="0" applyNumberFormat="1" applyFont="1" applyBorder="1" applyAlignment="1">
      <alignment horizontal="right"/>
    </xf>
    <xf numFmtId="169" fontId="3718" fillId="0" borderId="3288" xfId="0" applyNumberFormat="1" applyFont="1" applyBorder="1" applyAlignment="1">
      <alignment horizontal="right"/>
    </xf>
    <xf numFmtId="0" fontId="3719" fillId="0" borderId="3289" xfId="0" applyFont="1" applyBorder="1" applyAlignment="1">
      <alignment horizontal="left"/>
    </xf>
    <xf numFmtId="169" fontId="3720" fillId="0" borderId="3290" xfId="0" applyNumberFormat="1" applyFont="1" applyBorder="1" applyAlignment="1">
      <alignment horizontal="right"/>
    </xf>
    <xf numFmtId="169" fontId="3721" fillId="0" borderId="3291" xfId="0" applyNumberFormat="1" applyFont="1" applyBorder="1" applyAlignment="1">
      <alignment horizontal="right"/>
    </xf>
    <xf numFmtId="169" fontId="3722" fillId="0" borderId="3292" xfId="0" applyNumberFormat="1" applyFont="1" applyBorder="1" applyAlignment="1">
      <alignment horizontal="right"/>
    </xf>
    <xf numFmtId="169" fontId="3723" fillId="0" borderId="3293" xfId="0" applyNumberFormat="1" applyFont="1" applyBorder="1" applyAlignment="1">
      <alignment horizontal="right"/>
    </xf>
    <xf numFmtId="169" fontId="3724" fillId="0" borderId="3294" xfId="0" applyNumberFormat="1" applyFont="1" applyBorder="1" applyAlignment="1">
      <alignment horizontal="right"/>
    </xf>
    <xf numFmtId="169" fontId="3725" fillId="0" borderId="3295" xfId="0" applyNumberFormat="1" applyFont="1" applyBorder="1" applyAlignment="1">
      <alignment horizontal="right"/>
    </xf>
    <xf numFmtId="169" fontId="3726" fillId="0" borderId="3296" xfId="0" applyNumberFormat="1" applyFont="1" applyBorder="1" applyAlignment="1">
      <alignment horizontal="right"/>
    </xf>
    <xf numFmtId="169" fontId="3727" fillId="0" borderId="3297" xfId="0" applyNumberFormat="1" applyFont="1" applyBorder="1" applyAlignment="1">
      <alignment horizontal="right"/>
    </xf>
    <xf numFmtId="0" fontId="3728" fillId="0" borderId="3298" xfId="0" applyFont="1" applyBorder="1" applyAlignment="1">
      <alignment horizontal="left"/>
    </xf>
    <xf numFmtId="2" fontId="3729" fillId="0" borderId="3299" xfId="0" applyNumberFormat="1" applyFont="1" applyBorder="1"/>
    <xf numFmtId="2" fontId="3730" fillId="0" borderId="3300" xfId="0" applyNumberFormat="1" applyFont="1" applyBorder="1"/>
    <xf numFmtId="2" fontId="3731" fillId="0" borderId="3301" xfId="0" applyNumberFormat="1" applyFont="1" applyBorder="1"/>
    <xf numFmtId="2" fontId="3732" fillId="0" borderId="3302" xfId="0" applyNumberFormat="1" applyFont="1" applyBorder="1"/>
    <xf numFmtId="2" fontId="3733" fillId="0" borderId="3303" xfId="0" applyNumberFormat="1" applyFont="1" applyBorder="1"/>
    <xf numFmtId="2" fontId="3734" fillId="0" borderId="3304" xfId="0" applyNumberFormat="1" applyFont="1" applyBorder="1"/>
    <xf numFmtId="169" fontId="3735" fillId="0" borderId="3305" xfId="0" applyNumberFormat="1" applyFont="1" applyBorder="1" applyAlignment="1">
      <alignment horizontal="right"/>
    </xf>
    <xf numFmtId="169" fontId="3736" fillId="0" borderId="3306" xfId="0" applyNumberFormat="1" applyFont="1" applyBorder="1" applyAlignment="1">
      <alignment horizontal="right"/>
    </xf>
    <xf numFmtId="0" fontId="3737" fillId="0" borderId="3307" xfId="0" applyFont="1" applyBorder="1"/>
    <xf numFmtId="0" fontId="3744" fillId="0" borderId="3314" xfId="0" applyFont="1" applyBorder="1" applyAlignment="1">
      <alignment horizontal="right"/>
    </xf>
    <xf numFmtId="0" fontId="3745" fillId="0" borderId="3315" xfId="0" applyFont="1" applyBorder="1" applyAlignment="1">
      <alignment horizontal="center"/>
    </xf>
    <xf numFmtId="0" fontId="3746" fillId="0" borderId="3316" xfId="0" applyFont="1" applyBorder="1"/>
    <xf numFmtId="0" fontId="3750" fillId="0" borderId="3320" xfId="0" applyFont="1" applyBorder="1" applyAlignment="1">
      <alignment horizontal="right"/>
    </xf>
    <xf numFmtId="0" fontId="3751" fillId="0" borderId="3321" xfId="0" applyFont="1" applyBorder="1"/>
    <xf numFmtId="0" fontId="3755" fillId="0" borderId="3325" xfId="0" applyFont="1" applyBorder="1"/>
    <xf numFmtId="2" fontId="3756" fillId="0" borderId="3326" xfId="0" applyNumberFormat="1" applyFont="1" applyBorder="1" applyAlignment="1">
      <alignment horizontal="right"/>
    </xf>
    <xf numFmtId="2" fontId="3757" fillId="0" borderId="3327" xfId="0" applyNumberFormat="1" applyFont="1" applyBorder="1" applyAlignment="1">
      <alignment horizontal="right"/>
    </xf>
    <xf numFmtId="2" fontId="3758" fillId="0" borderId="3328" xfId="0" applyNumberFormat="1" applyFont="1" applyBorder="1" applyAlignment="1">
      <alignment horizontal="right"/>
    </xf>
    <xf numFmtId="2" fontId="3759" fillId="0" borderId="3329" xfId="0" applyNumberFormat="1" applyFont="1" applyBorder="1" applyAlignment="1">
      <alignment horizontal="right"/>
    </xf>
    <xf numFmtId="2" fontId="3760" fillId="0" borderId="3330" xfId="0" applyNumberFormat="1" applyFont="1" applyBorder="1" applyAlignment="1">
      <alignment horizontal="right"/>
    </xf>
    <xf numFmtId="2" fontId="3761" fillId="0" borderId="3331" xfId="0" applyNumberFormat="1" applyFont="1" applyBorder="1" applyAlignment="1">
      <alignment horizontal="right"/>
    </xf>
    <xf numFmtId="0" fontId="3762" fillId="0" borderId="3332" xfId="0" applyFont="1" applyBorder="1"/>
    <xf numFmtId="2" fontId="3763" fillId="0" borderId="3333" xfId="0" applyNumberFormat="1" applyFont="1" applyBorder="1" applyAlignment="1">
      <alignment horizontal="center"/>
    </xf>
    <xf numFmtId="2" fontId="3764" fillId="0" borderId="3334" xfId="0" applyNumberFormat="1" applyFont="1" applyBorder="1" applyAlignment="1">
      <alignment horizontal="center"/>
    </xf>
    <xf numFmtId="2" fontId="3765" fillId="0" borderId="3335" xfId="0" applyNumberFormat="1" applyFont="1" applyBorder="1" applyAlignment="1">
      <alignment horizontal="center"/>
    </xf>
    <xf numFmtId="2" fontId="3766" fillId="0" borderId="3336" xfId="0" applyNumberFormat="1" applyFont="1" applyBorder="1" applyAlignment="1">
      <alignment horizontal="center"/>
    </xf>
    <xf numFmtId="2" fontId="3767" fillId="0" borderId="3337" xfId="0" applyNumberFormat="1" applyFont="1" applyBorder="1" applyAlignment="1">
      <alignment horizontal="center"/>
    </xf>
    <xf numFmtId="2" fontId="3768" fillId="0" borderId="3338" xfId="0" applyNumberFormat="1" applyFont="1" applyBorder="1" applyAlignment="1">
      <alignment horizontal="center"/>
    </xf>
    <xf numFmtId="0" fontId="3769" fillId="0" borderId="3339" xfId="0" applyFont="1" applyBorder="1"/>
    <xf numFmtId="2" fontId="3770" fillId="0" borderId="3340" xfId="0" applyNumberFormat="1" applyFont="1" applyBorder="1" applyAlignment="1">
      <alignment horizontal="right"/>
    </xf>
    <xf numFmtId="2" fontId="3771" fillId="0" borderId="3341" xfId="0" applyNumberFormat="1" applyFont="1" applyBorder="1" applyAlignment="1">
      <alignment horizontal="right"/>
    </xf>
    <xf numFmtId="2" fontId="3772" fillId="0" borderId="3342" xfId="0" applyNumberFormat="1" applyFont="1" applyBorder="1" applyAlignment="1">
      <alignment horizontal="right"/>
    </xf>
    <xf numFmtId="2" fontId="3773" fillId="0" borderId="3343" xfId="0" applyNumberFormat="1" applyFont="1" applyBorder="1" applyAlignment="1">
      <alignment horizontal="right"/>
    </xf>
    <xf numFmtId="2" fontId="3774" fillId="0" borderId="3344" xfId="0" applyNumberFormat="1" applyFont="1" applyBorder="1" applyAlignment="1">
      <alignment horizontal="right"/>
    </xf>
    <xf numFmtId="2" fontId="3775" fillId="0" borderId="3345" xfId="0" applyNumberFormat="1" applyFont="1" applyBorder="1" applyAlignment="1">
      <alignment horizontal="right"/>
    </xf>
    <xf numFmtId="0" fontId="3776" fillId="0" borderId="3346" xfId="0" applyFont="1" applyBorder="1" applyAlignment="1">
      <alignment horizontal="left"/>
    </xf>
    <xf numFmtId="2" fontId="3777" fillId="0" borderId="3347" xfId="0" applyNumberFormat="1" applyFont="1" applyBorder="1"/>
    <xf numFmtId="2" fontId="3778" fillId="0" borderId="3348" xfId="0" applyNumberFormat="1" applyFont="1" applyBorder="1"/>
    <xf numFmtId="2" fontId="3779" fillId="0" borderId="3349" xfId="0" applyNumberFormat="1" applyFont="1" applyBorder="1"/>
    <xf numFmtId="2" fontId="3780" fillId="0" borderId="3350" xfId="0" applyNumberFormat="1" applyFont="1" applyBorder="1"/>
    <xf numFmtId="2" fontId="3781" fillId="0" borderId="3351" xfId="0" applyNumberFormat="1" applyFont="1" applyBorder="1"/>
    <xf numFmtId="2" fontId="3782" fillId="0" borderId="3352" xfId="0" applyNumberFormat="1" applyFont="1" applyBorder="1"/>
    <xf numFmtId="0" fontId="3783" fillId="0" borderId="3353" xfId="0" applyFont="1" applyBorder="1"/>
    <xf numFmtId="0" fontId="3784" fillId="0" borderId="3354" xfId="0" applyFont="1" applyBorder="1"/>
    <xf numFmtId="0" fontId="3785" fillId="0" borderId="3355" xfId="0" applyFont="1" applyBorder="1" applyAlignment="1">
      <alignment horizontal="left"/>
    </xf>
    <xf numFmtId="169" fontId="3786" fillId="0" borderId="3356" xfId="0" applyNumberFormat="1" applyFont="1" applyBorder="1" applyAlignment="1">
      <alignment horizontal="right"/>
    </xf>
    <xf numFmtId="169" fontId="3787" fillId="0" borderId="3357" xfId="0" applyNumberFormat="1" applyFont="1" applyBorder="1" applyAlignment="1">
      <alignment horizontal="right"/>
    </xf>
    <xf numFmtId="169" fontId="3788" fillId="0" borderId="3358" xfId="0" applyNumberFormat="1" applyFont="1" applyBorder="1" applyAlignment="1">
      <alignment horizontal="right"/>
    </xf>
    <xf numFmtId="169" fontId="3789" fillId="0" borderId="3359" xfId="0" applyNumberFormat="1" applyFont="1" applyBorder="1" applyAlignment="1">
      <alignment horizontal="right"/>
    </xf>
    <xf numFmtId="169" fontId="3790" fillId="0" borderId="3360" xfId="0" applyNumberFormat="1" applyFont="1" applyBorder="1" applyAlignment="1">
      <alignment horizontal="right"/>
    </xf>
    <xf numFmtId="169" fontId="3791" fillId="0" borderId="3361" xfId="0" applyNumberFormat="1" applyFont="1" applyBorder="1" applyAlignment="1">
      <alignment horizontal="right"/>
    </xf>
    <xf numFmtId="169" fontId="3792" fillId="0" borderId="3362" xfId="0" applyNumberFormat="1" applyFont="1" applyBorder="1" applyAlignment="1">
      <alignment horizontal="right"/>
    </xf>
    <xf numFmtId="169" fontId="3793" fillId="0" borderId="3363" xfId="0" applyNumberFormat="1" applyFont="1" applyBorder="1" applyAlignment="1">
      <alignment horizontal="right"/>
    </xf>
    <xf numFmtId="0" fontId="3794" fillId="0" borderId="3364" xfId="0" applyFont="1" applyBorder="1" applyAlignment="1">
      <alignment horizontal="left"/>
    </xf>
    <xf numFmtId="169" fontId="3795" fillId="0" borderId="3365" xfId="0" applyNumberFormat="1" applyFont="1" applyBorder="1" applyAlignment="1">
      <alignment horizontal="right"/>
    </xf>
    <xf numFmtId="169" fontId="3796" fillId="0" borderId="3366" xfId="0" applyNumberFormat="1" applyFont="1" applyBorder="1" applyAlignment="1">
      <alignment horizontal="right"/>
    </xf>
    <xf numFmtId="169" fontId="3797" fillId="0" borderId="3367" xfId="0" applyNumberFormat="1" applyFont="1" applyBorder="1" applyAlignment="1">
      <alignment horizontal="right"/>
    </xf>
    <xf numFmtId="169" fontId="3798" fillId="0" borderId="3368" xfId="0" applyNumberFormat="1" applyFont="1" applyBorder="1" applyAlignment="1">
      <alignment horizontal="right"/>
    </xf>
    <xf numFmtId="169" fontId="3799" fillId="0" borderId="3369" xfId="0" applyNumberFormat="1" applyFont="1" applyBorder="1" applyAlignment="1">
      <alignment horizontal="right"/>
    </xf>
    <xf numFmtId="169" fontId="3800" fillId="0" borderId="3370" xfId="0" applyNumberFormat="1" applyFont="1" applyBorder="1" applyAlignment="1">
      <alignment horizontal="right"/>
    </xf>
    <xf numFmtId="169" fontId="3801" fillId="0" borderId="3371" xfId="0" applyNumberFormat="1" applyFont="1" applyBorder="1" applyAlignment="1">
      <alignment horizontal="right"/>
    </xf>
    <xf numFmtId="169" fontId="3802" fillId="0" borderId="3372" xfId="0" applyNumberFormat="1" applyFont="1" applyBorder="1" applyAlignment="1">
      <alignment horizontal="right"/>
    </xf>
    <xf numFmtId="0" fontId="3803" fillId="0" borderId="3373" xfId="0" applyFont="1" applyBorder="1" applyAlignment="1">
      <alignment horizontal="left"/>
    </xf>
    <xf numFmtId="169" fontId="3804" fillId="0" borderId="3374" xfId="0" applyNumberFormat="1" applyFont="1" applyBorder="1" applyAlignment="1">
      <alignment horizontal="right"/>
    </xf>
    <xf numFmtId="169" fontId="3805" fillId="0" borderId="3375" xfId="0" applyNumberFormat="1" applyFont="1" applyBorder="1" applyAlignment="1">
      <alignment horizontal="right"/>
    </xf>
    <xf numFmtId="169" fontId="3806" fillId="0" borderId="3376" xfId="0" applyNumberFormat="1" applyFont="1" applyBorder="1" applyAlignment="1">
      <alignment horizontal="right"/>
    </xf>
    <xf numFmtId="169" fontId="3807" fillId="0" borderId="3377" xfId="0" applyNumberFormat="1" applyFont="1" applyBorder="1" applyAlignment="1">
      <alignment horizontal="right"/>
    </xf>
    <xf numFmtId="169" fontId="3808" fillId="0" borderId="3378" xfId="0" applyNumberFormat="1" applyFont="1" applyBorder="1" applyAlignment="1">
      <alignment horizontal="right"/>
    </xf>
    <xf numFmtId="169" fontId="3809" fillId="0" borderId="3379" xfId="0" applyNumberFormat="1" applyFont="1" applyBorder="1" applyAlignment="1">
      <alignment horizontal="right"/>
    </xf>
    <xf numFmtId="169" fontId="3810" fillId="0" borderId="3380" xfId="0" applyNumberFormat="1" applyFont="1" applyBorder="1" applyAlignment="1">
      <alignment horizontal="right"/>
    </xf>
    <xf numFmtId="169" fontId="3811" fillId="0" borderId="3381" xfId="0" applyNumberFormat="1" applyFont="1" applyBorder="1" applyAlignment="1">
      <alignment horizontal="right"/>
    </xf>
    <xf numFmtId="0" fontId="3812" fillId="0" borderId="3382" xfId="0" applyFont="1" applyBorder="1" applyAlignment="1">
      <alignment horizontal="left"/>
    </xf>
    <xf numFmtId="169" fontId="3813" fillId="0" borderId="3383" xfId="0" applyNumberFormat="1" applyFont="1" applyBorder="1" applyAlignment="1">
      <alignment horizontal="right"/>
    </xf>
    <xf numFmtId="169" fontId="3814" fillId="0" borderId="3384" xfId="0" applyNumberFormat="1" applyFont="1" applyBorder="1" applyAlignment="1">
      <alignment horizontal="right"/>
    </xf>
    <xf numFmtId="169" fontId="3815" fillId="0" borderId="3385" xfId="0" applyNumberFormat="1" applyFont="1" applyBorder="1" applyAlignment="1">
      <alignment horizontal="right"/>
    </xf>
    <xf numFmtId="169" fontId="3816" fillId="0" borderId="3386" xfId="0" applyNumberFormat="1" applyFont="1" applyBorder="1" applyAlignment="1">
      <alignment horizontal="right"/>
    </xf>
    <xf numFmtId="169" fontId="3817" fillId="0" borderId="3387" xfId="0" applyNumberFormat="1" applyFont="1" applyBorder="1" applyAlignment="1">
      <alignment horizontal="right"/>
    </xf>
    <xf numFmtId="169" fontId="3818" fillId="0" borderId="3388" xfId="0" applyNumberFormat="1" applyFont="1" applyBorder="1" applyAlignment="1">
      <alignment horizontal="right"/>
    </xf>
    <xf numFmtId="169" fontId="3819" fillId="0" borderId="3389" xfId="0" applyNumberFormat="1" applyFont="1" applyBorder="1" applyAlignment="1">
      <alignment horizontal="right"/>
    </xf>
    <xf numFmtId="169" fontId="3820" fillId="0" borderId="3390" xfId="0" applyNumberFormat="1" applyFont="1" applyBorder="1" applyAlignment="1">
      <alignment horizontal="right"/>
    </xf>
    <xf numFmtId="0" fontId="3821" fillId="0" borderId="3391" xfId="0" applyFont="1" applyBorder="1" applyAlignment="1">
      <alignment horizontal="left"/>
    </xf>
    <xf numFmtId="169" fontId="3822" fillId="0" borderId="3392" xfId="0" applyNumberFormat="1" applyFont="1" applyBorder="1" applyAlignment="1">
      <alignment horizontal="right"/>
    </xf>
    <xf numFmtId="169" fontId="3823" fillId="0" borderId="3393" xfId="0" applyNumberFormat="1" applyFont="1" applyBorder="1" applyAlignment="1">
      <alignment horizontal="right"/>
    </xf>
    <xf numFmtId="169" fontId="3824" fillId="0" borderId="3394" xfId="0" applyNumberFormat="1" applyFont="1" applyBorder="1" applyAlignment="1">
      <alignment horizontal="right"/>
    </xf>
    <xf numFmtId="169" fontId="3825" fillId="0" borderId="3395" xfId="0" applyNumberFormat="1" applyFont="1" applyBorder="1" applyAlignment="1">
      <alignment horizontal="right"/>
    </xf>
    <xf numFmtId="169" fontId="3826" fillId="0" borderId="3396" xfId="0" applyNumberFormat="1" applyFont="1" applyBorder="1" applyAlignment="1">
      <alignment horizontal="right"/>
    </xf>
    <xf numFmtId="169" fontId="3827" fillId="0" borderId="3397" xfId="0" applyNumberFormat="1" applyFont="1" applyBorder="1" applyAlignment="1">
      <alignment horizontal="right"/>
    </xf>
    <xf numFmtId="169" fontId="3828" fillId="0" borderId="3398" xfId="0" applyNumberFormat="1" applyFont="1" applyBorder="1" applyAlignment="1">
      <alignment horizontal="right"/>
    </xf>
    <xf numFmtId="169" fontId="3829" fillId="0" borderId="3399" xfId="0" applyNumberFormat="1" applyFont="1" applyBorder="1" applyAlignment="1">
      <alignment horizontal="right"/>
    </xf>
    <xf numFmtId="0" fontId="3830" fillId="0" borderId="3400" xfId="0" applyFont="1" applyBorder="1" applyAlignment="1">
      <alignment horizontal="left"/>
    </xf>
    <xf numFmtId="169" fontId="3831" fillId="0" borderId="3401" xfId="0" applyNumberFormat="1" applyFont="1" applyBorder="1" applyAlignment="1">
      <alignment horizontal="right"/>
    </xf>
    <xf numFmtId="169" fontId="3832" fillId="0" borderId="3402" xfId="0" applyNumberFormat="1" applyFont="1" applyBorder="1" applyAlignment="1">
      <alignment horizontal="right"/>
    </xf>
    <xf numFmtId="169" fontId="3833" fillId="0" borderId="3403" xfId="0" applyNumberFormat="1" applyFont="1" applyBorder="1" applyAlignment="1">
      <alignment horizontal="right"/>
    </xf>
    <xf numFmtId="169" fontId="3834" fillId="0" borderId="3404" xfId="0" applyNumberFormat="1" applyFont="1" applyBorder="1" applyAlignment="1">
      <alignment horizontal="right"/>
    </xf>
    <xf numFmtId="169" fontId="3835" fillId="0" borderId="3405" xfId="0" applyNumberFormat="1" applyFont="1" applyBorder="1" applyAlignment="1">
      <alignment horizontal="right"/>
    </xf>
    <xf numFmtId="169" fontId="3836" fillId="0" borderId="3406" xfId="0" applyNumberFormat="1" applyFont="1" applyBorder="1" applyAlignment="1">
      <alignment horizontal="right"/>
    </xf>
    <xf numFmtId="169" fontId="3837" fillId="0" borderId="3407" xfId="0" applyNumberFormat="1" applyFont="1" applyBorder="1" applyAlignment="1">
      <alignment horizontal="right"/>
    </xf>
    <xf numFmtId="169" fontId="3838" fillId="0" borderId="3408" xfId="0" applyNumberFormat="1" applyFont="1" applyBorder="1" applyAlignment="1">
      <alignment horizontal="right"/>
    </xf>
    <xf numFmtId="0" fontId="3839" fillId="0" borderId="3409" xfId="0" applyFont="1" applyBorder="1" applyAlignment="1">
      <alignment horizontal="left"/>
    </xf>
    <xf numFmtId="169" fontId="3840" fillId="0" borderId="3410" xfId="0" applyNumberFormat="1" applyFont="1" applyBorder="1" applyAlignment="1">
      <alignment horizontal="right"/>
    </xf>
    <xf numFmtId="169" fontId="3841" fillId="0" borderId="3411" xfId="0" applyNumberFormat="1" applyFont="1" applyBorder="1" applyAlignment="1">
      <alignment horizontal="right"/>
    </xf>
    <xf numFmtId="169" fontId="3842" fillId="0" borderId="3412" xfId="0" applyNumberFormat="1" applyFont="1" applyBorder="1" applyAlignment="1">
      <alignment horizontal="right"/>
    </xf>
    <xf numFmtId="169" fontId="3843" fillId="0" borderId="3413" xfId="0" applyNumberFormat="1" applyFont="1" applyBorder="1" applyAlignment="1">
      <alignment horizontal="right"/>
    </xf>
    <xf numFmtId="169" fontId="3844" fillId="0" borderId="3414" xfId="0" applyNumberFormat="1" applyFont="1" applyBorder="1" applyAlignment="1">
      <alignment horizontal="right"/>
    </xf>
    <xf numFmtId="169" fontId="3845" fillId="0" borderId="3415" xfId="0" applyNumberFormat="1" applyFont="1" applyBorder="1" applyAlignment="1">
      <alignment horizontal="right"/>
    </xf>
    <xf numFmtId="169" fontId="3846" fillId="0" borderId="3416" xfId="0" applyNumberFormat="1" applyFont="1" applyBorder="1" applyAlignment="1">
      <alignment horizontal="right"/>
    </xf>
    <xf numFmtId="169" fontId="3847" fillId="0" borderId="3417" xfId="0" applyNumberFormat="1" applyFont="1" applyBorder="1" applyAlignment="1">
      <alignment horizontal="right"/>
    </xf>
    <xf numFmtId="0" fontId="3848" fillId="0" borderId="3418" xfId="0" applyFont="1" applyBorder="1" applyAlignment="1">
      <alignment horizontal="left"/>
    </xf>
    <xf numFmtId="169" fontId="3849" fillId="0" borderId="3419" xfId="0" applyNumberFormat="1" applyFont="1" applyBorder="1" applyAlignment="1">
      <alignment horizontal="right"/>
    </xf>
    <xf numFmtId="169" fontId="3850" fillId="0" borderId="3420" xfId="0" applyNumberFormat="1" applyFont="1" applyBorder="1" applyAlignment="1">
      <alignment horizontal="right"/>
    </xf>
    <xf numFmtId="169" fontId="3851" fillId="0" borderId="3421" xfId="0" applyNumberFormat="1" applyFont="1" applyBorder="1" applyAlignment="1">
      <alignment horizontal="right"/>
    </xf>
    <xf numFmtId="169" fontId="3852" fillId="0" borderId="3422" xfId="0" applyNumberFormat="1" applyFont="1" applyBorder="1" applyAlignment="1">
      <alignment horizontal="right"/>
    </xf>
    <xf numFmtId="169" fontId="3853" fillId="0" borderId="3423" xfId="0" applyNumberFormat="1" applyFont="1" applyBorder="1" applyAlignment="1">
      <alignment horizontal="right"/>
    </xf>
    <xf numFmtId="169" fontId="3854" fillId="0" borderId="3424" xfId="0" applyNumberFormat="1" applyFont="1" applyBorder="1" applyAlignment="1">
      <alignment horizontal="right"/>
    </xf>
    <xf numFmtId="169" fontId="3855" fillId="0" borderId="3425" xfId="0" applyNumberFormat="1" applyFont="1" applyBorder="1" applyAlignment="1">
      <alignment horizontal="right"/>
    </xf>
    <xf numFmtId="169" fontId="3856" fillId="0" borderId="3426" xfId="0" applyNumberFormat="1" applyFont="1" applyBorder="1" applyAlignment="1">
      <alignment horizontal="right"/>
    </xf>
    <xf numFmtId="0" fontId="3857" fillId="0" borderId="3427" xfId="0" applyFont="1" applyBorder="1" applyAlignment="1">
      <alignment horizontal="left"/>
    </xf>
    <xf numFmtId="169" fontId="3858" fillId="0" borderId="3428" xfId="0" applyNumberFormat="1" applyFont="1" applyBorder="1" applyAlignment="1">
      <alignment horizontal="right"/>
    </xf>
    <xf numFmtId="169" fontId="3859" fillId="0" borderId="3429" xfId="0" applyNumberFormat="1" applyFont="1" applyBorder="1" applyAlignment="1">
      <alignment horizontal="right"/>
    </xf>
    <xf numFmtId="169" fontId="3860" fillId="0" borderId="3430" xfId="0" applyNumberFormat="1" applyFont="1" applyBorder="1" applyAlignment="1">
      <alignment horizontal="right"/>
    </xf>
    <xf numFmtId="169" fontId="3861" fillId="0" borderId="3431" xfId="0" applyNumberFormat="1" applyFont="1" applyBorder="1" applyAlignment="1">
      <alignment horizontal="right"/>
    </xf>
    <xf numFmtId="169" fontId="3862" fillId="0" borderId="3432" xfId="0" applyNumberFormat="1" applyFont="1" applyBorder="1" applyAlignment="1">
      <alignment horizontal="right"/>
    </xf>
    <xf numFmtId="169" fontId="3863" fillId="0" borderId="3433" xfId="0" applyNumberFormat="1" applyFont="1" applyBorder="1" applyAlignment="1">
      <alignment horizontal="right"/>
    </xf>
    <xf numFmtId="169" fontId="3864" fillId="0" borderId="3434" xfId="0" applyNumberFormat="1" applyFont="1" applyBorder="1" applyAlignment="1">
      <alignment horizontal="right"/>
    </xf>
    <xf numFmtId="169" fontId="3865" fillId="0" borderId="3435" xfId="0" applyNumberFormat="1" applyFont="1" applyBorder="1" applyAlignment="1">
      <alignment horizontal="right"/>
    </xf>
    <xf numFmtId="0" fontId="3866" fillId="0" borderId="3436" xfId="0" applyFont="1" applyBorder="1" applyAlignment="1">
      <alignment horizontal="left"/>
    </xf>
    <xf numFmtId="169" fontId="3867" fillId="0" borderId="3437" xfId="0" applyNumberFormat="1" applyFont="1" applyBorder="1" applyAlignment="1">
      <alignment horizontal="right"/>
    </xf>
    <xf numFmtId="169" fontId="3868" fillId="0" borderId="3438" xfId="0" applyNumberFormat="1" applyFont="1" applyBorder="1" applyAlignment="1">
      <alignment horizontal="right"/>
    </xf>
    <xf numFmtId="169" fontId="3869" fillId="0" borderId="3439" xfId="0" applyNumberFormat="1" applyFont="1" applyBorder="1" applyAlignment="1">
      <alignment horizontal="right"/>
    </xf>
    <xf numFmtId="169" fontId="3870" fillId="0" borderId="3440" xfId="0" applyNumberFormat="1" applyFont="1" applyBorder="1" applyAlignment="1">
      <alignment horizontal="right"/>
    </xf>
    <xf numFmtId="169" fontId="3871" fillId="0" borderId="3441" xfId="0" applyNumberFormat="1" applyFont="1" applyBorder="1" applyAlignment="1">
      <alignment horizontal="right"/>
    </xf>
    <xf numFmtId="169" fontId="3872" fillId="0" borderId="3442" xfId="0" applyNumberFormat="1" applyFont="1" applyBorder="1" applyAlignment="1">
      <alignment horizontal="right"/>
    </xf>
    <xf numFmtId="169" fontId="3873" fillId="0" borderId="3443" xfId="0" applyNumberFormat="1" applyFont="1" applyBorder="1" applyAlignment="1">
      <alignment horizontal="right"/>
    </xf>
    <xf numFmtId="169" fontId="3874" fillId="0" borderId="3444" xfId="0" applyNumberFormat="1" applyFont="1" applyBorder="1" applyAlignment="1">
      <alignment horizontal="right"/>
    </xf>
    <xf numFmtId="0" fontId="3875" fillId="0" borderId="3445" xfId="0" applyFont="1" applyBorder="1" applyAlignment="1">
      <alignment horizontal="left"/>
    </xf>
    <xf numFmtId="169" fontId="3876" fillId="0" borderId="3446" xfId="0" applyNumberFormat="1" applyFont="1" applyBorder="1" applyAlignment="1">
      <alignment horizontal="right"/>
    </xf>
    <xf numFmtId="169" fontId="3877" fillId="0" borderId="3447" xfId="0" applyNumberFormat="1" applyFont="1" applyBorder="1" applyAlignment="1">
      <alignment horizontal="right"/>
    </xf>
    <xf numFmtId="169" fontId="3878" fillId="0" borderId="3448" xfId="0" applyNumberFormat="1" applyFont="1" applyBorder="1" applyAlignment="1">
      <alignment horizontal="right"/>
    </xf>
    <xf numFmtId="169" fontId="3879" fillId="0" borderId="3449" xfId="0" applyNumberFormat="1" applyFont="1" applyBorder="1" applyAlignment="1">
      <alignment horizontal="right"/>
    </xf>
    <xf numFmtId="169" fontId="3880" fillId="0" borderId="3450" xfId="0" applyNumberFormat="1" applyFont="1" applyBorder="1" applyAlignment="1">
      <alignment horizontal="right"/>
    </xf>
    <xf numFmtId="169" fontId="3881" fillId="0" borderId="3451" xfId="0" applyNumberFormat="1" applyFont="1" applyBorder="1" applyAlignment="1">
      <alignment horizontal="right"/>
    </xf>
    <xf numFmtId="169" fontId="3882" fillId="0" borderId="3452" xfId="0" applyNumberFormat="1" applyFont="1" applyBorder="1" applyAlignment="1">
      <alignment horizontal="right"/>
    </xf>
    <xf numFmtId="169" fontId="3883" fillId="0" borderId="3453" xfId="0" applyNumberFormat="1" applyFont="1" applyBorder="1" applyAlignment="1">
      <alignment horizontal="right"/>
    </xf>
    <xf numFmtId="0" fontId="3884" fillId="0" borderId="3454" xfId="0" applyFont="1" applyBorder="1" applyAlignment="1">
      <alignment horizontal="left"/>
    </xf>
    <xf numFmtId="169" fontId="3885" fillId="0" borderId="3455" xfId="0" applyNumberFormat="1" applyFont="1" applyBorder="1" applyAlignment="1">
      <alignment horizontal="right"/>
    </xf>
    <xf numFmtId="169" fontId="3886" fillId="0" borderId="3456" xfId="0" applyNumberFormat="1" applyFont="1" applyBorder="1" applyAlignment="1">
      <alignment horizontal="right"/>
    </xf>
    <xf numFmtId="169" fontId="3887" fillId="0" borderId="3457" xfId="0" applyNumberFormat="1" applyFont="1" applyBorder="1" applyAlignment="1">
      <alignment horizontal="right"/>
    </xf>
    <xf numFmtId="169" fontId="3888" fillId="0" borderId="3458" xfId="0" applyNumberFormat="1" applyFont="1" applyBorder="1" applyAlignment="1">
      <alignment horizontal="right"/>
    </xf>
    <xf numFmtId="169" fontId="3889" fillId="0" borderId="3459" xfId="0" applyNumberFormat="1" applyFont="1" applyBorder="1" applyAlignment="1">
      <alignment horizontal="right"/>
    </xf>
    <xf numFmtId="169" fontId="3890" fillId="0" borderId="3460" xfId="0" applyNumberFormat="1" applyFont="1" applyBorder="1" applyAlignment="1">
      <alignment horizontal="right"/>
    </xf>
    <xf numFmtId="169" fontId="3891" fillId="0" borderId="3461" xfId="0" applyNumberFormat="1" applyFont="1" applyBorder="1" applyAlignment="1">
      <alignment horizontal="right"/>
    </xf>
    <xf numFmtId="169" fontId="3892" fillId="0" borderId="3462" xfId="0" applyNumberFormat="1" applyFont="1" applyBorder="1" applyAlignment="1">
      <alignment horizontal="right"/>
    </xf>
    <xf numFmtId="0" fontId="3893" fillId="0" borderId="3463" xfId="0" applyFont="1" applyBorder="1" applyAlignment="1">
      <alignment horizontal="left"/>
    </xf>
    <xf numFmtId="169" fontId="3894" fillId="0" borderId="3464" xfId="0" applyNumberFormat="1" applyFont="1" applyBorder="1" applyAlignment="1">
      <alignment horizontal="right"/>
    </xf>
    <xf numFmtId="169" fontId="3895" fillId="0" borderId="3465" xfId="0" applyNumberFormat="1" applyFont="1" applyBorder="1" applyAlignment="1">
      <alignment horizontal="right"/>
    </xf>
    <xf numFmtId="169" fontId="3896" fillId="0" borderId="3466" xfId="0" applyNumberFormat="1" applyFont="1" applyBorder="1" applyAlignment="1">
      <alignment horizontal="right"/>
    </xf>
    <xf numFmtId="169" fontId="3897" fillId="0" borderId="3467" xfId="0" applyNumberFormat="1" applyFont="1" applyBorder="1" applyAlignment="1">
      <alignment horizontal="right"/>
    </xf>
    <xf numFmtId="169" fontId="3898" fillId="0" borderId="3468" xfId="0" applyNumberFormat="1" applyFont="1" applyBorder="1" applyAlignment="1">
      <alignment horizontal="right"/>
    </xf>
    <xf numFmtId="0" fontId="3899" fillId="0" borderId="3469" xfId="0" applyFont="1" applyBorder="1" applyAlignment="1">
      <alignment horizontal="left"/>
    </xf>
    <xf numFmtId="169" fontId="3900" fillId="0" borderId="3470" xfId="0" applyNumberFormat="1" applyFont="1" applyBorder="1" applyAlignment="1">
      <alignment horizontal="right"/>
    </xf>
    <xf numFmtId="169" fontId="3901" fillId="0" borderId="3471" xfId="0" applyNumberFormat="1" applyFont="1" applyBorder="1" applyAlignment="1">
      <alignment horizontal="right"/>
    </xf>
    <xf numFmtId="169" fontId="3902" fillId="0" borderId="3472" xfId="0" applyNumberFormat="1" applyFont="1" applyBorder="1" applyAlignment="1">
      <alignment horizontal="right"/>
    </xf>
    <xf numFmtId="169" fontId="3903" fillId="0" borderId="3473" xfId="0" applyNumberFormat="1" applyFont="1" applyBorder="1" applyAlignment="1">
      <alignment horizontal="right"/>
    </xf>
    <xf numFmtId="169" fontId="3904" fillId="0" borderId="3474" xfId="0" applyNumberFormat="1" applyFont="1" applyBorder="1" applyAlignment="1">
      <alignment horizontal="right"/>
    </xf>
    <xf numFmtId="169" fontId="3905" fillId="0" borderId="3475" xfId="0" applyNumberFormat="1" applyFont="1" applyBorder="1" applyAlignment="1">
      <alignment horizontal="right"/>
    </xf>
    <xf numFmtId="169" fontId="3906" fillId="0" borderId="3476" xfId="0" applyNumberFormat="1" applyFont="1" applyBorder="1" applyAlignment="1">
      <alignment horizontal="right"/>
    </xf>
    <xf numFmtId="169" fontId="3907" fillId="0" borderId="3477" xfId="0" applyNumberFormat="1" applyFont="1" applyBorder="1" applyAlignment="1">
      <alignment horizontal="right"/>
    </xf>
    <xf numFmtId="0" fontId="3908" fillId="0" borderId="3478" xfId="0" applyFont="1" applyBorder="1" applyAlignment="1">
      <alignment horizontal="left"/>
    </xf>
    <xf numFmtId="169" fontId="3909" fillId="0" borderId="3479" xfId="0" applyNumberFormat="1" applyFont="1" applyBorder="1" applyAlignment="1">
      <alignment horizontal="right"/>
    </xf>
    <xf numFmtId="169" fontId="3910" fillId="0" borderId="3480" xfId="0" applyNumberFormat="1" applyFont="1" applyBorder="1" applyAlignment="1">
      <alignment horizontal="right"/>
    </xf>
    <xf numFmtId="169" fontId="3911" fillId="0" borderId="3481" xfId="0" applyNumberFormat="1" applyFont="1" applyBorder="1" applyAlignment="1">
      <alignment horizontal="right"/>
    </xf>
    <xf numFmtId="169" fontId="3912" fillId="0" borderId="3482" xfId="0" applyNumberFormat="1" applyFont="1" applyBorder="1" applyAlignment="1">
      <alignment horizontal="right"/>
    </xf>
    <xf numFmtId="169" fontId="3913" fillId="0" borderId="3483" xfId="0" applyNumberFormat="1" applyFont="1" applyBorder="1" applyAlignment="1">
      <alignment horizontal="right"/>
    </xf>
    <xf numFmtId="169" fontId="3914" fillId="0" borderId="3484" xfId="0" applyNumberFormat="1" applyFont="1" applyBorder="1" applyAlignment="1">
      <alignment horizontal="right"/>
    </xf>
    <xf numFmtId="169" fontId="3915" fillId="0" borderId="3485" xfId="0" applyNumberFormat="1" applyFont="1" applyBorder="1" applyAlignment="1">
      <alignment horizontal="right"/>
    </xf>
    <xf numFmtId="169" fontId="3916" fillId="0" borderId="3486" xfId="0" applyNumberFormat="1" applyFont="1" applyBorder="1" applyAlignment="1">
      <alignment horizontal="right"/>
    </xf>
    <xf numFmtId="0" fontId="3917" fillId="0" borderId="3487" xfId="0" applyFont="1" applyBorder="1" applyAlignment="1">
      <alignment horizontal="left"/>
    </xf>
    <xf numFmtId="2" fontId="3918" fillId="0" borderId="3488" xfId="0" applyNumberFormat="1" applyFont="1" applyBorder="1"/>
    <xf numFmtId="2" fontId="3919" fillId="0" borderId="3489" xfId="0" applyNumberFormat="1" applyFont="1" applyBorder="1"/>
    <xf numFmtId="2" fontId="3920" fillId="0" borderId="3490" xfId="0" applyNumberFormat="1" applyFont="1" applyBorder="1"/>
    <xf numFmtId="2" fontId="3921" fillId="0" borderId="3491" xfId="0" applyNumberFormat="1" applyFont="1" applyBorder="1"/>
    <xf numFmtId="2" fontId="3922" fillId="0" borderId="3492" xfId="0" applyNumberFormat="1" applyFont="1" applyBorder="1"/>
    <xf numFmtId="2" fontId="3923" fillId="0" borderId="3493" xfId="0" applyNumberFormat="1" applyFont="1" applyBorder="1"/>
    <xf numFmtId="169" fontId="3924" fillId="0" borderId="3494" xfId="0" applyNumberFormat="1" applyFont="1" applyBorder="1" applyAlignment="1">
      <alignment horizontal="right"/>
    </xf>
    <xf numFmtId="169" fontId="3925" fillId="0" borderId="3495" xfId="0" applyNumberFormat="1" applyFont="1" applyBorder="1" applyAlignment="1">
      <alignment horizontal="right"/>
    </xf>
    <xf numFmtId="0" fontId="3926" fillId="0" borderId="3496" xfId="0" applyFont="1" applyBorder="1"/>
    <xf numFmtId="0" fontId="3933" fillId="0" borderId="3503" xfId="0" applyFont="1" applyBorder="1" applyAlignment="1">
      <alignment horizontal="right"/>
    </xf>
    <xf numFmtId="0" fontId="3934" fillId="0" borderId="3504" xfId="0" applyFont="1" applyBorder="1" applyAlignment="1">
      <alignment horizontal="center"/>
    </xf>
    <xf numFmtId="0" fontId="3935" fillId="0" borderId="3505" xfId="0" applyFont="1" applyBorder="1"/>
    <xf numFmtId="0" fontId="3939" fillId="0" borderId="3509" xfId="0" applyFont="1" applyBorder="1" applyAlignment="1">
      <alignment horizontal="right"/>
    </xf>
    <xf numFmtId="0" fontId="3940" fillId="0" borderId="3510" xfId="0" applyFont="1" applyBorder="1"/>
    <xf numFmtId="0" fontId="3944" fillId="0" borderId="3514" xfId="0" applyFont="1" applyBorder="1"/>
    <xf numFmtId="2" fontId="3945" fillId="0" borderId="3515" xfId="0" applyNumberFormat="1" applyFont="1" applyBorder="1" applyAlignment="1">
      <alignment horizontal="right"/>
    </xf>
    <xf numFmtId="2" fontId="3946" fillId="0" borderId="3516" xfId="0" applyNumberFormat="1" applyFont="1" applyBorder="1" applyAlignment="1">
      <alignment horizontal="right"/>
    </xf>
    <xf numFmtId="2" fontId="3947" fillId="0" borderId="3517" xfId="0" applyNumberFormat="1" applyFont="1" applyBorder="1" applyAlignment="1">
      <alignment horizontal="right"/>
    </xf>
    <xf numFmtId="2" fontId="3948" fillId="0" borderId="3518" xfId="0" applyNumberFormat="1" applyFont="1" applyBorder="1" applyAlignment="1">
      <alignment horizontal="right"/>
    </xf>
    <xf numFmtId="2" fontId="3949" fillId="0" borderId="3519" xfId="0" applyNumberFormat="1" applyFont="1" applyBorder="1" applyAlignment="1">
      <alignment horizontal="right"/>
    </xf>
    <xf numFmtId="2" fontId="3950" fillId="0" borderId="3520" xfId="0" applyNumberFormat="1" applyFont="1" applyBorder="1" applyAlignment="1">
      <alignment horizontal="right"/>
    </xf>
    <xf numFmtId="0" fontId="3951" fillId="0" borderId="3521" xfId="0" applyFont="1" applyBorder="1"/>
    <xf numFmtId="2" fontId="3952" fillId="0" borderId="3522" xfId="0" applyNumberFormat="1" applyFont="1" applyBorder="1" applyAlignment="1">
      <alignment horizontal="center"/>
    </xf>
    <xf numFmtId="2" fontId="3953" fillId="0" borderId="3523" xfId="0" applyNumberFormat="1" applyFont="1" applyBorder="1" applyAlignment="1">
      <alignment horizontal="center"/>
    </xf>
    <xf numFmtId="2" fontId="3954" fillId="0" borderId="3524" xfId="0" applyNumberFormat="1" applyFont="1" applyBorder="1" applyAlignment="1">
      <alignment horizontal="center"/>
    </xf>
    <xf numFmtId="2" fontId="3955" fillId="0" borderId="3525" xfId="0" applyNumberFormat="1" applyFont="1" applyBorder="1" applyAlignment="1">
      <alignment horizontal="center"/>
    </xf>
    <xf numFmtId="2" fontId="3956" fillId="0" borderId="3526" xfId="0" applyNumberFormat="1" applyFont="1" applyBorder="1" applyAlignment="1">
      <alignment horizontal="center"/>
    </xf>
    <xf numFmtId="2" fontId="3957" fillId="0" borderId="3527" xfId="0" applyNumberFormat="1" applyFont="1" applyBorder="1" applyAlignment="1">
      <alignment horizontal="center"/>
    </xf>
    <xf numFmtId="0" fontId="3958" fillId="0" borderId="3528" xfId="0" applyFont="1" applyBorder="1"/>
    <xf numFmtId="2" fontId="3959" fillId="0" borderId="3529" xfId="0" applyNumberFormat="1" applyFont="1" applyBorder="1" applyAlignment="1">
      <alignment horizontal="right"/>
    </xf>
    <xf numFmtId="2" fontId="3960" fillId="0" borderId="3530" xfId="0" applyNumberFormat="1" applyFont="1" applyBorder="1" applyAlignment="1">
      <alignment horizontal="right"/>
    </xf>
    <xf numFmtId="2" fontId="3961" fillId="0" borderId="3531" xfId="0" applyNumberFormat="1" applyFont="1" applyBorder="1" applyAlignment="1">
      <alignment horizontal="right"/>
    </xf>
    <xf numFmtId="2" fontId="3962" fillId="0" borderId="3532" xfId="0" applyNumberFormat="1" applyFont="1" applyBorder="1" applyAlignment="1">
      <alignment horizontal="right"/>
    </xf>
    <xf numFmtId="2" fontId="3963" fillId="0" borderId="3533" xfId="0" applyNumberFormat="1" applyFont="1" applyBorder="1" applyAlignment="1">
      <alignment horizontal="right"/>
    </xf>
    <xf numFmtId="2" fontId="3964" fillId="0" borderId="3534" xfId="0" applyNumberFormat="1" applyFont="1" applyBorder="1" applyAlignment="1">
      <alignment horizontal="right"/>
    </xf>
    <xf numFmtId="0" fontId="3965" fillId="0" borderId="3535" xfId="0" applyFont="1" applyBorder="1" applyAlignment="1">
      <alignment horizontal="left"/>
    </xf>
    <xf numFmtId="2" fontId="3966" fillId="0" borderId="3536" xfId="0" applyNumberFormat="1" applyFont="1" applyBorder="1"/>
    <xf numFmtId="2" fontId="3967" fillId="0" borderId="3537" xfId="0" applyNumberFormat="1" applyFont="1" applyBorder="1"/>
    <xf numFmtId="2" fontId="3968" fillId="0" borderId="3538" xfId="0" applyNumberFormat="1" applyFont="1" applyBorder="1"/>
    <xf numFmtId="2" fontId="3969" fillId="0" borderId="3539" xfId="0" applyNumberFormat="1" applyFont="1" applyBorder="1"/>
    <xf numFmtId="2" fontId="3970" fillId="0" borderId="3540" xfId="0" applyNumberFormat="1" applyFont="1" applyBorder="1"/>
    <xf numFmtId="2" fontId="3971" fillId="0" borderId="3541" xfId="0" applyNumberFormat="1" applyFont="1" applyBorder="1"/>
    <xf numFmtId="0" fontId="3972" fillId="0" borderId="3542" xfId="0" applyFont="1" applyBorder="1"/>
    <xf numFmtId="0" fontId="3973" fillId="0" borderId="3543" xfId="0" applyFont="1" applyBorder="1"/>
    <xf numFmtId="0" fontId="3974" fillId="0" borderId="3544" xfId="0" applyFont="1" applyBorder="1" applyAlignment="1">
      <alignment horizontal="left"/>
    </xf>
    <xf numFmtId="169" fontId="3975" fillId="0" borderId="3545" xfId="0" applyNumberFormat="1" applyFont="1" applyBorder="1" applyAlignment="1">
      <alignment horizontal="right"/>
    </xf>
    <xf numFmtId="169" fontId="3976" fillId="0" borderId="3546" xfId="0" applyNumberFormat="1" applyFont="1" applyBorder="1" applyAlignment="1">
      <alignment horizontal="right"/>
    </xf>
    <xf numFmtId="169" fontId="3977" fillId="0" borderId="3547" xfId="0" applyNumberFormat="1" applyFont="1" applyBorder="1" applyAlignment="1">
      <alignment horizontal="right"/>
    </xf>
    <xf numFmtId="169" fontId="3978" fillId="0" borderId="3548" xfId="0" applyNumberFormat="1" applyFont="1" applyBorder="1" applyAlignment="1">
      <alignment horizontal="right"/>
    </xf>
    <xf numFmtId="169" fontId="3979" fillId="0" borderId="3549" xfId="0" applyNumberFormat="1" applyFont="1" applyBorder="1" applyAlignment="1">
      <alignment horizontal="right"/>
    </xf>
    <xf numFmtId="169" fontId="3980" fillId="0" borderId="3550" xfId="0" applyNumberFormat="1" applyFont="1" applyBorder="1" applyAlignment="1">
      <alignment horizontal="right"/>
    </xf>
    <xf numFmtId="169" fontId="3981" fillId="0" borderId="3551" xfId="0" applyNumberFormat="1" applyFont="1" applyBorder="1" applyAlignment="1">
      <alignment horizontal="right"/>
    </xf>
    <xf numFmtId="169" fontId="3982" fillId="0" borderId="3552" xfId="0" applyNumberFormat="1" applyFont="1" applyBorder="1" applyAlignment="1">
      <alignment horizontal="right"/>
    </xf>
    <xf numFmtId="0" fontId="3983" fillId="0" borderId="3553" xfId="0" applyFont="1" applyBorder="1" applyAlignment="1">
      <alignment horizontal="left"/>
    </xf>
    <xf numFmtId="169" fontId="3984" fillId="0" borderId="3554" xfId="0" applyNumberFormat="1" applyFont="1" applyBorder="1" applyAlignment="1">
      <alignment horizontal="right"/>
    </xf>
    <xf numFmtId="169" fontId="3985" fillId="0" borderId="3555" xfId="0" applyNumberFormat="1" applyFont="1" applyBorder="1" applyAlignment="1">
      <alignment horizontal="right"/>
    </xf>
    <xf numFmtId="169" fontId="3986" fillId="0" borderId="3556" xfId="0" applyNumberFormat="1" applyFont="1" applyBorder="1" applyAlignment="1">
      <alignment horizontal="right"/>
    </xf>
    <xf numFmtId="169" fontId="3987" fillId="0" borderId="3557" xfId="0" applyNumberFormat="1" applyFont="1" applyBorder="1" applyAlignment="1">
      <alignment horizontal="right"/>
    </xf>
    <xf numFmtId="169" fontId="3988" fillId="0" borderId="3558" xfId="0" applyNumberFormat="1" applyFont="1" applyBorder="1" applyAlignment="1">
      <alignment horizontal="right"/>
    </xf>
    <xf numFmtId="169" fontId="3989" fillId="0" borderId="3559" xfId="0" applyNumberFormat="1" applyFont="1" applyBorder="1" applyAlignment="1">
      <alignment horizontal="right"/>
    </xf>
    <xf numFmtId="169" fontId="3990" fillId="0" borderId="3560" xfId="0" applyNumberFormat="1" applyFont="1" applyBorder="1" applyAlignment="1">
      <alignment horizontal="right"/>
    </xf>
    <xf numFmtId="169" fontId="3991" fillId="0" borderId="3561" xfId="0" applyNumberFormat="1" applyFont="1" applyBorder="1" applyAlignment="1">
      <alignment horizontal="right"/>
    </xf>
    <xf numFmtId="0" fontId="3992" fillId="0" borderId="3562" xfId="0" applyFont="1" applyBorder="1" applyAlignment="1">
      <alignment horizontal="left"/>
    </xf>
    <xf numFmtId="169" fontId="3993" fillId="0" borderId="3563" xfId="0" applyNumberFormat="1" applyFont="1" applyBorder="1" applyAlignment="1">
      <alignment horizontal="right"/>
    </xf>
    <xf numFmtId="169" fontId="3994" fillId="0" borderId="3564" xfId="0" applyNumberFormat="1" applyFont="1" applyBorder="1" applyAlignment="1">
      <alignment horizontal="right"/>
    </xf>
    <xf numFmtId="169" fontId="3995" fillId="0" borderId="3565" xfId="0" applyNumberFormat="1" applyFont="1" applyBorder="1" applyAlignment="1">
      <alignment horizontal="right"/>
    </xf>
    <xf numFmtId="169" fontId="3996" fillId="0" borderId="3566" xfId="0" applyNumberFormat="1" applyFont="1" applyBorder="1" applyAlignment="1">
      <alignment horizontal="right"/>
    </xf>
    <xf numFmtId="169" fontId="3997" fillId="0" borderId="3567" xfId="0" applyNumberFormat="1" applyFont="1" applyBorder="1" applyAlignment="1">
      <alignment horizontal="right"/>
    </xf>
    <xf numFmtId="169" fontId="3998" fillId="0" borderId="3568" xfId="0" applyNumberFormat="1" applyFont="1" applyBorder="1" applyAlignment="1">
      <alignment horizontal="right"/>
    </xf>
    <xf numFmtId="169" fontId="3999" fillId="0" borderId="3569" xfId="0" applyNumberFormat="1" applyFont="1" applyBorder="1" applyAlignment="1">
      <alignment horizontal="right"/>
    </xf>
    <xf numFmtId="169" fontId="4000" fillId="0" borderId="3570" xfId="0" applyNumberFormat="1" applyFont="1" applyBorder="1" applyAlignment="1">
      <alignment horizontal="right"/>
    </xf>
    <xf numFmtId="0" fontId="4001" fillId="0" borderId="3571" xfId="0" applyFont="1" applyBorder="1" applyAlignment="1">
      <alignment horizontal="left"/>
    </xf>
    <xf numFmtId="169" fontId="4002" fillId="0" borderId="3572" xfId="0" applyNumberFormat="1" applyFont="1" applyBorder="1" applyAlignment="1">
      <alignment horizontal="right"/>
    </xf>
    <xf numFmtId="169" fontId="4003" fillId="0" borderId="3573" xfId="0" applyNumberFormat="1" applyFont="1" applyBorder="1" applyAlignment="1">
      <alignment horizontal="right"/>
    </xf>
    <xf numFmtId="169" fontId="4004" fillId="0" borderId="3574" xfId="0" applyNumberFormat="1" applyFont="1" applyBorder="1" applyAlignment="1">
      <alignment horizontal="right"/>
    </xf>
    <xf numFmtId="169" fontId="4005" fillId="0" borderId="3575" xfId="0" applyNumberFormat="1" applyFont="1" applyBorder="1" applyAlignment="1">
      <alignment horizontal="right"/>
    </xf>
    <xf numFmtId="169" fontId="4006" fillId="0" borderId="3576" xfId="0" applyNumberFormat="1" applyFont="1" applyBorder="1" applyAlignment="1">
      <alignment horizontal="right"/>
    </xf>
    <xf numFmtId="169" fontId="4007" fillId="0" borderId="3577" xfId="0" applyNumberFormat="1" applyFont="1" applyBorder="1" applyAlignment="1">
      <alignment horizontal="right"/>
    </xf>
    <xf numFmtId="169" fontId="4008" fillId="0" borderId="3578" xfId="0" applyNumberFormat="1" applyFont="1" applyBorder="1" applyAlignment="1">
      <alignment horizontal="right"/>
    </xf>
    <xf numFmtId="169" fontId="4009" fillId="0" borderId="3579" xfId="0" applyNumberFormat="1" applyFont="1" applyBorder="1" applyAlignment="1">
      <alignment horizontal="right"/>
    </xf>
    <xf numFmtId="0" fontId="4010" fillId="0" borderId="3580" xfId="0" applyFont="1" applyBorder="1" applyAlignment="1">
      <alignment horizontal="left"/>
    </xf>
    <xf numFmtId="169" fontId="4011" fillId="0" borderId="3581" xfId="0" applyNumberFormat="1" applyFont="1" applyBorder="1" applyAlignment="1">
      <alignment horizontal="right"/>
    </xf>
    <xf numFmtId="169" fontId="4012" fillId="0" borderId="3582" xfId="0" applyNumberFormat="1" applyFont="1" applyBorder="1" applyAlignment="1">
      <alignment horizontal="right"/>
    </xf>
    <xf numFmtId="169" fontId="4013" fillId="0" borderId="3583" xfId="0" applyNumberFormat="1" applyFont="1" applyBorder="1" applyAlignment="1">
      <alignment horizontal="right"/>
    </xf>
    <xf numFmtId="169" fontId="4014" fillId="0" borderId="3584" xfId="0" applyNumberFormat="1" applyFont="1" applyBorder="1" applyAlignment="1">
      <alignment horizontal="right"/>
    </xf>
    <xf numFmtId="169" fontId="4015" fillId="0" borderId="3585" xfId="0" applyNumberFormat="1" applyFont="1" applyBorder="1" applyAlignment="1">
      <alignment horizontal="right"/>
    </xf>
    <xf numFmtId="169" fontId="4016" fillId="0" borderId="3586" xfId="0" applyNumberFormat="1" applyFont="1" applyBorder="1" applyAlignment="1">
      <alignment horizontal="right"/>
    </xf>
    <xf numFmtId="169" fontId="4017" fillId="0" borderId="3587" xfId="0" applyNumberFormat="1" applyFont="1" applyBorder="1" applyAlignment="1">
      <alignment horizontal="right"/>
    </xf>
    <xf numFmtId="0" fontId="4018" fillId="0" borderId="3588" xfId="0" applyFont="1" applyBorder="1" applyAlignment="1">
      <alignment horizontal="left"/>
    </xf>
    <xf numFmtId="169" fontId="4019" fillId="0" borderId="3589" xfId="0" applyNumberFormat="1" applyFont="1" applyBorder="1" applyAlignment="1">
      <alignment horizontal="right"/>
    </xf>
    <xf numFmtId="169" fontId="4020" fillId="0" borderId="3590" xfId="0" applyNumberFormat="1" applyFont="1" applyBorder="1" applyAlignment="1">
      <alignment horizontal="right"/>
    </xf>
    <xf numFmtId="169" fontId="4021" fillId="0" borderId="3591" xfId="0" applyNumberFormat="1" applyFont="1" applyBorder="1" applyAlignment="1">
      <alignment horizontal="right"/>
    </xf>
    <xf numFmtId="169" fontId="4022" fillId="0" borderId="3592" xfId="0" applyNumberFormat="1" applyFont="1" applyBorder="1" applyAlignment="1">
      <alignment horizontal="right"/>
    </xf>
    <xf numFmtId="169" fontId="4023" fillId="0" borderId="3593" xfId="0" applyNumberFormat="1" applyFont="1" applyBorder="1" applyAlignment="1">
      <alignment horizontal="right"/>
    </xf>
    <xf numFmtId="169" fontId="4024" fillId="0" borderId="3594" xfId="0" applyNumberFormat="1" applyFont="1" applyBorder="1" applyAlignment="1">
      <alignment horizontal="right"/>
    </xf>
    <xf numFmtId="169" fontId="4025" fillId="0" borderId="3595" xfId="0" applyNumberFormat="1" applyFont="1" applyBorder="1" applyAlignment="1">
      <alignment horizontal="right"/>
    </xf>
    <xf numFmtId="169" fontId="4026" fillId="0" borderId="3596" xfId="0" applyNumberFormat="1" applyFont="1" applyBorder="1" applyAlignment="1">
      <alignment horizontal="right"/>
    </xf>
    <xf numFmtId="0" fontId="4027" fillId="0" borderId="3597" xfId="0" applyFont="1" applyBorder="1" applyAlignment="1">
      <alignment horizontal="left"/>
    </xf>
    <xf numFmtId="169" fontId="4028" fillId="0" borderId="3598" xfId="0" applyNumberFormat="1" applyFont="1" applyBorder="1" applyAlignment="1">
      <alignment horizontal="right"/>
    </xf>
    <xf numFmtId="169" fontId="4029" fillId="0" borderId="3599" xfId="0" applyNumberFormat="1" applyFont="1" applyBorder="1" applyAlignment="1">
      <alignment horizontal="right"/>
    </xf>
    <xf numFmtId="169" fontId="4030" fillId="0" borderId="3600" xfId="0" applyNumberFormat="1" applyFont="1" applyBorder="1" applyAlignment="1">
      <alignment horizontal="right"/>
    </xf>
    <xf numFmtId="169" fontId="4031" fillId="0" borderId="3601" xfId="0" applyNumberFormat="1" applyFont="1" applyBorder="1" applyAlignment="1">
      <alignment horizontal="right"/>
    </xf>
    <xf numFmtId="169" fontId="4032" fillId="0" borderId="3602" xfId="0" applyNumberFormat="1" applyFont="1" applyBorder="1" applyAlignment="1">
      <alignment horizontal="right"/>
    </xf>
    <xf numFmtId="169" fontId="4033" fillId="0" borderId="3603" xfId="0" applyNumberFormat="1" applyFont="1" applyBorder="1" applyAlignment="1">
      <alignment horizontal="right"/>
    </xf>
    <xf numFmtId="169" fontId="4034" fillId="0" borderId="3604" xfId="0" applyNumberFormat="1" applyFont="1" applyBorder="1" applyAlignment="1">
      <alignment horizontal="right"/>
    </xf>
    <xf numFmtId="169" fontId="4035" fillId="0" borderId="3605" xfId="0" applyNumberFormat="1" applyFont="1" applyBorder="1" applyAlignment="1">
      <alignment horizontal="right"/>
    </xf>
    <xf numFmtId="0" fontId="4036" fillId="0" borderId="3606" xfId="0" applyFont="1" applyBorder="1" applyAlignment="1">
      <alignment horizontal="left"/>
    </xf>
    <xf numFmtId="169" fontId="4037" fillId="0" borderId="3607" xfId="0" applyNumberFormat="1" applyFont="1" applyBorder="1" applyAlignment="1">
      <alignment horizontal="right"/>
    </xf>
    <xf numFmtId="169" fontId="4038" fillId="0" borderId="3608" xfId="0" applyNumberFormat="1" applyFont="1" applyBorder="1" applyAlignment="1">
      <alignment horizontal="right"/>
    </xf>
    <xf numFmtId="169" fontId="4039" fillId="0" borderId="3609" xfId="0" applyNumberFormat="1" applyFont="1" applyBorder="1" applyAlignment="1">
      <alignment horizontal="right"/>
    </xf>
    <xf numFmtId="169" fontId="4040" fillId="0" borderId="3610" xfId="0" applyNumberFormat="1" applyFont="1" applyBorder="1" applyAlignment="1">
      <alignment horizontal="right"/>
    </xf>
    <xf numFmtId="169" fontId="4041" fillId="0" borderId="3611" xfId="0" applyNumberFormat="1" applyFont="1" applyBorder="1" applyAlignment="1">
      <alignment horizontal="right"/>
    </xf>
    <xf numFmtId="169" fontId="4042" fillId="0" borderId="3612" xfId="0" applyNumberFormat="1" applyFont="1" applyBorder="1" applyAlignment="1">
      <alignment horizontal="right"/>
    </xf>
    <xf numFmtId="169" fontId="4043" fillId="0" borderId="3613" xfId="0" applyNumberFormat="1" applyFont="1" applyBorder="1" applyAlignment="1">
      <alignment horizontal="right"/>
    </xf>
    <xf numFmtId="169" fontId="4044" fillId="0" borderId="3614" xfId="0" applyNumberFormat="1" applyFont="1" applyBorder="1" applyAlignment="1">
      <alignment horizontal="right"/>
    </xf>
    <xf numFmtId="0" fontId="4045" fillId="0" borderId="3615" xfId="0" applyFont="1" applyBorder="1" applyAlignment="1">
      <alignment horizontal="left"/>
    </xf>
    <xf numFmtId="169" fontId="4046" fillId="0" borderId="3616" xfId="0" applyNumberFormat="1" applyFont="1" applyBorder="1" applyAlignment="1">
      <alignment horizontal="right"/>
    </xf>
    <xf numFmtId="169" fontId="4047" fillId="0" borderId="3617" xfId="0" applyNumberFormat="1" applyFont="1" applyBorder="1" applyAlignment="1">
      <alignment horizontal="right"/>
    </xf>
    <xf numFmtId="169" fontId="4048" fillId="0" borderId="3618" xfId="0" applyNumberFormat="1" applyFont="1" applyBorder="1" applyAlignment="1">
      <alignment horizontal="right"/>
    </xf>
    <xf numFmtId="169" fontId="4049" fillId="0" borderId="3619" xfId="0" applyNumberFormat="1" applyFont="1" applyBorder="1" applyAlignment="1">
      <alignment horizontal="right"/>
    </xf>
    <xf numFmtId="169" fontId="4050" fillId="0" borderId="3620" xfId="0" applyNumberFormat="1" applyFont="1" applyBorder="1" applyAlignment="1">
      <alignment horizontal="right"/>
    </xf>
    <xf numFmtId="169" fontId="4051" fillId="0" borderId="3621" xfId="0" applyNumberFormat="1" applyFont="1" applyBorder="1" applyAlignment="1">
      <alignment horizontal="right"/>
    </xf>
    <xf numFmtId="169" fontId="4052" fillId="0" borderId="3622" xfId="0" applyNumberFormat="1" applyFont="1" applyBorder="1" applyAlignment="1">
      <alignment horizontal="right"/>
    </xf>
    <xf numFmtId="169" fontId="4053" fillId="0" borderId="3623" xfId="0" applyNumberFormat="1" applyFont="1" applyBorder="1" applyAlignment="1">
      <alignment horizontal="right"/>
    </xf>
    <xf numFmtId="0" fontId="4054" fillId="0" borderId="3624" xfId="0" applyFont="1" applyBorder="1" applyAlignment="1">
      <alignment horizontal="left"/>
    </xf>
    <xf numFmtId="169" fontId="4055" fillId="0" borderId="3625" xfId="0" applyNumberFormat="1" applyFont="1" applyBorder="1" applyAlignment="1">
      <alignment horizontal="right"/>
    </xf>
    <xf numFmtId="169" fontId="4056" fillId="0" borderId="3626" xfId="0" applyNumberFormat="1" applyFont="1" applyBorder="1" applyAlignment="1">
      <alignment horizontal="right"/>
    </xf>
    <xf numFmtId="169" fontId="4057" fillId="0" borderId="3627" xfId="0" applyNumberFormat="1" applyFont="1" applyBorder="1" applyAlignment="1">
      <alignment horizontal="right"/>
    </xf>
    <xf numFmtId="169" fontId="4058" fillId="0" borderId="3628" xfId="0" applyNumberFormat="1" applyFont="1" applyBorder="1" applyAlignment="1">
      <alignment horizontal="right"/>
    </xf>
    <xf numFmtId="169" fontId="4059" fillId="0" borderId="3629" xfId="0" applyNumberFormat="1" applyFont="1" applyBorder="1" applyAlignment="1">
      <alignment horizontal="right"/>
    </xf>
    <xf numFmtId="169" fontId="4060" fillId="0" borderId="3630" xfId="0" applyNumberFormat="1" applyFont="1" applyBorder="1" applyAlignment="1">
      <alignment horizontal="right"/>
    </xf>
    <xf numFmtId="169" fontId="4061" fillId="0" borderId="3631" xfId="0" applyNumberFormat="1" applyFont="1" applyBorder="1" applyAlignment="1">
      <alignment horizontal="right"/>
    </xf>
    <xf numFmtId="169" fontId="4062" fillId="0" borderId="3632" xfId="0" applyNumberFormat="1" applyFont="1" applyBorder="1" applyAlignment="1">
      <alignment horizontal="right"/>
    </xf>
    <xf numFmtId="0" fontId="4063" fillId="0" borderId="3633" xfId="0" applyFont="1" applyBorder="1" applyAlignment="1">
      <alignment horizontal="left"/>
    </xf>
    <xf numFmtId="169" fontId="4064" fillId="0" borderId="3634" xfId="0" applyNumberFormat="1" applyFont="1" applyBorder="1" applyAlignment="1">
      <alignment horizontal="right"/>
    </xf>
    <xf numFmtId="169" fontId="4065" fillId="0" borderId="3635" xfId="0" applyNumberFormat="1" applyFont="1" applyBorder="1" applyAlignment="1">
      <alignment horizontal="right"/>
    </xf>
    <xf numFmtId="169" fontId="4066" fillId="0" borderId="3636" xfId="0" applyNumberFormat="1" applyFont="1" applyBorder="1" applyAlignment="1">
      <alignment horizontal="right"/>
    </xf>
    <xf numFmtId="169" fontId="4067" fillId="0" borderId="3637" xfId="0" applyNumberFormat="1" applyFont="1" applyBorder="1" applyAlignment="1">
      <alignment horizontal="right"/>
    </xf>
    <xf numFmtId="169" fontId="4068" fillId="0" borderId="3638" xfId="0" applyNumberFormat="1" applyFont="1" applyBorder="1" applyAlignment="1">
      <alignment horizontal="right"/>
    </xf>
    <xf numFmtId="169" fontId="4069" fillId="0" borderId="3639" xfId="0" applyNumberFormat="1" applyFont="1" applyBorder="1" applyAlignment="1">
      <alignment horizontal="right"/>
    </xf>
    <xf numFmtId="169" fontId="4070" fillId="0" borderId="3640" xfId="0" applyNumberFormat="1" applyFont="1" applyBorder="1" applyAlignment="1">
      <alignment horizontal="right"/>
    </xf>
    <xf numFmtId="169" fontId="4071" fillId="0" borderId="3641" xfId="0" applyNumberFormat="1" applyFont="1" applyBorder="1" applyAlignment="1">
      <alignment horizontal="right"/>
    </xf>
    <xf numFmtId="0" fontId="4072" fillId="0" borderId="3642" xfId="0" applyFont="1" applyBorder="1" applyAlignment="1">
      <alignment horizontal="left"/>
    </xf>
    <xf numFmtId="169" fontId="4073" fillId="0" borderId="3643" xfId="0" applyNumberFormat="1" applyFont="1" applyBorder="1" applyAlignment="1">
      <alignment horizontal="right"/>
    </xf>
    <xf numFmtId="169" fontId="4074" fillId="0" borderId="3644" xfId="0" applyNumberFormat="1" applyFont="1" applyBorder="1" applyAlignment="1">
      <alignment horizontal="right"/>
    </xf>
    <xf numFmtId="169" fontId="4075" fillId="0" borderId="3645" xfId="0" applyNumberFormat="1" applyFont="1" applyBorder="1" applyAlignment="1">
      <alignment horizontal="right"/>
    </xf>
    <xf numFmtId="169" fontId="4076" fillId="0" borderId="3646" xfId="0" applyNumberFormat="1" applyFont="1" applyBorder="1" applyAlignment="1">
      <alignment horizontal="right"/>
    </xf>
    <xf numFmtId="169" fontId="4077" fillId="0" borderId="3647" xfId="0" applyNumberFormat="1" applyFont="1" applyBorder="1" applyAlignment="1">
      <alignment horizontal="right"/>
    </xf>
    <xf numFmtId="169" fontId="4078" fillId="0" borderId="3648" xfId="0" applyNumberFormat="1" applyFont="1" applyBorder="1" applyAlignment="1">
      <alignment horizontal="right"/>
    </xf>
    <xf numFmtId="169" fontId="4079" fillId="0" borderId="3649" xfId="0" applyNumberFormat="1" applyFont="1" applyBorder="1" applyAlignment="1">
      <alignment horizontal="right"/>
    </xf>
    <xf numFmtId="169" fontId="4080" fillId="0" borderId="3650" xfId="0" applyNumberFormat="1" applyFont="1" applyBorder="1" applyAlignment="1">
      <alignment horizontal="right"/>
    </xf>
    <xf numFmtId="0" fontId="4081" fillId="0" borderId="3651" xfId="0" applyFont="1" applyBorder="1" applyAlignment="1">
      <alignment horizontal="left"/>
    </xf>
    <xf numFmtId="169" fontId="4082" fillId="0" borderId="3652" xfId="0" applyNumberFormat="1" applyFont="1" applyBorder="1" applyAlignment="1">
      <alignment horizontal="right"/>
    </xf>
    <xf numFmtId="169" fontId="4083" fillId="0" borderId="3653" xfId="0" applyNumberFormat="1" applyFont="1" applyBorder="1" applyAlignment="1">
      <alignment horizontal="right"/>
    </xf>
    <xf numFmtId="169" fontId="4084" fillId="0" borderId="3654" xfId="0" applyNumberFormat="1" applyFont="1" applyBorder="1" applyAlignment="1">
      <alignment horizontal="right"/>
    </xf>
    <xf numFmtId="169" fontId="4085" fillId="0" borderId="3655" xfId="0" applyNumberFormat="1" applyFont="1" applyBorder="1" applyAlignment="1">
      <alignment horizontal="right"/>
    </xf>
    <xf numFmtId="169" fontId="4086" fillId="0" borderId="3656" xfId="0" applyNumberFormat="1" applyFont="1" applyBorder="1" applyAlignment="1">
      <alignment horizontal="right"/>
    </xf>
    <xf numFmtId="169" fontId="4087" fillId="0" borderId="3657" xfId="0" applyNumberFormat="1" applyFont="1" applyBorder="1" applyAlignment="1">
      <alignment horizontal="right"/>
    </xf>
    <xf numFmtId="169" fontId="4088" fillId="0" borderId="3658" xfId="0" applyNumberFormat="1" applyFont="1" applyBorder="1" applyAlignment="1">
      <alignment horizontal="right"/>
    </xf>
    <xf numFmtId="169" fontId="4089" fillId="0" borderId="3659" xfId="0" applyNumberFormat="1" applyFont="1" applyBorder="1" applyAlignment="1">
      <alignment horizontal="right"/>
    </xf>
    <xf numFmtId="0" fontId="4090" fillId="0" borderId="3660" xfId="0" applyFont="1" applyBorder="1" applyAlignment="1">
      <alignment horizontal="left"/>
    </xf>
    <xf numFmtId="169" fontId="4091" fillId="0" borderId="3661" xfId="0" applyNumberFormat="1" applyFont="1" applyBorder="1" applyAlignment="1">
      <alignment horizontal="right"/>
    </xf>
    <xf numFmtId="169" fontId="4092" fillId="0" borderId="3662" xfId="0" applyNumberFormat="1" applyFont="1" applyBorder="1" applyAlignment="1">
      <alignment horizontal="right"/>
    </xf>
    <xf numFmtId="169" fontId="4093" fillId="0" borderId="3663" xfId="0" applyNumberFormat="1" applyFont="1" applyBorder="1" applyAlignment="1">
      <alignment horizontal="right"/>
    </xf>
    <xf numFmtId="169" fontId="4094" fillId="0" borderId="3664" xfId="0" applyNumberFormat="1" applyFont="1" applyBorder="1" applyAlignment="1">
      <alignment horizontal="right"/>
    </xf>
    <xf numFmtId="169" fontId="4095" fillId="0" borderId="3665" xfId="0" applyNumberFormat="1" applyFont="1" applyBorder="1" applyAlignment="1">
      <alignment horizontal="right"/>
    </xf>
    <xf numFmtId="169" fontId="4096" fillId="0" borderId="3666" xfId="0" applyNumberFormat="1" applyFont="1" applyBorder="1" applyAlignment="1">
      <alignment horizontal="right"/>
    </xf>
    <xf numFmtId="169" fontId="4097" fillId="0" borderId="3667" xfId="0" applyNumberFormat="1" applyFont="1" applyBorder="1" applyAlignment="1">
      <alignment horizontal="right"/>
    </xf>
    <xf numFmtId="169" fontId="4098" fillId="0" borderId="3668" xfId="0" applyNumberFormat="1" applyFont="1" applyBorder="1" applyAlignment="1">
      <alignment horizontal="right"/>
    </xf>
    <xf numFmtId="0" fontId="4099" fillId="0" borderId="3669" xfId="0" applyFont="1" applyBorder="1" applyAlignment="1">
      <alignment horizontal="left"/>
    </xf>
    <xf numFmtId="169" fontId="4100" fillId="0" borderId="3670" xfId="0" applyNumberFormat="1" applyFont="1" applyBorder="1" applyAlignment="1">
      <alignment horizontal="right"/>
    </xf>
    <xf numFmtId="169" fontId="4101" fillId="0" borderId="3671" xfId="0" applyNumberFormat="1" applyFont="1" applyBorder="1" applyAlignment="1">
      <alignment horizontal="right"/>
    </xf>
    <xf numFmtId="169" fontId="4102" fillId="0" borderId="3672" xfId="0" applyNumberFormat="1" applyFont="1" applyBorder="1" applyAlignment="1">
      <alignment horizontal="right"/>
    </xf>
    <xf numFmtId="169" fontId="4103" fillId="0" borderId="3673" xfId="0" applyNumberFormat="1" applyFont="1" applyBorder="1" applyAlignment="1">
      <alignment horizontal="right"/>
    </xf>
    <xf numFmtId="169" fontId="4104" fillId="0" borderId="3674" xfId="0" applyNumberFormat="1" applyFont="1" applyBorder="1" applyAlignment="1">
      <alignment horizontal="right"/>
    </xf>
    <xf numFmtId="169" fontId="4105" fillId="0" borderId="3675" xfId="0" applyNumberFormat="1" applyFont="1" applyBorder="1" applyAlignment="1">
      <alignment horizontal="right"/>
    </xf>
    <xf numFmtId="169" fontId="4106" fillId="0" borderId="3676" xfId="0" applyNumberFormat="1" applyFont="1" applyBorder="1" applyAlignment="1">
      <alignment horizontal="right"/>
    </xf>
    <xf numFmtId="169" fontId="4107" fillId="0" borderId="3677" xfId="0" applyNumberFormat="1" applyFont="1" applyBorder="1" applyAlignment="1">
      <alignment horizontal="right"/>
    </xf>
    <xf numFmtId="0" fontId="4108" fillId="0" borderId="3678" xfId="0" applyFont="1" applyBorder="1" applyAlignment="1">
      <alignment horizontal="left"/>
    </xf>
    <xf numFmtId="2" fontId="4109" fillId="0" borderId="3679" xfId="0" applyNumberFormat="1" applyFont="1" applyBorder="1"/>
    <xf numFmtId="2" fontId="4110" fillId="0" borderId="3680" xfId="0" applyNumberFormat="1" applyFont="1" applyBorder="1"/>
    <xf numFmtId="2" fontId="4111" fillId="0" borderId="3681" xfId="0" applyNumberFormat="1" applyFont="1" applyBorder="1"/>
    <xf numFmtId="2" fontId="4112" fillId="0" borderId="3682" xfId="0" applyNumberFormat="1" applyFont="1" applyBorder="1"/>
    <xf numFmtId="2" fontId="4113" fillId="0" borderId="3683" xfId="0" applyNumberFormat="1" applyFont="1" applyBorder="1"/>
    <xf numFmtId="2" fontId="4114" fillId="0" borderId="3684" xfId="0" applyNumberFormat="1" applyFont="1" applyBorder="1"/>
    <xf numFmtId="169" fontId="4115" fillId="0" borderId="3685" xfId="0" applyNumberFormat="1" applyFont="1" applyBorder="1" applyAlignment="1">
      <alignment horizontal="right"/>
    </xf>
    <xf numFmtId="169" fontId="4116" fillId="0" borderId="3686" xfId="0" applyNumberFormat="1" applyFont="1" applyBorder="1" applyAlignment="1">
      <alignment horizontal="right"/>
    </xf>
    <xf numFmtId="0" fontId="4117" fillId="0" borderId="3687" xfId="0" applyFont="1" applyBorder="1"/>
    <xf numFmtId="0" fontId="4124" fillId="0" borderId="3694" xfId="0" applyFont="1" applyBorder="1" applyAlignment="1">
      <alignment horizontal="right"/>
    </xf>
    <xf numFmtId="0" fontId="4125" fillId="0" borderId="3695" xfId="0" applyFont="1" applyBorder="1" applyAlignment="1">
      <alignment horizontal="center"/>
    </xf>
    <xf numFmtId="0" fontId="4126" fillId="0" borderId="3696" xfId="0" applyFont="1" applyBorder="1"/>
    <xf numFmtId="0" fontId="4130" fillId="0" borderId="3700" xfId="0" applyFont="1" applyBorder="1" applyAlignment="1">
      <alignment horizontal="right"/>
    </xf>
    <xf numFmtId="0" fontId="4131" fillId="0" borderId="3701" xfId="0" applyFont="1" applyBorder="1"/>
    <xf numFmtId="0" fontId="4135" fillId="0" borderId="3705" xfId="0" applyFont="1" applyBorder="1"/>
    <xf numFmtId="2" fontId="4136" fillId="0" borderId="3706" xfId="0" applyNumberFormat="1" applyFont="1" applyBorder="1" applyAlignment="1">
      <alignment horizontal="right"/>
    </xf>
    <xf numFmtId="2" fontId="4137" fillId="0" borderId="3707" xfId="0" applyNumberFormat="1" applyFont="1" applyBorder="1" applyAlignment="1">
      <alignment horizontal="right"/>
    </xf>
    <xf numFmtId="2" fontId="4138" fillId="0" borderId="3708" xfId="0" applyNumberFormat="1" applyFont="1" applyBorder="1" applyAlignment="1">
      <alignment horizontal="right"/>
    </xf>
    <xf numFmtId="2" fontId="4139" fillId="0" borderId="3709" xfId="0" applyNumberFormat="1" applyFont="1" applyBorder="1" applyAlignment="1">
      <alignment horizontal="right"/>
    </xf>
    <xf numFmtId="2" fontId="4140" fillId="0" borderId="3710" xfId="0" applyNumberFormat="1" applyFont="1" applyBorder="1" applyAlignment="1">
      <alignment horizontal="right"/>
    </xf>
    <xf numFmtId="2" fontId="4141" fillId="0" borderId="3711" xfId="0" applyNumberFormat="1" applyFont="1" applyBorder="1" applyAlignment="1">
      <alignment horizontal="right"/>
    </xf>
    <xf numFmtId="0" fontId="4142" fillId="0" borderId="3712" xfId="0" applyFont="1" applyBorder="1"/>
    <xf numFmtId="2" fontId="4143" fillId="0" borderId="3713" xfId="0" applyNumberFormat="1" applyFont="1" applyBorder="1" applyAlignment="1">
      <alignment horizontal="center"/>
    </xf>
    <xf numFmtId="2" fontId="4144" fillId="0" borderId="3714" xfId="0" applyNumberFormat="1" applyFont="1" applyBorder="1" applyAlignment="1">
      <alignment horizontal="center"/>
    </xf>
    <xf numFmtId="2" fontId="4145" fillId="0" borderId="3715" xfId="0" applyNumberFormat="1" applyFont="1" applyBorder="1" applyAlignment="1">
      <alignment horizontal="center"/>
    </xf>
    <xf numFmtId="2" fontId="4146" fillId="0" borderId="3716" xfId="0" applyNumberFormat="1" applyFont="1" applyBorder="1" applyAlignment="1">
      <alignment horizontal="center"/>
    </xf>
    <xf numFmtId="2" fontId="4147" fillId="0" borderId="3717" xfId="0" applyNumberFormat="1" applyFont="1" applyBorder="1" applyAlignment="1">
      <alignment horizontal="center"/>
    </xf>
    <xf numFmtId="2" fontId="4148" fillId="0" borderId="3718" xfId="0" applyNumberFormat="1" applyFont="1" applyBorder="1" applyAlignment="1">
      <alignment horizontal="center"/>
    </xf>
    <xf numFmtId="0" fontId="4149" fillId="0" borderId="3719" xfId="0" applyFont="1" applyBorder="1"/>
    <xf numFmtId="2" fontId="4150" fillId="0" borderId="3720" xfId="0" applyNumberFormat="1" applyFont="1" applyBorder="1" applyAlignment="1">
      <alignment horizontal="right"/>
    </xf>
    <xf numFmtId="2" fontId="4151" fillId="0" borderId="3721" xfId="0" applyNumberFormat="1" applyFont="1" applyBorder="1" applyAlignment="1">
      <alignment horizontal="right"/>
    </xf>
    <xf numFmtId="2" fontId="4152" fillId="0" borderId="3722" xfId="0" applyNumberFormat="1" applyFont="1" applyBorder="1" applyAlignment="1">
      <alignment horizontal="right"/>
    </xf>
    <xf numFmtId="2" fontId="4153" fillId="0" borderId="3723" xfId="0" applyNumberFormat="1" applyFont="1" applyBorder="1" applyAlignment="1">
      <alignment horizontal="right"/>
    </xf>
    <xf numFmtId="2" fontId="4154" fillId="0" borderId="3724" xfId="0" applyNumberFormat="1" applyFont="1" applyBorder="1" applyAlignment="1">
      <alignment horizontal="right"/>
    </xf>
    <xf numFmtId="2" fontId="4155" fillId="0" borderId="3725" xfId="0" applyNumberFormat="1" applyFont="1" applyBorder="1" applyAlignment="1">
      <alignment horizontal="right"/>
    </xf>
    <xf numFmtId="0" fontId="4156" fillId="0" borderId="3726" xfId="0" applyFont="1" applyBorder="1" applyAlignment="1">
      <alignment horizontal="left"/>
    </xf>
    <xf numFmtId="2" fontId="4157" fillId="0" borderId="3727" xfId="0" applyNumberFormat="1" applyFont="1" applyBorder="1"/>
    <xf numFmtId="2" fontId="4158" fillId="0" borderId="3728" xfId="0" applyNumberFormat="1" applyFont="1" applyBorder="1"/>
    <xf numFmtId="2" fontId="4159" fillId="0" borderId="3729" xfId="0" applyNumberFormat="1" applyFont="1" applyBorder="1"/>
    <xf numFmtId="2" fontId="4160" fillId="0" borderId="3730" xfId="0" applyNumberFormat="1" applyFont="1" applyBorder="1"/>
    <xf numFmtId="2" fontId="4161" fillId="0" borderId="3731" xfId="0" applyNumberFormat="1" applyFont="1" applyBorder="1"/>
    <xf numFmtId="2" fontId="4162" fillId="0" borderId="3732" xfId="0" applyNumberFormat="1" applyFont="1" applyBorder="1"/>
    <xf numFmtId="0" fontId="4163" fillId="0" borderId="3733" xfId="0" applyFont="1" applyBorder="1"/>
    <xf numFmtId="0" fontId="4164" fillId="0" borderId="3734" xfId="0" applyFont="1" applyBorder="1"/>
    <xf numFmtId="0" fontId="4165" fillId="0" borderId="3735" xfId="0" applyFont="1" applyBorder="1" applyAlignment="1">
      <alignment horizontal="left"/>
    </xf>
    <xf numFmtId="169" fontId="4166" fillId="0" borderId="3736" xfId="0" applyNumberFormat="1" applyFont="1" applyBorder="1" applyAlignment="1">
      <alignment horizontal="right"/>
    </xf>
    <xf numFmtId="169" fontId="4167" fillId="0" borderId="3737" xfId="0" applyNumberFormat="1" applyFont="1" applyBorder="1" applyAlignment="1">
      <alignment horizontal="right"/>
    </xf>
    <xf numFmtId="169" fontId="4168" fillId="0" borderId="3738" xfId="0" applyNumberFormat="1" applyFont="1" applyBorder="1" applyAlignment="1">
      <alignment horizontal="right"/>
    </xf>
    <xf numFmtId="169" fontId="4169" fillId="0" borderId="3739" xfId="0" applyNumberFormat="1" applyFont="1" applyBorder="1" applyAlignment="1">
      <alignment horizontal="right"/>
    </xf>
    <xf numFmtId="169" fontId="4170" fillId="0" borderId="3740" xfId="0" applyNumberFormat="1" applyFont="1" applyBorder="1" applyAlignment="1">
      <alignment horizontal="right"/>
    </xf>
    <xf numFmtId="169" fontId="4171" fillId="0" borderId="3741" xfId="0" applyNumberFormat="1" applyFont="1" applyBorder="1" applyAlignment="1">
      <alignment horizontal="right"/>
    </xf>
    <xf numFmtId="169" fontId="4172" fillId="0" borderId="3742" xfId="0" applyNumberFormat="1" applyFont="1" applyBorder="1" applyAlignment="1">
      <alignment horizontal="right"/>
    </xf>
    <xf numFmtId="169" fontId="4173" fillId="0" borderId="3743" xfId="0" applyNumberFormat="1" applyFont="1" applyBorder="1" applyAlignment="1">
      <alignment horizontal="right"/>
    </xf>
    <xf numFmtId="0" fontId="4174" fillId="0" borderId="3744" xfId="0" applyFont="1" applyBorder="1" applyAlignment="1">
      <alignment horizontal="left"/>
    </xf>
    <xf numFmtId="169" fontId="4175" fillId="0" borderId="3745" xfId="0" applyNumberFormat="1" applyFont="1" applyBorder="1" applyAlignment="1">
      <alignment horizontal="right"/>
    </xf>
    <xf numFmtId="169" fontId="4176" fillId="0" borderId="3746" xfId="0" applyNumberFormat="1" applyFont="1" applyBorder="1" applyAlignment="1">
      <alignment horizontal="right"/>
    </xf>
    <xf numFmtId="169" fontId="4177" fillId="0" borderId="3747" xfId="0" applyNumberFormat="1" applyFont="1" applyBorder="1" applyAlignment="1">
      <alignment horizontal="right"/>
    </xf>
    <xf numFmtId="169" fontId="4178" fillId="0" borderId="3748" xfId="0" applyNumberFormat="1" applyFont="1" applyBorder="1" applyAlignment="1">
      <alignment horizontal="right"/>
    </xf>
    <xf numFmtId="169" fontId="4179" fillId="0" borderId="3749" xfId="0" applyNumberFormat="1" applyFont="1" applyBorder="1" applyAlignment="1">
      <alignment horizontal="right"/>
    </xf>
    <xf numFmtId="169" fontId="4180" fillId="0" borderId="3750" xfId="0" applyNumberFormat="1" applyFont="1" applyBorder="1" applyAlignment="1">
      <alignment horizontal="right"/>
    </xf>
    <xf numFmtId="169" fontId="4181" fillId="0" borderId="3751" xfId="0" applyNumberFormat="1" applyFont="1" applyBorder="1" applyAlignment="1">
      <alignment horizontal="right"/>
    </xf>
    <xf numFmtId="169" fontId="4182" fillId="0" borderId="3752" xfId="0" applyNumberFormat="1" applyFont="1" applyBorder="1" applyAlignment="1">
      <alignment horizontal="right"/>
    </xf>
    <xf numFmtId="0" fontId="4183" fillId="0" borderId="3753" xfId="0" applyFont="1" applyBorder="1" applyAlignment="1">
      <alignment horizontal="left"/>
    </xf>
    <xf numFmtId="169" fontId="4184" fillId="0" borderId="3754" xfId="0" applyNumberFormat="1" applyFont="1" applyBorder="1" applyAlignment="1">
      <alignment horizontal="right"/>
    </xf>
    <xf numFmtId="169" fontId="4185" fillId="0" borderId="3755" xfId="0" applyNumberFormat="1" applyFont="1" applyBorder="1" applyAlignment="1">
      <alignment horizontal="right"/>
    </xf>
    <xf numFmtId="169" fontId="4186" fillId="0" borderId="3756" xfId="0" applyNumberFormat="1" applyFont="1" applyBorder="1" applyAlignment="1">
      <alignment horizontal="right"/>
    </xf>
    <xf numFmtId="169" fontId="4187" fillId="0" borderId="3757" xfId="0" applyNumberFormat="1" applyFont="1" applyBorder="1" applyAlignment="1">
      <alignment horizontal="right"/>
    </xf>
    <xf numFmtId="169" fontId="4188" fillId="0" borderId="3758" xfId="0" applyNumberFormat="1" applyFont="1" applyBorder="1" applyAlignment="1">
      <alignment horizontal="right"/>
    </xf>
    <xf numFmtId="169" fontId="4189" fillId="0" borderId="3759" xfId="0" applyNumberFormat="1" applyFont="1" applyBorder="1" applyAlignment="1">
      <alignment horizontal="right"/>
    </xf>
    <xf numFmtId="169" fontId="4190" fillId="0" borderId="3760" xfId="0" applyNumberFormat="1" applyFont="1" applyBorder="1" applyAlignment="1">
      <alignment horizontal="right"/>
    </xf>
    <xf numFmtId="169" fontId="4191" fillId="0" borderId="3761" xfId="0" applyNumberFormat="1" applyFont="1" applyBorder="1" applyAlignment="1">
      <alignment horizontal="right"/>
    </xf>
    <xf numFmtId="0" fontId="4192" fillId="0" borderId="3762" xfId="0" applyFont="1" applyBorder="1" applyAlignment="1">
      <alignment horizontal="left"/>
    </xf>
    <xf numFmtId="169" fontId="4193" fillId="0" borderId="3763" xfId="0" applyNumberFormat="1" applyFont="1" applyBorder="1" applyAlignment="1">
      <alignment horizontal="right"/>
    </xf>
    <xf numFmtId="169" fontId="4194" fillId="0" borderId="3764" xfId="0" applyNumberFormat="1" applyFont="1" applyBorder="1" applyAlignment="1">
      <alignment horizontal="right"/>
    </xf>
    <xf numFmtId="169" fontId="4195" fillId="0" borderId="3765" xfId="0" applyNumberFormat="1" applyFont="1" applyBorder="1" applyAlignment="1">
      <alignment horizontal="right"/>
    </xf>
    <xf numFmtId="169" fontId="4196" fillId="0" borderId="3766" xfId="0" applyNumberFormat="1" applyFont="1" applyBorder="1" applyAlignment="1">
      <alignment horizontal="right"/>
    </xf>
    <xf numFmtId="169" fontId="4197" fillId="0" borderId="3767" xfId="0" applyNumberFormat="1" applyFont="1" applyBorder="1" applyAlignment="1">
      <alignment horizontal="right"/>
    </xf>
    <xf numFmtId="169" fontId="4198" fillId="0" borderId="3768" xfId="0" applyNumberFormat="1" applyFont="1" applyBorder="1" applyAlignment="1">
      <alignment horizontal="right"/>
    </xf>
    <xf numFmtId="169" fontId="4199" fillId="0" borderId="3769" xfId="0" applyNumberFormat="1" applyFont="1" applyBorder="1" applyAlignment="1">
      <alignment horizontal="right"/>
    </xf>
    <xf numFmtId="169" fontId="4200" fillId="0" borderId="3770" xfId="0" applyNumberFormat="1" applyFont="1" applyBorder="1" applyAlignment="1">
      <alignment horizontal="right"/>
    </xf>
    <xf numFmtId="0" fontId="4201" fillId="0" borderId="3771" xfId="0" applyFont="1" applyBorder="1" applyAlignment="1">
      <alignment horizontal="left"/>
    </xf>
    <xf numFmtId="169" fontId="4202" fillId="0" borderId="3772" xfId="0" applyNumberFormat="1" applyFont="1" applyBorder="1" applyAlignment="1">
      <alignment horizontal="right"/>
    </xf>
    <xf numFmtId="169" fontId="4203" fillId="0" borderId="3773" xfId="0" applyNumberFormat="1" applyFont="1" applyBorder="1" applyAlignment="1">
      <alignment horizontal="right"/>
    </xf>
    <xf numFmtId="169" fontId="4204" fillId="0" borderId="3774" xfId="0" applyNumberFormat="1" applyFont="1" applyBorder="1" applyAlignment="1">
      <alignment horizontal="right"/>
    </xf>
    <xf numFmtId="169" fontId="4205" fillId="0" borderId="3775" xfId="0" applyNumberFormat="1" applyFont="1" applyBorder="1" applyAlignment="1">
      <alignment horizontal="right"/>
    </xf>
    <xf numFmtId="169" fontId="4206" fillId="0" borderId="3776" xfId="0" applyNumberFormat="1" applyFont="1" applyBorder="1" applyAlignment="1">
      <alignment horizontal="right"/>
    </xf>
    <xf numFmtId="169" fontId="4207" fillId="0" borderId="3777" xfId="0" applyNumberFormat="1" applyFont="1" applyBorder="1" applyAlignment="1">
      <alignment horizontal="right"/>
    </xf>
    <xf numFmtId="169" fontId="4208" fillId="0" borderId="3778" xfId="0" applyNumberFormat="1" applyFont="1" applyBorder="1" applyAlignment="1">
      <alignment horizontal="right"/>
    </xf>
    <xf numFmtId="169" fontId="4209" fillId="0" borderId="3779" xfId="0" applyNumberFormat="1" applyFont="1" applyBorder="1" applyAlignment="1">
      <alignment horizontal="right"/>
    </xf>
    <xf numFmtId="0" fontId="4210" fillId="0" borderId="3780" xfId="0" applyFont="1" applyBorder="1" applyAlignment="1">
      <alignment horizontal="left"/>
    </xf>
    <xf numFmtId="169" fontId="4211" fillId="0" borderId="3781" xfId="0" applyNumberFormat="1" applyFont="1" applyBorder="1" applyAlignment="1">
      <alignment horizontal="right"/>
    </xf>
    <xf numFmtId="169" fontId="4212" fillId="0" borderId="3782" xfId="0" applyNumberFormat="1" applyFont="1" applyBorder="1" applyAlignment="1">
      <alignment horizontal="right"/>
    </xf>
    <xf numFmtId="169" fontId="4213" fillId="0" borderId="3783" xfId="0" applyNumberFormat="1" applyFont="1" applyBorder="1" applyAlignment="1">
      <alignment horizontal="right"/>
    </xf>
    <xf numFmtId="169" fontId="4214" fillId="0" borderId="3784" xfId="0" applyNumberFormat="1" applyFont="1" applyBorder="1" applyAlignment="1">
      <alignment horizontal="right"/>
    </xf>
    <xf numFmtId="169" fontId="4215" fillId="0" borderId="3785" xfId="0" applyNumberFormat="1" applyFont="1" applyBorder="1" applyAlignment="1">
      <alignment horizontal="right"/>
    </xf>
    <xf numFmtId="169" fontId="4216" fillId="0" borderId="3786" xfId="0" applyNumberFormat="1" applyFont="1" applyBorder="1" applyAlignment="1">
      <alignment horizontal="right"/>
    </xf>
    <xf numFmtId="169" fontId="4217" fillId="0" borderId="3787" xfId="0" applyNumberFormat="1" applyFont="1" applyBorder="1" applyAlignment="1">
      <alignment horizontal="right"/>
    </xf>
    <xf numFmtId="169" fontId="4218" fillId="0" borderId="3788" xfId="0" applyNumberFormat="1" applyFont="1" applyBorder="1" applyAlignment="1">
      <alignment horizontal="right"/>
    </xf>
    <xf numFmtId="0" fontId="4219" fillId="0" borderId="3789" xfId="0" applyFont="1" applyBorder="1" applyAlignment="1">
      <alignment horizontal="left"/>
    </xf>
    <xf numFmtId="169" fontId="4220" fillId="0" borderId="3790" xfId="0" applyNumberFormat="1" applyFont="1" applyBorder="1" applyAlignment="1">
      <alignment horizontal="right"/>
    </xf>
    <xf numFmtId="169" fontId="4221" fillId="0" borderId="3791" xfId="0" applyNumberFormat="1" applyFont="1" applyBorder="1" applyAlignment="1">
      <alignment horizontal="right"/>
    </xf>
    <xf numFmtId="169" fontId="4222" fillId="0" borderId="3792" xfId="0" applyNumberFormat="1" applyFont="1" applyBorder="1" applyAlignment="1">
      <alignment horizontal="right"/>
    </xf>
    <xf numFmtId="169" fontId="4223" fillId="0" borderId="3793" xfId="0" applyNumberFormat="1" applyFont="1" applyBorder="1" applyAlignment="1">
      <alignment horizontal="right"/>
    </xf>
    <xf numFmtId="169" fontId="4224" fillId="0" borderId="3794" xfId="0" applyNumberFormat="1" applyFont="1" applyBorder="1" applyAlignment="1">
      <alignment horizontal="right"/>
    </xf>
    <xf numFmtId="169" fontId="4225" fillId="0" borderId="3795" xfId="0" applyNumberFormat="1" applyFont="1" applyBorder="1" applyAlignment="1">
      <alignment horizontal="right"/>
    </xf>
    <xf numFmtId="169" fontId="4226" fillId="0" borderId="3796" xfId="0" applyNumberFormat="1" applyFont="1" applyBorder="1" applyAlignment="1">
      <alignment horizontal="right"/>
    </xf>
    <xf numFmtId="169" fontId="4227" fillId="0" borderId="3797" xfId="0" applyNumberFormat="1" applyFont="1" applyBorder="1" applyAlignment="1">
      <alignment horizontal="right"/>
    </xf>
    <xf numFmtId="0" fontId="4228" fillId="0" borderId="3798" xfId="0" applyFont="1" applyBorder="1" applyAlignment="1">
      <alignment horizontal="left"/>
    </xf>
    <xf numFmtId="169" fontId="4229" fillId="0" borderId="3799" xfId="0" applyNumberFormat="1" applyFont="1" applyBorder="1" applyAlignment="1">
      <alignment horizontal="right"/>
    </xf>
    <xf numFmtId="169" fontId="4230" fillId="0" borderId="3800" xfId="0" applyNumberFormat="1" applyFont="1" applyBorder="1" applyAlignment="1">
      <alignment horizontal="right"/>
    </xf>
    <xf numFmtId="169" fontId="4231" fillId="0" borderId="3801" xfId="0" applyNumberFormat="1" applyFont="1" applyBorder="1" applyAlignment="1">
      <alignment horizontal="right"/>
    </xf>
    <xf numFmtId="169" fontId="4232" fillId="0" borderId="3802" xfId="0" applyNumberFormat="1" applyFont="1" applyBorder="1" applyAlignment="1">
      <alignment horizontal="right"/>
    </xf>
    <xf numFmtId="169" fontId="4233" fillId="0" borderId="3803" xfId="0" applyNumberFormat="1" applyFont="1" applyBorder="1" applyAlignment="1">
      <alignment horizontal="right"/>
    </xf>
    <xf numFmtId="169" fontId="4234" fillId="0" borderId="3804" xfId="0" applyNumberFormat="1" applyFont="1" applyBorder="1" applyAlignment="1">
      <alignment horizontal="right"/>
    </xf>
    <xf numFmtId="169" fontId="4235" fillId="0" borderId="3805" xfId="0" applyNumberFormat="1" applyFont="1" applyBorder="1" applyAlignment="1">
      <alignment horizontal="right"/>
    </xf>
    <xf numFmtId="169" fontId="4236" fillId="0" borderId="3806" xfId="0" applyNumberFormat="1" applyFont="1" applyBorder="1" applyAlignment="1">
      <alignment horizontal="right"/>
    </xf>
    <xf numFmtId="0" fontId="4237" fillId="0" borderId="3807" xfId="0" applyFont="1" applyBorder="1" applyAlignment="1">
      <alignment horizontal="left"/>
    </xf>
    <xf numFmtId="169" fontId="4238" fillId="0" borderId="3808" xfId="0" applyNumberFormat="1" applyFont="1" applyBorder="1" applyAlignment="1">
      <alignment horizontal="right"/>
    </xf>
    <xf numFmtId="169" fontId="4239" fillId="0" borderId="3809" xfId="0" applyNumberFormat="1" applyFont="1" applyBorder="1" applyAlignment="1">
      <alignment horizontal="right"/>
    </xf>
    <xf numFmtId="169" fontId="4240" fillId="0" borderId="3810" xfId="0" applyNumberFormat="1" applyFont="1" applyBorder="1" applyAlignment="1">
      <alignment horizontal="right"/>
    </xf>
    <xf numFmtId="169" fontId="4241" fillId="0" borderId="3811" xfId="0" applyNumberFormat="1" applyFont="1" applyBorder="1" applyAlignment="1">
      <alignment horizontal="right"/>
    </xf>
    <xf numFmtId="169" fontId="4242" fillId="0" borderId="3812" xfId="0" applyNumberFormat="1" applyFont="1" applyBorder="1" applyAlignment="1">
      <alignment horizontal="right"/>
    </xf>
    <xf numFmtId="169" fontId="4243" fillId="0" borderId="3813" xfId="0" applyNumberFormat="1" applyFont="1" applyBorder="1" applyAlignment="1">
      <alignment horizontal="right"/>
    </xf>
    <xf numFmtId="169" fontId="4244" fillId="0" borderId="3814" xfId="0" applyNumberFormat="1" applyFont="1" applyBorder="1" applyAlignment="1">
      <alignment horizontal="right"/>
    </xf>
    <xf numFmtId="169" fontId="4245" fillId="0" borderId="3815" xfId="0" applyNumberFormat="1" applyFont="1" applyBorder="1" applyAlignment="1">
      <alignment horizontal="right"/>
    </xf>
    <xf numFmtId="0" fontId="4246" fillId="0" borderId="3816" xfId="0" applyFont="1" applyBorder="1" applyAlignment="1">
      <alignment horizontal="left"/>
    </xf>
    <xf numFmtId="169" fontId="4247" fillId="0" borderId="3817" xfId="0" applyNumberFormat="1" applyFont="1" applyBorder="1" applyAlignment="1">
      <alignment horizontal="right"/>
    </xf>
    <xf numFmtId="169" fontId="4248" fillId="0" borderId="3818" xfId="0" applyNumberFormat="1" applyFont="1" applyBorder="1" applyAlignment="1">
      <alignment horizontal="right"/>
    </xf>
    <xf numFmtId="169" fontId="4249" fillId="0" borderId="3819" xfId="0" applyNumberFormat="1" applyFont="1" applyBorder="1" applyAlignment="1">
      <alignment horizontal="right"/>
    </xf>
    <xf numFmtId="169" fontId="4250" fillId="0" borderId="3820" xfId="0" applyNumberFormat="1" applyFont="1" applyBorder="1" applyAlignment="1">
      <alignment horizontal="right"/>
    </xf>
    <xf numFmtId="169" fontId="4251" fillId="0" borderId="3821" xfId="0" applyNumberFormat="1" applyFont="1" applyBorder="1" applyAlignment="1">
      <alignment horizontal="right"/>
    </xf>
    <xf numFmtId="169" fontId="4252" fillId="0" borderId="3822" xfId="0" applyNumberFormat="1" applyFont="1" applyBorder="1" applyAlignment="1">
      <alignment horizontal="right"/>
    </xf>
    <xf numFmtId="169" fontId="4253" fillId="0" borderId="3823" xfId="0" applyNumberFormat="1" applyFont="1" applyBorder="1" applyAlignment="1">
      <alignment horizontal="right"/>
    </xf>
    <xf numFmtId="169" fontId="4254" fillId="0" borderId="3824" xfId="0" applyNumberFormat="1" applyFont="1" applyBorder="1" applyAlignment="1">
      <alignment horizontal="right"/>
    </xf>
    <xf numFmtId="0" fontId="4255" fillId="0" borderId="3825" xfId="0" applyFont="1" applyBorder="1" applyAlignment="1">
      <alignment horizontal="left"/>
    </xf>
    <xf numFmtId="169" fontId="4256" fillId="0" borderId="3826" xfId="0" applyNumberFormat="1" applyFont="1" applyBorder="1" applyAlignment="1">
      <alignment horizontal="right"/>
    </xf>
    <xf numFmtId="169" fontId="4257" fillId="0" borderId="3827" xfId="0" applyNumberFormat="1" applyFont="1" applyBorder="1" applyAlignment="1">
      <alignment horizontal="right"/>
    </xf>
    <xf numFmtId="169" fontId="4258" fillId="0" borderId="3828" xfId="0" applyNumberFormat="1" applyFont="1" applyBorder="1" applyAlignment="1">
      <alignment horizontal="right"/>
    </xf>
    <xf numFmtId="169" fontId="4259" fillId="0" borderId="3829" xfId="0" applyNumberFormat="1" applyFont="1" applyBorder="1" applyAlignment="1">
      <alignment horizontal="right"/>
    </xf>
    <xf numFmtId="169" fontId="4260" fillId="0" borderId="3830" xfId="0" applyNumberFormat="1" applyFont="1" applyBorder="1" applyAlignment="1">
      <alignment horizontal="right"/>
    </xf>
    <xf numFmtId="169" fontId="4261" fillId="0" borderId="3831" xfId="0" applyNumberFormat="1" applyFont="1" applyBorder="1" applyAlignment="1">
      <alignment horizontal="right"/>
    </xf>
    <xf numFmtId="169" fontId="4262" fillId="0" borderId="3832" xfId="0" applyNumberFormat="1" applyFont="1" applyBorder="1" applyAlignment="1">
      <alignment horizontal="right"/>
    </xf>
    <xf numFmtId="169" fontId="4263" fillId="0" borderId="3833" xfId="0" applyNumberFormat="1" applyFont="1" applyBorder="1" applyAlignment="1">
      <alignment horizontal="right"/>
    </xf>
    <xf numFmtId="0" fontId="4264" fillId="0" borderId="3834" xfId="0" applyFont="1" applyBorder="1" applyAlignment="1">
      <alignment horizontal="left"/>
    </xf>
    <xf numFmtId="169" fontId="4265" fillId="0" borderId="3835" xfId="0" applyNumberFormat="1" applyFont="1" applyBorder="1" applyAlignment="1">
      <alignment horizontal="right"/>
    </xf>
    <xf numFmtId="169" fontId="4266" fillId="0" borderId="3836" xfId="0" applyNumberFormat="1" applyFont="1" applyBorder="1" applyAlignment="1">
      <alignment horizontal="right"/>
    </xf>
    <xf numFmtId="169" fontId="4267" fillId="0" borderId="3837" xfId="0" applyNumberFormat="1" applyFont="1" applyBorder="1" applyAlignment="1">
      <alignment horizontal="right"/>
    </xf>
    <xf numFmtId="169" fontId="4268" fillId="0" borderId="3838" xfId="0" applyNumberFormat="1" applyFont="1" applyBorder="1" applyAlignment="1">
      <alignment horizontal="right"/>
    </xf>
    <xf numFmtId="169" fontId="4269" fillId="0" borderId="3839" xfId="0" applyNumberFormat="1" applyFont="1" applyBorder="1" applyAlignment="1">
      <alignment horizontal="right"/>
    </xf>
    <xf numFmtId="169" fontId="4270" fillId="0" borderId="3840" xfId="0" applyNumberFormat="1" applyFont="1" applyBorder="1" applyAlignment="1">
      <alignment horizontal="right"/>
    </xf>
    <xf numFmtId="169" fontId="4271" fillId="0" borderId="3841" xfId="0" applyNumberFormat="1" applyFont="1" applyBorder="1" applyAlignment="1">
      <alignment horizontal="right"/>
    </xf>
    <xf numFmtId="169" fontId="4272" fillId="0" borderId="3842" xfId="0" applyNumberFormat="1" applyFont="1" applyBorder="1" applyAlignment="1">
      <alignment horizontal="right"/>
    </xf>
    <xf numFmtId="0" fontId="4273" fillId="0" borderId="3843" xfId="0" applyFont="1" applyBorder="1" applyAlignment="1">
      <alignment horizontal="left"/>
    </xf>
    <xf numFmtId="169" fontId="4274" fillId="0" borderId="3844" xfId="0" applyNumberFormat="1" applyFont="1" applyBorder="1" applyAlignment="1">
      <alignment horizontal="right"/>
    </xf>
    <xf numFmtId="169" fontId="4275" fillId="0" borderId="3845" xfId="0" applyNumberFormat="1" applyFont="1" applyBorder="1" applyAlignment="1">
      <alignment horizontal="right"/>
    </xf>
    <xf numFmtId="169" fontId="4276" fillId="0" borderId="3846" xfId="0" applyNumberFormat="1" applyFont="1" applyBorder="1" applyAlignment="1">
      <alignment horizontal="right"/>
    </xf>
    <xf numFmtId="169" fontId="4277" fillId="0" borderId="3847" xfId="0" applyNumberFormat="1" applyFont="1" applyBorder="1" applyAlignment="1">
      <alignment horizontal="right"/>
    </xf>
    <xf numFmtId="169" fontId="4278" fillId="0" borderId="3848" xfId="0" applyNumberFormat="1" applyFont="1" applyBorder="1" applyAlignment="1">
      <alignment horizontal="right"/>
    </xf>
    <xf numFmtId="169" fontId="4279" fillId="0" borderId="3849" xfId="0" applyNumberFormat="1" applyFont="1" applyBorder="1" applyAlignment="1">
      <alignment horizontal="right"/>
    </xf>
    <xf numFmtId="169" fontId="4280" fillId="0" borderId="3850" xfId="0" applyNumberFormat="1" applyFont="1" applyBorder="1" applyAlignment="1">
      <alignment horizontal="right"/>
    </xf>
    <xf numFmtId="169" fontId="4281" fillId="0" borderId="3851" xfId="0" applyNumberFormat="1" applyFont="1" applyBorder="1" applyAlignment="1">
      <alignment horizontal="right"/>
    </xf>
    <xf numFmtId="0" fontId="4282" fillId="0" borderId="3852" xfId="0" applyFont="1" applyBorder="1" applyAlignment="1">
      <alignment horizontal="left"/>
    </xf>
    <xf numFmtId="169" fontId="4283" fillId="0" borderId="3853" xfId="0" applyNumberFormat="1" applyFont="1" applyBorder="1" applyAlignment="1">
      <alignment horizontal="right"/>
    </xf>
    <xf numFmtId="169" fontId="4284" fillId="0" borderId="3854" xfId="0" applyNumberFormat="1" applyFont="1" applyBorder="1" applyAlignment="1">
      <alignment horizontal="right"/>
    </xf>
    <xf numFmtId="169" fontId="4285" fillId="0" borderId="3855" xfId="0" applyNumberFormat="1" applyFont="1" applyBorder="1" applyAlignment="1">
      <alignment horizontal="right"/>
    </xf>
    <xf numFmtId="169" fontId="4286" fillId="0" borderId="3856" xfId="0" applyNumberFormat="1" applyFont="1" applyBorder="1" applyAlignment="1">
      <alignment horizontal="right"/>
    </xf>
    <xf numFmtId="169" fontId="4287" fillId="0" borderId="3857" xfId="0" applyNumberFormat="1" applyFont="1" applyBorder="1" applyAlignment="1">
      <alignment horizontal="right"/>
    </xf>
    <xf numFmtId="169" fontId="4288" fillId="0" borderId="3858" xfId="0" applyNumberFormat="1" applyFont="1" applyBorder="1" applyAlignment="1">
      <alignment horizontal="right"/>
    </xf>
    <xf numFmtId="169" fontId="4289" fillId="0" borderId="3859" xfId="0" applyNumberFormat="1" applyFont="1" applyBorder="1" applyAlignment="1">
      <alignment horizontal="right"/>
    </xf>
    <xf numFmtId="169" fontId="4290" fillId="0" borderId="3860" xfId="0" applyNumberFormat="1" applyFont="1" applyBorder="1" applyAlignment="1">
      <alignment horizontal="right"/>
    </xf>
    <xf numFmtId="0" fontId="4291" fillId="0" borderId="3861" xfId="0" applyFont="1" applyBorder="1" applyAlignment="1">
      <alignment horizontal="left"/>
    </xf>
    <xf numFmtId="169" fontId="4292" fillId="0" borderId="3862" xfId="0" applyNumberFormat="1" applyFont="1" applyBorder="1" applyAlignment="1">
      <alignment horizontal="right"/>
    </xf>
    <xf numFmtId="169" fontId="4293" fillId="0" borderId="3863" xfId="0" applyNumberFormat="1" applyFont="1" applyBorder="1" applyAlignment="1">
      <alignment horizontal="right"/>
    </xf>
    <xf numFmtId="169" fontId="4294" fillId="0" borderId="3864" xfId="0" applyNumberFormat="1" applyFont="1" applyBorder="1" applyAlignment="1">
      <alignment horizontal="right"/>
    </xf>
    <xf numFmtId="169" fontId="4295" fillId="0" borderId="3865" xfId="0" applyNumberFormat="1" applyFont="1" applyBorder="1" applyAlignment="1">
      <alignment horizontal="right"/>
    </xf>
    <xf numFmtId="169" fontId="4296" fillId="0" borderId="3866" xfId="0" applyNumberFormat="1" applyFont="1" applyBorder="1" applyAlignment="1">
      <alignment horizontal="right"/>
    </xf>
    <xf numFmtId="169" fontId="4297" fillId="0" borderId="3867" xfId="0" applyNumberFormat="1" applyFont="1" applyBorder="1" applyAlignment="1">
      <alignment horizontal="right"/>
    </xf>
    <xf numFmtId="169" fontId="4298" fillId="0" borderId="3868" xfId="0" applyNumberFormat="1" applyFont="1" applyBorder="1" applyAlignment="1">
      <alignment horizontal="right"/>
    </xf>
    <xf numFmtId="169" fontId="4299" fillId="0" borderId="3869" xfId="0" applyNumberFormat="1" applyFont="1" applyBorder="1" applyAlignment="1">
      <alignment horizontal="right"/>
    </xf>
    <xf numFmtId="0" fontId="4300" fillId="0" borderId="3870" xfId="0" applyFont="1" applyBorder="1" applyAlignment="1">
      <alignment horizontal="left"/>
    </xf>
    <xf numFmtId="2" fontId="4301" fillId="0" borderId="3871" xfId="0" applyNumberFormat="1" applyFont="1" applyBorder="1"/>
    <xf numFmtId="2" fontId="4302" fillId="0" borderId="3872" xfId="0" applyNumberFormat="1" applyFont="1" applyBorder="1"/>
    <xf numFmtId="2" fontId="4303" fillId="0" borderId="3873" xfId="0" applyNumberFormat="1" applyFont="1" applyBorder="1"/>
    <xf numFmtId="2" fontId="4304" fillId="0" borderId="3874" xfId="0" applyNumberFormat="1" applyFont="1" applyBorder="1"/>
    <xf numFmtId="2" fontId="4305" fillId="0" borderId="3875" xfId="0" applyNumberFormat="1" applyFont="1" applyBorder="1"/>
    <xf numFmtId="2" fontId="4306" fillId="0" borderId="3876" xfId="0" applyNumberFormat="1" applyFont="1" applyBorder="1"/>
    <xf numFmtId="169" fontId="4307" fillId="0" borderId="3877" xfId="0" applyNumberFormat="1" applyFont="1" applyBorder="1" applyAlignment="1">
      <alignment horizontal="right"/>
    </xf>
    <xf numFmtId="169" fontId="4308" fillId="0" borderId="3878" xfId="0" applyNumberFormat="1" applyFont="1" applyBorder="1" applyAlignment="1">
      <alignment horizontal="right"/>
    </xf>
    <xf numFmtId="0" fontId="4309" fillId="0" borderId="3879" xfId="0" applyFont="1" applyBorder="1"/>
    <xf numFmtId="0" fontId="4316" fillId="0" borderId="3886" xfId="0" applyFont="1" applyBorder="1" applyAlignment="1">
      <alignment horizontal="right"/>
    </xf>
    <xf numFmtId="0" fontId="4317" fillId="0" borderId="3887" xfId="0" applyFont="1" applyBorder="1" applyAlignment="1">
      <alignment horizontal="center"/>
    </xf>
    <xf numFmtId="0" fontId="4318" fillId="0" borderId="3888" xfId="0" applyFont="1" applyBorder="1"/>
    <xf numFmtId="0" fontId="4322" fillId="0" borderId="3892" xfId="0" applyFont="1" applyBorder="1" applyAlignment="1">
      <alignment horizontal="right"/>
    </xf>
    <xf numFmtId="0" fontId="4323" fillId="0" borderId="3893" xfId="0" applyFont="1" applyBorder="1"/>
    <xf numFmtId="0" fontId="4327" fillId="0" borderId="3897" xfId="0" applyFont="1" applyBorder="1"/>
    <xf numFmtId="2" fontId="4328" fillId="0" borderId="3898" xfId="0" applyNumberFormat="1" applyFont="1" applyBorder="1" applyAlignment="1">
      <alignment horizontal="right"/>
    </xf>
    <xf numFmtId="2" fontId="4329" fillId="0" borderId="3899" xfId="0" applyNumberFormat="1" applyFont="1" applyBorder="1" applyAlignment="1">
      <alignment horizontal="right"/>
    </xf>
    <xf numFmtId="2" fontId="4330" fillId="0" borderId="3900" xfId="0" applyNumberFormat="1" applyFont="1" applyBorder="1" applyAlignment="1">
      <alignment horizontal="right"/>
    </xf>
    <xf numFmtId="2" fontId="4331" fillId="0" borderId="3901" xfId="0" applyNumberFormat="1" applyFont="1" applyBorder="1" applyAlignment="1">
      <alignment horizontal="right"/>
    </xf>
    <xf numFmtId="2" fontId="4332" fillId="0" borderId="3902" xfId="0" applyNumberFormat="1" applyFont="1" applyBorder="1" applyAlignment="1">
      <alignment horizontal="right"/>
    </xf>
    <xf numFmtId="2" fontId="4333" fillId="0" borderId="3903" xfId="0" applyNumberFormat="1" applyFont="1" applyBorder="1" applyAlignment="1">
      <alignment horizontal="right"/>
    </xf>
    <xf numFmtId="0" fontId="4334" fillId="0" borderId="3904" xfId="0" applyFont="1" applyBorder="1"/>
    <xf numFmtId="2" fontId="4335" fillId="0" borderId="3905" xfId="0" applyNumberFormat="1" applyFont="1" applyBorder="1" applyAlignment="1">
      <alignment horizontal="center"/>
    </xf>
    <xf numFmtId="2" fontId="4336" fillId="0" borderId="3906" xfId="0" applyNumberFormat="1" applyFont="1" applyBorder="1" applyAlignment="1">
      <alignment horizontal="center"/>
    </xf>
    <xf numFmtId="2" fontId="4337" fillId="0" borderId="3907" xfId="0" applyNumberFormat="1" applyFont="1" applyBorder="1" applyAlignment="1">
      <alignment horizontal="center"/>
    </xf>
    <xf numFmtId="2" fontId="4338" fillId="0" borderId="3908" xfId="0" applyNumberFormat="1" applyFont="1" applyBorder="1" applyAlignment="1">
      <alignment horizontal="center"/>
    </xf>
    <xf numFmtId="2" fontId="4339" fillId="0" borderId="3909" xfId="0" applyNumberFormat="1" applyFont="1" applyBorder="1" applyAlignment="1">
      <alignment horizontal="center"/>
    </xf>
    <xf numFmtId="2" fontId="4340" fillId="0" borderId="3910" xfId="0" applyNumberFormat="1" applyFont="1" applyBorder="1" applyAlignment="1">
      <alignment horizontal="center"/>
    </xf>
    <xf numFmtId="0" fontId="4341" fillId="0" borderId="3911" xfId="0" applyFont="1" applyBorder="1"/>
    <xf numFmtId="2" fontId="4342" fillId="0" borderId="3912" xfId="0" applyNumberFormat="1" applyFont="1" applyBorder="1" applyAlignment="1">
      <alignment horizontal="right"/>
    </xf>
    <xf numFmtId="2" fontId="4343" fillId="0" borderId="3913" xfId="0" applyNumberFormat="1" applyFont="1" applyBorder="1" applyAlignment="1">
      <alignment horizontal="right"/>
    </xf>
    <xf numFmtId="2" fontId="4344" fillId="0" borderId="3914" xfId="0" applyNumberFormat="1" applyFont="1" applyBorder="1" applyAlignment="1">
      <alignment horizontal="right"/>
    </xf>
    <xf numFmtId="2" fontId="4345" fillId="0" borderId="3915" xfId="0" applyNumberFormat="1" applyFont="1" applyBorder="1" applyAlignment="1">
      <alignment horizontal="right"/>
    </xf>
    <xf numFmtId="2" fontId="4346" fillId="0" borderId="3916" xfId="0" applyNumberFormat="1" applyFont="1" applyBorder="1" applyAlignment="1">
      <alignment horizontal="right"/>
    </xf>
    <xf numFmtId="2" fontId="4347" fillId="0" borderId="3917" xfId="0" applyNumberFormat="1" applyFont="1" applyBorder="1" applyAlignment="1">
      <alignment horizontal="right"/>
    </xf>
    <xf numFmtId="0" fontId="4348" fillId="0" borderId="3918" xfId="0" applyFont="1" applyBorder="1" applyAlignment="1">
      <alignment horizontal="left"/>
    </xf>
    <xf numFmtId="2" fontId="4349" fillId="0" borderId="3919" xfId="0" applyNumberFormat="1" applyFont="1" applyBorder="1"/>
    <xf numFmtId="2" fontId="4350" fillId="0" borderId="3920" xfId="0" applyNumberFormat="1" applyFont="1" applyBorder="1"/>
    <xf numFmtId="2" fontId="4351" fillId="0" borderId="3921" xfId="0" applyNumberFormat="1" applyFont="1" applyBorder="1"/>
    <xf numFmtId="2" fontId="4352" fillId="0" borderId="3922" xfId="0" applyNumberFormat="1" applyFont="1" applyBorder="1"/>
    <xf numFmtId="2" fontId="4353" fillId="0" borderId="3923" xfId="0" applyNumberFormat="1" applyFont="1" applyBorder="1"/>
    <xf numFmtId="2" fontId="4354" fillId="0" borderId="3924" xfId="0" applyNumberFormat="1" applyFont="1" applyBorder="1"/>
    <xf numFmtId="0" fontId="4355" fillId="0" borderId="3925" xfId="0" applyFont="1" applyBorder="1"/>
    <xf numFmtId="0" fontId="4356" fillId="0" borderId="3926" xfId="0" applyFont="1" applyBorder="1"/>
    <xf numFmtId="0" fontId="4357" fillId="0" borderId="3927" xfId="0" applyFont="1" applyBorder="1" applyAlignment="1">
      <alignment horizontal="left"/>
    </xf>
    <xf numFmtId="169" fontId="4358" fillId="0" borderId="3928" xfId="0" applyNumberFormat="1" applyFont="1" applyBorder="1" applyAlignment="1">
      <alignment horizontal="right"/>
    </xf>
    <xf numFmtId="169" fontId="4359" fillId="0" borderId="3929" xfId="0" applyNumberFormat="1" applyFont="1" applyBorder="1" applyAlignment="1">
      <alignment horizontal="right"/>
    </xf>
    <xf numFmtId="169" fontId="4360" fillId="0" borderId="3930" xfId="0" applyNumberFormat="1" applyFont="1" applyBorder="1" applyAlignment="1">
      <alignment horizontal="right"/>
    </xf>
    <xf numFmtId="169" fontId="4361" fillId="0" borderId="3931" xfId="0" applyNumberFormat="1" applyFont="1" applyBorder="1" applyAlignment="1">
      <alignment horizontal="right"/>
    </xf>
    <xf numFmtId="169" fontId="4362" fillId="0" borderId="3932" xfId="0" applyNumberFormat="1" applyFont="1" applyBorder="1" applyAlignment="1">
      <alignment horizontal="right"/>
    </xf>
    <xf numFmtId="169" fontId="4363" fillId="0" borderId="3933" xfId="0" applyNumberFormat="1" applyFont="1" applyBorder="1" applyAlignment="1">
      <alignment horizontal="right"/>
    </xf>
    <xf numFmtId="169" fontId="4364" fillId="0" borderId="3934" xfId="0" applyNumberFormat="1" applyFont="1" applyBorder="1" applyAlignment="1">
      <alignment horizontal="right"/>
    </xf>
    <xf numFmtId="169" fontId="4365" fillId="0" borderId="3935" xfId="0" applyNumberFormat="1" applyFont="1" applyBorder="1" applyAlignment="1">
      <alignment horizontal="right"/>
    </xf>
    <xf numFmtId="0" fontId="4366" fillId="0" borderId="3936" xfId="0" applyFont="1" applyBorder="1" applyAlignment="1">
      <alignment horizontal="left"/>
    </xf>
    <xf numFmtId="169" fontId="4367" fillId="0" borderId="3937" xfId="0" applyNumberFormat="1" applyFont="1" applyBorder="1" applyAlignment="1">
      <alignment horizontal="right"/>
    </xf>
    <xf numFmtId="169" fontId="4368" fillId="0" borderId="3938" xfId="0" applyNumberFormat="1" applyFont="1" applyBorder="1" applyAlignment="1">
      <alignment horizontal="right"/>
    </xf>
    <xf numFmtId="169" fontId="4369" fillId="0" borderId="3939" xfId="0" applyNumberFormat="1" applyFont="1" applyBorder="1" applyAlignment="1">
      <alignment horizontal="right"/>
    </xf>
    <xf numFmtId="169" fontId="4370" fillId="0" borderId="3940" xfId="0" applyNumberFormat="1" applyFont="1" applyBorder="1" applyAlignment="1">
      <alignment horizontal="right"/>
    </xf>
    <xf numFmtId="169" fontId="4371" fillId="0" borderId="3941" xfId="0" applyNumberFormat="1" applyFont="1" applyBorder="1" applyAlignment="1">
      <alignment horizontal="right"/>
    </xf>
    <xf numFmtId="169" fontId="4372" fillId="0" borderId="3942" xfId="0" applyNumberFormat="1" applyFont="1" applyBorder="1" applyAlignment="1">
      <alignment horizontal="right"/>
    </xf>
    <xf numFmtId="169" fontId="4373" fillId="0" borderId="3943" xfId="0" applyNumberFormat="1" applyFont="1" applyBorder="1" applyAlignment="1">
      <alignment horizontal="right"/>
    </xf>
    <xf numFmtId="169" fontId="4374" fillId="0" borderId="3944" xfId="0" applyNumberFormat="1" applyFont="1" applyBorder="1" applyAlignment="1">
      <alignment horizontal="right"/>
    </xf>
    <xf numFmtId="0" fontId="4375" fillId="0" borderId="3945" xfId="0" applyFont="1" applyBorder="1" applyAlignment="1">
      <alignment horizontal="left"/>
    </xf>
    <xf numFmtId="169" fontId="4376" fillId="0" borderId="3946" xfId="0" applyNumberFormat="1" applyFont="1" applyBorder="1" applyAlignment="1">
      <alignment horizontal="right"/>
    </xf>
    <xf numFmtId="169" fontId="4377" fillId="0" borderId="3947" xfId="0" applyNumberFormat="1" applyFont="1" applyBorder="1" applyAlignment="1">
      <alignment horizontal="right"/>
    </xf>
    <xf numFmtId="169" fontId="4378" fillId="0" borderId="3948" xfId="0" applyNumberFormat="1" applyFont="1" applyBorder="1" applyAlignment="1">
      <alignment horizontal="right"/>
    </xf>
    <xf numFmtId="169" fontId="4379" fillId="0" borderId="3949" xfId="0" applyNumberFormat="1" applyFont="1" applyBorder="1" applyAlignment="1">
      <alignment horizontal="right"/>
    </xf>
    <xf numFmtId="169" fontId="4380" fillId="0" borderId="3950" xfId="0" applyNumberFormat="1" applyFont="1" applyBorder="1" applyAlignment="1">
      <alignment horizontal="right"/>
    </xf>
    <xf numFmtId="169" fontId="4381" fillId="0" borderId="3951" xfId="0" applyNumberFormat="1" applyFont="1" applyBorder="1" applyAlignment="1">
      <alignment horizontal="right"/>
    </xf>
    <xf numFmtId="169" fontId="4382" fillId="0" borderId="3952" xfId="0" applyNumberFormat="1" applyFont="1" applyBorder="1" applyAlignment="1">
      <alignment horizontal="right"/>
    </xf>
    <xf numFmtId="169" fontId="4383" fillId="0" borderId="3953" xfId="0" applyNumberFormat="1" applyFont="1" applyBorder="1" applyAlignment="1">
      <alignment horizontal="right"/>
    </xf>
    <xf numFmtId="0" fontId="4384" fillId="0" borderId="3954" xfId="0" applyFont="1" applyBorder="1" applyAlignment="1">
      <alignment horizontal="left"/>
    </xf>
    <xf numFmtId="169" fontId="4385" fillId="0" borderId="3955" xfId="0" applyNumberFormat="1" applyFont="1" applyBorder="1" applyAlignment="1">
      <alignment horizontal="right"/>
    </xf>
    <xf numFmtId="169" fontId="4386" fillId="0" borderId="3956" xfId="0" applyNumberFormat="1" applyFont="1" applyBorder="1" applyAlignment="1">
      <alignment horizontal="right"/>
    </xf>
    <xf numFmtId="169" fontId="4387" fillId="0" borderId="3957" xfId="0" applyNumberFormat="1" applyFont="1" applyBorder="1" applyAlignment="1">
      <alignment horizontal="right"/>
    </xf>
    <xf numFmtId="169" fontId="4388" fillId="0" borderId="3958" xfId="0" applyNumberFormat="1" applyFont="1" applyBorder="1" applyAlignment="1">
      <alignment horizontal="right"/>
    </xf>
    <xf numFmtId="169" fontId="4389" fillId="0" borderId="3959" xfId="0" applyNumberFormat="1" applyFont="1" applyBorder="1" applyAlignment="1">
      <alignment horizontal="right"/>
    </xf>
    <xf numFmtId="169" fontId="4390" fillId="0" borderId="3960" xfId="0" applyNumberFormat="1" applyFont="1" applyBorder="1" applyAlignment="1">
      <alignment horizontal="right"/>
    </xf>
    <xf numFmtId="169" fontId="4391" fillId="0" borderId="3961" xfId="0" applyNumberFormat="1" applyFont="1" applyBorder="1" applyAlignment="1">
      <alignment horizontal="right"/>
    </xf>
    <xf numFmtId="169" fontId="4392" fillId="0" borderId="3962" xfId="0" applyNumberFormat="1" applyFont="1" applyBorder="1" applyAlignment="1">
      <alignment horizontal="right"/>
    </xf>
    <xf numFmtId="0" fontId="4393" fillId="0" borderId="3963" xfId="0" applyFont="1" applyBorder="1" applyAlignment="1">
      <alignment horizontal="left"/>
    </xf>
    <xf numFmtId="169" fontId="4394" fillId="0" borderId="3964" xfId="0" applyNumberFormat="1" applyFont="1" applyBorder="1" applyAlignment="1">
      <alignment horizontal="right"/>
    </xf>
    <xf numFmtId="169" fontId="4395" fillId="0" borderId="3965" xfId="0" applyNumberFormat="1" applyFont="1" applyBorder="1" applyAlignment="1">
      <alignment horizontal="right"/>
    </xf>
    <xf numFmtId="169" fontId="4396" fillId="0" borderId="3966" xfId="0" applyNumberFormat="1" applyFont="1" applyBorder="1" applyAlignment="1">
      <alignment horizontal="right"/>
    </xf>
    <xf numFmtId="169" fontId="4397" fillId="0" borderId="3967" xfId="0" applyNumberFormat="1" applyFont="1" applyBorder="1" applyAlignment="1">
      <alignment horizontal="right"/>
    </xf>
    <xf numFmtId="169" fontId="4398" fillId="0" borderId="3968" xfId="0" applyNumberFormat="1" applyFont="1" applyBorder="1" applyAlignment="1">
      <alignment horizontal="right"/>
    </xf>
    <xf numFmtId="169" fontId="4399" fillId="0" borderId="3969" xfId="0" applyNumberFormat="1" applyFont="1" applyBorder="1" applyAlignment="1">
      <alignment horizontal="right"/>
    </xf>
    <xf numFmtId="169" fontId="4400" fillId="0" borderId="3970" xfId="0" applyNumberFormat="1" applyFont="1" applyBorder="1" applyAlignment="1">
      <alignment horizontal="right"/>
    </xf>
    <xf numFmtId="169" fontId="4401" fillId="0" borderId="3971" xfId="0" applyNumberFormat="1" applyFont="1" applyBorder="1" applyAlignment="1">
      <alignment horizontal="right"/>
    </xf>
    <xf numFmtId="0" fontId="4402" fillId="0" borderId="3972" xfId="0" applyFont="1" applyBorder="1" applyAlignment="1">
      <alignment horizontal="left"/>
    </xf>
    <xf numFmtId="169" fontId="4403" fillId="0" borderId="3973" xfId="0" applyNumberFormat="1" applyFont="1" applyBorder="1" applyAlignment="1">
      <alignment horizontal="right"/>
    </xf>
    <xf numFmtId="169" fontId="4404" fillId="0" borderId="3974" xfId="0" applyNumberFormat="1" applyFont="1" applyBorder="1" applyAlignment="1">
      <alignment horizontal="right"/>
    </xf>
    <xf numFmtId="169" fontId="4405" fillId="0" borderId="3975" xfId="0" applyNumberFormat="1" applyFont="1" applyBorder="1" applyAlignment="1">
      <alignment horizontal="right"/>
    </xf>
    <xf numFmtId="169" fontId="4406" fillId="0" borderId="3976" xfId="0" applyNumberFormat="1" applyFont="1" applyBorder="1" applyAlignment="1">
      <alignment horizontal="right"/>
    </xf>
    <xf numFmtId="169" fontId="4407" fillId="0" borderId="3977" xfId="0" applyNumberFormat="1" applyFont="1" applyBorder="1" applyAlignment="1">
      <alignment horizontal="right"/>
    </xf>
    <xf numFmtId="169" fontId="4408" fillId="0" borderId="3978" xfId="0" applyNumberFormat="1" applyFont="1" applyBorder="1" applyAlignment="1">
      <alignment horizontal="right"/>
    </xf>
    <xf numFmtId="169" fontId="4409" fillId="0" borderId="3979" xfId="0" applyNumberFormat="1" applyFont="1" applyBorder="1" applyAlignment="1">
      <alignment horizontal="right"/>
    </xf>
    <xf numFmtId="169" fontId="4410" fillId="0" borderId="3980" xfId="0" applyNumberFormat="1" applyFont="1" applyBorder="1" applyAlignment="1">
      <alignment horizontal="right"/>
    </xf>
    <xf numFmtId="0" fontId="4411" fillId="0" borderId="3981" xfId="0" applyFont="1" applyBorder="1" applyAlignment="1">
      <alignment horizontal="left"/>
    </xf>
    <xf numFmtId="169" fontId="4412" fillId="0" borderId="3982" xfId="0" applyNumberFormat="1" applyFont="1" applyBorder="1" applyAlignment="1">
      <alignment horizontal="right"/>
    </xf>
    <xf numFmtId="169" fontId="4413" fillId="0" borderId="3983" xfId="0" applyNumberFormat="1" applyFont="1" applyBorder="1" applyAlignment="1">
      <alignment horizontal="right"/>
    </xf>
    <xf numFmtId="169" fontId="4414" fillId="0" borderId="3984" xfId="0" applyNumberFormat="1" applyFont="1" applyBorder="1" applyAlignment="1">
      <alignment horizontal="right"/>
    </xf>
    <xf numFmtId="169" fontId="4415" fillId="0" borderId="3985" xfId="0" applyNumberFormat="1" applyFont="1" applyBorder="1" applyAlignment="1">
      <alignment horizontal="right"/>
    </xf>
    <xf numFmtId="169" fontId="4416" fillId="0" borderId="3986" xfId="0" applyNumberFormat="1" applyFont="1" applyBorder="1" applyAlignment="1">
      <alignment horizontal="right"/>
    </xf>
    <xf numFmtId="169" fontId="4417" fillId="0" borderId="3987" xfId="0" applyNumberFormat="1" applyFont="1" applyBorder="1" applyAlignment="1">
      <alignment horizontal="right"/>
    </xf>
    <xf numFmtId="169" fontId="4418" fillId="0" borderId="3988" xfId="0" applyNumberFormat="1" applyFont="1" applyBorder="1" applyAlignment="1">
      <alignment horizontal="right"/>
    </xf>
    <xf numFmtId="169" fontId="4419" fillId="0" borderId="3989" xfId="0" applyNumberFormat="1" applyFont="1" applyBorder="1" applyAlignment="1">
      <alignment horizontal="right"/>
    </xf>
    <xf numFmtId="0" fontId="4420" fillId="0" borderId="3990" xfId="0" applyFont="1" applyBorder="1" applyAlignment="1">
      <alignment horizontal="left"/>
    </xf>
    <xf numFmtId="169" fontId="4421" fillId="0" borderId="3991" xfId="0" applyNumberFormat="1" applyFont="1" applyBorder="1" applyAlignment="1">
      <alignment horizontal="right"/>
    </xf>
    <xf numFmtId="169" fontId="4422" fillId="0" borderId="3992" xfId="0" applyNumberFormat="1" applyFont="1" applyBorder="1" applyAlignment="1">
      <alignment horizontal="right"/>
    </xf>
    <xf numFmtId="169" fontId="4423" fillId="0" borderId="3993" xfId="0" applyNumberFormat="1" applyFont="1" applyBorder="1" applyAlignment="1">
      <alignment horizontal="right"/>
    </xf>
    <xf numFmtId="169" fontId="4424" fillId="0" borderId="3994" xfId="0" applyNumberFormat="1" applyFont="1" applyBorder="1" applyAlignment="1">
      <alignment horizontal="right"/>
    </xf>
    <xf numFmtId="169" fontId="4425" fillId="0" borderId="3995" xfId="0" applyNumberFormat="1" applyFont="1" applyBorder="1" applyAlignment="1">
      <alignment horizontal="right"/>
    </xf>
    <xf numFmtId="169" fontId="4426" fillId="0" borderId="3996" xfId="0" applyNumberFormat="1" applyFont="1" applyBorder="1" applyAlignment="1">
      <alignment horizontal="right"/>
    </xf>
    <xf numFmtId="169" fontId="4427" fillId="0" borderId="3997" xfId="0" applyNumberFormat="1" applyFont="1" applyBorder="1" applyAlignment="1">
      <alignment horizontal="right"/>
    </xf>
    <xf numFmtId="169" fontId="4428" fillId="0" borderId="3998" xfId="0" applyNumberFormat="1" applyFont="1" applyBorder="1" applyAlignment="1">
      <alignment horizontal="right"/>
    </xf>
    <xf numFmtId="0" fontId="4429" fillId="0" borderId="3999" xfId="0" applyFont="1" applyBorder="1" applyAlignment="1">
      <alignment horizontal="left"/>
    </xf>
    <xf numFmtId="169" fontId="4430" fillId="0" borderId="4000" xfId="0" applyNumberFormat="1" applyFont="1" applyBorder="1" applyAlignment="1">
      <alignment horizontal="right"/>
    </xf>
    <xf numFmtId="169" fontId="4431" fillId="0" borderId="4001" xfId="0" applyNumberFormat="1" applyFont="1" applyBorder="1" applyAlignment="1">
      <alignment horizontal="right"/>
    </xf>
    <xf numFmtId="169" fontId="4432" fillId="0" borderId="4002" xfId="0" applyNumberFormat="1" applyFont="1" applyBorder="1" applyAlignment="1">
      <alignment horizontal="right"/>
    </xf>
    <xf numFmtId="169" fontId="4433" fillId="0" borderId="4003" xfId="0" applyNumberFormat="1" applyFont="1" applyBorder="1" applyAlignment="1">
      <alignment horizontal="right"/>
    </xf>
    <xf numFmtId="169" fontId="4434" fillId="0" borderId="4004" xfId="0" applyNumberFormat="1" applyFont="1" applyBorder="1" applyAlignment="1">
      <alignment horizontal="right"/>
    </xf>
    <xf numFmtId="169" fontId="4435" fillId="0" borderId="4005" xfId="0" applyNumberFormat="1" applyFont="1" applyBorder="1" applyAlignment="1">
      <alignment horizontal="right"/>
    </xf>
    <xf numFmtId="169" fontId="4436" fillId="0" borderId="4006" xfId="0" applyNumberFormat="1" applyFont="1" applyBorder="1" applyAlignment="1">
      <alignment horizontal="right"/>
    </xf>
    <xf numFmtId="169" fontId="4437" fillId="0" borderId="4007" xfId="0" applyNumberFormat="1" applyFont="1" applyBorder="1" applyAlignment="1">
      <alignment horizontal="right"/>
    </xf>
    <xf numFmtId="0" fontId="4438" fillId="0" borderId="4008" xfId="0" applyFont="1" applyBorder="1" applyAlignment="1">
      <alignment horizontal="left"/>
    </xf>
    <xf numFmtId="169" fontId="4439" fillId="0" borderId="4009" xfId="0" applyNumberFormat="1" applyFont="1" applyBorder="1" applyAlignment="1">
      <alignment horizontal="right"/>
    </xf>
    <xf numFmtId="169" fontId="4440" fillId="0" borderId="4010" xfId="0" applyNumberFormat="1" applyFont="1" applyBorder="1" applyAlignment="1">
      <alignment horizontal="right"/>
    </xf>
    <xf numFmtId="169" fontId="4441" fillId="0" borderId="4011" xfId="0" applyNumberFormat="1" applyFont="1" applyBorder="1" applyAlignment="1">
      <alignment horizontal="right"/>
    </xf>
    <xf numFmtId="169" fontId="4442" fillId="0" borderId="4012" xfId="0" applyNumberFormat="1" applyFont="1" applyBorder="1" applyAlignment="1">
      <alignment horizontal="right"/>
    </xf>
    <xf numFmtId="169" fontId="4443" fillId="0" borderId="4013" xfId="0" applyNumberFormat="1" applyFont="1" applyBorder="1" applyAlignment="1">
      <alignment horizontal="right"/>
    </xf>
    <xf numFmtId="169" fontId="4444" fillId="0" borderId="4014" xfId="0" applyNumberFormat="1" applyFont="1" applyBorder="1" applyAlignment="1">
      <alignment horizontal="right"/>
    </xf>
    <xf numFmtId="169" fontId="4445" fillId="0" borderId="4015" xfId="0" applyNumberFormat="1" applyFont="1" applyBorder="1" applyAlignment="1">
      <alignment horizontal="right"/>
    </xf>
    <xf numFmtId="169" fontId="4446" fillId="0" borderId="4016" xfId="0" applyNumberFormat="1" applyFont="1" applyBorder="1" applyAlignment="1">
      <alignment horizontal="right"/>
    </xf>
    <xf numFmtId="0" fontId="4447" fillId="0" borderId="4017" xfId="0" applyFont="1" applyBorder="1" applyAlignment="1">
      <alignment horizontal="left"/>
    </xf>
    <xf numFmtId="169" fontId="4448" fillId="0" borderId="4018" xfId="0" applyNumberFormat="1" applyFont="1" applyBorder="1" applyAlignment="1">
      <alignment horizontal="right"/>
    </xf>
    <xf numFmtId="169" fontId="4449" fillId="0" borderId="4019" xfId="0" applyNumberFormat="1" applyFont="1" applyBorder="1" applyAlignment="1">
      <alignment horizontal="right"/>
    </xf>
    <xf numFmtId="169" fontId="4450" fillId="0" borderId="4020" xfId="0" applyNumberFormat="1" applyFont="1" applyBorder="1" applyAlignment="1">
      <alignment horizontal="right"/>
    </xf>
    <xf numFmtId="169" fontId="4451" fillId="0" borderId="4021" xfId="0" applyNumberFormat="1" applyFont="1" applyBorder="1" applyAlignment="1">
      <alignment horizontal="right"/>
    </xf>
    <xf numFmtId="169" fontId="4452" fillId="0" borderId="4022" xfId="0" applyNumberFormat="1" applyFont="1" applyBorder="1" applyAlignment="1">
      <alignment horizontal="right"/>
    </xf>
    <xf numFmtId="169" fontId="4453" fillId="0" borderId="4023" xfId="0" applyNumberFormat="1" applyFont="1" applyBorder="1" applyAlignment="1">
      <alignment horizontal="right"/>
    </xf>
    <xf numFmtId="169" fontId="4454" fillId="0" borderId="4024" xfId="0" applyNumberFormat="1" applyFont="1" applyBorder="1" applyAlignment="1">
      <alignment horizontal="right"/>
    </xf>
    <xf numFmtId="169" fontId="4455" fillId="0" borderId="4025" xfId="0" applyNumberFormat="1" applyFont="1" applyBorder="1" applyAlignment="1">
      <alignment horizontal="right"/>
    </xf>
    <xf numFmtId="0" fontId="4456" fillId="0" borderId="4026" xfId="0" applyFont="1" applyBorder="1" applyAlignment="1">
      <alignment horizontal="left"/>
    </xf>
    <xf numFmtId="169" fontId="4457" fillId="0" borderId="4027" xfId="0" applyNumberFormat="1" applyFont="1" applyBorder="1" applyAlignment="1">
      <alignment horizontal="right"/>
    </xf>
    <xf numFmtId="169" fontId="4458" fillId="0" borderId="4028" xfId="0" applyNumberFormat="1" applyFont="1" applyBorder="1" applyAlignment="1">
      <alignment horizontal="right"/>
    </xf>
    <xf numFmtId="169" fontId="4459" fillId="0" borderId="4029" xfId="0" applyNumberFormat="1" applyFont="1" applyBorder="1" applyAlignment="1">
      <alignment horizontal="right"/>
    </xf>
    <xf numFmtId="169" fontId="4460" fillId="0" borderId="4030" xfId="0" applyNumberFormat="1" applyFont="1" applyBorder="1" applyAlignment="1">
      <alignment horizontal="right"/>
    </xf>
    <xf numFmtId="169" fontId="4461" fillId="0" borderId="4031" xfId="0" applyNumberFormat="1" applyFont="1" applyBorder="1" applyAlignment="1">
      <alignment horizontal="right"/>
    </xf>
    <xf numFmtId="169" fontId="4462" fillId="0" borderId="4032" xfId="0" applyNumberFormat="1" applyFont="1" applyBorder="1" applyAlignment="1">
      <alignment horizontal="right"/>
    </xf>
    <xf numFmtId="169" fontId="4463" fillId="0" borderId="4033" xfId="0" applyNumberFormat="1" applyFont="1" applyBorder="1" applyAlignment="1">
      <alignment horizontal="right"/>
    </xf>
    <xf numFmtId="169" fontId="4464" fillId="0" borderId="4034" xfId="0" applyNumberFormat="1" applyFont="1" applyBorder="1" applyAlignment="1">
      <alignment horizontal="right"/>
    </xf>
    <xf numFmtId="0" fontId="4465" fillId="0" borderId="4035" xfId="0" applyFont="1" applyBorder="1" applyAlignment="1">
      <alignment horizontal="left"/>
    </xf>
    <xf numFmtId="169" fontId="4466" fillId="0" borderId="4036" xfId="0" applyNumberFormat="1" applyFont="1" applyBorder="1" applyAlignment="1">
      <alignment horizontal="right"/>
    </xf>
    <xf numFmtId="169" fontId="4467" fillId="0" borderId="4037" xfId="0" applyNumberFormat="1" applyFont="1" applyBorder="1" applyAlignment="1">
      <alignment horizontal="right"/>
    </xf>
    <xf numFmtId="169" fontId="4468" fillId="0" borderId="4038" xfId="0" applyNumberFormat="1" applyFont="1" applyBorder="1" applyAlignment="1">
      <alignment horizontal="right"/>
    </xf>
    <xf numFmtId="169" fontId="4469" fillId="0" borderId="4039" xfId="0" applyNumberFormat="1" applyFont="1" applyBorder="1" applyAlignment="1">
      <alignment horizontal="right"/>
    </xf>
    <xf numFmtId="169" fontId="4470" fillId="0" borderId="4040" xfId="0" applyNumberFormat="1" applyFont="1" applyBorder="1" applyAlignment="1">
      <alignment horizontal="right"/>
    </xf>
    <xf numFmtId="169" fontId="4471" fillId="0" borderId="4041" xfId="0" applyNumberFormat="1" applyFont="1" applyBorder="1" applyAlignment="1">
      <alignment horizontal="right"/>
    </xf>
    <xf numFmtId="169" fontId="4472" fillId="0" borderId="4042" xfId="0" applyNumberFormat="1" applyFont="1" applyBorder="1" applyAlignment="1">
      <alignment horizontal="right"/>
    </xf>
    <xf numFmtId="169" fontId="4473" fillId="0" borderId="4043" xfId="0" applyNumberFormat="1" applyFont="1" applyBorder="1" applyAlignment="1">
      <alignment horizontal="right"/>
    </xf>
    <xf numFmtId="0" fontId="4474" fillId="0" borderId="4044" xfId="0" applyFont="1" applyBorder="1" applyAlignment="1">
      <alignment horizontal="left"/>
    </xf>
    <xf numFmtId="169" fontId="4475" fillId="0" borderId="4045" xfId="0" applyNumberFormat="1" applyFont="1" applyBorder="1" applyAlignment="1">
      <alignment horizontal="right"/>
    </xf>
    <xf numFmtId="169" fontId="4476" fillId="0" borderId="4046" xfId="0" applyNumberFormat="1" applyFont="1" applyBorder="1" applyAlignment="1">
      <alignment horizontal="right"/>
    </xf>
    <xf numFmtId="169" fontId="4477" fillId="0" borderId="4047" xfId="0" applyNumberFormat="1" applyFont="1" applyBorder="1" applyAlignment="1">
      <alignment horizontal="right"/>
    </xf>
    <xf numFmtId="169" fontId="4478" fillId="0" borderId="4048" xfId="0" applyNumberFormat="1" applyFont="1" applyBorder="1" applyAlignment="1">
      <alignment horizontal="right"/>
    </xf>
    <xf numFmtId="169" fontId="4479" fillId="0" borderId="4049" xfId="0" applyNumberFormat="1" applyFont="1" applyBorder="1" applyAlignment="1">
      <alignment horizontal="right"/>
    </xf>
    <xf numFmtId="169" fontId="4480" fillId="0" borderId="4050" xfId="0" applyNumberFormat="1" applyFont="1" applyBorder="1" applyAlignment="1">
      <alignment horizontal="right"/>
    </xf>
    <xf numFmtId="169" fontId="4481" fillId="0" borderId="4051" xfId="0" applyNumberFormat="1" applyFont="1" applyBorder="1" applyAlignment="1">
      <alignment horizontal="right"/>
    </xf>
    <xf numFmtId="169" fontId="4482" fillId="0" borderId="4052" xfId="0" applyNumberFormat="1" applyFont="1" applyBorder="1" applyAlignment="1">
      <alignment horizontal="right"/>
    </xf>
    <xf numFmtId="0" fontId="4483" fillId="0" borderId="4053" xfId="0" applyFont="1" applyBorder="1" applyAlignment="1">
      <alignment horizontal="left"/>
    </xf>
    <xf numFmtId="169" fontId="4484" fillId="0" borderId="4054" xfId="0" applyNumberFormat="1" applyFont="1" applyBorder="1" applyAlignment="1">
      <alignment horizontal="right"/>
    </xf>
    <xf numFmtId="169" fontId="4485" fillId="0" borderId="4055" xfId="0" applyNumberFormat="1" applyFont="1" applyBorder="1" applyAlignment="1">
      <alignment horizontal="right"/>
    </xf>
    <xf numFmtId="169" fontId="4486" fillId="0" borderId="4056" xfId="0" applyNumberFormat="1" applyFont="1" applyBorder="1" applyAlignment="1">
      <alignment horizontal="right"/>
    </xf>
    <xf numFmtId="169" fontId="4487" fillId="0" borderId="4057" xfId="0" applyNumberFormat="1" applyFont="1" applyBorder="1" applyAlignment="1">
      <alignment horizontal="right"/>
    </xf>
    <xf numFmtId="169" fontId="4488" fillId="0" borderId="4058" xfId="0" applyNumberFormat="1" applyFont="1" applyBorder="1" applyAlignment="1">
      <alignment horizontal="right"/>
    </xf>
    <xf numFmtId="169" fontId="4489" fillId="0" borderId="4059" xfId="0" applyNumberFormat="1" applyFont="1" applyBorder="1" applyAlignment="1">
      <alignment horizontal="right"/>
    </xf>
    <xf numFmtId="169" fontId="4490" fillId="0" borderId="4060" xfId="0" applyNumberFormat="1" applyFont="1" applyBorder="1" applyAlignment="1">
      <alignment horizontal="right"/>
    </xf>
    <xf numFmtId="169" fontId="4491" fillId="0" borderId="4061" xfId="0" applyNumberFormat="1" applyFont="1" applyBorder="1" applyAlignment="1">
      <alignment horizontal="right"/>
    </xf>
    <xf numFmtId="0" fontId="4492" fillId="0" borderId="4062" xfId="0" applyFont="1" applyBorder="1" applyAlignment="1">
      <alignment horizontal="left"/>
    </xf>
    <xf numFmtId="2" fontId="4493" fillId="0" borderId="4063" xfId="0" applyNumberFormat="1" applyFont="1" applyBorder="1"/>
    <xf numFmtId="2" fontId="4494" fillId="0" borderId="4064" xfId="0" applyNumberFormat="1" applyFont="1" applyBorder="1"/>
    <xf numFmtId="2" fontId="4495" fillId="0" borderId="4065" xfId="0" applyNumberFormat="1" applyFont="1" applyBorder="1"/>
    <xf numFmtId="2" fontId="4496" fillId="0" borderId="4066" xfId="0" applyNumberFormat="1" applyFont="1" applyBorder="1"/>
    <xf numFmtId="2" fontId="4497" fillId="0" borderId="4067" xfId="0" applyNumberFormat="1" applyFont="1" applyBorder="1"/>
    <xf numFmtId="2" fontId="4498" fillId="0" borderId="4068" xfId="0" applyNumberFormat="1" applyFont="1" applyBorder="1"/>
    <xf numFmtId="169" fontId="4499" fillId="0" borderId="4069" xfId="0" applyNumberFormat="1" applyFont="1" applyBorder="1" applyAlignment="1">
      <alignment horizontal="right"/>
    </xf>
    <xf numFmtId="169" fontId="4500" fillId="0" borderId="4070" xfId="0" applyNumberFormat="1" applyFont="1" applyBorder="1" applyAlignment="1">
      <alignment horizontal="right"/>
    </xf>
    <xf numFmtId="0" fontId="4501" fillId="0" borderId="4071" xfId="0" applyFont="1" applyBorder="1"/>
    <xf numFmtId="0" fontId="4508" fillId="0" borderId="4078" xfId="0" applyFont="1" applyBorder="1" applyAlignment="1">
      <alignment horizontal="right"/>
    </xf>
    <xf numFmtId="0" fontId="4509" fillId="0" borderId="4079" xfId="0" applyFont="1" applyBorder="1" applyAlignment="1">
      <alignment horizontal="center"/>
    </xf>
    <xf numFmtId="0" fontId="4510" fillId="0" borderId="4080" xfId="0" applyFont="1" applyBorder="1"/>
    <xf numFmtId="0" fontId="4514" fillId="0" borderId="4084" xfId="0" applyFont="1" applyBorder="1" applyAlignment="1">
      <alignment horizontal="right"/>
    </xf>
    <xf numFmtId="0" fontId="4515" fillId="0" borderId="4085" xfId="0" applyFont="1" applyBorder="1"/>
    <xf numFmtId="0" fontId="4519" fillId="0" borderId="4089" xfId="0" applyFont="1" applyBorder="1"/>
    <xf numFmtId="2" fontId="4520" fillId="0" borderId="4090" xfId="0" applyNumberFormat="1" applyFont="1" applyBorder="1" applyAlignment="1">
      <alignment horizontal="right"/>
    </xf>
    <xf numFmtId="2" fontId="4521" fillId="0" borderId="4091" xfId="0" applyNumberFormat="1" applyFont="1" applyBorder="1" applyAlignment="1">
      <alignment horizontal="right"/>
    </xf>
    <xf numFmtId="2" fontId="4522" fillId="0" borderId="4092" xfId="0" applyNumberFormat="1" applyFont="1" applyBorder="1" applyAlignment="1">
      <alignment horizontal="right"/>
    </xf>
    <xf numFmtId="2" fontId="4523" fillId="0" borderId="4093" xfId="0" applyNumberFormat="1" applyFont="1" applyBorder="1" applyAlignment="1">
      <alignment horizontal="right"/>
    </xf>
    <xf numFmtId="2" fontId="4524" fillId="0" borderId="4094" xfId="0" applyNumberFormat="1" applyFont="1" applyBorder="1" applyAlignment="1">
      <alignment horizontal="right"/>
    </xf>
    <xf numFmtId="2" fontId="4525" fillId="0" borderId="4095" xfId="0" applyNumberFormat="1" applyFont="1" applyBorder="1" applyAlignment="1">
      <alignment horizontal="right"/>
    </xf>
    <xf numFmtId="0" fontId="4526" fillId="0" borderId="4096" xfId="0" applyFont="1" applyBorder="1"/>
    <xf numFmtId="2" fontId="4527" fillId="0" borderId="4097" xfId="0" applyNumberFormat="1" applyFont="1" applyBorder="1" applyAlignment="1">
      <alignment horizontal="center"/>
    </xf>
    <xf numFmtId="2" fontId="4528" fillId="0" borderId="4098" xfId="0" applyNumberFormat="1" applyFont="1" applyBorder="1" applyAlignment="1">
      <alignment horizontal="center"/>
    </xf>
    <xf numFmtId="2" fontId="4529" fillId="0" borderId="4099" xfId="0" applyNumberFormat="1" applyFont="1" applyBorder="1" applyAlignment="1">
      <alignment horizontal="center"/>
    </xf>
    <xf numFmtId="2" fontId="4530" fillId="0" borderId="4100" xfId="0" applyNumberFormat="1" applyFont="1" applyBorder="1" applyAlignment="1">
      <alignment horizontal="center"/>
    </xf>
    <xf numFmtId="2" fontId="4531" fillId="0" borderId="4101" xfId="0" applyNumberFormat="1" applyFont="1" applyBorder="1" applyAlignment="1">
      <alignment horizontal="center"/>
    </xf>
    <xf numFmtId="2" fontId="4532" fillId="0" borderId="4102" xfId="0" applyNumberFormat="1" applyFont="1" applyBorder="1" applyAlignment="1">
      <alignment horizontal="center"/>
    </xf>
    <xf numFmtId="0" fontId="4533" fillId="0" borderId="4103" xfId="0" applyFont="1" applyBorder="1"/>
    <xf numFmtId="2" fontId="4534" fillId="0" borderId="4104" xfId="0" applyNumberFormat="1" applyFont="1" applyBorder="1" applyAlignment="1">
      <alignment horizontal="right"/>
    </xf>
    <xf numFmtId="2" fontId="4535" fillId="0" borderId="4105" xfId="0" applyNumberFormat="1" applyFont="1" applyBorder="1" applyAlignment="1">
      <alignment horizontal="right"/>
    </xf>
    <xf numFmtId="2" fontId="4536" fillId="0" borderId="4106" xfId="0" applyNumberFormat="1" applyFont="1" applyBorder="1" applyAlignment="1">
      <alignment horizontal="right"/>
    </xf>
    <xf numFmtId="2" fontId="4537" fillId="0" borderId="4107" xfId="0" applyNumberFormat="1" applyFont="1" applyBorder="1" applyAlignment="1">
      <alignment horizontal="right"/>
    </xf>
    <xf numFmtId="2" fontId="4538" fillId="0" borderId="4108" xfId="0" applyNumberFormat="1" applyFont="1" applyBorder="1" applyAlignment="1">
      <alignment horizontal="right"/>
    </xf>
    <xf numFmtId="2" fontId="4539" fillId="0" borderId="4109" xfId="0" applyNumberFormat="1" applyFont="1" applyBorder="1" applyAlignment="1">
      <alignment horizontal="right"/>
    </xf>
    <xf numFmtId="0" fontId="4540" fillId="0" borderId="4110" xfId="0" applyFont="1" applyBorder="1" applyAlignment="1">
      <alignment horizontal="left"/>
    </xf>
    <xf numFmtId="2" fontId="4541" fillId="0" borderId="4111" xfId="0" applyNumberFormat="1" applyFont="1" applyBorder="1"/>
    <xf numFmtId="2" fontId="4542" fillId="0" borderId="4112" xfId="0" applyNumberFormat="1" applyFont="1" applyBorder="1"/>
    <xf numFmtId="2" fontId="4543" fillId="0" borderId="4113" xfId="0" applyNumberFormat="1" applyFont="1" applyBorder="1"/>
    <xf numFmtId="2" fontId="4544" fillId="0" borderId="4114" xfId="0" applyNumberFormat="1" applyFont="1" applyBorder="1"/>
    <xf numFmtId="2" fontId="4545" fillId="0" borderId="4115" xfId="0" applyNumberFormat="1" applyFont="1" applyBorder="1"/>
    <xf numFmtId="2" fontId="4546" fillId="0" borderId="4116" xfId="0" applyNumberFormat="1" applyFont="1" applyBorder="1"/>
    <xf numFmtId="0" fontId="4547" fillId="0" borderId="4117" xfId="0" applyFont="1" applyBorder="1"/>
    <xf numFmtId="0" fontId="4548" fillId="0" borderId="4118" xfId="0" applyFont="1" applyBorder="1"/>
    <xf numFmtId="0" fontId="4549" fillId="0" borderId="4119" xfId="0" applyFont="1" applyBorder="1" applyAlignment="1">
      <alignment horizontal="left"/>
    </xf>
    <xf numFmtId="169" fontId="4550" fillId="0" borderId="4120" xfId="0" applyNumberFormat="1" applyFont="1" applyBorder="1" applyAlignment="1">
      <alignment horizontal="right"/>
    </xf>
    <xf numFmtId="169" fontId="4551" fillId="0" borderId="4121" xfId="0" applyNumberFormat="1" applyFont="1" applyBorder="1" applyAlignment="1">
      <alignment horizontal="right"/>
    </xf>
    <xf numFmtId="169" fontId="4552" fillId="0" borderId="4122" xfId="0" applyNumberFormat="1" applyFont="1" applyBorder="1" applyAlignment="1">
      <alignment horizontal="right"/>
    </xf>
    <xf numFmtId="169" fontId="4553" fillId="0" borderId="4123" xfId="0" applyNumberFormat="1" applyFont="1" applyBorder="1" applyAlignment="1">
      <alignment horizontal="right"/>
    </xf>
    <xf numFmtId="169" fontId="4554" fillId="0" borderId="4124" xfId="0" applyNumberFormat="1" applyFont="1" applyBorder="1" applyAlignment="1">
      <alignment horizontal="right"/>
    </xf>
    <xf numFmtId="0" fontId="4555" fillId="0" borderId="4125" xfId="0" applyFont="1" applyBorder="1" applyAlignment="1">
      <alignment horizontal="left"/>
    </xf>
    <xf numFmtId="169" fontId="4556" fillId="0" borderId="4126" xfId="0" applyNumberFormat="1" applyFont="1" applyBorder="1" applyAlignment="1">
      <alignment horizontal="right"/>
    </xf>
    <xf numFmtId="169" fontId="4557" fillId="0" borderId="4127" xfId="0" applyNumberFormat="1" applyFont="1" applyBorder="1" applyAlignment="1">
      <alignment horizontal="right"/>
    </xf>
    <xf numFmtId="169" fontId="4558" fillId="0" borderId="4128" xfId="0" applyNumberFormat="1" applyFont="1" applyBorder="1" applyAlignment="1">
      <alignment horizontal="right"/>
    </xf>
    <xf numFmtId="169" fontId="4559" fillId="0" borderId="4129" xfId="0" applyNumberFormat="1" applyFont="1" applyBorder="1" applyAlignment="1">
      <alignment horizontal="right"/>
    </xf>
    <xf numFmtId="169" fontId="4560" fillId="0" borderId="4130" xfId="0" applyNumberFormat="1" applyFont="1" applyBorder="1" applyAlignment="1">
      <alignment horizontal="right"/>
    </xf>
    <xf numFmtId="169" fontId="4561" fillId="0" borderId="4131" xfId="0" applyNumberFormat="1" applyFont="1" applyBorder="1" applyAlignment="1">
      <alignment horizontal="right"/>
    </xf>
    <xf numFmtId="169" fontId="4562" fillId="0" borderId="4132" xfId="0" applyNumberFormat="1" applyFont="1" applyBorder="1" applyAlignment="1">
      <alignment horizontal="right"/>
    </xf>
    <xf numFmtId="169" fontId="4563" fillId="0" borderId="4133" xfId="0" applyNumberFormat="1" applyFont="1" applyBorder="1" applyAlignment="1">
      <alignment horizontal="right"/>
    </xf>
    <xf numFmtId="0" fontId="4564" fillId="0" borderId="4134" xfId="0" applyFont="1" applyBorder="1" applyAlignment="1">
      <alignment horizontal="left"/>
    </xf>
    <xf numFmtId="169" fontId="4565" fillId="0" borderId="4135" xfId="0" applyNumberFormat="1" applyFont="1" applyBorder="1" applyAlignment="1">
      <alignment horizontal="right"/>
    </xf>
    <xf numFmtId="169" fontId="4566" fillId="0" borderId="4136" xfId="0" applyNumberFormat="1" applyFont="1" applyBorder="1" applyAlignment="1">
      <alignment horizontal="right"/>
    </xf>
    <xf numFmtId="169" fontId="4567" fillId="0" borderId="4137" xfId="0" applyNumberFormat="1" applyFont="1" applyBorder="1" applyAlignment="1">
      <alignment horizontal="right"/>
    </xf>
    <xf numFmtId="169" fontId="4568" fillId="0" borderId="4138" xfId="0" applyNumberFormat="1" applyFont="1" applyBorder="1" applyAlignment="1">
      <alignment horizontal="right"/>
    </xf>
    <xf numFmtId="169" fontId="4569" fillId="0" borderId="4139" xfId="0" applyNumberFormat="1" applyFont="1" applyBorder="1" applyAlignment="1">
      <alignment horizontal="right"/>
    </xf>
    <xf numFmtId="169" fontId="4570" fillId="0" borderId="4140" xfId="0" applyNumberFormat="1" applyFont="1" applyBorder="1" applyAlignment="1">
      <alignment horizontal="right"/>
    </xf>
    <xf numFmtId="169" fontId="4571" fillId="0" borderId="4141" xfId="0" applyNumberFormat="1" applyFont="1" applyBorder="1" applyAlignment="1">
      <alignment horizontal="right"/>
    </xf>
    <xf numFmtId="169" fontId="4572" fillId="0" borderId="4142" xfId="0" applyNumberFormat="1" applyFont="1" applyBorder="1" applyAlignment="1">
      <alignment horizontal="right"/>
    </xf>
    <xf numFmtId="0" fontId="4573" fillId="0" borderId="4143" xfId="0" applyFont="1" applyBorder="1" applyAlignment="1">
      <alignment horizontal="left"/>
    </xf>
    <xf numFmtId="169" fontId="4574" fillId="0" borderId="4144" xfId="0" applyNumberFormat="1" applyFont="1" applyBorder="1" applyAlignment="1">
      <alignment horizontal="right"/>
    </xf>
    <xf numFmtId="169" fontId="4575" fillId="0" borderId="4145" xfId="0" applyNumberFormat="1" applyFont="1" applyBorder="1" applyAlignment="1">
      <alignment horizontal="right"/>
    </xf>
    <xf numFmtId="169" fontId="4576" fillId="0" borderId="4146" xfId="0" applyNumberFormat="1" applyFont="1" applyBorder="1" applyAlignment="1">
      <alignment horizontal="right"/>
    </xf>
    <xf numFmtId="169" fontId="4577" fillId="0" borderId="4147" xfId="0" applyNumberFormat="1" applyFont="1" applyBorder="1" applyAlignment="1">
      <alignment horizontal="right"/>
    </xf>
    <xf numFmtId="169" fontId="4578" fillId="0" borderId="4148" xfId="0" applyNumberFormat="1" applyFont="1" applyBorder="1" applyAlignment="1">
      <alignment horizontal="right"/>
    </xf>
    <xf numFmtId="169" fontId="4579" fillId="0" borderId="4149" xfId="0" applyNumberFormat="1" applyFont="1" applyBorder="1" applyAlignment="1">
      <alignment horizontal="right"/>
    </xf>
    <xf numFmtId="169" fontId="4580" fillId="0" borderId="4150" xfId="0" applyNumberFormat="1" applyFont="1" applyBorder="1" applyAlignment="1">
      <alignment horizontal="right"/>
    </xf>
    <xf numFmtId="169" fontId="4581" fillId="0" borderId="4151" xfId="0" applyNumberFormat="1" applyFont="1" applyBorder="1" applyAlignment="1">
      <alignment horizontal="right"/>
    </xf>
    <xf numFmtId="0" fontId="4582" fillId="0" borderId="4152" xfId="0" applyFont="1" applyBorder="1" applyAlignment="1">
      <alignment horizontal="left"/>
    </xf>
    <xf numFmtId="169" fontId="4583" fillId="0" borderId="4153" xfId="0" applyNumberFormat="1" applyFont="1" applyBorder="1" applyAlignment="1">
      <alignment horizontal="right"/>
    </xf>
    <xf numFmtId="169" fontId="4584" fillId="0" borderId="4154" xfId="0" applyNumberFormat="1" applyFont="1" applyBorder="1" applyAlignment="1">
      <alignment horizontal="right"/>
    </xf>
    <xf numFmtId="169" fontId="4585" fillId="0" borderId="4155" xfId="0" applyNumberFormat="1" applyFont="1" applyBorder="1" applyAlignment="1">
      <alignment horizontal="right"/>
    </xf>
    <xf numFmtId="169" fontId="4586" fillId="0" borderId="4156" xfId="0" applyNumberFormat="1" applyFont="1" applyBorder="1" applyAlignment="1">
      <alignment horizontal="right"/>
    </xf>
    <xf numFmtId="169" fontId="4587" fillId="0" borderId="4157" xfId="0" applyNumberFormat="1" applyFont="1" applyBorder="1" applyAlignment="1">
      <alignment horizontal="right"/>
    </xf>
    <xf numFmtId="169" fontId="4588" fillId="0" borderId="4158" xfId="0" applyNumberFormat="1" applyFont="1" applyBorder="1" applyAlignment="1">
      <alignment horizontal="right"/>
    </xf>
    <xf numFmtId="169" fontId="4589" fillId="0" borderId="4159" xfId="0" applyNumberFormat="1" applyFont="1" applyBorder="1" applyAlignment="1">
      <alignment horizontal="right"/>
    </xf>
    <xf numFmtId="169" fontId="4590" fillId="0" borderId="4160" xfId="0" applyNumberFormat="1" applyFont="1" applyBorder="1" applyAlignment="1">
      <alignment horizontal="right"/>
    </xf>
    <xf numFmtId="0" fontId="4591" fillId="0" borderId="4161" xfId="0" applyFont="1" applyBorder="1" applyAlignment="1">
      <alignment horizontal="left"/>
    </xf>
    <xf numFmtId="169" fontId="4592" fillId="0" borderId="4162" xfId="0" applyNumberFormat="1" applyFont="1" applyBorder="1" applyAlignment="1">
      <alignment horizontal="right"/>
    </xf>
    <xf numFmtId="169" fontId="4593" fillId="0" borderId="4163" xfId="0" applyNumberFormat="1" applyFont="1" applyBorder="1" applyAlignment="1">
      <alignment horizontal="right"/>
    </xf>
    <xf numFmtId="169" fontId="4594" fillId="0" borderId="4164" xfId="0" applyNumberFormat="1" applyFont="1" applyBorder="1" applyAlignment="1">
      <alignment horizontal="right"/>
    </xf>
    <xf numFmtId="169" fontId="4595" fillId="0" borderId="4165" xfId="0" applyNumberFormat="1" applyFont="1" applyBorder="1" applyAlignment="1">
      <alignment horizontal="right"/>
    </xf>
    <xf numFmtId="169" fontId="4596" fillId="0" borderId="4166" xfId="0" applyNumberFormat="1" applyFont="1" applyBorder="1" applyAlignment="1">
      <alignment horizontal="right"/>
    </xf>
    <xf numFmtId="169" fontId="4597" fillId="0" borderId="4167" xfId="0" applyNumberFormat="1" applyFont="1" applyBorder="1" applyAlignment="1">
      <alignment horizontal="right"/>
    </xf>
    <xf numFmtId="169" fontId="4598" fillId="0" borderId="4168" xfId="0" applyNumberFormat="1" applyFont="1" applyBorder="1" applyAlignment="1">
      <alignment horizontal="right"/>
    </xf>
    <xf numFmtId="169" fontId="4599" fillId="0" borderId="4169" xfId="0" applyNumberFormat="1" applyFont="1" applyBorder="1" applyAlignment="1">
      <alignment horizontal="right"/>
    </xf>
    <xf numFmtId="0" fontId="4600" fillId="0" borderId="4170" xfId="0" applyFont="1" applyBorder="1" applyAlignment="1">
      <alignment horizontal="left"/>
    </xf>
    <xf numFmtId="169" fontId="4601" fillId="0" borderId="4171" xfId="0" applyNumberFormat="1" applyFont="1" applyBorder="1" applyAlignment="1">
      <alignment horizontal="right"/>
    </xf>
    <xf numFmtId="169" fontId="4602" fillId="0" borderId="4172" xfId="0" applyNumberFormat="1" applyFont="1" applyBorder="1" applyAlignment="1">
      <alignment horizontal="right"/>
    </xf>
    <xf numFmtId="169" fontId="4603" fillId="0" borderId="4173" xfId="0" applyNumberFormat="1" applyFont="1" applyBorder="1" applyAlignment="1">
      <alignment horizontal="right"/>
    </xf>
    <xf numFmtId="169" fontId="4604" fillId="0" borderId="4174" xfId="0" applyNumberFormat="1" applyFont="1" applyBorder="1" applyAlignment="1">
      <alignment horizontal="right"/>
    </xf>
    <xf numFmtId="169" fontId="4605" fillId="0" borderId="4175" xfId="0" applyNumberFormat="1" applyFont="1" applyBorder="1" applyAlignment="1">
      <alignment horizontal="right"/>
    </xf>
    <xf numFmtId="169" fontId="4606" fillId="0" borderId="4176" xfId="0" applyNumberFormat="1" applyFont="1" applyBorder="1" applyAlignment="1">
      <alignment horizontal="right"/>
    </xf>
    <xf numFmtId="169" fontId="4607" fillId="0" borderId="4177" xfId="0" applyNumberFormat="1" applyFont="1" applyBorder="1" applyAlignment="1">
      <alignment horizontal="right"/>
    </xf>
    <xf numFmtId="169" fontId="4608" fillId="0" borderId="4178" xfId="0" applyNumberFormat="1" applyFont="1" applyBorder="1" applyAlignment="1">
      <alignment horizontal="right"/>
    </xf>
    <xf numFmtId="0" fontId="4609" fillId="0" borderId="4179" xfId="0" applyFont="1" applyBorder="1" applyAlignment="1">
      <alignment horizontal="left"/>
    </xf>
    <xf numFmtId="169" fontId="4610" fillId="0" borderId="4180" xfId="0" applyNumberFormat="1" applyFont="1" applyBorder="1" applyAlignment="1">
      <alignment horizontal="right"/>
    </xf>
    <xf numFmtId="169" fontId="4611" fillId="0" borderId="4181" xfId="0" applyNumberFormat="1" applyFont="1" applyBorder="1" applyAlignment="1">
      <alignment horizontal="right"/>
    </xf>
    <xf numFmtId="169" fontId="4612" fillId="0" borderId="4182" xfId="0" applyNumberFormat="1" applyFont="1" applyBorder="1" applyAlignment="1">
      <alignment horizontal="right"/>
    </xf>
    <xf numFmtId="169" fontId="4613" fillId="0" borderId="4183" xfId="0" applyNumberFormat="1" applyFont="1" applyBorder="1" applyAlignment="1">
      <alignment horizontal="right"/>
    </xf>
    <xf numFmtId="169" fontId="4614" fillId="0" borderId="4184" xfId="0" applyNumberFormat="1" applyFont="1" applyBorder="1" applyAlignment="1">
      <alignment horizontal="right"/>
    </xf>
    <xf numFmtId="169" fontId="4615" fillId="0" borderId="4185" xfId="0" applyNumberFormat="1" applyFont="1" applyBorder="1" applyAlignment="1">
      <alignment horizontal="right"/>
    </xf>
    <xf numFmtId="169" fontId="4616" fillId="0" borderId="4186" xfId="0" applyNumberFormat="1" applyFont="1" applyBorder="1" applyAlignment="1">
      <alignment horizontal="right"/>
    </xf>
    <xf numFmtId="169" fontId="4617" fillId="0" borderId="4187" xfId="0" applyNumberFormat="1" applyFont="1" applyBorder="1" applyAlignment="1">
      <alignment horizontal="right"/>
    </xf>
    <xf numFmtId="0" fontId="4618" fillId="0" borderId="4188" xfId="0" applyFont="1" applyBorder="1" applyAlignment="1">
      <alignment horizontal="left"/>
    </xf>
    <xf numFmtId="169" fontId="4619" fillId="0" borderId="4189" xfId="0" applyNumberFormat="1" applyFont="1" applyBorder="1" applyAlignment="1">
      <alignment horizontal="right"/>
    </xf>
    <xf numFmtId="169" fontId="4620" fillId="0" borderId="4190" xfId="0" applyNumberFormat="1" applyFont="1" applyBorder="1" applyAlignment="1">
      <alignment horizontal="right"/>
    </xf>
    <xf numFmtId="169" fontId="4621" fillId="0" borderId="4191" xfId="0" applyNumberFormat="1" applyFont="1" applyBorder="1" applyAlignment="1">
      <alignment horizontal="right"/>
    </xf>
    <xf numFmtId="169" fontId="4622" fillId="0" borderId="4192" xfId="0" applyNumberFormat="1" applyFont="1" applyBorder="1" applyAlignment="1">
      <alignment horizontal="right"/>
    </xf>
    <xf numFmtId="169" fontId="4623" fillId="0" borderId="4193" xfId="0" applyNumberFormat="1" applyFont="1" applyBorder="1" applyAlignment="1">
      <alignment horizontal="right"/>
    </xf>
    <xf numFmtId="169" fontId="4624" fillId="0" borderId="4194" xfId="0" applyNumberFormat="1" applyFont="1" applyBorder="1" applyAlignment="1">
      <alignment horizontal="right"/>
    </xf>
    <xf numFmtId="169" fontId="4625" fillId="0" borderId="4195" xfId="0" applyNumberFormat="1" applyFont="1" applyBorder="1" applyAlignment="1">
      <alignment horizontal="right"/>
    </xf>
    <xf numFmtId="169" fontId="4626" fillId="0" borderId="4196" xfId="0" applyNumberFormat="1" applyFont="1" applyBorder="1" applyAlignment="1">
      <alignment horizontal="right"/>
    </xf>
    <xf numFmtId="0" fontId="4627" fillId="0" borderId="4197" xfId="0" applyFont="1" applyBorder="1" applyAlignment="1">
      <alignment horizontal="left"/>
    </xf>
    <xf numFmtId="169" fontId="4628" fillId="0" borderId="4198" xfId="0" applyNumberFormat="1" applyFont="1" applyBorder="1" applyAlignment="1">
      <alignment horizontal="right"/>
    </xf>
    <xf numFmtId="169" fontId="4629" fillId="0" borderId="4199" xfId="0" applyNumberFormat="1" applyFont="1" applyBorder="1" applyAlignment="1">
      <alignment horizontal="right"/>
    </xf>
    <xf numFmtId="169" fontId="4630" fillId="0" borderId="4200" xfId="0" applyNumberFormat="1" applyFont="1" applyBorder="1" applyAlignment="1">
      <alignment horizontal="right"/>
    </xf>
    <xf numFmtId="169" fontId="4631" fillId="0" borderId="4201" xfId="0" applyNumberFormat="1" applyFont="1" applyBorder="1" applyAlignment="1">
      <alignment horizontal="right"/>
    </xf>
    <xf numFmtId="169" fontId="4632" fillId="0" borderId="4202" xfId="0" applyNumberFormat="1" applyFont="1" applyBorder="1" applyAlignment="1">
      <alignment horizontal="right"/>
    </xf>
    <xf numFmtId="169" fontId="4633" fillId="0" borderId="4203" xfId="0" applyNumberFormat="1" applyFont="1" applyBorder="1" applyAlignment="1">
      <alignment horizontal="right"/>
    </xf>
    <xf numFmtId="169" fontId="4634" fillId="0" borderId="4204" xfId="0" applyNumberFormat="1" applyFont="1" applyBorder="1" applyAlignment="1">
      <alignment horizontal="right"/>
    </xf>
    <xf numFmtId="169" fontId="4635" fillId="0" borderId="4205" xfId="0" applyNumberFormat="1" applyFont="1" applyBorder="1" applyAlignment="1">
      <alignment horizontal="right"/>
    </xf>
    <xf numFmtId="0" fontId="4636" fillId="0" borderId="4206" xfId="0" applyFont="1" applyBorder="1" applyAlignment="1">
      <alignment horizontal="left"/>
    </xf>
    <xf numFmtId="169" fontId="4637" fillId="0" borderId="4207" xfId="0" applyNumberFormat="1" applyFont="1" applyBorder="1" applyAlignment="1">
      <alignment horizontal="right"/>
    </xf>
    <xf numFmtId="169" fontId="4638" fillId="0" borderId="4208" xfId="0" applyNumberFormat="1" applyFont="1" applyBorder="1" applyAlignment="1">
      <alignment horizontal="right"/>
    </xf>
    <xf numFmtId="169" fontId="4639" fillId="0" borderId="4209" xfId="0" applyNumberFormat="1" applyFont="1" applyBorder="1" applyAlignment="1">
      <alignment horizontal="right"/>
    </xf>
    <xf numFmtId="169" fontId="4640" fillId="0" borderId="4210" xfId="0" applyNumberFormat="1" applyFont="1" applyBorder="1" applyAlignment="1">
      <alignment horizontal="right"/>
    </xf>
    <xf numFmtId="169" fontId="4641" fillId="0" borderId="4211" xfId="0" applyNumberFormat="1" applyFont="1" applyBorder="1" applyAlignment="1">
      <alignment horizontal="right"/>
    </xf>
    <xf numFmtId="169" fontId="4642" fillId="0" borderId="4212" xfId="0" applyNumberFormat="1" applyFont="1" applyBorder="1" applyAlignment="1">
      <alignment horizontal="right"/>
    </xf>
    <xf numFmtId="169" fontId="4643" fillId="0" borderId="4213" xfId="0" applyNumberFormat="1" applyFont="1" applyBorder="1" applyAlignment="1">
      <alignment horizontal="right"/>
    </xf>
    <xf numFmtId="169" fontId="4644" fillId="0" borderId="4214" xfId="0" applyNumberFormat="1" applyFont="1" applyBorder="1" applyAlignment="1">
      <alignment horizontal="right"/>
    </xf>
    <xf numFmtId="0" fontId="4645" fillId="0" borderId="4215" xfId="0" applyFont="1" applyBorder="1" applyAlignment="1">
      <alignment horizontal="left"/>
    </xf>
    <xf numFmtId="169" fontId="4646" fillId="0" borderId="4216" xfId="0" applyNumberFormat="1" applyFont="1" applyBorder="1" applyAlignment="1">
      <alignment horizontal="right"/>
    </xf>
    <xf numFmtId="169" fontId="4647" fillId="0" borderId="4217" xfId="0" applyNumberFormat="1" applyFont="1" applyBorder="1" applyAlignment="1">
      <alignment horizontal="right"/>
    </xf>
    <xf numFmtId="169" fontId="4648" fillId="0" borderId="4218" xfId="0" applyNumberFormat="1" applyFont="1" applyBorder="1" applyAlignment="1">
      <alignment horizontal="right"/>
    </xf>
    <xf numFmtId="169" fontId="4649" fillId="0" borderId="4219" xfId="0" applyNumberFormat="1" applyFont="1" applyBorder="1" applyAlignment="1">
      <alignment horizontal="right"/>
    </xf>
    <xf numFmtId="169" fontId="4650" fillId="0" borderId="4220" xfId="0" applyNumberFormat="1" applyFont="1" applyBorder="1" applyAlignment="1">
      <alignment horizontal="right"/>
    </xf>
    <xf numFmtId="169" fontId="4651" fillId="0" borderId="4221" xfId="0" applyNumberFormat="1" applyFont="1" applyBorder="1" applyAlignment="1">
      <alignment horizontal="right"/>
    </xf>
    <xf numFmtId="169" fontId="4652" fillId="0" borderId="4222" xfId="0" applyNumberFormat="1" applyFont="1" applyBorder="1" applyAlignment="1">
      <alignment horizontal="right"/>
    </xf>
    <xf numFmtId="169" fontId="4653" fillId="0" borderId="4223" xfId="0" applyNumberFormat="1" applyFont="1" applyBorder="1" applyAlignment="1">
      <alignment horizontal="right"/>
    </xf>
    <xf numFmtId="0" fontId="4654" fillId="0" borderId="4224" xfId="0" applyFont="1" applyBorder="1" applyAlignment="1">
      <alignment horizontal="left"/>
    </xf>
    <xf numFmtId="169" fontId="4655" fillId="0" borderId="4225" xfId="0" applyNumberFormat="1" applyFont="1" applyBorder="1" applyAlignment="1">
      <alignment horizontal="right"/>
    </xf>
    <xf numFmtId="169" fontId="4656" fillId="0" borderId="4226" xfId="0" applyNumberFormat="1" applyFont="1" applyBorder="1" applyAlignment="1">
      <alignment horizontal="right"/>
    </xf>
    <xf numFmtId="169" fontId="4657" fillId="0" borderId="4227" xfId="0" applyNumberFormat="1" applyFont="1" applyBorder="1" applyAlignment="1">
      <alignment horizontal="right"/>
    </xf>
    <xf numFmtId="169" fontId="4658" fillId="0" borderId="4228" xfId="0" applyNumberFormat="1" applyFont="1" applyBorder="1" applyAlignment="1">
      <alignment horizontal="right"/>
    </xf>
    <xf numFmtId="169" fontId="4659" fillId="0" borderId="4229" xfId="0" applyNumberFormat="1" applyFont="1" applyBorder="1" applyAlignment="1">
      <alignment horizontal="right"/>
    </xf>
    <xf numFmtId="169" fontId="4660" fillId="0" borderId="4230" xfId="0" applyNumberFormat="1" applyFont="1" applyBorder="1" applyAlignment="1">
      <alignment horizontal="right"/>
    </xf>
    <xf numFmtId="169" fontId="4661" fillId="0" borderId="4231" xfId="0" applyNumberFormat="1" applyFont="1" applyBorder="1" applyAlignment="1">
      <alignment horizontal="right"/>
    </xf>
    <xf numFmtId="169" fontId="4662" fillId="0" borderId="4232" xfId="0" applyNumberFormat="1" applyFont="1" applyBorder="1" applyAlignment="1">
      <alignment horizontal="right"/>
    </xf>
    <xf numFmtId="0" fontId="4663" fillId="0" borderId="4233" xfId="0" applyFont="1" applyBorder="1" applyAlignment="1">
      <alignment horizontal="left"/>
    </xf>
    <xf numFmtId="169" fontId="4664" fillId="0" borderId="4234" xfId="0" applyNumberFormat="1" applyFont="1" applyBorder="1" applyAlignment="1">
      <alignment horizontal="right"/>
    </xf>
    <xf numFmtId="169" fontId="4665" fillId="0" borderId="4235" xfId="0" applyNumberFormat="1" applyFont="1" applyBorder="1" applyAlignment="1">
      <alignment horizontal="right"/>
    </xf>
    <xf numFmtId="169" fontId="4666" fillId="0" borderId="4236" xfId="0" applyNumberFormat="1" applyFont="1" applyBorder="1" applyAlignment="1">
      <alignment horizontal="right"/>
    </xf>
    <xf numFmtId="169" fontId="4667" fillId="0" borderId="4237" xfId="0" applyNumberFormat="1" applyFont="1" applyBorder="1" applyAlignment="1">
      <alignment horizontal="right"/>
    </xf>
    <xf numFmtId="169" fontId="4668" fillId="0" borderId="4238" xfId="0" applyNumberFormat="1" applyFont="1" applyBorder="1" applyAlignment="1">
      <alignment horizontal="right"/>
    </xf>
    <xf numFmtId="0" fontId="4669" fillId="0" borderId="4239" xfId="0" applyFont="1" applyBorder="1" applyAlignment="1">
      <alignment horizontal="left"/>
    </xf>
    <xf numFmtId="169" fontId="4670" fillId="0" borderId="4240" xfId="0" applyNumberFormat="1" applyFont="1" applyBorder="1" applyAlignment="1">
      <alignment horizontal="right"/>
    </xf>
    <xf numFmtId="169" fontId="4671" fillId="0" borderId="4241" xfId="0" applyNumberFormat="1" applyFont="1" applyBorder="1" applyAlignment="1">
      <alignment horizontal="right"/>
    </xf>
    <xf numFmtId="169" fontId="4672" fillId="0" borderId="4242" xfId="0" applyNumberFormat="1" applyFont="1" applyBorder="1" applyAlignment="1">
      <alignment horizontal="right"/>
    </xf>
    <xf numFmtId="169" fontId="4673" fillId="0" borderId="4243" xfId="0" applyNumberFormat="1" applyFont="1" applyBorder="1" applyAlignment="1">
      <alignment horizontal="right"/>
    </xf>
    <xf numFmtId="169" fontId="4674" fillId="0" borderId="4244" xfId="0" applyNumberFormat="1" applyFont="1" applyBorder="1" applyAlignment="1">
      <alignment horizontal="right"/>
    </xf>
    <xf numFmtId="169" fontId="4675" fillId="0" borderId="4245" xfId="0" applyNumberFormat="1" applyFont="1" applyBorder="1" applyAlignment="1">
      <alignment horizontal="right"/>
    </xf>
    <xf numFmtId="169" fontId="4676" fillId="0" borderId="4246" xfId="0" applyNumberFormat="1" applyFont="1" applyBorder="1" applyAlignment="1">
      <alignment horizontal="right"/>
    </xf>
    <xf numFmtId="169" fontId="4677" fillId="0" borderId="4247" xfId="0" applyNumberFormat="1" applyFont="1" applyBorder="1" applyAlignment="1">
      <alignment horizontal="right"/>
    </xf>
    <xf numFmtId="0" fontId="4678" fillId="0" borderId="4248" xfId="0" applyFont="1" applyBorder="1" applyAlignment="1">
      <alignment horizontal="left"/>
    </xf>
    <xf numFmtId="169" fontId="4679" fillId="0" borderId="4249" xfId="0" applyNumberFormat="1" applyFont="1" applyBorder="1" applyAlignment="1">
      <alignment horizontal="right"/>
    </xf>
    <xf numFmtId="169" fontId="4680" fillId="0" borderId="4250" xfId="0" applyNumberFormat="1" applyFont="1" applyBorder="1" applyAlignment="1">
      <alignment horizontal="right"/>
    </xf>
    <xf numFmtId="169" fontId="4681" fillId="0" borderId="4251" xfId="0" applyNumberFormat="1" applyFont="1" applyBorder="1" applyAlignment="1">
      <alignment horizontal="right"/>
    </xf>
    <xf numFmtId="169" fontId="4682" fillId="0" borderId="4252" xfId="0" applyNumberFormat="1" applyFont="1" applyBorder="1" applyAlignment="1">
      <alignment horizontal="right"/>
    </xf>
    <xf numFmtId="169" fontId="4683" fillId="0" borderId="4253" xfId="0" applyNumberFormat="1" applyFont="1" applyBorder="1" applyAlignment="1">
      <alignment horizontal="right"/>
    </xf>
    <xf numFmtId="169" fontId="4684" fillId="0" borderId="4254" xfId="0" applyNumberFormat="1" applyFont="1" applyBorder="1" applyAlignment="1">
      <alignment horizontal="right"/>
    </xf>
    <xf numFmtId="169" fontId="4685" fillId="0" borderId="4255" xfId="0" applyNumberFormat="1" applyFont="1" applyBorder="1" applyAlignment="1">
      <alignment horizontal="right"/>
    </xf>
    <xf numFmtId="169" fontId="4686" fillId="0" borderId="4256" xfId="0" applyNumberFormat="1" applyFont="1" applyBorder="1" applyAlignment="1">
      <alignment horizontal="right"/>
    </xf>
    <xf numFmtId="0" fontId="4687" fillId="0" borderId="4257" xfId="0" applyFont="1" applyBorder="1" applyAlignment="1">
      <alignment horizontal="left"/>
    </xf>
    <xf numFmtId="169" fontId="4694" fillId="0" borderId="4264" xfId="0" applyNumberFormat="1" applyFont="1" applyBorder="1" applyAlignment="1">
      <alignment horizontal="right"/>
    </xf>
    <xf numFmtId="169" fontId="4695" fillId="0" borderId="4265" xfId="0" applyNumberFormat="1" applyFont="1" applyBorder="1" applyAlignment="1">
      <alignment horizontal="center"/>
    </xf>
    <xf numFmtId="0" fontId="4696" fillId="0" borderId="4266" xfId="0" applyFont="1" applyBorder="1"/>
    <xf numFmtId="0" fontId="4700" fillId="0" borderId="4270" xfId="0" applyFont="1" applyBorder="1" applyAlignment="1">
      <alignment horizontal="right"/>
    </xf>
    <xf numFmtId="0" fontId="4701" fillId="0" borderId="4271" xfId="0" applyFont="1" applyBorder="1"/>
    <xf numFmtId="0" fontId="4705" fillId="0" borderId="4275" xfId="0" applyFont="1" applyBorder="1"/>
    <xf numFmtId="2" fontId="4706" fillId="0" borderId="4276" xfId="0" applyNumberFormat="1" applyFont="1" applyBorder="1" applyAlignment="1">
      <alignment horizontal="right"/>
    </xf>
    <xf numFmtId="2" fontId="4707" fillId="0" borderId="4277" xfId="0" applyNumberFormat="1" applyFont="1" applyBorder="1" applyAlignment="1">
      <alignment horizontal="right"/>
    </xf>
    <xf numFmtId="2" fontId="4708" fillId="0" borderId="4278" xfId="0" applyNumberFormat="1" applyFont="1" applyBorder="1" applyAlignment="1">
      <alignment horizontal="right"/>
    </xf>
    <xf numFmtId="2" fontId="4709" fillId="0" borderId="4279" xfId="0" applyNumberFormat="1" applyFont="1" applyBorder="1" applyAlignment="1">
      <alignment horizontal="right"/>
    </xf>
    <xf numFmtId="2" fontId="4710" fillId="0" borderId="4280" xfId="0" applyNumberFormat="1" applyFont="1" applyBorder="1" applyAlignment="1">
      <alignment horizontal="right"/>
    </xf>
    <xf numFmtId="2" fontId="4711" fillId="0" borderId="4281" xfId="0" applyNumberFormat="1" applyFont="1" applyBorder="1" applyAlignment="1">
      <alignment horizontal="right"/>
    </xf>
    <xf numFmtId="0" fontId="4712" fillId="0" borderId="4282" xfId="0" applyFont="1" applyBorder="1"/>
    <xf numFmtId="2" fontId="4713" fillId="0" borderId="4283" xfId="0" applyNumberFormat="1" applyFont="1" applyBorder="1" applyAlignment="1">
      <alignment horizontal="center"/>
    </xf>
    <xf numFmtId="2" fontId="4714" fillId="0" borderId="4284" xfId="0" applyNumberFormat="1" applyFont="1" applyBorder="1" applyAlignment="1">
      <alignment horizontal="center"/>
    </xf>
    <xf numFmtId="2" fontId="4715" fillId="0" borderId="4285" xfId="0" applyNumberFormat="1" applyFont="1" applyBorder="1" applyAlignment="1">
      <alignment horizontal="center"/>
    </xf>
    <xf numFmtId="2" fontId="4716" fillId="0" borderId="4286" xfId="0" applyNumberFormat="1" applyFont="1" applyBorder="1" applyAlignment="1">
      <alignment horizontal="center"/>
    </xf>
    <xf numFmtId="2" fontId="4717" fillId="0" borderId="4287" xfId="0" applyNumberFormat="1" applyFont="1" applyBorder="1" applyAlignment="1">
      <alignment horizontal="center"/>
    </xf>
    <xf numFmtId="2" fontId="4718" fillId="0" borderId="4288" xfId="0" applyNumberFormat="1" applyFont="1" applyBorder="1" applyAlignment="1">
      <alignment horizontal="center"/>
    </xf>
    <xf numFmtId="0" fontId="4719" fillId="0" borderId="4289" xfId="0" applyFont="1" applyBorder="1"/>
    <xf numFmtId="2" fontId="4720" fillId="0" borderId="4290" xfId="0" applyNumberFormat="1" applyFont="1" applyBorder="1" applyAlignment="1">
      <alignment horizontal="right"/>
    </xf>
    <xf numFmtId="2" fontId="4721" fillId="0" borderId="4291" xfId="0" applyNumberFormat="1" applyFont="1" applyBorder="1" applyAlignment="1">
      <alignment horizontal="right"/>
    </xf>
    <xf numFmtId="2" fontId="4722" fillId="0" borderId="4292" xfId="0" applyNumberFormat="1" applyFont="1" applyBorder="1" applyAlignment="1">
      <alignment horizontal="right"/>
    </xf>
    <xf numFmtId="2" fontId="4723" fillId="0" borderId="4293" xfId="0" applyNumberFormat="1" applyFont="1" applyBorder="1" applyAlignment="1">
      <alignment horizontal="right"/>
    </xf>
    <xf numFmtId="2" fontId="4724" fillId="0" borderId="4294" xfId="0" applyNumberFormat="1" applyFont="1" applyBorder="1" applyAlignment="1">
      <alignment horizontal="right"/>
    </xf>
    <xf numFmtId="2" fontId="4725" fillId="0" borderId="4295" xfId="0" applyNumberFormat="1" applyFont="1" applyBorder="1" applyAlignment="1">
      <alignment horizontal="right"/>
    </xf>
    <xf numFmtId="0" fontId="4726" fillId="0" borderId="4296" xfId="0" applyFont="1" applyBorder="1" applyAlignment="1">
      <alignment horizontal="left"/>
    </xf>
    <xf numFmtId="2" fontId="4727" fillId="0" borderId="4297" xfId="0" applyNumberFormat="1" applyFont="1" applyBorder="1"/>
    <xf numFmtId="2" fontId="4728" fillId="0" borderId="4298" xfId="0" applyNumberFormat="1" applyFont="1" applyBorder="1"/>
    <xf numFmtId="2" fontId="4729" fillId="0" borderId="4299" xfId="0" applyNumberFormat="1" applyFont="1" applyBorder="1"/>
    <xf numFmtId="2" fontId="4730" fillId="0" borderId="4300" xfId="0" applyNumberFormat="1" applyFont="1" applyBorder="1"/>
    <xf numFmtId="2" fontId="4731" fillId="0" borderId="4301" xfId="0" applyNumberFormat="1" applyFont="1" applyBorder="1"/>
    <xf numFmtId="2" fontId="4732" fillId="0" borderId="4302" xfId="0" applyNumberFormat="1" applyFont="1" applyBorder="1"/>
    <xf numFmtId="0" fontId="4733" fillId="0" borderId="4303" xfId="0" applyFont="1" applyBorder="1"/>
    <xf numFmtId="0" fontId="4734" fillId="0" borderId="4304" xfId="0" applyFont="1" applyBorder="1"/>
    <xf numFmtId="0" fontId="4735" fillId="0" borderId="4305" xfId="0" applyFont="1" applyBorder="1" applyAlignment="1">
      <alignment horizontal="left"/>
    </xf>
    <xf numFmtId="169" fontId="4736" fillId="0" borderId="4306" xfId="0" applyNumberFormat="1" applyFont="1" applyBorder="1" applyAlignment="1">
      <alignment horizontal="right"/>
    </xf>
    <xf numFmtId="169" fontId="4737" fillId="0" borderId="4307" xfId="0" applyNumberFormat="1" applyFont="1" applyBorder="1" applyAlignment="1">
      <alignment horizontal="right"/>
    </xf>
    <xf numFmtId="169" fontId="4738" fillId="0" borderId="4308" xfId="0" applyNumberFormat="1" applyFont="1" applyBorder="1" applyAlignment="1">
      <alignment horizontal="right"/>
    </xf>
    <xf numFmtId="169" fontId="4739" fillId="0" borderId="4309" xfId="0" applyNumberFormat="1" applyFont="1" applyBorder="1" applyAlignment="1">
      <alignment horizontal="right"/>
    </xf>
    <xf numFmtId="169" fontId="4740" fillId="0" borderId="4310" xfId="0" applyNumberFormat="1" applyFont="1" applyBorder="1" applyAlignment="1">
      <alignment horizontal="right"/>
    </xf>
    <xf numFmtId="0" fontId="4741" fillId="0" borderId="4311" xfId="0" applyFont="1" applyBorder="1" applyAlignment="1">
      <alignment horizontal="left"/>
    </xf>
    <xf numFmtId="169" fontId="4742" fillId="0" borderId="4312" xfId="0" applyNumberFormat="1" applyFont="1" applyBorder="1" applyAlignment="1">
      <alignment horizontal="right"/>
    </xf>
    <xf numFmtId="169" fontId="4743" fillId="0" borderId="4313" xfId="0" applyNumberFormat="1" applyFont="1" applyBorder="1" applyAlignment="1">
      <alignment horizontal="right"/>
    </xf>
    <xf numFmtId="169" fontId="4744" fillId="0" borderId="4314" xfId="0" applyNumberFormat="1" applyFont="1" applyBorder="1" applyAlignment="1">
      <alignment horizontal="right"/>
    </xf>
    <xf numFmtId="169" fontId="4745" fillId="0" borderId="4315" xfId="0" applyNumberFormat="1" applyFont="1" applyBorder="1" applyAlignment="1">
      <alignment horizontal="right"/>
    </xf>
    <xf numFmtId="169" fontId="4746" fillId="0" borderId="4316" xfId="0" applyNumberFormat="1" applyFont="1" applyBorder="1" applyAlignment="1">
      <alignment horizontal="right"/>
    </xf>
    <xf numFmtId="169" fontId="4747" fillId="0" borderId="4317" xfId="0" applyNumberFormat="1" applyFont="1" applyBorder="1" applyAlignment="1">
      <alignment horizontal="right"/>
    </xf>
    <xf numFmtId="169" fontId="4748" fillId="0" borderId="4318" xfId="0" applyNumberFormat="1" applyFont="1" applyBorder="1" applyAlignment="1">
      <alignment horizontal="right"/>
    </xf>
    <xf numFmtId="169" fontId="4749" fillId="0" borderId="4319" xfId="0" applyNumberFormat="1" applyFont="1" applyBorder="1" applyAlignment="1">
      <alignment horizontal="right"/>
    </xf>
    <xf numFmtId="0" fontId="4750" fillId="0" borderId="4320" xfId="0" applyFont="1" applyBorder="1" applyAlignment="1">
      <alignment horizontal="left"/>
    </xf>
    <xf numFmtId="169" fontId="4751" fillId="0" borderId="4321" xfId="0" applyNumberFormat="1" applyFont="1" applyBorder="1" applyAlignment="1">
      <alignment horizontal="right"/>
    </xf>
    <xf numFmtId="169" fontId="4752" fillId="0" borderId="4322" xfId="0" applyNumberFormat="1" applyFont="1" applyBorder="1" applyAlignment="1">
      <alignment horizontal="right"/>
    </xf>
    <xf numFmtId="169" fontId="4753" fillId="0" borderId="4323" xfId="0" applyNumberFormat="1" applyFont="1" applyBorder="1" applyAlignment="1">
      <alignment horizontal="right"/>
    </xf>
    <xf numFmtId="169" fontId="4754" fillId="0" borderId="4324" xfId="0" applyNumberFormat="1" applyFont="1" applyBorder="1" applyAlignment="1">
      <alignment horizontal="right"/>
    </xf>
    <xf numFmtId="169" fontId="4755" fillId="0" borderId="4325" xfId="0" applyNumberFormat="1" applyFont="1" applyBorder="1" applyAlignment="1">
      <alignment horizontal="right"/>
    </xf>
    <xf numFmtId="169" fontId="4756" fillId="0" borderId="4326" xfId="0" applyNumberFormat="1" applyFont="1" applyBorder="1" applyAlignment="1">
      <alignment horizontal="right"/>
    </xf>
    <xf numFmtId="169" fontId="4757" fillId="0" borderId="4327" xfId="0" applyNumberFormat="1" applyFont="1" applyBorder="1" applyAlignment="1">
      <alignment horizontal="right"/>
    </xf>
    <xf numFmtId="169" fontId="4758" fillId="0" borderId="4328" xfId="0" applyNumberFormat="1" applyFont="1" applyBorder="1" applyAlignment="1">
      <alignment horizontal="right"/>
    </xf>
    <xf numFmtId="0" fontId="4759" fillId="0" borderId="4329" xfId="0" applyFont="1" applyBorder="1" applyAlignment="1">
      <alignment horizontal="left"/>
    </xf>
    <xf numFmtId="169" fontId="4760" fillId="0" borderId="4330" xfId="0" applyNumberFormat="1" applyFont="1" applyBorder="1" applyAlignment="1">
      <alignment horizontal="right"/>
    </xf>
    <xf numFmtId="169" fontId="4761" fillId="0" borderId="4331" xfId="0" applyNumberFormat="1" applyFont="1" applyBorder="1" applyAlignment="1">
      <alignment horizontal="right"/>
    </xf>
    <xf numFmtId="169" fontId="4762" fillId="0" borderId="4332" xfId="0" applyNumberFormat="1" applyFont="1" applyBorder="1" applyAlignment="1">
      <alignment horizontal="right"/>
    </xf>
    <xf numFmtId="169" fontId="4763" fillId="0" borderId="4333" xfId="0" applyNumberFormat="1" applyFont="1" applyBorder="1" applyAlignment="1">
      <alignment horizontal="right"/>
    </xf>
    <xf numFmtId="169" fontId="4764" fillId="0" borderId="4334" xfId="0" applyNumberFormat="1" applyFont="1" applyBorder="1" applyAlignment="1">
      <alignment horizontal="right"/>
    </xf>
    <xf numFmtId="169" fontId="4765" fillId="0" borderId="4335" xfId="0" applyNumberFormat="1" applyFont="1" applyBorder="1" applyAlignment="1">
      <alignment horizontal="right"/>
    </xf>
    <xf numFmtId="169" fontId="4766" fillId="0" borderId="4336" xfId="0" applyNumberFormat="1" applyFont="1" applyBorder="1" applyAlignment="1">
      <alignment horizontal="right"/>
    </xf>
    <xf numFmtId="169" fontId="4767" fillId="0" borderId="4337" xfId="0" applyNumberFormat="1" applyFont="1" applyBorder="1" applyAlignment="1">
      <alignment horizontal="right"/>
    </xf>
    <xf numFmtId="0" fontId="4768" fillId="0" borderId="4338" xfId="0" applyFont="1" applyBorder="1" applyAlignment="1">
      <alignment horizontal="left"/>
    </xf>
    <xf numFmtId="169" fontId="4769" fillId="0" borderId="4339" xfId="0" applyNumberFormat="1" applyFont="1" applyBorder="1" applyAlignment="1">
      <alignment horizontal="right"/>
    </xf>
    <xf numFmtId="169" fontId="4770" fillId="0" borderId="4340" xfId="0" applyNumberFormat="1" applyFont="1" applyBorder="1" applyAlignment="1">
      <alignment horizontal="right"/>
    </xf>
    <xf numFmtId="169" fontId="4771" fillId="0" borderId="4341" xfId="0" applyNumberFormat="1" applyFont="1" applyBorder="1" applyAlignment="1">
      <alignment horizontal="right"/>
    </xf>
    <xf numFmtId="169" fontId="4772" fillId="0" borderId="4342" xfId="0" applyNumberFormat="1" applyFont="1" applyBorder="1" applyAlignment="1">
      <alignment horizontal="right"/>
    </xf>
    <xf numFmtId="169" fontId="4773" fillId="0" borderId="4343" xfId="0" applyNumberFormat="1" applyFont="1" applyBorder="1" applyAlignment="1">
      <alignment horizontal="right"/>
    </xf>
    <xf numFmtId="169" fontId="4774" fillId="0" borderId="4344" xfId="0" applyNumberFormat="1" applyFont="1" applyBorder="1" applyAlignment="1">
      <alignment horizontal="right"/>
    </xf>
    <xf numFmtId="169" fontId="4775" fillId="0" borderId="4345" xfId="0" applyNumberFormat="1" applyFont="1" applyBorder="1" applyAlignment="1">
      <alignment horizontal="right"/>
    </xf>
    <xf numFmtId="169" fontId="4776" fillId="0" borderId="4346" xfId="0" applyNumberFormat="1" applyFont="1" applyBorder="1" applyAlignment="1">
      <alignment horizontal="right"/>
    </xf>
    <xf numFmtId="0" fontId="4777" fillId="0" borderId="4347" xfId="0" applyFont="1" applyBorder="1" applyAlignment="1">
      <alignment horizontal="left"/>
    </xf>
    <xf numFmtId="169" fontId="4778" fillId="0" borderId="4348" xfId="0" applyNumberFormat="1" applyFont="1" applyBorder="1" applyAlignment="1">
      <alignment horizontal="right"/>
    </xf>
    <xf numFmtId="169" fontId="4779" fillId="0" borderId="4349" xfId="0" applyNumberFormat="1" applyFont="1" applyBorder="1" applyAlignment="1">
      <alignment horizontal="right"/>
    </xf>
    <xf numFmtId="169" fontId="4780" fillId="0" borderId="4350" xfId="0" applyNumberFormat="1" applyFont="1" applyBorder="1" applyAlignment="1">
      <alignment horizontal="right"/>
    </xf>
    <xf numFmtId="169" fontId="4781" fillId="0" borderId="4351" xfId="0" applyNumberFormat="1" applyFont="1" applyBorder="1" applyAlignment="1">
      <alignment horizontal="right"/>
    </xf>
    <xf numFmtId="169" fontId="4782" fillId="0" borderId="4352" xfId="0" applyNumberFormat="1" applyFont="1" applyBorder="1" applyAlignment="1">
      <alignment horizontal="right"/>
    </xf>
    <xf numFmtId="169" fontId="4783" fillId="0" borderId="4353" xfId="0" applyNumberFormat="1" applyFont="1" applyBorder="1" applyAlignment="1">
      <alignment horizontal="right"/>
    </xf>
    <xf numFmtId="169" fontId="4784" fillId="0" borderId="4354" xfId="0" applyNumberFormat="1" applyFont="1" applyBorder="1" applyAlignment="1">
      <alignment horizontal="right"/>
    </xf>
    <xf numFmtId="169" fontId="4785" fillId="0" borderId="4355" xfId="0" applyNumberFormat="1" applyFont="1" applyBorder="1" applyAlignment="1">
      <alignment horizontal="right"/>
    </xf>
    <xf numFmtId="0" fontId="4786" fillId="0" borderId="4356" xfId="0" applyFont="1" applyBorder="1" applyAlignment="1">
      <alignment horizontal="left"/>
    </xf>
    <xf numFmtId="169" fontId="4787" fillId="0" borderId="4357" xfId="0" applyNumberFormat="1" applyFont="1" applyBorder="1" applyAlignment="1">
      <alignment horizontal="right"/>
    </xf>
    <xf numFmtId="169" fontId="4788" fillId="0" borderId="4358" xfId="0" applyNumberFormat="1" applyFont="1" applyBorder="1" applyAlignment="1">
      <alignment horizontal="right"/>
    </xf>
    <xf numFmtId="169" fontId="4789" fillId="0" borderId="4359" xfId="0" applyNumberFormat="1" applyFont="1" applyBorder="1" applyAlignment="1">
      <alignment horizontal="right"/>
    </xf>
    <xf numFmtId="169" fontId="4790" fillId="0" borderId="4360" xfId="0" applyNumberFormat="1" applyFont="1" applyBorder="1" applyAlignment="1">
      <alignment horizontal="right"/>
    </xf>
    <xf numFmtId="169" fontId="4791" fillId="0" borderId="4361" xfId="0" applyNumberFormat="1" applyFont="1" applyBorder="1" applyAlignment="1">
      <alignment horizontal="right"/>
    </xf>
    <xf numFmtId="169" fontId="4792" fillId="0" borderId="4362" xfId="0" applyNumberFormat="1" applyFont="1" applyBorder="1" applyAlignment="1">
      <alignment horizontal="right"/>
    </xf>
    <xf numFmtId="169" fontId="4793" fillId="0" borderId="4363" xfId="0" applyNumberFormat="1" applyFont="1" applyBorder="1" applyAlignment="1">
      <alignment horizontal="right"/>
    </xf>
    <xf numFmtId="169" fontId="4794" fillId="0" borderId="4364" xfId="0" applyNumberFormat="1" applyFont="1" applyBorder="1" applyAlignment="1">
      <alignment horizontal="right"/>
    </xf>
    <xf numFmtId="0" fontId="4795" fillId="0" borderId="4365" xfId="0" applyFont="1" applyBorder="1" applyAlignment="1">
      <alignment horizontal="left"/>
    </xf>
    <xf numFmtId="169" fontId="4796" fillId="0" borderId="4366" xfId="0" applyNumberFormat="1" applyFont="1" applyBorder="1" applyAlignment="1">
      <alignment horizontal="right"/>
    </xf>
    <xf numFmtId="169" fontId="4797" fillId="0" borderId="4367" xfId="0" applyNumberFormat="1" applyFont="1" applyBorder="1" applyAlignment="1">
      <alignment horizontal="right"/>
    </xf>
    <xf numFmtId="169" fontId="4798" fillId="0" borderId="4368" xfId="0" applyNumberFormat="1" applyFont="1" applyBorder="1" applyAlignment="1">
      <alignment horizontal="right"/>
    </xf>
    <xf numFmtId="169" fontId="4799" fillId="0" borderId="4369" xfId="0" applyNumberFormat="1" applyFont="1" applyBorder="1" applyAlignment="1">
      <alignment horizontal="right"/>
    </xf>
    <xf numFmtId="169" fontId="4800" fillId="0" borderId="4370" xfId="0" applyNumberFormat="1" applyFont="1" applyBorder="1" applyAlignment="1">
      <alignment horizontal="right"/>
    </xf>
    <xf numFmtId="169" fontId="4801" fillId="0" borderId="4371" xfId="0" applyNumberFormat="1" applyFont="1" applyBorder="1" applyAlignment="1">
      <alignment horizontal="right"/>
    </xf>
    <xf numFmtId="169" fontId="4802" fillId="0" borderId="4372" xfId="0" applyNumberFormat="1" applyFont="1" applyBorder="1" applyAlignment="1">
      <alignment horizontal="right"/>
    </xf>
    <xf numFmtId="169" fontId="4803" fillId="0" borderId="4373" xfId="0" applyNumberFormat="1" applyFont="1" applyBorder="1" applyAlignment="1">
      <alignment horizontal="right"/>
    </xf>
    <xf numFmtId="0" fontId="4804" fillId="0" borderId="4374" xfId="0" applyFont="1" applyBorder="1" applyAlignment="1">
      <alignment horizontal="left"/>
    </xf>
    <xf numFmtId="169" fontId="4805" fillId="0" borderId="4375" xfId="0" applyNumberFormat="1" applyFont="1" applyBorder="1" applyAlignment="1">
      <alignment horizontal="right"/>
    </xf>
    <xf numFmtId="169" fontId="4806" fillId="0" borderId="4376" xfId="0" applyNumberFormat="1" applyFont="1" applyBorder="1" applyAlignment="1">
      <alignment horizontal="right"/>
    </xf>
    <xf numFmtId="169" fontId="4807" fillId="0" borderId="4377" xfId="0" applyNumberFormat="1" applyFont="1" applyBorder="1" applyAlignment="1">
      <alignment horizontal="right"/>
    </xf>
    <xf numFmtId="169" fontId="4808" fillId="0" borderId="4378" xfId="0" applyNumberFormat="1" applyFont="1" applyBorder="1" applyAlignment="1">
      <alignment horizontal="right"/>
    </xf>
    <xf numFmtId="169" fontId="4809" fillId="0" borderId="4379" xfId="0" applyNumberFormat="1" applyFont="1" applyBorder="1" applyAlignment="1">
      <alignment horizontal="right"/>
    </xf>
    <xf numFmtId="169" fontId="4810" fillId="0" borderId="4380" xfId="0" applyNumberFormat="1" applyFont="1" applyBorder="1" applyAlignment="1">
      <alignment horizontal="right"/>
    </xf>
    <xf numFmtId="169" fontId="4811" fillId="0" borderId="4381" xfId="0" applyNumberFormat="1" applyFont="1" applyBorder="1" applyAlignment="1">
      <alignment horizontal="right"/>
    </xf>
    <xf numFmtId="169" fontId="4812" fillId="0" borderId="4382" xfId="0" applyNumberFormat="1" applyFont="1" applyBorder="1" applyAlignment="1">
      <alignment horizontal="right"/>
    </xf>
    <xf numFmtId="0" fontId="4813" fillId="0" borderId="4383" xfId="0" applyFont="1" applyBorder="1" applyAlignment="1">
      <alignment horizontal="left"/>
    </xf>
    <xf numFmtId="169" fontId="4814" fillId="0" borderId="4384" xfId="0" applyNumberFormat="1" applyFont="1" applyBorder="1" applyAlignment="1">
      <alignment horizontal="right"/>
    </xf>
    <xf numFmtId="169" fontId="4815" fillId="0" borderId="4385" xfId="0" applyNumberFormat="1" applyFont="1" applyBorder="1" applyAlignment="1">
      <alignment horizontal="right"/>
    </xf>
    <xf numFmtId="169" fontId="4816" fillId="0" borderId="4386" xfId="0" applyNumberFormat="1" applyFont="1" applyBorder="1" applyAlignment="1">
      <alignment horizontal="right"/>
    </xf>
    <xf numFmtId="169" fontId="4817" fillId="0" borderId="4387" xfId="0" applyNumberFormat="1" applyFont="1" applyBorder="1" applyAlignment="1">
      <alignment horizontal="right"/>
    </xf>
    <xf numFmtId="169" fontId="4818" fillId="0" borderId="4388" xfId="0" applyNumberFormat="1" applyFont="1" applyBorder="1" applyAlignment="1">
      <alignment horizontal="right"/>
    </xf>
    <xf numFmtId="169" fontId="4819" fillId="0" borderId="4389" xfId="0" applyNumberFormat="1" applyFont="1" applyBorder="1" applyAlignment="1">
      <alignment horizontal="right"/>
    </xf>
    <xf numFmtId="169" fontId="4820" fillId="0" borderId="4390" xfId="0" applyNumberFormat="1" applyFont="1" applyBorder="1" applyAlignment="1">
      <alignment horizontal="right"/>
    </xf>
    <xf numFmtId="169" fontId="4821" fillId="0" borderId="4391" xfId="0" applyNumberFormat="1" applyFont="1" applyBorder="1" applyAlignment="1">
      <alignment horizontal="right"/>
    </xf>
    <xf numFmtId="0" fontId="4822" fillId="0" borderId="4392" xfId="0" applyFont="1" applyBorder="1" applyAlignment="1">
      <alignment horizontal="left"/>
    </xf>
    <xf numFmtId="169" fontId="4823" fillId="0" borderId="4393" xfId="0" applyNumberFormat="1" applyFont="1" applyBorder="1" applyAlignment="1">
      <alignment horizontal="right"/>
    </xf>
    <xf numFmtId="169" fontId="4824" fillId="0" borderId="4394" xfId="0" applyNumberFormat="1" applyFont="1" applyBorder="1" applyAlignment="1">
      <alignment horizontal="right"/>
    </xf>
    <xf numFmtId="169" fontId="4825" fillId="0" borderId="4395" xfId="0" applyNumberFormat="1" applyFont="1" applyBorder="1" applyAlignment="1">
      <alignment horizontal="right"/>
    </xf>
    <xf numFmtId="169" fontId="4826" fillId="0" borderId="4396" xfId="0" applyNumberFormat="1" applyFont="1" applyBorder="1" applyAlignment="1">
      <alignment horizontal="right"/>
    </xf>
    <xf numFmtId="169" fontId="4827" fillId="0" borderId="4397" xfId="0" applyNumberFormat="1" applyFont="1" applyBorder="1" applyAlignment="1">
      <alignment horizontal="right"/>
    </xf>
    <xf numFmtId="169" fontId="4828" fillId="0" borderId="4398" xfId="0" applyNumberFormat="1" applyFont="1" applyBorder="1" applyAlignment="1">
      <alignment horizontal="right"/>
    </xf>
    <xf numFmtId="169" fontId="4829" fillId="0" borderId="4399" xfId="0" applyNumberFormat="1" applyFont="1" applyBorder="1" applyAlignment="1">
      <alignment horizontal="right"/>
    </xf>
    <xf numFmtId="169" fontId="4830" fillId="0" borderId="4400" xfId="0" applyNumberFormat="1" applyFont="1" applyBorder="1" applyAlignment="1">
      <alignment horizontal="right"/>
    </xf>
    <xf numFmtId="0" fontId="4831" fillId="0" borderId="4401" xfId="0" applyFont="1" applyBorder="1" applyAlignment="1">
      <alignment horizontal="left"/>
    </xf>
    <xf numFmtId="169" fontId="4832" fillId="0" borderId="4402" xfId="0" applyNumberFormat="1" applyFont="1" applyBorder="1" applyAlignment="1">
      <alignment horizontal="right"/>
    </xf>
    <xf numFmtId="169" fontId="4833" fillId="0" borderId="4403" xfId="0" applyNumberFormat="1" applyFont="1" applyBorder="1" applyAlignment="1">
      <alignment horizontal="right"/>
    </xf>
    <xf numFmtId="169" fontId="4834" fillId="0" borderId="4404" xfId="0" applyNumberFormat="1" applyFont="1" applyBorder="1" applyAlignment="1">
      <alignment horizontal="right"/>
    </xf>
    <xf numFmtId="169" fontId="4835" fillId="0" borderId="4405" xfId="0" applyNumberFormat="1" applyFont="1" applyBorder="1" applyAlignment="1">
      <alignment horizontal="right"/>
    </xf>
    <xf numFmtId="169" fontId="4836" fillId="0" borderId="4406" xfId="0" applyNumberFormat="1" applyFont="1" applyBorder="1" applyAlignment="1">
      <alignment horizontal="right"/>
    </xf>
    <xf numFmtId="169" fontId="4837" fillId="0" borderId="4407" xfId="0" applyNumberFormat="1" applyFont="1" applyBorder="1" applyAlignment="1">
      <alignment horizontal="right"/>
    </xf>
    <xf numFmtId="169" fontId="4838" fillId="0" borderId="4408" xfId="0" applyNumberFormat="1" applyFont="1" applyBorder="1" applyAlignment="1">
      <alignment horizontal="right"/>
    </xf>
    <xf numFmtId="169" fontId="4839" fillId="0" borderId="4409" xfId="0" applyNumberFormat="1" applyFont="1" applyBorder="1" applyAlignment="1">
      <alignment horizontal="right"/>
    </xf>
    <xf numFmtId="0" fontId="4840" fillId="0" borderId="4410" xfId="0" applyFont="1" applyBorder="1" applyAlignment="1">
      <alignment horizontal="left"/>
    </xf>
    <xf numFmtId="169" fontId="4841" fillId="0" borderId="4411" xfId="0" applyNumberFormat="1" applyFont="1" applyBorder="1" applyAlignment="1">
      <alignment horizontal="right"/>
    </xf>
    <xf numFmtId="169" fontId="4842" fillId="0" borderId="4412" xfId="0" applyNumberFormat="1" applyFont="1" applyBorder="1" applyAlignment="1">
      <alignment horizontal="right"/>
    </xf>
    <xf numFmtId="169" fontId="4843" fillId="0" borderId="4413" xfId="0" applyNumberFormat="1" applyFont="1" applyBorder="1" applyAlignment="1">
      <alignment horizontal="right"/>
    </xf>
    <xf numFmtId="169" fontId="4844" fillId="0" borderId="4414" xfId="0" applyNumberFormat="1" applyFont="1" applyBorder="1" applyAlignment="1">
      <alignment horizontal="right"/>
    </xf>
    <xf numFmtId="169" fontId="4845" fillId="0" borderId="4415" xfId="0" applyNumberFormat="1" applyFont="1" applyBorder="1" applyAlignment="1">
      <alignment horizontal="right"/>
    </xf>
    <xf numFmtId="169" fontId="4846" fillId="0" borderId="4416" xfId="0" applyNumberFormat="1" applyFont="1" applyBorder="1" applyAlignment="1">
      <alignment horizontal="right"/>
    </xf>
    <xf numFmtId="169" fontId="4847" fillId="0" borderId="4417" xfId="0" applyNumberFormat="1" applyFont="1" applyBorder="1" applyAlignment="1">
      <alignment horizontal="right"/>
    </xf>
    <xf numFmtId="169" fontId="4848" fillId="0" borderId="4418" xfId="0" applyNumberFormat="1" applyFont="1" applyBorder="1" applyAlignment="1">
      <alignment horizontal="right"/>
    </xf>
    <xf numFmtId="0" fontId="4849" fillId="0" borderId="4419" xfId="0" applyFont="1" applyBorder="1" applyAlignment="1">
      <alignment horizontal="left"/>
    </xf>
    <xf numFmtId="169" fontId="4850" fillId="0" borderId="4420" xfId="0" applyNumberFormat="1" applyFont="1" applyBorder="1" applyAlignment="1">
      <alignment horizontal="right"/>
    </xf>
    <xf numFmtId="169" fontId="4851" fillId="0" borderId="4421" xfId="0" applyNumberFormat="1" applyFont="1" applyBorder="1" applyAlignment="1">
      <alignment horizontal="right"/>
    </xf>
    <xf numFmtId="169" fontId="4852" fillId="0" borderId="4422" xfId="0" applyNumberFormat="1" applyFont="1" applyBorder="1" applyAlignment="1">
      <alignment horizontal="right"/>
    </xf>
    <xf numFmtId="169" fontId="4853" fillId="0" borderId="4423" xfId="0" applyNumberFormat="1" applyFont="1" applyBorder="1" applyAlignment="1">
      <alignment horizontal="right"/>
    </xf>
    <xf numFmtId="169" fontId="4854" fillId="0" borderId="4424" xfId="0" applyNumberFormat="1" applyFont="1" applyBorder="1" applyAlignment="1">
      <alignment horizontal="right"/>
    </xf>
    <xf numFmtId="169" fontId="4855" fillId="0" borderId="4425" xfId="0" applyNumberFormat="1" applyFont="1" applyBorder="1" applyAlignment="1">
      <alignment horizontal="right"/>
    </xf>
    <xf numFmtId="169" fontId="4856" fillId="0" borderId="4426" xfId="0" applyNumberFormat="1" applyFont="1" applyBorder="1" applyAlignment="1">
      <alignment horizontal="right"/>
    </xf>
    <xf numFmtId="169" fontId="4857" fillId="0" borderId="4427" xfId="0" applyNumberFormat="1" applyFont="1" applyBorder="1" applyAlignment="1">
      <alignment horizontal="right"/>
    </xf>
    <xf numFmtId="0" fontId="4858" fillId="0" borderId="4428" xfId="0" applyFont="1" applyBorder="1" applyAlignment="1">
      <alignment horizontal="left"/>
    </xf>
    <xf numFmtId="169" fontId="4859" fillId="0" borderId="4429" xfId="0" applyNumberFormat="1" applyFont="1" applyBorder="1" applyAlignment="1">
      <alignment horizontal="right"/>
    </xf>
    <xf numFmtId="169" fontId="4860" fillId="0" borderId="4430" xfId="0" applyNumberFormat="1" applyFont="1" applyBorder="1" applyAlignment="1">
      <alignment horizontal="right"/>
    </xf>
    <xf numFmtId="169" fontId="4861" fillId="0" borderId="4431" xfId="0" applyNumberFormat="1" applyFont="1" applyBorder="1" applyAlignment="1">
      <alignment horizontal="right"/>
    </xf>
    <xf numFmtId="169" fontId="4862" fillId="0" borderId="4432" xfId="0" applyNumberFormat="1" applyFont="1" applyBorder="1" applyAlignment="1">
      <alignment horizontal="right"/>
    </xf>
    <xf numFmtId="169" fontId="4863" fillId="0" borderId="4433" xfId="0" applyNumberFormat="1" applyFont="1" applyBorder="1" applyAlignment="1">
      <alignment horizontal="right"/>
    </xf>
    <xf numFmtId="169" fontId="4864" fillId="0" borderId="4434" xfId="0" applyNumberFormat="1" applyFont="1" applyBorder="1" applyAlignment="1">
      <alignment horizontal="right"/>
    </xf>
    <xf numFmtId="169" fontId="4865" fillId="0" borderId="4435" xfId="0" applyNumberFormat="1" applyFont="1" applyBorder="1" applyAlignment="1">
      <alignment horizontal="right"/>
    </xf>
    <xf numFmtId="169" fontId="4866" fillId="0" borderId="4436" xfId="0" applyNumberFormat="1" applyFont="1" applyBorder="1" applyAlignment="1">
      <alignment horizontal="right"/>
    </xf>
    <xf numFmtId="0" fontId="4867" fillId="0" borderId="4437" xfId="0" applyFont="1" applyBorder="1" applyAlignment="1">
      <alignment horizontal="left"/>
    </xf>
    <xf numFmtId="169" fontId="4868" fillId="0" borderId="4438" xfId="0" applyNumberFormat="1" applyFont="1" applyBorder="1" applyAlignment="1">
      <alignment horizontal="right"/>
    </xf>
    <xf numFmtId="169" fontId="4869" fillId="0" borderId="4439" xfId="0" applyNumberFormat="1" applyFont="1" applyBorder="1" applyAlignment="1">
      <alignment horizontal="right"/>
    </xf>
    <xf numFmtId="169" fontId="4870" fillId="0" borderId="4440" xfId="0" applyNumberFormat="1" applyFont="1" applyBorder="1" applyAlignment="1">
      <alignment horizontal="right"/>
    </xf>
    <xf numFmtId="169" fontId="4871" fillId="0" borderId="4441" xfId="0" applyNumberFormat="1" applyFont="1" applyBorder="1" applyAlignment="1">
      <alignment horizontal="right"/>
    </xf>
    <xf numFmtId="169" fontId="4872" fillId="0" borderId="4442" xfId="0" applyNumberFormat="1" applyFont="1" applyBorder="1" applyAlignment="1">
      <alignment horizontal="right"/>
    </xf>
    <xf numFmtId="169" fontId="4873" fillId="0" borderId="4443" xfId="0" applyNumberFormat="1" applyFont="1" applyBorder="1" applyAlignment="1">
      <alignment horizontal="right"/>
    </xf>
    <xf numFmtId="169" fontId="4874" fillId="0" borderId="4444" xfId="0" applyNumberFormat="1" applyFont="1" applyBorder="1" applyAlignment="1">
      <alignment horizontal="right"/>
    </xf>
    <xf numFmtId="169" fontId="4875" fillId="0" borderId="4445" xfId="0" applyNumberFormat="1" applyFont="1" applyBorder="1" applyAlignment="1">
      <alignment horizontal="right"/>
    </xf>
    <xf numFmtId="0" fontId="4876" fillId="0" borderId="4446" xfId="0" applyFont="1" applyBorder="1" applyAlignment="1">
      <alignment horizontal="left"/>
    </xf>
    <xf numFmtId="169" fontId="4883" fillId="0" borderId="4453" xfId="0" applyNumberFormat="1" applyFont="1" applyBorder="1" applyAlignment="1">
      <alignment horizontal="right"/>
    </xf>
    <xf numFmtId="169" fontId="4884" fillId="0" borderId="4454" xfId="0" applyNumberFormat="1" applyFont="1" applyBorder="1" applyAlignment="1">
      <alignment horizontal="center"/>
    </xf>
    <xf numFmtId="0" fontId="4885" fillId="0" borderId="4455" xfId="0" applyFont="1" applyBorder="1"/>
    <xf numFmtId="0" fontId="4889" fillId="0" borderId="4459" xfId="0" applyFont="1" applyBorder="1" applyAlignment="1">
      <alignment horizontal="right"/>
    </xf>
    <xf numFmtId="0" fontId="4890" fillId="0" borderId="4460" xfId="0" applyFont="1" applyBorder="1"/>
    <xf numFmtId="0" fontId="4894" fillId="0" borderId="4464" xfId="0" applyFont="1" applyBorder="1"/>
    <xf numFmtId="2" fontId="4895" fillId="0" borderId="4465" xfId="0" applyNumberFormat="1" applyFont="1" applyBorder="1" applyAlignment="1">
      <alignment horizontal="right"/>
    </xf>
    <xf numFmtId="2" fontId="4896" fillId="0" borderId="4466" xfId="0" applyNumberFormat="1" applyFont="1" applyBorder="1" applyAlignment="1">
      <alignment horizontal="right"/>
    </xf>
    <xf numFmtId="2" fontId="4897" fillId="0" borderId="4467" xfId="0" applyNumberFormat="1" applyFont="1" applyBorder="1" applyAlignment="1">
      <alignment horizontal="right"/>
    </xf>
    <xf numFmtId="2" fontId="4898" fillId="0" borderId="4468" xfId="0" applyNumberFormat="1" applyFont="1" applyBorder="1" applyAlignment="1">
      <alignment horizontal="right"/>
    </xf>
    <xf numFmtId="2" fontId="4899" fillId="0" borderId="4469" xfId="0" applyNumberFormat="1" applyFont="1" applyBorder="1" applyAlignment="1">
      <alignment horizontal="right"/>
    </xf>
    <xf numFmtId="2" fontId="4900" fillId="0" borderId="4470" xfId="0" applyNumberFormat="1" applyFont="1" applyBorder="1" applyAlignment="1">
      <alignment horizontal="right"/>
    </xf>
    <xf numFmtId="0" fontId="4901" fillId="0" borderId="4471" xfId="0" applyFont="1" applyBorder="1"/>
    <xf numFmtId="2" fontId="4902" fillId="0" borderId="4472" xfId="0" applyNumberFormat="1" applyFont="1" applyBorder="1" applyAlignment="1">
      <alignment horizontal="center"/>
    </xf>
    <xf numFmtId="2" fontId="4903" fillId="0" borderId="4473" xfId="0" applyNumberFormat="1" applyFont="1" applyBorder="1" applyAlignment="1">
      <alignment horizontal="center"/>
    </xf>
    <xf numFmtId="2" fontId="4904" fillId="0" borderId="4474" xfId="0" applyNumberFormat="1" applyFont="1" applyBorder="1" applyAlignment="1">
      <alignment horizontal="center"/>
    </xf>
    <xf numFmtId="2" fontId="4905" fillId="0" borderId="4475" xfId="0" applyNumberFormat="1" applyFont="1" applyBorder="1" applyAlignment="1">
      <alignment horizontal="center"/>
    </xf>
    <xf numFmtId="2" fontId="4906" fillId="0" borderId="4476" xfId="0" applyNumberFormat="1" applyFont="1" applyBorder="1" applyAlignment="1">
      <alignment horizontal="center"/>
    </xf>
    <xf numFmtId="2" fontId="4907" fillId="0" borderId="4477" xfId="0" applyNumberFormat="1" applyFont="1" applyBorder="1" applyAlignment="1">
      <alignment horizontal="center"/>
    </xf>
    <xf numFmtId="0" fontId="4908" fillId="0" borderId="4478" xfId="0" applyFont="1" applyBorder="1"/>
    <xf numFmtId="2" fontId="4909" fillId="0" borderId="4479" xfId="0" applyNumberFormat="1" applyFont="1" applyBorder="1" applyAlignment="1">
      <alignment horizontal="right"/>
    </xf>
    <xf numFmtId="2" fontId="4910" fillId="0" borderId="4480" xfId="0" applyNumberFormat="1" applyFont="1" applyBorder="1" applyAlignment="1">
      <alignment horizontal="right"/>
    </xf>
    <xf numFmtId="2" fontId="4911" fillId="0" borderId="4481" xfId="0" applyNumberFormat="1" applyFont="1" applyBorder="1" applyAlignment="1">
      <alignment horizontal="right"/>
    </xf>
    <xf numFmtId="2" fontId="4912" fillId="0" borderId="4482" xfId="0" applyNumberFormat="1" applyFont="1" applyBorder="1" applyAlignment="1">
      <alignment horizontal="right"/>
    </xf>
    <xf numFmtId="2" fontId="4913" fillId="0" borderId="4483" xfId="0" applyNumberFormat="1" applyFont="1" applyBorder="1" applyAlignment="1">
      <alignment horizontal="right"/>
    </xf>
    <xf numFmtId="2" fontId="4914" fillId="0" borderId="4484" xfId="0" applyNumberFormat="1" applyFont="1" applyBorder="1" applyAlignment="1">
      <alignment horizontal="right"/>
    </xf>
    <xf numFmtId="0" fontId="4915" fillId="0" borderId="4485" xfId="0" applyFont="1" applyBorder="1" applyAlignment="1">
      <alignment horizontal="left"/>
    </xf>
    <xf numFmtId="2" fontId="4916" fillId="0" borderId="4486" xfId="0" applyNumberFormat="1" applyFont="1" applyBorder="1"/>
    <xf numFmtId="2" fontId="4917" fillId="0" borderId="4487" xfId="0" applyNumberFormat="1" applyFont="1" applyBorder="1"/>
    <xf numFmtId="2" fontId="4918" fillId="0" borderId="4488" xfId="0" applyNumberFormat="1" applyFont="1" applyBorder="1"/>
    <xf numFmtId="2" fontId="4919" fillId="0" borderId="4489" xfId="0" applyNumberFormat="1" applyFont="1" applyBorder="1"/>
    <xf numFmtId="2" fontId="4920" fillId="0" borderId="4490" xfId="0" applyNumberFormat="1" applyFont="1" applyBorder="1"/>
    <xf numFmtId="2" fontId="4921" fillId="0" borderId="4491" xfId="0" applyNumberFormat="1" applyFont="1" applyBorder="1"/>
    <xf numFmtId="0" fontId="4922" fillId="0" borderId="4492" xfId="0" applyFont="1" applyBorder="1"/>
    <xf numFmtId="0" fontId="4923" fillId="0" borderId="4493" xfId="0" applyFont="1" applyBorder="1"/>
    <xf numFmtId="0" fontId="4924" fillId="0" borderId="4494" xfId="0" applyFont="1" applyBorder="1" applyAlignment="1">
      <alignment horizontal="left"/>
    </xf>
    <xf numFmtId="169" fontId="4925" fillId="0" borderId="4495" xfId="0" applyNumberFormat="1" applyFont="1" applyBorder="1" applyAlignment="1">
      <alignment horizontal="right"/>
    </xf>
    <xf numFmtId="169" fontId="4926" fillId="0" borderId="4496" xfId="0" applyNumberFormat="1" applyFont="1" applyBorder="1" applyAlignment="1">
      <alignment horizontal="right"/>
    </xf>
    <xf numFmtId="169" fontId="4927" fillId="0" borderId="4497" xfId="0" applyNumberFormat="1" applyFont="1" applyBorder="1" applyAlignment="1">
      <alignment horizontal="right"/>
    </xf>
    <xf numFmtId="169" fontId="4928" fillId="0" borderId="4498" xfId="0" applyNumberFormat="1" applyFont="1" applyBorder="1" applyAlignment="1">
      <alignment horizontal="right"/>
    </xf>
    <xf numFmtId="169" fontId="4929" fillId="0" borderId="4499" xfId="0" applyNumberFormat="1" applyFont="1" applyBorder="1" applyAlignment="1">
      <alignment horizontal="right"/>
    </xf>
    <xf numFmtId="0" fontId="4930" fillId="0" borderId="4500" xfId="0" applyFont="1" applyBorder="1" applyAlignment="1">
      <alignment horizontal="left"/>
    </xf>
    <xf numFmtId="169" fontId="4931" fillId="0" borderId="4501" xfId="0" applyNumberFormat="1" applyFont="1" applyBorder="1" applyAlignment="1">
      <alignment horizontal="right"/>
    </xf>
    <xf numFmtId="169" fontId="4932" fillId="0" borderId="4502" xfId="0" applyNumberFormat="1" applyFont="1" applyBorder="1" applyAlignment="1">
      <alignment horizontal="right"/>
    </xf>
    <xf numFmtId="169" fontId="4933" fillId="0" borderId="4503" xfId="0" applyNumberFormat="1" applyFont="1" applyBorder="1" applyAlignment="1">
      <alignment horizontal="right"/>
    </xf>
    <xf numFmtId="169" fontId="4934" fillId="0" borderId="4504" xfId="0" applyNumberFormat="1" applyFont="1" applyBorder="1" applyAlignment="1">
      <alignment horizontal="right"/>
    </xf>
    <xf numFmtId="169" fontId="4935" fillId="0" borderId="4505" xfId="0" applyNumberFormat="1" applyFont="1" applyBorder="1" applyAlignment="1">
      <alignment horizontal="right"/>
    </xf>
    <xf numFmtId="169" fontId="4936" fillId="0" borderId="4506" xfId="0" applyNumberFormat="1" applyFont="1" applyBorder="1" applyAlignment="1">
      <alignment horizontal="right"/>
    </xf>
    <xf numFmtId="169" fontId="4937" fillId="0" borderId="4507" xfId="0" applyNumberFormat="1" applyFont="1" applyBorder="1" applyAlignment="1">
      <alignment horizontal="right"/>
    </xf>
    <xf numFmtId="169" fontId="4938" fillId="0" borderId="4508" xfId="0" applyNumberFormat="1" applyFont="1" applyBorder="1" applyAlignment="1">
      <alignment horizontal="right"/>
    </xf>
    <xf numFmtId="0" fontId="4939" fillId="0" borderId="4509" xfId="0" applyFont="1" applyBorder="1" applyAlignment="1">
      <alignment horizontal="left"/>
    </xf>
    <xf numFmtId="169" fontId="4940" fillId="0" borderId="4510" xfId="0" applyNumberFormat="1" applyFont="1" applyBorder="1" applyAlignment="1">
      <alignment horizontal="right"/>
    </xf>
    <xf numFmtId="169" fontId="4941" fillId="0" borderId="4511" xfId="0" applyNumberFormat="1" applyFont="1" applyBorder="1" applyAlignment="1">
      <alignment horizontal="right"/>
    </xf>
    <xf numFmtId="169" fontId="4942" fillId="0" borderId="4512" xfId="0" applyNumberFormat="1" applyFont="1" applyBorder="1" applyAlignment="1">
      <alignment horizontal="right"/>
    </xf>
    <xf numFmtId="169" fontId="4943" fillId="0" borderId="4513" xfId="0" applyNumberFormat="1" applyFont="1" applyBorder="1" applyAlignment="1">
      <alignment horizontal="right"/>
    </xf>
    <xf numFmtId="169" fontId="4944" fillId="0" borderId="4514" xfId="0" applyNumberFormat="1" applyFont="1" applyBorder="1" applyAlignment="1">
      <alignment horizontal="right"/>
    </xf>
    <xf numFmtId="169" fontId="4945" fillId="0" borderId="4515" xfId="0" applyNumberFormat="1" applyFont="1" applyBorder="1" applyAlignment="1">
      <alignment horizontal="right"/>
    </xf>
    <xf numFmtId="169" fontId="4946" fillId="0" borderId="4516" xfId="0" applyNumberFormat="1" applyFont="1" applyBorder="1" applyAlignment="1">
      <alignment horizontal="right"/>
    </xf>
    <xf numFmtId="169" fontId="4947" fillId="0" borderId="4517" xfId="0" applyNumberFormat="1" applyFont="1" applyBorder="1" applyAlignment="1">
      <alignment horizontal="right"/>
    </xf>
    <xf numFmtId="0" fontId="4948" fillId="0" borderId="4518" xfId="0" applyFont="1" applyBorder="1" applyAlignment="1">
      <alignment horizontal="left"/>
    </xf>
    <xf numFmtId="169" fontId="4949" fillId="0" borderId="4519" xfId="0" applyNumberFormat="1" applyFont="1" applyBorder="1" applyAlignment="1">
      <alignment horizontal="right"/>
    </xf>
    <xf numFmtId="169" fontId="4950" fillId="0" borderId="4520" xfId="0" applyNumberFormat="1" applyFont="1" applyBorder="1" applyAlignment="1">
      <alignment horizontal="right"/>
    </xf>
    <xf numFmtId="169" fontId="4951" fillId="0" borderId="4521" xfId="0" applyNumberFormat="1" applyFont="1" applyBorder="1" applyAlignment="1">
      <alignment horizontal="right"/>
    </xf>
    <xf numFmtId="169" fontId="4952" fillId="0" borderId="4522" xfId="0" applyNumberFormat="1" applyFont="1" applyBorder="1" applyAlignment="1">
      <alignment horizontal="right"/>
    </xf>
    <xf numFmtId="169" fontId="4953" fillId="0" borderId="4523" xfId="0" applyNumberFormat="1" applyFont="1" applyBorder="1" applyAlignment="1">
      <alignment horizontal="right"/>
    </xf>
    <xf numFmtId="169" fontId="4954" fillId="0" borderId="4524" xfId="0" applyNumberFormat="1" applyFont="1" applyBorder="1" applyAlignment="1">
      <alignment horizontal="right"/>
    </xf>
    <xf numFmtId="169" fontId="4955" fillId="0" borderId="4525" xfId="0" applyNumberFormat="1" applyFont="1" applyBorder="1" applyAlignment="1">
      <alignment horizontal="right"/>
    </xf>
    <xf numFmtId="169" fontId="4956" fillId="0" borderId="4526" xfId="0" applyNumberFormat="1" applyFont="1" applyBorder="1" applyAlignment="1">
      <alignment horizontal="right"/>
    </xf>
    <xf numFmtId="0" fontId="4957" fillId="0" borderId="4527" xfId="0" applyFont="1" applyBorder="1" applyAlignment="1">
      <alignment horizontal="left"/>
    </xf>
    <xf numFmtId="169" fontId="4958" fillId="0" borderId="4528" xfId="0" applyNumberFormat="1" applyFont="1" applyBorder="1" applyAlignment="1">
      <alignment horizontal="right"/>
    </xf>
    <xf numFmtId="169" fontId="4959" fillId="0" borderId="4529" xfId="0" applyNumberFormat="1" applyFont="1" applyBorder="1" applyAlignment="1">
      <alignment horizontal="right"/>
    </xf>
    <xf numFmtId="169" fontId="4960" fillId="0" borderId="4530" xfId="0" applyNumberFormat="1" applyFont="1" applyBorder="1" applyAlignment="1">
      <alignment horizontal="right"/>
    </xf>
    <xf numFmtId="169" fontId="4961" fillId="0" borderId="4531" xfId="0" applyNumberFormat="1" applyFont="1" applyBorder="1" applyAlignment="1">
      <alignment horizontal="right"/>
    </xf>
    <xf numFmtId="169" fontId="4962" fillId="0" borderId="4532" xfId="0" applyNumberFormat="1" applyFont="1" applyBorder="1" applyAlignment="1">
      <alignment horizontal="right"/>
    </xf>
    <xf numFmtId="169" fontId="4963" fillId="0" borderId="4533" xfId="0" applyNumberFormat="1" applyFont="1" applyBorder="1" applyAlignment="1">
      <alignment horizontal="right"/>
    </xf>
    <xf numFmtId="169" fontId="4964" fillId="0" borderId="4534" xfId="0" applyNumberFormat="1" applyFont="1" applyBorder="1" applyAlignment="1">
      <alignment horizontal="right"/>
    </xf>
    <xf numFmtId="169" fontId="4965" fillId="0" borderId="4535" xfId="0" applyNumberFormat="1" applyFont="1" applyBorder="1" applyAlignment="1">
      <alignment horizontal="right"/>
    </xf>
    <xf numFmtId="0" fontId="4966" fillId="0" borderId="4536" xfId="0" applyFont="1" applyBorder="1" applyAlignment="1">
      <alignment horizontal="left"/>
    </xf>
    <xf numFmtId="169" fontId="4967" fillId="0" borderId="4537" xfId="0" applyNumberFormat="1" applyFont="1" applyBorder="1" applyAlignment="1">
      <alignment horizontal="right"/>
    </xf>
    <xf numFmtId="169" fontId="4968" fillId="0" borderId="4538" xfId="0" applyNumberFormat="1" applyFont="1" applyBorder="1" applyAlignment="1">
      <alignment horizontal="right"/>
    </xf>
    <xf numFmtId="169" fontId="4969" fillId="0" borderId="4539" xfId="0" applyNumberFormat="1" applyFont="1" applyBorder="1" applyAlignment="1">
      <alignment horizontal="right"/>
    </xf>
    <xf numFmtId="169" fontId="4970" fillId="0" borderId="4540" xfId="0" applyNumberFormat="1" applyFont="1" applyBorder="1" applyAlignment="1">
      <alignment horizontal="right"/>
    </xf>
    <xf numFmtId="169" fontId="4971" fillId="0" borderId="4541" xfId="0" applyNumberFormat="1" applyFont="1" applyBorder="1" applyAlignment="1">
      <alignment horizontal="right"/>
    </xf>
    <xf numFmtId="169" fontId="4972" fillId="0" borderId="4542" xfId="0" applyNumberFormat="1" applyFont="1" applyBorder="1" applyAlignment="1">
      <alignment horizontal="right"/>
    </xf>
    <xf numFmtId="169" fontId="4973" fillId="0" borderId="4543" xfId="0" applyNumberFormat="1" applyFont="1" applyBorder="1" applyAlignment="1">
      <alignment horizontal="right"/>
    </xf>
    <xf numFmtId="169" fontId="4974" fillId="0" borderId="4544" xfId="0" applyNumberFormat="1" applyFont="1" applyBorder="1" applyAlignment="1">
      <alignment horizontal="right"/>
    </xf>
    <xf numFmtId="0" fontId="4975" fillId="0" borderId="4545" xfId="0" applyFont="1" applyBorder="1" applyAlignment="1">
      <alignment horizontal="left"/>
    </xf>
    <xf numFmtId="169" fontId="4976" fillId="0" borderId="4546" xfId="0" applyNumberFormat="1" applyFont="1" applyBorder="1" applyAlignment="1">
      <alignment horizontal="right"/>
    </xf>
    <xf numFmtId="169" fontId="4977" fillId="0" borderId="4547" xfId="0" applyNumberFormat="1" applyFont="1" applyBorder="1" applyAlignment="1">
      <alignment horizontal="right"/>
    </xf>
    <xf numFmtId="169" fontId="4978" fillId="0" borderId="4548" xfId="0" applyNumberFormat="1" applyFont="1" applyBorder="1" applyAlignment="1">
      <alignment horizontal="right"/>
    </xf>
    <xf numFmtId="169" fontId="4979" fillId="0" borderId="4549" xfId="0" applyNumberFormat="1" applyFont="1" applyBorder="1" applyAlignment="1">
      <alignment horizontal="right"/>
    </xf>
    <xf numFmtId="169" fontId="4980" fillId="0" borderId="4550" xfId="0" applyNumberFormat="1" applyFont="1" applyBorder="1" applyAlignment="1">
      <alignment horizontal="right"/>
    </xf>
    <xf numFmtId="169" fontId="4981" fillId="0" borderId="4551" xfId="0" applyNumberFormat="1" applyFont="1" applyBorder="1" applyAlignment="1">
      <alignment horizontal="right"/>
    </xf>
    <xf numFmtId="169" fontId="4982" fillId="0" borderId="4552" xfId="0" applyNumberFormat="1" applyFont="1" applyBorder="1" applyAlignment="1">
      <alignment horizontal="right"/>
    </xf>
    <xf numFmtId="169" fontId="4983" fillId="0" borderId="4553" xfId="0" applyNumberFormat="1" applyFont="1" applyBorder="1" applyAlignment="1">
      <alignment horizontal="right"/>
    </xf>
    <xf numFmtId="0" fontId="4984" fillId="0" borderId="4554" xfId="0" applyFont="1" applyBorder="1" applyAlignment="1">
      <alignment horizontal="left"/>
    </xf>
    <xf numFmtId="169" fontId="4985" fillId="0" borderId="4555" xfId="0" applyNumberFormat="1" applyFont="1" applyBorder="1" applyAlignment="1">
      <alignment horizontal="right"/>
    </xf>
    <xf numFmtId="169" fontId="4986" fillId="0" borderId="4556" xfId="0" applyNumberFormat="1" applyFont="1" applyBorder="1" applyAlignment="1">
      <alignment horizontal="right"/>
    </xf>
    <xf numFmtId="169" fontId="4987" fillId="0" borderId="4557" xfId="0" applyNumberFormat="1" applyFont="1" applyBorder="1" applyAlignment="1">
      <alignment horizontal="right"/>
    </xf>
    <xf numFmtId="169" fontId="4988" fillId="0" borderId="4558" xfId="0" applyNumberFormat="1" applyFont="1" applyBorder="1" applyAlignment="1">
      <alignment horizontal="right"/>
    </xf>
    <xf numFmtId="169" fontId="4989" fillId="0" borderId="4559" xfId="0" applyNumberFormat="1" applyFont="1" applyBorder="1" applyAlignment="1">
      <alignment horizontal="right"/>
    </xf>
    <xf numFmtId="169" fontId="4990" fillId="0" borderId="4560" xfId="0" applyNumberFormat="1" applyFont="1" applyBorder="1" applyAlignment="1">
      <alignment horizontal="right"/>
    </xf>
    <xf numFmtId="169" fontId="4991" fillId="0" borderId="4561" xfId="0" applyNumberFormat="1" applyFont="1" applyBorder="1" applyAlignment="1">
      <alignment horizontal="right"/>
    </xf>
    <xf numFmtId="169" fontId="4992" fillId="0" borderId="4562" xfId="0" applyNumberFormat="1" applyFont="1" applyBorder="1" applyAlignment="1">
      <alignment horizontal="right"/>
    </xf>
    <xf numFmtId="0" fontId="4993" fillId="0" borderId="4563" xfId="0" applyFont="1" applyBorder="1" applyAlignment="1">
      <alignment horizontal="left"/>
    </xf>
    <xf numFmtId="169" fontId="4994" fillId="0" borderId="4564" xfId="0" applyNumberFormat="1" applyFont="1" applyBorder="1" applyAlignment="1">
      <alignment horizontal="right"/>
    </xf>
    <xf numFmtId="169" fontId="4995" fillId="0" borderId="4565" xfId="0" applyNumberFormat="1" applyFont="1" applyBorder="1" applyAlignment="1">
      <alignment horizontal="right"/>
    </xf>
    <xf numFmtId="169" fontId="4996" fillId="0" borderId="4566" xfId="0" applyNumberFormat="1" applyFont="1" applyBorder="1" applyAlignment="1">
      <alignment horizontal="right"/>
    </xf>
    <xf numFmtId="169" fontId="4997" fillId="0" borderId="4567" xfId="0" applyNumberFormat="1" applyFont="1" applyBorder="1" applyAlignment="1">
      <alignment horizontal="right"/>
    </xf>
    <xf numFmtId="169" fontId="4998" fillId="0" borderId="4568" xfId="0" applyNumberFormat="1" applyFont="1" applyBorder="1" applyAlignment="1">
      <alignment horizontal="right"/>
    </xf>
    <xf numFmtId="169" fontId="4999" fillId="0" borderId="4569" xfId="0" applyNumberFormat="1" applyFont="1" applyBorder="1" applyAlignment="1">
      <alignment horizontal="right"/>
    </xf>
    <xf numFmtId="169" fontId="5000" fillId="0" borderId="4570" xfId="0" applyNumberFormat="1" applyFont="1" applyBorder="1" applyAlignment="1">
      <alignment horizontal="right"/>
    </xf>
    <xf numFmtId="169" fontId="5001" fillId="0" borderId="4571" xfId="0" applyNumberFormat="1" applyFont="1" applyBorder="1" applyAlignment="1">
      <alignment horizontal="right"/>
    </xf>
    <xf numFmtId="0" fontId="5002" fillId="0" borderId="4572" xfId="0" applyFont="1" applyBorder="1" applyAlignment="1">
      <alignment horizontal="left"/>
    </xf>
    <xf numFmtId="169" fontId="5003" fillId="0" borderId="4573" xfId="0" applyNumberFormat="1" applyFont="1" applyBorder="1" applyAlignment="1">
      <alignment horizontal="right"/>
    </xf>
    <xf numFmtId="169" fontId="5004" fillId="0" borderId="4574" xfId="0" applyNumberFormat="1" applyFont="1" applyBorder="1" applyAlignment="1">
      <alignment horizontal="right"/>
    </xf>
    <xf numFmtId="169" fontId="5005" fillId="0" borderId="4575" xfId="0" applyNumberFormat="1" applyFont="1" applyBorder="1" applyAlignment="1">
      <alignment horizontal="right"/>
    </xf>
    <xf numFmtId="169" fontId="5006" fillId="0" borderId="4576" xfId="0" applyNumberFormat="1" applyFont="1" applyBorder="1" applyAlignment="1">
      <alignment horizontal="right"/>
    </xf>
    <xf numFmtId="169" fontId="5007" fillId="0" borderId="4577" xfId="0" applyNumberFormat="1" applyFont="1" applyBorder="1" applyAlignment="1">
      <alignment horizontal="right"/>
    </xf>
    <xf numFmtId="169" fontId="5008" fillId="0" borderId="4578" xfId="0" applyNumberFormat="1" applyFont="1" applyBorder="1" applyAlignment="1">
      <alignment horizontal="right"/>
    </xf>
    <xf numFmtId="169" fontId="5009" fillId="0" borderId="4579" xfId="0" applyNumberFormat="1" applyFont="1" applyBorder="1" applyAlignment="1">
      <alignment horizontal="right"/>
    </xf>
    <xf numFmtId="169" fontId="5010" fillId="0" borderId="4580" xfId="0" applyNumberFormat="1" applyFont="1" applyBorder="1" applyAlignment="1">
      <alignment horizontal="right"/>
    </xf>
    <xf numFmtId="0" fontId="5011" fillId="0" borderId="4581" xfId="0" applyFont="1" applyBorder="1" applyAlignment="1">
      <alignment horizontal="left"/>
    </xf>
    <xf numFmtId="169" fontId="5012" fillId="0" borderId="4582" xfId="0" applyNumberFormat="1" applyFont="1" applyBorder="1" applyAlignment="1">
      <alignment horizontal="right"/>
    </xf>
    <xf numFmtId="169" fontId="5013" fillId="0" borderId="4583" xfId="0" applyNumberFormat="1" applyFont="1" applyBorder="1" applyAlignment="1">
      <alignment horizontal="right"/>
    </xf>
    <xf numFmtId="169" fontId="5014" fillId="0" borderId="4584" xfId="0" applyNumberFormat="1" applyFont="1" applyBorder="1" applyAlignment="1">
      <alignment horizontal="right"/>
    </xf>
    <xf numFmtId="169" fontId="5015" fillId="0" borderId="4585" xfId="0" applyNumberFormat="1" applyFont="1" applyBorder="1" applyAlignment="1">
      <alignment horizontal="right"/>
    </xf>
    <xf numFmtId="169" fontId="5016" fillId="0" borderId="4586" xfId="0" applyNumberFormat="1" applyFont="1" applyBorder="1" applyAlignment="1">
      <alignment horizontal="right"/>
    </xf>
    <xf numFmtId="169" fontId="5017" fillId="0" borderId="4587" xfId="0" applyNumberFormat="1" applyFont="1" applyBorder="1" applyAlignment="1">
      <alignment horizontal="right"/>
    </xf>
    <xf numFmtId="169" fontId="5018" fillId="0" borderId="4588" xfId="0" applyNumberFormat="1" applyFont="1" applyBorder="1" applyAlignment="1">
      <alignment horizontal="right"/>
    </xf>
    <xf numFmtId="169" fontId="5019" fillId="0" borderId="4589" xfId="0" applyNumberFormat="1" applyFont="1" applyBorder="1" applyAlignment="1">
      <alignment horizontal="right"/>
    </xf>
    <xf numFmtId="0" fontId="5020" fillId="0" borderId="4590" xfId="0" applyFont="1" applyBorder="1"/>
    <xf numFmtId="0" fontId="5027" fillId="0" borderId="4597" xfId="0" applyFont="1" applyBorder="1" applyAlignment="1">
      <alignment horizontal="right"/>
    </xf>
    <xf numFmtId="0" fontId="5028" fillId="0" borderId="4598" xfId="0" applyFont="1" applyBorder="1" applyAlignment="1">
      <alignment horizontal="center"/>
    </xf>
    <xf numFmtId="0" fontId="5029" fillId="0" borderId="4599" xfId="0" applyFont="1" applyBorder="1"/>
    <xf numFmtId="0" fontId="5033" fillId="0" borderId="4603" xfId="0" applyFont="1" applyBorder="1" applyAlignment="1">
      <alignment horizontal="right"/>
    </xf>
    <xf numFmtId="0" fontId="5034" fillId="0" borderId="4604" xfId="0" applyFont="1" applyBorder="1"/>
    <xf numFmtId="0" fontId="5038" fillId="0" borderId="4608" xfId="0" applyFont="1" applyBorder="1"/>
    <xf numFmtId="2" fontId="5039" fillId="0" borderId="4609" xfId="0" applyNumberFormat="1" applyFont="1" applyBorder="1" applyAlignment="1">
      <alignment horizontal="right"/>
    </xf>
    <xf numFmtId="2" fontId="5040" fillId="0" borderId="4610" xfId="0" applyNumberFormat="1" applyFont="1" applyBorder="1" applyAlignment="1">
      <alignment horizontal="right"/>
    </xf>
    <xf numFmtId="2" fontId="5041" fillId="0" borderId="4611" xfId="0" applyNumberFormat="1" applyFont="1" applyBorder="1" applyAlignment="1">
      <alignment horizontal="right"/>
    </xf>
    <xf numFmtId="2" fontId="5042" fillId="0" borderId="4612" xfId="0" applyNumberFormat="1" applyFont="1" applyBorder="1" applyAlignment="1">
      <alignment horizontal="right"/>
    </xf>
    <xf numFmtId="2" fontId="5043" fillId="0" borderId="4613" xfId="0" applyNumberFormat="1" applyFont="1" applyBorder="1" applyAlignment="1">
      <alignment horizontal="right"/>
    </xf>
    <xf numFmtId="2" fontId="5044" fillId="0" borderId="4614" xfId="0" applyNumberFormat="1" applyFont="1" applyBorder="1" applyAlignment="1">
      <alignment horizontal="right"/>
    </xf>
    <xf numFmtId="0" fontId="5045" fillId="0" borderId="4615" xfId="0" applyFont="1" applyBorder="1"/>
    <xf numFmtId="2" fontId="5046" fillId="0" borderId="4616" xfId="0" applyNumberFormat="1" applyFont="1" applyBorder="1" applyAlignment="1">
      <alignment horizontal="center"/>
    </xf>
    <xf numFmtId="2" fontId="5047" fillId="0" borderId="4617" xfId="0" applyNumberFormat="1" applyFont="1" applyBorder="1" applyAlignment="1">
      <alignment horizontal="center"/>
    </xf>
    <xf numFmtId="2" fontId="5048" fillId="0" borderId="4618" xfId="0" applyNumberFormat="1" applyFont="1" applyBorder="1" applyAlignment="1">
      <alignment horizontal="center"/>
    </xf>
    <xf numFmtId="2" fontId="5049" fillId="0" borderId="4619" xfId="0" applyNumberFormat="1" applyFont="1" applyBorder="1" applyAlignment="1">
      <alignment horizontal="center"/>
    </xf>
    <xf numFmtId="2" fontId="5050" fillId="0" borderId="4620" xfId="0" applyNumberFormat="1" applyFont="1" applyBorder="1" applyAlignment="1">
      <alignment horizontal="center"/>
    </xf>
    <xf numFmtId="2" fontId="5051" fillId="0" borderId="4621" xfId="0" applyNumberFormat="1" applyFont="1" applyBorder="1" applyAlignment="1">
      <alignment horizontal="center"/>
    </xf>
    <xf numFmtId="0" fontId="5052" fillId="0" borderId="4622" xfId="0" applyFont="1" applyBorder="1"/>
    <xf numFmtId="2" fontId="5053" fillId="0" borderId="4623" xfId="0" applyNumberFormat="1" applyFont="1" applyBorder="1" applyAlignment="1">
      <alignment horizontal="right"/>
    </xf>
    <xf numFmtId="2" fontId="5054" fillId="0" borderId="4624" xfId="0" applyNumberFormat="1" applyFont="1" applyBorder="1" applyAlignment="1">
      <alignment horizontal="right"/>
    </xf>
    <xf numFmtId="2" fontId="5055" fillId="0" borderId="4625" xfId="0" applyNumberFormat="1" applyFont="1" applyBorder="1" applyAlignment="1">
      <alignment horizontal="right"/>
    </xf>
    <xf numFmtId="2" fontId="5056" fillId="0" borderId="4626" xfId="0" applyNumberFormat="1" applyFont="1" applyBorder="1" applyAlignment="1">
      <alignment horizontal="right"/>
    </xf>
    <xf numFmtId="2" fontId="5057" fillId="0" borderId="4627" xfId="0" applyNumberFormat="1" applyFont="1" applyBorder="1" applyAlignment="1">
      <alignment horizontal="right"/>
    </xf>
    <xf numFmtId="2" fontId="5058" fillId="0" borderId="4628" xfId="0" applyNumberFormat="1" applyFont="1" applyBorder="1" applyAlignment="1">
      <alignment horizontal="right"/>
    </xf>
    <xf numFmtId="0" fontId="5059" fillId="0" borderId="4629" xfId="0" applyFont="1" applyBorder="1" applyAlignment="1">
      <alignment horizontal="left"/>
    </xf>
    <xf numFmtId="2" fontId="5060" fillId="0" borderId="4630" xfId="0" applyNumberFormat="1" applyFont="1" applyBorder="1"/>
    <xf numFmtId="2" fontId="5061" fillId="0" borderId="4631" xfId="0" applyNumberFormat="1" applyFont="1" applyBorder="1"/>
    <xf numFmtId="2" fontId="5062" fillId="0" borderId="4632" xfId="0" applyNumberFormat="1" applyFont="1" applyBorder="1"/>
    <xf numFmtId="2" fontId="5063" fillId="0" borderId="4633" xfId="0" applyNumberFormat="1" applyFont="1" applyBorder="1"/>
    <xf numFmtId="2" fontId="5064" fillId="0" borderId="4634" xfId="0" applyNumberFormat="1" applyFont="1" applyBorder="1"/>
    <xf numFmtId="2" fontId="5065" fillId="0" borderId="4635" xfId="0" applyNumberFormat="1" applyFont="1" applyBorder="1"/>
    <xf numFmtId="0" fontId="5066" fillId="0" borderId="4636" xfId="0" applyFont="1" applyBorder="1"/>
    <xf numFmtId="0" fontId="5067" fillId="0" borderId="4637" xfId="0" applyFont="1" applyBorder="1"/>
    <xf numFmtId="0" fontId="5068" fillId="0" borderId="4638" xfId="0" applyFont="1" applyBorder="1" applyAlignment="1">
      <alignment horizontal="left"/>
    </xf>
    <xf numFmtId="169" fontId="5069" fillId="0" borderId="4639" xfId="0" applyNumberFormat="1" applyFont="1" applyBorder="1" applyAlignment="1">
      <alignment horizontal="right"/>
    </xf>
    <xf numFmtId="169" fontId="5070" fillId="0" borderId="4640" xfId="0" applyNumberFormat="1" applyFont="1" applyBorder="1" applyAlignment="1">
      <alignment horizontal="right"/>
    </xf>
    <xf numFmtId="169" fontId="5071" fillId="0" borderId="4641" xfId="0" applyNumberFormat="1" applyFont="1" applyBorder="1" applyAlignment="1">
      <alignment horizontal="right"/>
    </xf>
    <xf numFmtId="169" fontId="5072" fillId="0" borderId="4642" xfId="0" applyNumberFormat="1" applyFont="1" applyBorder="1" applyAlignment="1">
      <alignment horizontal="right"/>
    </xf>
    <xf numFmtId="169" fontId="5073" fillId="0" borderId="4643" xfId="0" applyNumberFormat="1" applyFont="1" applyBorder="1" applyAlignment="1">
      <alignment horizontal="right"/>
    </xf>
    <xf numFmtId="0" fontId="5074" fillId="0" borderId="4644" xfId="0" applyFont="1" applyBorder="1" applyAlignment="1">
      <alignment horizontal="left"/>
    </xf>
    <xf numFmtId="169" fontId="5075" fillId="0" borderId="4645" xfId="0" applyNumberFormat="1" applyFont="1" applyBorder="1" applyAlignment="1">
      <alignment horizontal="right"/>
    </xf>
    <xf numFmtId="169" fontId="5076" fillId="0" borderId="4646" xfId="0" applyNumberFormat="1" applyFont="1" applyBorder="1" applyAlignment="1">
      <alignment horizontal="right"/>
    </xf>
    <xf numFmtId="169" fontId="5077" fillId="0" borderId="4647" xfId="0" applyNumberFormat="1" applyFont="1" applyBorder="1" applyAlignment="1">
      <alignment horizontal="right"/>
    </xf>
    <xf numFmtId="169" fontId="5078" fillId="0" borderId="4648" xfId="0" applyNumberFormat="1" applyFont="1" applyBorder="1" applyAlignment="1">
      <alignment horizontal="right"/>
    </xf>
    <xf numFmtId="169" fontId="5079" fillId="0" borderId="4649" xfId="0" applyNumberFormat="1" applyFont="1" applyBorder="1" applyAlignment="1">
      <alignment horizontal="right"/>
    </xf>
    <xf numFmtId="169" fontId="5080" fillId="0" borderId="4650" xfId="0" applyNumberFormat="1" applyFont="1" applyBorder="1" applyAlignment="1">
      <alignment horizontal="right"/>
    </xf>
    <xf numFmtId="169" fontId="5081" fillId="0" borderId="4651" xfId="0" applyNumberFormat="1" applyFont="1" applyBorder="1" applyAlignment="1">
      <alignment horizontal="right"/>
    </xf>
    <xf numFmtId="169" fontId="5082" fillId="0" borderId="4652" xfId="0" applyNumberFormat="1" applyFont="1" applyBorder="1" applyAlignment="1">
      <alignment horizontal="right"/>
    </xf>
    <xf numFmtId="0" fontId="5083" fillId="0" borderId="4653" xfId="0" applyFont="1" applyBorder="1" applyAlignment="1">
      <alignment horizontal="left"/>
    </xf>
    <xf numFmtId="169" fontId="5084" fillId="0" borderId="4654" xfId="0" applyNumberFormat="1" applyFont="1" applyBorder="1" applyAlignment="1">
      <alignment horizontal="right"/>
    </xf>
    <xf numFmtId="169" fontId="5085" fillId="0" borderId="4655" xfId="0" applyNumberFormat="1" applyFont="1" applyBorder="1" applyAlignment="1">
      <alignment horizontal="right"/>
    </xf>
    <xf numFmtId="169" fontId="5086" fillId="0" borderId="4656" xfId="0" applyNumberFormat="1" applyFont="1" applyBorder="1" applyAlignment="1">
      <alignment horizontal="right"/>
    </xf>
    <xf numFmtId="169" fontId="5087" fillId="0" borderId="4657" xfId="0" applyNumberFormat="1" applyFont="1" applyBorder="1" applyAlignment="1">
      <alignment horizontal="right"/>
    </xf>
    <xf numFmtId="169" fontId="5088" fillId="0" borderId="4658" xfId="0" applyNumberFormat="1" applyFont="1" applyBorder="1" applyAlignment="1">
      <alignment horizontal="right"/>
    </xf>
    <xf numFmtId="169" fontId="5089" fillId="0" borderId="4659" xfId="0" applyNumberFormat="1" applyFont="1" applyBorder="1" applyAlignment="1">
      <alignment horizontal="right"/>
    </xf>
    <xf numFmtId="169" fontId="5090" fillId="0" borderId="4660" xfId="0" applyNumberFormat="1" applyFont="1" applyBorder="1" applyAlignment="1">
      <alignment horizontal="right"/>
    </xf>
    <xf numFmtId="169" fontId="5091" fillId="0" borderId="4661" xfId="0" applyNumberFormat="1" applyFont="1" applyBorder="1" applyAlignment="1">
      <alignment horizontal="right"/>
    </xf>
    <xf numFmtId="0" fontId="5092" fillId="0" borderId="4662" xfId="0" applyFont="1" applyBorder="1" applyAlignment="1">
      <alignment horizontal="left"/>
    </xf>
    <xf numFmtId="169" fontId="5093" fillId="0" borderId="4663" xfId="0" applyNumberFormat="1" applyFont="1" applyBorder="1" applyAlignment="1">
      <alignment horizontal="right"/>
    </xf>
    <xf numFmtId="169" fontId="5094" fillId="0" borderId="4664" xfId="0" applyNumberFormat="1" applyFont="1" applyBorder="1" applyAlignment="1">
      <alignment horizontal="right"/>
    </xf>
    <xf numFmtId="169" fontId="5095" fillId="0" borderId="4665" xfId="0" applyNumberFormat="1" applyFont="1" applyBorder="1" applyAlignment="1">
      <alignment horizontal="right"/>
    </xf>
    <xf numFmtId="169" fontId="5096" fillId="0" borderId="4666" xfId="0" applyNumberFormat="1" applyFont="1" applyBorder="1" applyAlignment="1">
      <alignment horizontal="right"/>
    </xf>
    <xf numFmtId="169" fontId="5097" fillId="0" borderId="4667" xfId="0" applyNumberFormat="1" applyFont="1" applyBorder="1" applyAlignment="1">
      <alignment horizontal="right"/>
    </xf>
    <xf numFmtId="169" fontId="5098" fillId="0" borderId="4668" xfId="0" applyNumberFormat="1" applyFont="1" applyBorder="1" applyAlignment="1">
      <alignment horizontal="right"/>
    </xf>
    <xf numFmtId="169" fontId="5099" fillId="0" borderId="4669" xfId="0" applyNumberFormat="1" applyFont="1" applyBorder="1" applyAlignment="1">
      <alignment horizontal="right"/>
    </xf>
    <xf numFmtId="169" fontId="5100" fillId="0" borderId="4670" xfId="0" applyNumberFormat="1" applyFont="1" applyBorder="1" applyAlignment="1">
      <alignment horizontal="right"/>
    </xf>
    <xf numFmtId="0" fontId="5101" fillId="0" borderId="4671" xfId="0" applyFont="1" applyBorder="1" applyAlignment="1">
      <alignment horizontal="left"/>
    </xf>
    <xf numFmtId="169" fontId="5102" fillId="0" borderId="4672" xfId="0" applyNumberFormat="1" applyFont="1" applyBorder="1" applyAlignment="1">
      <alignment horizontal="right"/>
    </xf>
    <xf numFmtId="169" fontId="5103" fillId="0" borderId="4673" xfId="0" applyNumberFormat="1" applyFont="1" applyBorder="1" applyAlignment="1">
      <alignment horizontal="right"/>
    </xf>
    <xf numFmtId="169" fontId="5104" fillId="0" borderId="4674" xfId="0" applyNumberFormat="1" applyFont="1" applyBorder="1" applyAlignment="1">
      <alignment horizontal="right"/>
    </xf>
    <xf numFmtId="169" fontId="5105" fillId="0" borderId="4675" xfId="0" applyNumberFormat="1" applyFont="1" applyBorder="1" applyAlignment="1">
      <alignment horizontal="right"/>
    </xf>
    <xf numFmtId="169" fontId="5106" fillId="0" borderId="4676" xfId="0" applyNumberFormat="1" applyFont="1" applyBorder="1" applyAlignment="1">
      <alignment horizontal="right"/>
    </xf>
    <xf numFmtId="169" fontId="5107" fillId="0" borderId="4677" xfId="0" applyNumberFormat="1" applyFont="1" applyBorder="1" applyAlignment="1">
      <alignment horizontal="right"/>
    </xf>
    <xf numFmtId="169" fontId="5108" fillId="0" borderId="4678" xfId="0" applyNumberFormat="1" applyFont="1" applyBorder="1" applyAlignment="1">
      <alignment horizontal="right"/>
    </xf>
    <xf numFmtId="169" fontId="5109" fillId="0" borderId="4679" xfId="0" applyNumberFormat="1" applyFont="1" applyBorder="1" applyAlignment="1">
      <alignment horizontal="right"/>
    </xf>
    <xf numFmtId="0" fontId="5110" fillId="0" borderId="4680" xfId="0" applyFont="1" applyBorder="1" applyAlignment="1">
      <alignment horizontal="left"/>
    </xf>
    <xf numFmtId="169" fontId="5111" fillId="0" borderId="4681" xfId="0" applyNumberFormat="1" applyFont="1" applyBorder="1" applyAlignment="1">
      <alignment horizontal="right"/>
    </xf>
    <xf numFmtId="169" fontId="5112" fillId="0" borderId="4682" xfId="0" applyNumberFormat="1" applyFont="1" applyBorder="1" applyAlignment="1">
      <alignment horizontal="right"/>
    </xf>
    <xf numFmtId="169" fontId="5113" fillId="0" borderId="4683" xfId="0" applyNumberFormat="1" applyFont="1" applyBorder="1" applyAlignment="1">
      <alignment horizontal="right"/>
    </xf>
    <xf numFmtId="169" fontId="5114" fillId="0" borderId="4684" xfId="0" applyNumberFormat="1" applyFont="1" applyBorder="1" applyAlignment="1">
      <alignment horizontal="right"/>
    </xf>
    <xf numFmtId="169" fontId="5115" fillId="0" borderId="4685" xfId="0" applyNumberFormat="1" applyFont="1" applyBorder="1" applyAlignment="1">
      <alignment horizontal="right"/>
    </xf>
    <xf numFmtId="169" fontId="5116" fillId="0" borderId="4686" xfId="0" applyNumberFormat="1" applyFont="1" applyBorder="1" applyAlignment="1">
      <alignment horizontal="right"/>
    </xf>
    <xf numFmtId="169" fontId="5117" fillId="0" borderId="4687" xfId="0" applyNumberFormat="1" applyFont="1" applyBorder="1" applyAlignment="1">
      <alignment horizontal="right"/>
    </xf>
    <xf numFmtId="169" fontId="5118" fillId="0" borderId="4688" xfId="0" applyNumberFormat="1" applyFont="1" applyBorder="1" applyAlignment="1">
      <alignment horizontal="right"/>
    </xf>
    <xf numFmtId="0" fontId="5119" fillId="0" borderId="4689" xfId="0" applyFont="1" applyBorder="1" applyAlignment="1">
      <alignment horizontal="left"/>
    </xf>
    <xf numFmtId="169" fontId="5120" fillId="0" borderId="4690" xfId="0" applyNumberFormat="1" applyFont="1" applyBorder="1" applyAlignment="1">
      <alignment horizontal="right"/>
    </xf>
    <xf numFmtId="169" fontId="5121" fillId="0" borderId="4691" xfId="0" applyNumberFormat="1" applyFont="1" applyBorder="1" applyAlignment="1">
      <alignment horizontal="right"/>
    </xf>
    <xf numFmtId="169" fontId="5122" fillId="0" borderId="4692" xfId="0" applyNumberFormat="1" applyFont="1" applyBorder="1" applyAlignment="1">
      <alignment horizontal="right"/>
    </xf>
    <xf numFmtId="169" fontId="5123" fillId="0" borderId="4693" xfId="0" applyNumberFormat="1" applyFont="1" applyBorder="1" applyAlignment="1">
      <alignment horizontal="right"/>
    </xf>
    <xf numFmtId="169" fontId="5124" fillId="0" borderId="4694" xfId="0" applyNumberFormat="1" applyFont="1" applyBorder="1" applyAlignment="1">
      <alignment horizontal="right"/>
    </xf>
    <xf numFmtId="169" fontId="5125" fillId="0" borderId="4695" xfId="0" applyNumberFormat="1" applyFont="1" applyBorder="1" applyAlignment="1">
      <alignment horizontal="right"/>
    </xf>
    <xf numFmtId="169" fontId="5126" fillId="0" borderId="4696" xfId="0" applyNumberFormat="1" applyFont="1" applyBorder="1" applyAlignment="1">
      <alignment horizontal="right"/>
    </xf>
    <xf numFmtId="169" fontId="5127" fillId="0" borderId="4697" xfId="0" applyNumberFormat="1" applyFont="1" applyBorder="1" applyAlignment="1">
      <alignment horizontal="right"/>
    </xf>
    <xf numFmtId="0" fontId="5128" fillId="0" borderId="4698" xfId="0" applyFont="1" applyBorder="1" applyAlignment="1">
      <alignment horizontal="left"/>
    </xf>
    <xf numFmtId="169" fontId="5129" fillId="0" borderId="4699" xfId="0" applyNumberFormat="1" applyFont="1" applyBorder="1" applyAlignment="1">
      <alignment horizontal="right"/>
    </xf>
    <xf numFmtId="169" fontId="5130" fillId="0" borderId="4700" xfId="0" applyNumberFormat="1" applyFont="1" applyBorder="1" applyAlignment="1">
      <alignment horizontal="right"/>
    </xf>
    <xf numFmtId="169" fontId="5131" fillId="0" borderId="4701" xfId="0" applyNumberFormat="1" applyFont="1" applyBorder="1" applyAlignment="1">
      <alignment horizontal="right"/>
    </xf>
    <xf numFmtId="169" fontId="5132" fillId="0" borderId="4702" xfId="0" applyNumberFormat="1" applyFont="1" applyBorder="1" applyAlignment="1">
      <alignment horizontal="right"/>
    </xf>
    <xf numFmtId="169" fontId="5133" fillId="0" borderId="4703" xfId="0" applyNumberFormat="1" applyFont="1" applyBorder="1" applyAlignment="1">
      <alignment horizontal="right"/>
    </xf>
    <xf numFmtId="169" fontId="5134" fillId="0" borderId="4704" xfId="0" applyNumberFormat="1" applyFont="1" applyBorder="1" applyAlignment="1">
      <alignment horizontal="right"/>
    </xf>
    <xf numFmtId="169" fontId="5135" fillId="0" borderId="4705" xfId="0" applyNumberFormat="1" applyFont="1" applyBorder="1" applyAlignment="1">
      <alignment horizontal="right"/>
    </xf>
    <xf numFmtId="169" fontId="5136" fillId="0" borderId="4706" xfId="0" applyNumberFormat="1" applyFont="1" applyBorder="1" applyAlignment="1">
      <alignment horizontal="right"/>
    </xf>
    <xf numFmtId="0" fontId="5137" fillId="0" borderId="4707" xfId="0" applyFont="1" applyBorder="1" applyAlignment="1">
      <alignment horizontal="left"/>
    </xf>
    <xf numFmtId="169" fontId="5138" fillId="0" borderId="4708" xfId="0" applyNumberFormat="1" applyFont="1" applyBorder="1" applyAlignment="1">
      <alignment horizontal="right"/>
    </xf>
    <xf numFmtId="169" fontId="5139" fillId="0" borderId="4709" xfId="0" applyNumberFormat="1" applyFont="1" applyBorder="1" applyAlignment="1">
      <alignment horizontal="right"/>
    </xf>
    <xf numFmtId="169" fontId="5140" fillId="0" borderId="4710" xfId="0" applyNumberFormat="1" applyFont="1" applyBorder="1" applyAlignment="1">
      <alignment horizontal="right"/>
    </xf>
    <xf numFmtId="169" fontId="5141" fillId="0" borderId="4711" xfId="0" applyNumberFormat="1" applyFont="1" applyBorder="1" applyAlignment="1">
      <alignment horizontal="right"/>
    </xf>
    <xf numFmtId="169" fontId="5142" fillId="0" borderId="4712" xfId="0" applyNumberFormat="1" applyFont="1" applyBorder="1" applyAlignment="1">
      <alignment horizontal="right"/>
    </xf>
    <xf numFmtId="169" fontId="5143" fillId="0" borderId="4713" xfId="0" applyNumberFormat="1" applyFont="1" applyBorder="1" applyAlignment="1">
      <alignment horizontal="right"/>
    </xf>
    <xf numFmtId="169" fontId="5144" fillId="0" borderId="4714" xfId="0" applyNumberFormat="1" applyFont="1" applyBorder="1" applyAlignment="1">
      <alignment horizontal="right"/>
    </xf>
    <xf numFmtId="169" fontId="5145" fillId="0" borderId="4715" xfId="0" applyNumberFormat="1" applyFont="1" applyBorder="1" applyAlignment="1">
      <alignment horizontal="right"/>
    </xf>
    <xf numFmtId="0" fontId="5146" fillId="0" borderId="4716" xfId="0" applyFont="1" applyBorder="1" applyAlignment="1">
      <alignment horizontal="left"/>
    </xf>
    <xf numFmtId="169" fontId="5147" fillId="0" borderId="4717" xfId="0" applyNumberFormat="1" applyFont="1" applyBorder="1" applyAlignment="1">
      <alignment horizontal="right"/>
    </xf>
    <xf numFmtId="169" fontId="5148" fillId="0" borderId="4718" xfId="0" applyNumberFormat="1" applyFont="1" applyBorder="1" applyAlignment="1">
      <alignment horizontal="right"/>
    </xf>
    <xf numFmtId="169" fontId="5149" fillId="0" borderId="4719" xfId="0" applyNumberFormat="1" applyFont="1" applyBorder="1" applyAlignment="1">
      <alignment horizontal="right"/>
    </xf>
    <xf numFmtId="169" fontId="5150" fillId="0" borderId="4720" xfId="0" applyNumberFormat="1" applyFont="1" applyBorder="1" applyAlignment="1">
      <alignment horizontal="right"/>
    </xf>
    <xf numFmtId="169" fontId="5151" fillId="0" borderId="4721" xfId="0" applyNumberFormat="1" applyFont="1" applyBorder="1" applyAlignment="1">
      <alignment horizontal="right"/>
    </xf>
    <xf numFmtId="169" fontId="5152" fillId="0" borderId="4722" xfId="0" applyNumberFormat="1" applyFont="1" applyBorder="1" applyAlignment="1">
      <alignment horizontal="right"/>
    </xf>
    <xf numFmtId="169" fontId="5153" fillId="0" borderId="4723" xfId="0" applyNumberFormat="1" applyFont="1" applyBorder="1" applyAlignment="1">
      <alignment horizontal="right"/>
    </xf>
    <xf numFmtId="169" fontId="5154" fillId="0" borderId="4724" xfId="0" applyNumberFormat="1" applyFont="1" applyBorder="1" applyAlignment="1">
      <alignment horizontal="right"/>
    </xf>
    <xf numFmtId="0" fontId="5155" fillId="0" borderId="4725" xfId="0" applyFont="1" applyBorder="1" applyAlignment="1">
      <alignment horizontal="left"/>
    </xf>
    <xf numFmtId="169" fontId="5156" fillId="0" borderId="4726" xfId="0" applyNumberFormat="1" applyFont="1" applyBorder="1" applyAlignment="1">
      <alignment horizontal="right"/>
    </xf>
    <xf numFmtId="169" fontId="5157" fillId="0" borderId="4727" xfId="0" applyNumberFormat="1" applyFont="1" applyBorder="1" applyAlignment="1">
      <alignment horizontal="right"/>
    </xf>
    <xf numFmtId="169" fontId="5158" fillId="0" borderId="4728" xfId="0" applyNumberFormat="1" applyFont="1" applyBorder="1" applyAlignment="1">
      <alignment horizontal="right"/>
    </xf>
    <xf numFmtId="169" fontId="5159" fillId="0" borderId="4729" xfId="0" applyNumberFormat="1" applyFont="1" applyBorder="1" applyAlignment="1">
      <alignment horizontal="right"/>
    </xf>
    <xf numFmtId="169" fontId="5160" fillId="0" borderId="4730" xfId="0" applyNumberFormat="1" applyFont="1" applyBorder="1" applyAlignment="1">
      <alignment horizontal="right"/>
    </xf>
    <xf numFmtId="169" fontId="5161" fillId="0" borderId="4731" xfId="0" applyNumberFormat="1" applyFont="1" applyBorder="1" applyAlignment="1">
      <alignment horizontal="right"/>
    </xf>
    <xf numFmtId="169" fontId="5162" fillId="0" borderId="4732" xfId="0" applyNumberFormat="1" applyFont="1" applyBorder="1" applyAlignment="1">
      <alignment horizontal="right"/>
    </xf>
    <xf numFmtId="169" fontId="5163" fillId="0" borderId="4733" xfId="0" applyNumberFormat="1" applyFont="1" applyBorder="1" applyAlignment="1">
      <alignment horizontal="right"/>
    </xf>
    <xf numFmtId="0" fontId="5164" fillId="0" borderId="4734" xfId="0" applyFont="1" applyBorder="1" applyAlignment="1">
      <alignment horizontal="left"/>
    </xf>
    <xf numFmtId="169" fontId="5165" fillId="0" borderId="4735" xfId="0" applyNumberFormat="1" applyFont="1" applyBorder="1" applyAlignment="1">
      <alignment horizontal="right"/>
    </xf>
    <xf numFmtId="169" fontId="5166" fillId="0" borderId="4736" xfId="0" applyNumberFormat="1" applyFont="1" applyBorder="1" applyAlignment="1">
      <alignment horizontal="right"/>
    </xf>
    <xf numFmtId="169" fontId="5167" fillId="0" borderId="4737" xfId="0" applyNumberFormat="1" applyFont="1" applyBorder="1" applyAlignment="1">
      <alignment horizontal="right"/>
    </xf>
    <xf numFmtId="169" fontId="5168" fillId="0" borderId="4738" xfId="0" applyNumberFormat="1" applyFont="1" applyBorder="1" applyAlignment="1">
      <alignment horizontal="right"/>
    </xf>
    <xf numFmtId="169" fontId="5169" fillId="0" borderId="4739" xfId="0" applyNumberFormat="1" applyFont="1" applyBorder="1" applyAlignment="1">
      <alignment horizontal="right"/>
    </xf>
    <xf numFmtId="169" fontId="5170" fillId="0" borderId="4740" xfId="0" applyNumberFormat="1" applyFont="1" applyBorder="1" applyAlignment="1">
      <alignment horizontal="right"/>
    </xf>
    <xf numFmtId="169" fontId="5171" fillId="0" borderId="4741" xfId="0" applyNumberFormat="1" applyFont="1" applyBorder="1" applyAlignment="1">
      <alignment horizontal="right"/>
    </xf>
    <xf numFmtId="169" fontId="5172" fillId="0" borderId="4742" xfId="0" applyNumberFormat="1" applyFont="1" applyBorder="1" applyAlignment="1">
      <alignment horizontal="right"/>
    </xf>
    <xf numFmtId="0" fontId="5173" fillId="0" borderId="4743" xfId="0" applyFont="1" applyBorder="1" applyAlignment="1">
      <alignment horizontal="left"/>
    </xf>
    <xf numFmtId="169" fontId="5174" fillId="0" borderId="4744" xfId="0" applyNumberFormat="1" applyFont="1" applyBorder="1" applyAlignment="1">
      <alignment horizontal="right"/>
    </xf>
    <xf numFmtId="169" fontId="5175" fillId="0" borderId="4745" xfId="0" applyNumberFormat="1" applyFont="1" applyBorder="1" applyAlignment="1">
      <alignment horizontal="right"/>
    </xf>
    <xf numFmtId="169" fontId="5176" fillId="0" borderId="4746" xfId="0" applyNumberFormat="1" applyFont="1" applyBorder="1" applyAlignment="1">
      <alignment horizontal="right"/>
    </xf>
    <xf numFmtId="169" fontId="5177" fillId="0" borderId="4747" xfId="0" applyNumberFormat="1" applyFont="1" applyBorder="1" applyAlignment="1">
      <alignment horizontal="right"/>
    </xf>
    <xf numFmtId="169" fontId="5178" fillId="0" borderId="4748" xfId="0" applyNumberFormat="1" applyFont="1" applyBorder="1" applyAlignment="1">
      <alignment horizontal="right"/>
    </xf>
    <xf numFmtId="169" fontId="5179" fillId="0" borderId="4749" xfId="0" applyNumberFormat="1" applyFont="1" applyBorder="1" applyAlignment="1">
      <alignment horizontal="right"/>
    </xf>
    <xf numFmtId="169" fontId="5180" fillId="0" borderId="4750" xfId="0" applyNumberFormat="1" applyFont="1" applyBorder="1" applyAlignment="1">
      <alignment horizontal="right"/>
    </xf>
    <xf numFmtId="169" fontId="5181" fillId="0" borderId="4751" xfId="0" applyNumberFormat="1" applyFont="1" applyBorder="1" applyAlignment="1">
      <alignment horizontal="right"/>
    </xf>
    <xf numFmtId="0" fontId="5182" fillId="0" borderId="4752" xfId="0" applyFont="1" applyBorder="1" applyAlignment="1">
      <alignment horizontal="left"/>
    </xf>
    <xf numFmtId="169" fontId="5183" fillId="0" borderId="4753" xfId="0" applyNumberFormat="1" applyFont="1" applyBorder="1" applyAlignment="1">
      <alignment horizontal="right"/>
    </xf>
    <xf numFmtId="169" fontId="5184" fillId="0" borderId="4754" xfId="0" applyNumberFormat="1" applyFont="1" applyBorder="1" applyAlignment="1">
      <alignment horizontal="right"/>
    </xf>
    <xf numFmtId="169" fontId="5185" fillId="0" borderId="4755" xfId="0" applyNumberFormat="1" applyFont="1" applyBorder="1" applyAlignment="1">
      <alignment horizontal="right"/>
    </xf>
    <xf numFmtId="169" fontId="5186" fillId="0" borderId="4756" xfId="0" applyNumberFormat="1" applyFont="1" applyBorder="1" applyAlignment="1">
      <alignment horizontal="right"/>
    </xf>
    <xf numFmtId="169" fontId="5187" fillId="0" borderId="4757" xfId="0" applyNumberFormat="1" applyFont="1" applyBorder="1" applyAlignment="1">
      <alignment horizontal="right"/>
    </xf>
    <xf numFmtId="169" fontId="5188" fillId="0" borderId="4758" xfId="0" applyNumberFormat="1" applyFont="1" applyBorder="1" applyAlignment="1">
      <alignment horizontal="right"/>
    </xf>
    <xf numFmtId="169" fontId="5189" fillId="0" borderId="4759" xfId="0" applyNumberFormat="1" applyFont="1" applyBorder="1" applyAlignment="1">
      <alignment horizontal="right"/>
    </xf>
    <xf numFmtId="169" fontId="5190" fillId="0" borderId="4760" xfId="0" applyNumberFormat="1" applyFont="1" applyBorder="1" applyAlignment="1">
      <alignment horizontal="right"/>
    </xf>
    <xf numFmtId="0" fontId="5191" fillId="0" borderId="4761" xfId="0" applyFont="1" applyBorder="1" applyAlignment="1">
      <alignment horizontal="left"/>
    </xf>
    <xf numFmtId="169" fontId="5192" fillId="0" borderId="4762" xfId="0" applyNumberFormat="1" applyFont="1" applyBorder="1" applyAlignment="1">
      <alignment horizontal="right"/>
    </xf>
    <xf numFmtId="169" fontId="5193" fillId="0" borderId="4763" xfId="0" applyNumberFormat="1" applyFont="1" applyBorder="1" applyAlignment="1">
      <alignment horizontal="right"/>
    </xf>
    <xf numFmtId="169" fontId="5194" fillId="0" borderId="4764" xfId="0" applyNumberFormat="1" applyFont="1" applyBorder="1" applyAlignment="1">
      <alignment horizontal="right"/>
    </xf>
    <xf numFmtId="169" fontId="5195" fillId="0" borderId="4765" xfId="0" applyNumberFormat="1" applyFont="1" applyBorder="1" applyAlignment="1">
      <alignment horizontal="right"/>
    </xf>
    <xf numFmtId="169" fontId="5196" fillId="0" borderId="4766" xfId="0" applyNumberFormat="1" applyFont="1" applyBorder="1" applyAlignment="1">
      <alignment horizontal="right"/>
    </xf>
    <xf numFmtId="169" fontId="5197" fillId="0" borderId="4767" xfId="0" applyNumberFormat="1" applyFont="1" applyBorder="1" applyAlignment="1">
      <alignment horizontal="right"/>
    </xf>
    <xf numFmtId="169" fontId="5198" fillId="0" borderId="4768" xfId="0" applyNumberFormat="1" applyFont="1" applyBorder="1" applyAlignment="1">
      <alignment horizontal="right"/>
    </xf>
    <xf numFmtId="169" fontId="5199" fillId="0" borderId="4769" xfId="0" applyNumberFormat="1" applyFont="1" applyBorder="1" applyAlignment="1">
      <alignment horizontal="right"/>
    </xf>
    <xf numFmtId="0" fontId="5200" fillId="0" borderId="4770" xfId="0" applyFont="1" applyBorder="1" applyAlignment="1">
      <alignment horizontal="left"/>
    </xf>
    <xf numFmtId="169" fontId="5201" fillId="0" borderId="4771" xfId="0" applyNumberFormat="1" applyFont="1" applyBorder="1" applyAlignment="1">
      <alignment horizontal="right"/>
    </xf>
    <xf numFmtId="169" fontId="5202" fillId="0" borderId="4772" xfId="0" applyNumberFormat="1" applyFont="1" applyBorder="1" applyAlignment="1">
      <alignment horizontal="right"/>
    </xf>
    <xf numFmtId="169" fontId="5203" fillId="0" borderId="4773" xfId="0" applyNumberFormat="1" applyFont="1" applyBorder="1" applyAlignment="1">
      <alignment horizontal="right"/>
    </xf>
    <xf numFmtId="169" fontId="5204" fillId="0" borderId="4774" xfId="0" applyNumberFormat="1" applyFont="1" applyBorder="1" applyAlignment="1">
      <alignment horizontal="right"/>
    </xf>
    <xf numFmtId="169" fontId="5205" fillId="0" borderId="4775" xfId="0" applyNumberFormat="1" applyFont="1" applyBorder="1" applyAlignment="1">
      <alignment horizontal="right"/>
    </xf>
    <xf numFmtId="169" fontId="5206" fillId="0" borderId="4776" xfId="0" applyNumberFormat="1" applyFont="1" applyBorder="1" applyAlignment="1">
      <alignment horizontal="right"/>
    </xf>
    <xf numFmtId="169" fontId="5207" fillId="0" borderId="4777" xfId="0" applyNumberFormat="1" applyFont="1" applyBorder="1" applyAlignment="1">
      <alignment horizontal="right"/>
    </xf>
    <xf numFmtId="169" fontId="5208" fillId="0" borderId="4778" xfId="0" applyNumberFormat="1" applyFont="1" applyBorder="1" applyAlignment="1">
      <alignment horizontal="right"/>
    </xf>
    <xf numFmtId="0" fontId="5209" fillId="0" borderId="4779" xfId="0" applyFont="1" applyBorder="1" applyAlignment="1">
      <alignment horizontal="left"/>
    </xf>
    <xf numFmtId="169" fontId="5216" fillId="0" borderId="4786" xfId="0" applyNumberFormat="1" applyFont="1" applyBorder="1" applyAlignment="1">
      <alignment horizontal="right"/>
    </xf>
    <xf numFmtId="169" fontId="5217" fillId="0" borderId="4787" xfId="0" applyNumberFormat="1" applyFont="1" applyBorder="1" applyAlignment="1">
      <alignment horizontal="center"/>
    </xf>
    <xf numFmtId="0" fontId="5218" fillId="0" borderId="4788" xfId="0" applyFont="1" applyBorder="1"/>
    <xf numFmtId="0" fontId="5222" fillId="0" borderId="4792" xfId="0" applyFont="1" applyBorder="1" applyAlignment="1">
      <alignment horizontal="right"/>
    </xf>
    <xf numFmtId="0" fontId="5223" fillId="0" borderId="4793" xfId="0" applyFont="1" applyBorder="1"/>
    <xf numFmtId="0" fontId="5227" fillId="0" borderId="4797" xfId="0" applyFont="1" applyBorder="1"/>
    <xf numFmtId="2" fontId="5228" fillId="0" borderId="4798" xfId="0" applyNumberFormat="1" applyFont="1" applyBorder="1" applyAlignment="1">
      <alignment horizontal="right"/>
    </xf>
    <xf numFmtId="2" fontId="5229" fillId="0" borderId="4799" xfId="0" applyNumberFormat="1" applyFont="1" applyBorder="1" applyAlignment="1">
      <alignment horizontal="right"/>
    </xf>
    <xf numFmtId="2" fontId="5230" fillId="0" borderId="4800" xfId="0" applyNumberFormat="1" applyFont="1" applyBorder="1" applyAlignment="1">
      <alignment horizontal="right"/>
    </xf>
    <xf numFmtId="2" fontId="5231" fillId="0" borderId="4801" xfId="0" applyNumberFormat="1" applyFont="1" applyBorder="1" applyAlignment="1">
      <alignment horizontal="right"/>
    </xf>
    <xf numFmtId="2" fontId="5232" fillId="0" borderId="4802" xfId="0" applyNumberFormat="1" applyFont="1" applyBorder="1" applyAlignment="1">
      <alignment horizontal="right"/>
    </xf>
    <xf numFmtId="2" fontId="5233" fillId="0" borderId="4803" xfId="0" applyNumberFormat="1" applyFont="1" applyBorder="1" applyAlignment="1">
      <alignment horizontal="right"/>
    </xf>
    <xf numFmtId="0" fontId="5234" fillId="0" borderId="4804" xfId="0" applyFont="1" applyBorder="1"/>
    <xf numFmtId="2" fontId="5235" fillId="0" borderId="4805" xfId="0" applyNumberFormat="1" applyFont="1" applyBorder="1" applyAlignment="1">
      <alignment horizontal="center"/>
    </xf>
    <xf numFmtId="2" fontId="5236" fillId="0" borderId="4806" xfId="0" applyNumberFormat="1" applyFont="1" applyBorder="1" applyAlignment="1">
      <alignment horizontal="center"/>
    </xf>
    <xf numFmtId="2" fontId="5237" fillId="0" borderId="4807" xfId="0" applyNumberFormat="1" applyFont="1" applyBorder="1" applyAlignment="1">
      <alignment horizontal="center"/>
    </xf>
    <xf numFmtId="2" fontId="5238" fillId="0" borderId="4808" xfId="0" applyNumberFormat="1" applyFont="1" applyBorder="1" applyAlignment="1">
      <alignment horizontal="center"/>
    </xf>
    <xf numFmtId="2" fontId="5239" fillId="0" borderId="4809" xfId="0" applyNumberFormat="1" applyFont="1" applyBorder="1" applyAlignment="1">
      <alignment horizontal="center"/>
    </xf>
    <xf numFmtId="2" fontId="5240" fillId="0" borderId="4810" xfId="0" applyNumberFormat="1" applyFont="1" applyBorder="1" applyAlignment="1">
      <alignment horizontal="center"/>
    </xf>
    <xf numFmtId="0" fontId="5241" fillId="0" borderId="4811" xfId="0" applyFont="1" applyBorder="1"/>
    <xf numFmtId="2" fontId="5242" fillId="0" borderId="4812" xfId="0" applyNumberFormat="1" applyFont="1" applyBorder="1" applyAlignment="1">
      <alignment horizontal="right"/>
    </xf>
    <xf numFmtId="2" fontId="5243" fillId="0" borderId="4813" xfId="0" applyNumberFormat="1" applyFont="1" applyBorder="1" applyAlignment="1">
      <alignment horizontal="right"/>
    </xf>
    <xf numFmtId="2" fontId="5244" fillId="0" borderId="4814" xfId="0" applyNumberFormat="1" applyFont="1" applyBorder="1" applyAlignment="1">
      <alignment horizontal="right"/>
    </xf>
    <xf numFmtId="2" fontId="5245" fillId="0" borderId="4815" xfId="0" applyNumberFormat="1" applyFont="1" applyBorder="1" applyAlignment="1">
      <alignment horizontal="right"/>
    </xf>
    <xf numFmtId="2" fontId="5246" fillId="0" borderId="4816" xfId="0" applyNumberFormat="1" applyFont="1" applyBorder="1" applyAlignment="1">
      <alignment horizontal="right"/>
    </xf>
    <xf numFmtId="2" fontId="5247" fillId="0" borderId="4817" xfId="0" applyNumberFormat="1" applyFont="1" applyBorder="1" applyAlignment="1">
      <alignment horizontal="right"/>
    </xf>
    <xf numFmtId="0" fontId="5248" fillId="0" borderId="4818" xfId="0" applyFont="1" applyBorder="1" applyAlignment="1">
      <alignment horizontal="left"/>
    </xf>
    <xf numFmtId="2" fontId="5249" fillId="0" borderId="4819" xfId="0" applyNumberFormat="1" applyFont="1" applyBorder="1"/>
    <xf numFmtId="2" fontId="5250" fillId="0" borderId="4820" xfId="0" applyNumberFormat="1" applyFont="1" applyBorder="1"/>
    <xf numFmtId="2" fontId="5251" fillId="0" borderId="4821" xfId="0" applyNumberFormat="1" applyFont="1" applyBorder="1"/>
    <xf numFmtId="2" fontId="5252" fillId="0" borderId="4822" xfId="0" applyNumberFormat="1" applyFont="1" applyBorder="1"/>
    <xf numFmtId="2" fontId="5253" fillId="0" borderId="4823" xfId="0" applyNumberFormat="1" applyFont="1" applyBorder="1"/>
    <xf numFmtId="2" fontId="5254" fillId="0" borderId="4824" xfId="0" applyNumberFormat="1" applyFont="1" applyBorder="1"/>
    <xf numFmtId="0" fontId="5255" fillId="0" borderId="4825" xfId="0" applyFont="1" applyBorder="1"/>
    <xf numFmtId="0" fontId="5256" fillId="0" borderId="4826" xfId="0" applyFont="1" applyBorder="1"/>
    <xf numFmtId="0" fontId="5257" fillId="0" borderId="4827" xfId="0" applyFont="1" applyBorder="1" applyAlignment="1">
      <alignment horizontal="left"/>
    </xf>
    <xf numFmtId="169" fontId="5258" fillId="0" borderId="4828" xfId="0" applyNumberFormat="1" applyFont="1" applyBorder="1" applyAlignment="1">
      <alignment horizontal="right"/>
    </xf>
    <xf numFmtId="169" fontId="5259" fillId="0" borderId="4829" xfId="0" applyNumberFormat="1" applyFont="1" applyBorder="1" applyAlignment="1">
      <alignment horizontal="right"/>
    </xf>
    <xf numFmtId="169" fontId="5260" fillId="0" borderId="4830" xfId="0" applyNumberFormat="1" applyFont="1" applyBorder="1" applyAlignment="1">
      <alignment horizontal="right"/>
    </xf>
    <xf numFmtId="169" fontId="5261" fillId="0" borderId="4831" xfId="0" applyNumberFormat="1" applyFont="1" applyBorder="1" applyAlignment="1">
      <alignment horizontal="right"/>
    </xf>
    <xf numFmtId="169" fontId="5262" fillId="0" borderId="4832" xfId="0" applyNumberFormat="1" applyFont="1" applyBorder="1" applyAlignment="1">
      <alignment horizontal="right"/>
    </xf>
    <xf numFmtId="169" fontId="5263" fillId="0" borderId="4833" xfId="0" applyNumberFormat="1" applyFont="1" applyBorder="1" applyAlignment="1">
      <alignment horizontal="right"/>
    </xf>
    <xf numFmtId="169" fontId="5264" fillId="0" borderId="4834" xfId="0" applyNumberFormat="1" applyFont="1" applyBorder="1" applyAlignment="1">
      <alignment horizontal="right"/>
    </xf>
    <xf numFmtId="169" fontId="5265" fillId="0" borderId="4835" xfId="0" applyNumberFormat="1" applyFont="1" applyBorder="1" applyAlignment="1">
      <alignment horizontal="right"/>
    </xf>
    <xf numFmtId="0" fontId="5266" fillId="0" borderId="4836" xfId="0" applyFont="1" applyBorder="1" applyAlignment="1">
      <alignment horizontal="left"/>
    </xf>
    <xf numFmtId="169" fontId="5267" fillId="0" borderId="4837" xfId="0" applyNumberFormat="1" applyFont="1" applyBorder="1" applyAlignment="1">
      <alignment horizontal="right"/>
    </xf>
    <xf numFmtId="169" fontId="5268" fillId="0" borderId="4838" xfId="0" applyNumberFormat="1" applyFont="1" applyBorder="1" applyAlignment="1">
      <alignment horizontal="right"/>
    </xf>
    <xf numFmtId="169" fontId="5269" fillId="0" borderId="4839" xfId="0" applyNumberFormat="1" applyFont="1" applyBorder="1" applyAlignment="1">
      <alignment horizontal="right"/>
    </xf>
    <xf numFmtId="169" fontId="5270" fillId="0" borderId="4840" xfId="0" applyNumberFormat="1" applyFont="1" applyBorder="1" applyAlignment="1">
      <alignment horizontal="right"/>
    </xf>
    <xf numFmtId="169" fontId="5271" fillId="0" borderId="4841" xfId="0" applyNumberFormat="1" applyFont="1" applyBorder="1" applyAlignment="1">
      <alignment horizontal="right"/>
    </xf>
    <xf numFmtId="169" fontId="5272" fillId="0" borderId="4842" xfId="0" applyNumberFormat="1" applyFont="1" applyBorder="1" applyAlignment="1">
      <alignment horizontal="right"/>
    </xf>
    <xf numFmtId="169" fontId="5273" fillId="0" borderId="4843" xfId="0" applyNumberFormat="1" applyFont="1" applyBorder="1" applyAlignment="1">
      <alignment horizontal="right"/>
    </xf>
    <xf numFmtId="169" fontId="5274" fillId="0" borderId="4844" xfId="0" applyNumberFormat="1" applyFont="1" applyBorder="1" applyAlignment="1">
      <alignment horizontal="right"/>
    </xf>
    <xf numFmtId="0" fontId="5275" fillId="0" borderId="4845" xfId="0" applyFont="1" applyBorder="1" applyAlignment="1">
      <alignment horizontal="left"/>
    </xf>
    <xf numFmtId="169" fontId="5276" fillId="0" borderId="4846" xfId="0" applyNumberFormat="1" applyFont="1" applyBorder="1" applyAlignment="1">
      <alignment horizontal="right"/>
    </xf>
    <xf numFmtId="169" fontId="5277" fillId="0" borderId="4847" xfId="0" applyNumberFormat="1" applyFont="1" applyBorder="1" applyAlignment="1">
      <alignment horizontal="right"/>
    </xf>
    <xf numFmtId="169" fontId="5278" fillId="0" borderId="4848" xfId="0" applyNumberFormat="1" applyFont="1" applyBorder="1" applyAlignment="1">
      <alignment horizontal="right"/>
    </xf>
    <xf numFmtId="169" fontId="5279" fillId="0" borderId="4849" xfId="0" applyNumberFormat="1" applyFont="1" applyBorder="1" applyAlignment="1">
      <alignment horizontal="right"/>
    </xf>
    <xf numFmtId="169" fontId="5280" fillId="0" borderId="4850" xfId="0" applyNumberFormat="1" applyFont="1" applyBorder="1" applyAlignment="1">
      <alignment horizontal="right"/>
    </xf>
    <xf numFmtId="169" fontId="5281" fillId="0" borderId="4851" xfId="0" applyNumberFormat="1" applyFont="1" applyBorder="1" applyAlignment="1">
      <alignment horizontal="right"/>
    </xf>
    <xf numFmtId="169" fontId="5282" fillId="0" borderId="4852" xfId="0" applyNumberFormat="1" applyFont="1" applyBorder="1" applyAlignment="1">
      <alignment horizontal="right"/>
    </xf>
    <xf numFmtId="169" fontId="5283" fillId="0" borderId="4853" xfId="0" applyNumberFormat="1" applyFont="1" applyBorder="1" applyAlignment="1">
      <alignment horizontal="right"/>
    </xf>
    <xf numFmtId="0" fontId="5284" fillId="0" borderId="4854" xfId="0" applyFont="1" applyBorder="1" applyAlignment="1">
      <alignment horizontal="left"/>
    </xf>
    <xf numFmtId="169" fontId="5285" fillId="0" borderId="4855" xfId="0" applyNumberFormat="1" applyFont="1" applyBorder="1" applyAlignment="1">
      <alignment horizontal="right"/>
    </xf>
    <xf numFmtId="169" fontId="5286" fillId="0" borderId="4856" xfId="0" applyNumberFormat="1" applyFont="1" applyBorder="1" applyAlignment="1">
      <alignment horizontal="right"/>
    </xf>
    <xf numFmtId="169" fontId="5287" fillId="0" borderId="4857" xfId="0" applyNumberFormat="1" applyFont="1" applyBorder="1" applyAlignment="1">
      <alignment horizontal="right"/>
    </xf>
    <xf numFmtId="169" fontId="5288" fillId="0" borderId="4858" xfId="0" applyNumberFormat="1" applyFont="1" applyBorder="1" applyAlignment="1">
      <alignment horizontal="right"/>
    </xf>
    <xf numFmtId="169" fontId="5289" fillId="0" borderId="4859" xfId="0" applyNumberFormat="1" applyFont="1" applyBorder="1" applyAlignment="1">
      <alignment horizontal="right"/>
    </xf>
    <xf numFmtId="169" fontId="5290" fillId="0" borderId="4860" xfId="0" applyNumberFormat="1" applyFont="1" applyBorder="1" applyAlignment="1">
      <alignment horizontal="right"/>
    </xf>
    <xf numFmtId="169" fontId="5291" fillId="0" borderId="4861" xfId="0" applyNumberFormat="1" applyFont="1" applyBorder="1" applyAlignment="1">
      <alignment horizontal="right"/>
    </xf>
    <xf numFmtId="169" fontId="5292" fillId="0" borderId="4862" xfId="0" applyNumberFormat="1" applyFont="1" applyBorder="1" applyAlignment="1">
      <alignment horizontal="right"/>
    </xf>
    <xf numFmtId="0" fontId="5293" fillId="0" borderId="4863" xfId="0" applyFont="1" applyBorder="1" applyAlignment="1">
      <alignment horizontal="left"/>
    </xf>
    <xf numFmtId="169" fontId="5294" fillId="0" borderId="4864" xfId="0" applyNumberFormat="1" applyFont="1" applyBorder="1" applyAlignment="1">
      <alignment horizontal="right"/>
    </xf>
    <xf numFmtId="169" fontId="5295" fillId="0" borderId="4865" xfId="0" applyNumberFormat="1" applyFont="1" applyBorder="1" applyAlignment="1">
      <alignment horizontal="right"/>
    </xf>
    <xf numFmtId="169" fontId="5296" fillId="0" borderId="4866" xfId="0" applyNumberFormat="1" applyFont="1" applyBorder="1" applyAlignment="1">
      <alignment horizontal="right"/>
    </xf>
    <xf numFmtId="169" fontId="5297" fillId="0" borderId="4867" xfId="0" applyNumberFormat="1" applyFont="1" applyBorder="1" applyAlignment="1">
      <alignment horizontal="right"/>
    </xf>
    <xf numFmtId="169" fontId="5298" fillId="0" borderId="4868" xfId="0" applyNumberFormat="1" applyFont="1" applyBorder="1" applyAlignment="1">
      <alignment horizontal="right"/>
    </xf>
    <xf numFmtId="169" fontId="5299" fillId="0" borderId="4869" xfId="0" applyNumberFormat="1" applyFont="1" applyBorder="1" applyAlignment="1">
      <alignment horizontal="right"/>
    </xf>
    <xf numFmtId="169" fontId="5300" fillId="0" borderId="4870" xfId="0" applyNumberFormat="1" applyFont="1" applyBorder="1" applyAlignment="1">
      <alignment horizontal="right"/>
    </xf>
    <xf numFmtId="169" fontId="5301" fillId="0" borderId="4871" xfId="0" applyNumberFormat="1" applyFont="1" applyBorder="1" applyAlignment="1">
      <alignment horizontal="right"/>
    </xf>
    <xf numFmtId="0" fontId="5302" fillId="0" borderId="4872" xfId="0" applyFont="1" applyBorder="1" applyAlignment="1">
      <alignment horizontal="left"/>
    </xf>
    <xf numFmtId="169" fontId="5303" fillId="0" borderId="4873" xfId="0" applyNumberFormat="1" applyFont="1" applyBorder="1" applyAlignment="1">
      <alignment horizontal="right"/>
    </xf>
    <xf numFmtId="169" fontId="5304" fillId="0" borderId="4874" xfId="0" applyNumberFormat="1" applyFont="1" applyBorder="1" applyAlignment="1">
      <alignment horizontal="right"/>
    </xf>
    <xf numFmtId="169" fontId="5305" fillId="0" borderId="4875" xfId="0" applyNumberFormat="1" applyFont="1" applyBorder="1" applyAlignment="1">
      <alignment horizontal="right"/>
    </xf>
    <xf numFmtId="169" fontId="5306" fillId="0" borderId="4876" xfId="0" applyNumberFormat="1" applyFont="1" applyBorder="1" applyAlignment="1">
      <alignment horizontal="right"/>
    </xf>
    <xf numFmtId="169" fontId="5307" fillId="0" borderId="4877" xfId="0" applyNumberFormat="1" applyFont="1" applyBorder="1" applyAlignment="1">
      <alignment horizontal="right"/>
    </xf>
    <xf numFmtId="169" fontId="5308" fillId="0" borderId="4878" xfId="0" applyNumberFormat="1" applyFont="1" applyBorder="1" applyAlignment="1">
      <alignment horizontal="right"/>
    </xf>
    <xf numFmtId="169" fontId="5309" fillId="0" borderId="4879" xfId="0" applyNumberFormat="1" applyFont="1" applyBorder="1" applyAlignment="1">
      <alignment horizontal="right"/>
    </xf>
    <xf numFmtId="169" fontId="5310" fillId="0" borderId="4880" xfId="0" applyNumberFormat="1" applyFont="1" applyBorder="1" applyAlignment="1">
      <alignment horizontal="right"/>
    </xf>
    <xf numFmtId="0" fontId="5311" fillId="0" borderId="4881" xfId="0" applyFont="1" applyBorder="1" applyAlignment="1">
      <alignment horizontal="left"/>
    </xf>
    <xf numFmtId="169" fontId="5312" fillId="0" borderId="4882" xfId="0" applyNumberFormat="1" applyFont="1" applyBorder="1" applyAlignment="1">
      <alignment horizontal="right"/>
    </xf>
    <xf numFmtId="169" fontId="5313" fillId="0" borderId="4883" xfId="0" applyNumberFormat="1" applyFont="1" applyBorder="1" applyAlignment="1">
      <alignment horizontal="right"/>
    </xf>
    <xf numFmtId="169" fontId="5314" fillId="0" borderId="4884" xfId="0" applyNumberFormat="1" applyFont="1" applyBorder="1" applyAlignment="1">
      <alignment horizontal="right"/>
    </xf>
    <xf numFmtId="169" fontId="5315" fillId="0" borderId="4885" xfId="0" applyNumberFormat="1" applyFont="1" applyBorder="1" applyAlignment="1">
      <alignment horizontal="right"/>
    </xf>
    <xf numFmtId="169" fontId="5316" fillId="0" borderId="4886" xfId="0" applyNumberFormat="1" applyFont="1" applyBorder="1" applyAlignment="1">
      <alignment horizontal="right"/>
    </xf>
    <xf numFmtId="169" fontId="5317" fillId="0" borderId="4887" xfId="0" applyNumberFormat="1" applyFont="1" applyBorder="1" applyAlignment="1">
      <alignment horizontal="right"/>
    </xf>
    <xf numFmtId="169" fontId="5318" fillId="0" borderId="4888" xfId="0" applyNumberFormat="1" applyFont="1" applyBorder="1" applyAlignment="1">
      <alignment horizontal="right"/>
    </xf>
    <xf numFmtId="169" fontId="5319" fillId="0" borderId="4889" xfId="0" applyNumberFormat="1" applyFont="1" applyBorder="1" applyAlignment="1">
      <alignment horizontal="right"/>
    </xf>
    <xf numFmtId="0" fontId="5320" fillId="0" borderId="4890" xfId="0" applyFont="1" applyBorder="1" applyAlignment="1">
      <alignment horizontal="left"/>
    </xf>
    <xf numFmtId="169" fontId="5321" fillId="0" borderId="4891" xfId="0" applyNumberFormat="1" applyFont="1" applyBorder="1" applyAlignment="1">
      <alignment horizontal="right"/>
    </xf>
    <xf numFmtId="169" fontId="5322" fillId="0" borderId="4892" xfId="0" applyNumberFormat="1" applyFont="1" applyBorder="1" applyAlignment="1">
      <alignment horizontal="right"/>
    </xf>
    <xf numFmtId="169" fontId="5323" fillId="0" borderId="4893" xfId="0" applyNumberFormat="1" applyFont="1" applyBorder="1" applyAlignment="1">
      <alignment horizontal="right"/>
    </xf>
    <xf numFmtId="169" fontId="5324" fillId="0" borderId="4894" xfId="0" applyNumberFormat="1" applyFont="1" applyBorder="1" applyAlignment="1">
      <alignment horizontal="right"/>
    </xf>
    <xf numFmtId="169" fontId="5325" fillId="0" borderId="4895" xfId="0" applyNumberFormat="1" applyFont="1" applyBorder="1" applyAlignment="1">
      <alignment horizontal="right"/>
    </xf>
    <xf numFmtId="169" fontId="5326" fillId="0" borderId="4896" xfId="0" applyNumberFormat="1" applyFont="1" applyBorder="1" applyAlignment="1">
      <alignment horizontal="right"/>
    </xf>
    <xf numFmtId="169" fontId="5327" fillId="0" borderId="4897" xfId="0" applyNumberFormat="1" applyFont="1" applyBorder="1" applyAlignment="1">
      <alignment horizontal="right"/>
    </xf>
    <xf numFmtId="169" fontId="5328" fillId="0" borderId="4898" xfId="0" applyNumberFormat="1" applyFont="1" applyBorder="1" applyAlignment="1">
      <alignment horizontal="right"/>
    </xf>
    <xf numFmtId="0" fontId="5329" fillId="0" borderId="4899" xfId="0" applyFont="1" applyBorder="1" applyAlignment="1">
      <alignment horizontal="left"/>
    </xf>
    <xf numFmtId="169" fontId="5330" fillId="0" borderId="4900" xfId="0" applyNumberFormat="1" applyFont="1" applyBorder="1" applyAlignment="1">
      <alignment horizontal="right"/>
    </xf>
    <xf numFmtId="169" fontId="5331" fillId="0" borderId="4901" xfId="0" applyNumberFormat="1" applyFont="1" applyBorder="1" applyAlignment="1">
      <alignment horizontal="right"/>
    </xf>
    <xf numFmtId="169" fontId="5332" fillId="0" borderId="4902" xfId="0" applyNumberFormat="1" applyFont="1" applyBorder="1" applyAlignment="1">
      <alignment horizontal="right"/>
    </xf>
    <xf numFmtId="169" fontId="5333" fillId="0" borderId="4903" xfId="0" applyNumberFormat="1" applyFont="1" applyBorder="1" applyAlignment="1">
      <alignment horizontal="right"/>
    </xf>
    <xf numFmtId="169" fontId="5334" fillId="0" borderId="4904" xfId="0" applyNumberFormat="1" applyFont="1" applyBorder="1" applyAlignment="1">
      <alignment horizontal="right"/>
    </xf>
    <xf numFmtId="169" fontId="5335" fillId="0" borderId="4905" xfId="0" applyNumberFormat="1" applyFont="1" applyBorder="1" applyAlignment="1">
      <alignment horizontal="right"/>
    </xf>
    <xf numFmtId="169" fontId="5336" fillId="0" borderId="4906" xfId="0" applyNumberFormat="1" applyFont="1" applyBorder="1" applyAlignment="1">
      <alignment horizontal="right"/>
    </xf>
    <xf numFmtId="169" fontId="5337" fillId="0" borderId="4907" xfId="0" applyNumberFormat="1" applyFont="1" applyBorder="1" applyAlignment="1">
      <alignment horizontal="right"/>
    </xf>
    <xf numFmtId="0" fontId="5338" fillId="0" borderId="4908" xfId="0" applyFont="1" applyBorder="1" applyAlignment="1">
      <alignment horizontal="left"/>
    </xf>
    <xf numFmtId="169" fontId="5339" fillId="0" borderId="4909" xfId="0" applyNumberFormat="1" applyFont="1" applyBorder="1" applyAlignment="1">
      <alignment horizontal="right"/>
    </xf>
    <xf numFmtId="169" fontId="5340" fillId="0" borderId="4910" xfId="0" applyNumberFormat="1" applyFont="1" applyBorder="1" applyAlignment="1">
      <alignment horizontal="right"/>
    </xf>
    <xf numFmtId="169" fontId="5341" fillId="0" borderId="4911" xfId="0" applyNumberFormat="1" applyFont="1" applyBorder="1" applyAlignment="1">
      <alignment horizontal="right"/>
    </xf>
    <xf numFmtId="169" fontId="5342" fillId="0" borderId="4912" xfId="0" applyNumberFormat="1" applyFont="1" applyBorder="1" applyAlignment="1">
      <alignment horizontal="right"/>
    </xf>
    <xf numFmtId="169" fontId="5343" fillId="0" borderId="4913" xfId="0" applyNumberFormat="1" applyFont="1" applyBorder="1" applyAlignment="1">
      <alignment horizontal="right"/>
    </xf>
    <xf numFmtId="169" fontId="5344" fillId="0" borderId="4914" xfId="0" applyNumberFormat="1" applyFont="1" applyBorder="1" applyAlignment="1">
      <alignment horizontal="right"/>
    </xf>
    <xf numFmtId="169" fontId="5345" fillId="0" borderId="4915" xfId="0" applyNumberFormat="1" applyFont="1" applyBorder="1" applyAlignment="1">
      <alignment horizontal="right"/>
    </xf>
    <xf numFmtId="169" fontId="5346" fillId="0" borderId="4916" xfId="0" applyNumberFormat="1" applyFont="1" applyBorder="1" applyAlignment="1">
      <alignment horizontal="right"/>
    </xf>
    <xf numFmtId="0" fontId="5347" fillId="0" borderId="4917" xfId="0" applyFont="1" applyBorder="1" applyAlignment="1">
      <alignment horizontal="left"/>
    </xf>
    <xf numFmtId="169" fontId="5348" fillId="0" borderId="4918" xfId="0" applyNumberFormat="1" applyFont="1" applyBorder="1" applyAlignment="1">
      <alignment horizontal="right"/>
    </xf>
    <xf numFmtId="169" fontId="5349" fillId="0" borderId="4919" xfId="0" applyNumberFormat="1" applyFont="1" applyBorder="1" applyAlignment="1">
      <alignment horizontal="right"/>
    </xf>
    <xf numFmtId="169" fontId="5350" fillId="0" borderId="4920" xfId="0" applyNumberFormat="1" applyFont="1" applyBorder="1" applyAlignment="1">
      <alignment horizontal="right"/>
    </xf>
    <xf numFmtId="169" fontId="5351" fillId="0" borderId="4921" xfId="0" applyNumberFormat="1" applyFont="1" applyBorder="1" applyAlignment="1">
      <alignment horizontal="right"/>
    </xf>
    <xf numFmtId="169" fontId="5352" fillId="0" borderId="4922" xfId="0" applyNumberFormat="1" applyFont="1" applyBorder="1" applyAlignment="1">
      <alignment horizontal="right"/>
    </xf>
    <xf numFmtId="169" fontId="5353" fillId="0" borderId="4923" xfId="0" applyNumberFormat="1" applyFont="1" applyBorder="1" applyAlignment="1">
      <alignment horizontal="right"/>
    </xf>
    <xf numFmtId="169" fontId="5354" fillId="0" borderId="4924" xfId="0" applyNumberFormat="1" applyFont="1" applyBorder="1" applyAlignment="1">
      <alignment horizontal="right"/>
    </xf>
    <xf numFmtId="169" fontId="5355" fillId="0" borderId="4925" xfId="0" applyNumberFormat="1" applyFont="1" applyBorder="1" applyAlignment="1">
      <alignment horizontal="right"/>
    </xf>
    <xf numFmtId="0" fontId="5356" fillId="0" borderId="4926" xfId="0" applyFont="1" applyBorder="1" applyAlignment="1">
      <alignment horizontal="left"/>
    </xf>
    <xf numFmtId="169" fontId="5357" fillId="0" borderId="4927" xfId="0" applyNumberFormat="1" applyFont="1" applyBorder="1" applyAlignment="1">
      <alignment horizontal="right"/>
    </xf>
    <xf numFmtId="169" fontId="5358" fillId="0" borderId="4928" xfId="0" applyNumberFormat="1" applyFont="1" applyBorder="1" applyAlignment="1">
      <alignment horizontal="right"/>
    </xf>
    <xf numFmtId="169" fontId="5359" fillId="0" borderId="4929" xfId="0" applyNumberFormat="1" applyFont="1" applyBorder="1" applyAlignment="1">
      <alignment horizontal="right"/>
    </xf>
    <xf numFmtId="169" fontId="5360" fillId="0" borderId="4930" xfId="0" applyNumberFormat="1" applyFont="1" applyBorder="1" applyAlignment="1">
      <alignment horizontal="right"/>
    </xf>
    <xf numFmtId="169" fontId="5361" fillId="0" borderId="4931" xfId="0" applyNumberFormat="1" applyFont="1" applyBorder="1" applyAlignment="1">
      <alignment horizontal="right"/>
    </xf>
    <xf numFmtId="169" fontId="5362" fillId="0" borderId="4932" xfId="0" applyNumberFormat="1" applyFont="1" applyBorder="1" applyAlignment="1">
      <alignment horizontal="right"/>
    </xf>
    <xf numFmtId="169" fontId="5363" fillId="0" borderId="4933" xfId="0" applyNumberFormat="1" applyFont="1" applyBorder="1" applyAlignment="1">
      <alignment horizontal="right"/>
    </xf>
    <xf numFmtId="169" fontId="5364" fillId="0" borderId="4934" xfId="0" applyNumberFormat="1" applyFont="1" applyBorder="1" applyAlignment="1">
      <alignment horizontal="right"/>
    </xf>
    <xf numFmtId="0" fontId="5365" fillId="0" borderId="4935" xfId="0" applyFont="1" applyBorder="1" applyAlignment="1">
      <alignment horizontal="left"/>
    </xf>
    <xf numFmtId="169" fontId="5366" fillId="0" borderId="4936" xfId="0" applyNumberFormat="1" applyFont="1" applyBorder="1" applyAlignment="1">
      <alignment horizontal="right"/>
    </xf>
    <xf numFmtId="169" fontId="5367" fillId="0" borderId="4937" xfId="0" applyNumberFormat="1" applyFont="1" applyBorder="1" applyAlignment="1">
      <alignment horizontal="right"/>
    </xf>
    <xf numFmtId="169" fontId="5368" fillId="0" borderId="4938" xfId="0" applyNumberFormat="1" applyFont="1" applyBorder="1" applyAlignment="1">
      <alignment horizontal="right"/>
    </xf>
    <xf numFmtId="169" fontId="5369" fillId="0" borderId="4939" xfId="0" applyNumberFormat="1" applyFont="1" applyBorder="1" applyAlignment="1">
      <alignment horizontal="right"/>
    </xf>
    <xf numFmtId="169" fontId="5370" fillId="0" borderId="4940" xfId="0" applyNumberFormat="1" applyFont="1" applyBorder="1" applyAlignment="1">
      <alignment horizontal="right"/>
    </xf>
    <xf numFmtId="169" fontId="5371" fillId="0" borderId="4941" xfId="0" applyNumberFormat="1" applyFont="1" applyBorder="1" applyAlignment="1">
      <alignment horizontal="right"/>
    </xf>
    <xf numFmtId="169" fontId="5372" fillId="0" borderId="4942" xfId="0" applyNumberFormat="1" applyFont="1" applyBorder="1" applyAlignment="1">
      <alignment horizontal="right"/>
    </xf>
    <xf numFmtId="169" fontId="5373" fillId="0" borderId="4943" xfId="0" applyNumberFormat="1" applyFont="1" applyBorder="1" applyAlignment="1">
      <alignment horizontal="right"/>
    </xf>
    <xf numFmtId="0" fontId="5374" fillId="0" borderId="4944" xfId="0" applyFont="1" applyBorder="1" applyAlignment="1">
      <alignment horizontal="left"/>
    </xf>
    <xf numFmtId="169" fontId="5375" fillId="0" borderId="4945" xfId="0" applyNumberFormat="1" applyFont="1" applyBorder="1" applyAlignment="1">
      <alignment horizontal="right"/>
    </xf>
    <xf numFmtId="169" fontId="5376" fillId="0" borderId="4946" xfId="0" applyNumberFormat="1" applyFont="1" applyBorder="1" applyAlignment="1">
      <alignment horizontal="right"/>
    </xf>
    <xf numFmtId="169" fontId="5377" fillId="0" borderId="4947" xfId="0" applyNumberFormat="1" applyFont="1" applyBorder="1" applyAlignment="1">
      <alignment horizontal="right"/>
    </xf>
    <xf numFmtId="169" fontId="5378" fillId="0" borderId="4948" xfId="0" applyNumberFormat="1" applyFont="1" applyBorder="1" applyAlignment="1">
      <alignment horizontal="right"/>
    </xf>
    <xf numFmtId="169" fontId="5379" fillId="0" borderId="4949" xfId="0" applyNumberFormat="1" applyFont="1" applyBorder="1" applyAlignment="1">
      <alignment horizontal="right"/>
    </xf>
    <xf numFmtId="169" fontId="5380" fillId="0" borderId="4950" xfId="0" applyNumberFormat="1" applyFont="1" applyBorder="1" applyAlignment="1">
      <alignment horizontal="right"/>
    </xf>
    <xf numFmtId="169" fontId="5381" fillId="0" borderId="4951" xfId="0" applyNumberFormat="1" applyFont="1" applyBorder="1" applyAlignment="1">
      <alignment horizontal="right"/>
    </xf>
    <xf numFmtId="169" fontId="5382" fillId="0" borderId="4952" xfId="0" applyNumberFormat="1" applyFont="1" applyBorder="1" applyAlignment="1">
      <alignment horizontal="right"/>
    </xf>
    <xf numFmtId="0" fontId="5383" fillId="0" borderId="4953" xfId="0" applyFont="1" applyBorder="1" applyAlignment="1">
      <alignment horizontal="left"/>
    </xf>
    <xf numFmtId="169" fontId="5384" fillId="0" borderId="4954" xfId="0" applyNumberFormat="1" applyFont="1" applyBorder="1" applyAlignment="1">
      <alignment horizontal="right"/>
    </xf>
    <xf numFmtId="169" fontId="5385" fillId="0" borderId="4955" xfId="0" applyNumberFormat="1" applyFont="1" applyBorder="1" applyAlignment="1">
      <alignment horizontal="right"/>
    </xf>
    <xf numFmtId="169" fontId="5386" fillId="0" borderId="4956" xfId="0" applyNumberFormat="1" applyFont="1" applyBorder="1" applyAlignment="1">
      <alignment horizontal="right"/>
    </xf>
    <xf numFmtId="169" fontId="5387" fillId="0" borderId="4957" xfId="0" applyNumberFormat="1" applyFont="1" applyBorder="1" applyAlignment="1">
      <alignment horizontal="right"/>
    </xf>
    <xf numFmtId="169" fontId="5388" fillId="0" borderId="4958" xfId="0" applyNumberFormat="1" applyFont="1" applyBorder="1" applyAlignment="1">
      <alignment horizontal="right"/>
    </xf>
    <xf numFmtId="169" fontId="5389" fillId="0" borderId="4959" xfId="0" applyNumberFormat="1" applyFont="1" applyBorder="1" applyAlignment="1">
      <alignment horizontal="right"/>
    </xf>
    <xf numFmtId="169" fontId="5390" fillId="0" borderId="4960" xfId="0" applyNumberFormat="1" applyFont="1" applyBorder="1" applyAlignment="1">
      <alignment horizontal="right"/>
    </xf>
    <xf numFmtId="169" fontId="5391" fillId="0" borderId="4961" xfId="0" applyNumberFormat="1" applyFont="1" applyBorder="1" applyAlignment="1">
      <alignment horizontal="right"/>
    </xf>
    <xf numFmtId="0" fontId="5392" fillId="0" borderId="4962" xfId="0" applyFont="1" applyBorder="1" applyAlignment="1">
      <alignment horizontal="left"/>
    </xf>
    <xf numFmtId="2" fontId="5393" fillId="0" borderId="4963" xfId="0" applyNumberFormat="1" applyFont="1" applyBorder="1"/>
    <xf numFmtId="2" fontId="5394" fillId="0" borderId="4964" xfId="0" applyNumberFormat="1" applyFont="1" applyBorder="1"/>
    <xf numFmtId="2" fontId="5395" fillId="0" borderId="4965" xfId="0" applyNumberFormat="1" applyFont="1" applyBorder="1"/>
    <xf numFmtId="2" fontId="5396" fillId="0" borderId="4966" xfId="0" applyNumberFormat="1" applyFont="1" applyBorder="1"/>
    <xf numFmtId="2" fontId="5397" fillId="0" borderId="4967" xfId="0" applyNumberFormat="1" applyFont="1" applyBorder="1"/>
    <xf numFmtId="2" fontId="5398" fillId="0" borderId="4968" xfId="0" applyNumberFormat="1" applyFont="1" applyBorder="1"/>
    <xf numFmtId="169" fontId="5399" fillId="0" borderId="4969" xfId="0" applyNumberFormat="1" applyFont="1" applyBorder="1" applyAlignment="1">
      <alignment horizontal="right"/>
    </xf>
    <xf numFmtId="169" fontId="5400" fillId="0" borderId="4970" xfId="0" applyNumberFormat="1" applyFont="1" applyBorder="1" applyAlignment="1">
      <alignment horizontal="right"/>
    </xf>
    <xf numFmtId="2" fontId="5210" fillId="0" borderId="4780" xfId="0" applyNumberFormat="1" applyFont="1" applyBorder="1"/>
    <xf numFmtId="2" fontId="5211" fillId="0" borderId="4781" xfId="0" applyNumberFormat="1" applyFont="1" applyBorder="1"/>
    <xf numFmtId="2" fontId="5212" fillId="0" borderId="4782" xfId="0" applyNumberFormat="1" applyFont="1" applyBorder="1"/>
    <xf numFmtId="2" fontId="5213" fillId="0" borderId="4783" xfId="0" applyNumberFormat="1" applyFont="1" applyBorder="1"/>
    <xf numFmtId="2" fontId="5214" fillId="0" borderId="4784" xfId="0" applyNumberFormat="1" applyFont="1" applyBorder="1"/>
    <xf numFmtId="2" fontId="5215" fillId="0" borderId="4785" xfId="0" applyNumberFormat="1" applyFont="1" applyBorder="1"/>
    <xf numFmtId="2" fontId="5219" fillId="0" borderId="4789" xfId="0" applyNumberFormat="1" applyFont="1" applyBorder="1"/>
    <xf numFmtId="2" fontId="5220" fillId="0" borderId="4790" xfId="0" applyNumberFormat="1" applyFont="1" applyBorder="1"/>
    <xf numFmtId="2" fontId="5221" fillId="0" borderId="4791" xfId="0" applyNumberFormat="1" applyFont="1" applyBorder="1"/>
    <xf numFmtId="2" fontId="5224" fillId="0" borderId="4794" xfId="0" applyNumberFormat="1" applyFont="1" applyBorder="1"/>
    <xf numFmtId="2" fontId="5225" fillId="0" borderId="4795" xfId="0" applyNumberFormat="1" applyFont="1" applyBorder="1"/>
    <xf numFmtId="2" fontId="5226" fillId="0" borderId="4796" xfId="0" applyNumberFormat="1" applyFont="1" applyBorder="1"/>
    <xf numFmtId="2" fontId="5021" fillId="0" borderId="4591" xfId="0" applyNumberFormat="1" applyFont="1" applyBorder="1"/>
    <xf numFmtId="2" fontId="5022" fillId="0" borderId="4592" xfId="0" applyNumberFormat="1" applyFont="1" applyBorder="1"/>
    <xf numFmtId="2" fontId="5023" fillId="0" borderId="4593" xfId="0" applyNumberFormat="1" applyFont="1" applyBorder="1"/>
    <xf numFmtId="2" fontId="5024" fillId="0" borderId="4594" xfId="0" applyNumberFormat="1" applyFont="1" applyBorder="1"/>
    <xf numFmtId="2" fontId="5025" fillId="0" borderId="4595" xfId="0" applyNumberFormat="1" applyFont="1" applyBorder="1"/>
    <xf numFmtId="2" fontId="5026" fillId="0" borderId="4596" xfId="0" applyNumberFormat="1" applyFont="1" applyBorder="1"/>
    <xf numFmtId="2" fontId="5030" fillId="0" borderId="4600" xfId="0" applyNumberFormat="1" applyFont="1" applyBorder="1"/>
    <xf numFmtId="2" fontId="5031" fillId="0" borderId="4601" xfId="0" applyNumberFormat="1" applyFont="1" applyBorder="1"/>
    <xf numFmtId="2" fontId="5032" fillId="0" borderId="4602" xfId="0" applyNumberFormat="1" applyFont="1" applyBorder="1"/>
    <xf numFmtId="2" fontId="5035" fillId="0" borderId="4605" xfId="0" applyNumberFormat="1" applyFont="1" applyBorder="1"/>
    <xf numFmtId="2" fontId="5036" fillId="0" borderId="4606" xfId="0" applyNumberFormat="1" applyFont="1" applyBorder="1"/>
    <xf numFmtId="2" fontId="5037" fillId="0" borderId="4607" xfId="0" applyNumberFormat="1" applyFont="1" applyBorder="1"/>
    <xf numFmtId="2" fontId="4877" fillId="0" borderId="4447" xfId="0" applyNumberFormat="1" applyFont="1" applyBorder="1"/>
    <xf numFmtId="2" fontId="4878" fillId="0" borderId="4448" xfId="0" applyNumberFormat="1" applyFont="1" applyBorder="1"/>
    <xf numFmtId="2" fontId="4879" fillId="0" borderId="4449" xfId="0" applyNumberFormat="1" applyFont="1" applyBorder="1"/>
    <xf numFmtId="2" fontId="4880" fillId="0" borderId="4450" xfId="0" applyNumberFormat="1" applyFont="1" applyBorder="1"/>
    <xf numFmtId="2" fontId="4881" fillId="0" borderId="4451" xfId="0" applyNumberFormat="1" applyFont="1" applyBorder="1"/>
    <xf numFmtId="2" fontId="4882" fillId="0" borderId="4452" xfId="0" applyNumberFormat="1" applyFont="1" applyBorder="1"/>
    <xf numFmtId="2" fontId="4886" fillId="0" borderId="4456" xfId="0" applyNumberFormat="1" applyFont="1" applyBorder="1"/>
    <xf numFmtId="2" fontId="4887" fillId="0" borderId="4457" xfId="0" applyNumberFormat="1" applyFont="1" applyBorder="1"/>
    <xf numFmtId="2" fontId="4888" fillId="0" borderId="4458" xfId="0" applyNumberFormat="1" applyFont="1" applyBorder="1"/>
    <xf numFmtId="2" fontId="4891" fillId="0" borderId="4461" xfId="0" applyNumberFormat="1" applyFont="1" applyBorder="1"/>
    <xf numFmtId="2" fontId="4892" fillId="0" borderId="4462" xfId="0" applyNumberFormat="1" applyFont="1" applyBorder="1"/>
    <xf numFmtId="2" fontId="4893" fillId="0" borderId="4463" xfId="0" applyNumberFormat="1" applyFont="1" applyBorder="1"/>
    <xf numFmtId="2" fontId="4688" fillId="0" borderId="4258" xfId="0" applyNumberFormat="1" applyFont="1" applyBorder="1"/>
    <xf numFmtId="2" fontId="4689" fillId="0" borderId="4259" xfId="0" applyNumberFormat="1" applyFont="1" applyBorder="1"/>
    <xf numFmtId="2" fontId="4690" fillId="0" borderId="4260" xfId="0" applyNumberFormat="1" applyFont="1" applyBorder="1"/>
    <xf numFmtId="2" fontId="4691" fillId="0" borderId="4261" xfId="0" applyNumberFormat="1" applyFont="1" applyBorder="1"/>
    <xf numFmtId="2" fontId="4692" fillId="0" borderId="4262" xfId="0" applyNumberFormat="1" applyFont="1" applyBorder="1"/>
    <xf numFmtId="2" fontId="4693" fillId="0" borderId="4263" xfId="0" applyNumberFormat="1" applyFont="1" applyBorder="1"/>
    <xf numFmtId="2" fontId="4697" fillId="0" borderId="4267" xfId="0" applyNumberFormat="1" applyFont="1" applyBorder="1"/>
    <xf numFmtId="2" fontId="4698" fillId="0" borderId="4268" xfId="0" applyNumberFormat="1" applyFont="1" applyBorder="1"/>
    <xf numFmtId="2" fontId="4699" fillId="0" borderId="4269" xfId="0" applyNumberFormat="1" applyFont="1" applyBorder="1"/>
    <xf numFmtId="2" fontId="4702" fillId="0" borderId="4272" xfId="0" applyNumberFormat="1" applyFont="1" applyBorder="1"/>
    <xf numFmtId="2" fontId="4703" fillId="0" borderId="4273" xfId="0" applyNumberFormat="1" applyFont="1" applyBorder="1"/>
    <xf numFmtId="2" fontId="4704" fillId="0" borderId="4274" xfId="0" applyNumberFormat="1" applyFont="1" applyBorder="1"/>
    <xf numFmtId="2" fontId="4502" fillId="0" borderId="4072" xfId="0" applyNumberFormat="1" applyFont="1" applyBorder="1"/>
    <xf numFmtId="2" fontId="4503" fillId="0" borderId="4073" xfId="0" applyNumberFormat="1" applyFont="1" applyBorder="1"/>
    <xf numFmtId="2" fontId="4504" fillId="0" borderId="4074" xfId="0" applyNumberFormat="1" applyFont="1" applyBorder="1"/>
    <xf numFmtId="2" fontId="4505" fillId="0" borderId="4075" xfId="0" applyNumberFormat="1" applyFont="1" applyBorder="1"/>
    <xf numFmtId="2" fontId="4506" fillId="0" borderId="4076" xfId="0" applyNumberFormat="1" applyFont="1" applyBorder="1"/>
    <xf numFmtId="2" fontId="4507" fillId="0" borderId="4077" xfId="0" applyNumberFormat="1" applyFont="1" applyBorder="1"/>
    <xf numFmtId="2" fontId="4511" fillId="0" borderId="4081" xfId="0" applyNumberFormat="1" applyFont="1" applyBorder="1"/>
    <xf numFmtId="2" fontId="4512" fillId="0" borderId="4082" xfId="0" applyNumberFormat="1" applyFont="1" applyBorder="1"/>
    <xf numFmtId="2" fontId="4513" fillId="0" borderId="4083" xfId="0" applyNumberFormat="1" applyFont="1" applyBorder="1"/>
    <xf numFmtId="2" fontId="4516" fillId="0" borderId="4086" xfId="0" applyNumberFormat="1" applyFont="1" applyBorder="1"/>
    <xf numFmtId="2" fontId="4517" fillId="0" borderId="4087" xfId="0" applyNumberFormat="1" applyFont="1" applyBorder="1"/>
    <xf numFmtId="2" fontId="4518" fillId="0" borderId="4088" xfId="0" applyNumberFormat="1" applyFont="1" applyBorder="1"/>
    <xf numFmtId="2" fontId="4310" fillId="0" borderId="3880" xfId="0" applyNumberFormat="1" applyFont="1" applyBorder="1"/>
    <xf numFmtId="2" fontId="4311" fillId="0" borderId="3881" xfId="0" applyNumberFormat="1" applyFont="1" applyBorder="1"/>
    <xf numFmtId="2" fontId="4312" fillId="0" borderId="3882" xfId="0" applyNumberFormat="1" applyFont="1" applyBorder="1"/>
    <xf numFmtId="2" fontId="4313" fillId="0" borderId="3883" xfId="0" applyNumberFormat="1" applyFont="1" applyBorder="1"/>
    <xf numFmtId="2" fontId="4314" fillId="0" borderId="3884" xfId="0" applyNumberFormat="1" applyFont="1" applyBorder="1"/>
    <xf numFmtId="2" fontId="4315" fillId="0" borderId="3885" xfId="0" applyNumberFormat="1" applyFont="1" applyBorder="1"/>
    <xf numFmtId="2" fontId="4319" fillId="0" borderId="3889" xfId="0" applyNumberFormat="1" applyFont="1" applyBorder="1"/>
    <xf numFmtId="2" fontId="4320" fillId="0" borderId="3890" xfId="0" applyNumberFormat="1" applyFont="1" applyBorder="1"/>
    <xf numFmtId="2" fontId="4321" fillId="0" borderId="3891" xfId="0" applyNumberFormat="1" applyFont="1" applyBorder="1"/>
    <xf numFmtId="2" fontId="4324" fillId="0" borderId="3894" xfId="0" applyNumberFormat="1" applyFont="1" applyBorder="1"/>
    <xf numFmtId="2" fontId="4325" fillId="0" borderId="3895" xfId="0" applyNumberFormat="1" applyFont="1" applyBorder="1"/>
    <xf numFmtId="2" fontId="4326" fillId="0" borderId="3896" xfId="0" applyNumberFormat="1" applyFont="1" applyBorder="1"/>
    <xf numFmtId="2" fontId="4118" fillId="0" borderId="3688" xfId="0" applyNumberFormat="1" applyFont="1" applyBorder="1"/>
    <xf numFmtId="2" fontId="4119" fillId="0" borderId="3689" xfId="0" applyNumberFormat="1" applyFont="1" applyBorder="1"/>
    <xf numFmtId="2" fontId="4120" fillId="0" borderId="3690" xfId="0" applyNumberFormat="1" applyFont="1" applyBorder="1"/>
    <xf numFmtId="2" fontId="4121" fillId="0" borderId="3691" xfId="0" applyNumberFormat="1" applyFont="1" applyBorder="1"/>
    <xf numFmtId="2" fontId="4122" fillId="0" borderId="3692" xfId="0" applyNumberFormat="1" applyFont="1" applyBorder="1"/>
    <xf numFmtId="2" fontId="4123" fillId="0" borderId="3693" xfId="0" applyNumberFormat="1" applyFont="1" applyBorder="1"/>
    <xf numFmtId="2" fontId="4127" fillId="0" borderId="3697" xfId="0" applyNumberFormat="1" applyFont="1" applyBorder="1"/>
    <xf numFmtId="2" fontId="4128" fillId="0" borderId="3698" xfId="0" applyNumberFormat="1" applyFont="1" applyBorder="1"/>
    <xf numFmtId="2" fontId="4129" fillId="0" borderId="3699" xfId="0" applyNumberFormat="1" applyFont="1" applyBorder="1"/>
    <xf numFmtId="2" fontId="4132" fillId="0" borderId="3702" xfId="0" applyNumberFormat="1" applyFont="1" applyBorder="1"/>
    <xf numFmtId="2" fontId="4133" fillId="0" borderId="3703" xfId="0" applyNumberFormat="1" applyFont="1" applyBorder="1"/>
    <xf numFmtId="2" fontId="4134" fillId="0" borderId="3704" xfId="0" applyNumberFormat="1" applyFont="1" applyBorder="1"/>
    <xf numFmtId="2" fontId="3927" fillId="0" borderId="3497" xfId="0" applyNumberFormat="1" applyFont="1" applyBorder="1"/>
    <xf numFmtId="2" fontId="3928" fillId="0" borderId="3498" xfId="0" applyNumberFormat="1" applyFont="1" applyBorder="1"/>
    <xf numFmtId="2" fontId="3929" fillId="0" borderId="3499" xfId="0" applyNumberFormat="1" applyFont="1" applyBorder="1"/>
    <xf numFmtId="2" fontId="3930" fillId="0" borderId="3500" xfId="0" applyNumberFormat="1" applyFont="1" applyBorder="1"/>
    <xf numFmtId="2" fontId="3931" fillId="0" borderId="3501" xfId="0" applyNumberFormat="1" applyFont="1" applyBorder="1"/>
    <xf numFmtId="2" fontId="3932" fillId="0" borderId="3502" xfId="0" applyNumberFormat="1" applyFont="1" applyBorder="1"/>
    <xf numFmtId="2" fontId="3936" fillId="0" borderId="3506" xfId="0" applyNumberFormat="1" applyFont="1" applyBorder="1"/>
    <xf numFmtId="2" fontId="3937" fillId="0" borderId="3507" xfId="0" applyNumberFormat="1" applyFont="1" applyBorder="1"/>
    <xf numFmtId="2" fontId="3938" fillId="0" borderId="3508" xfId="0" applyNumberFormat="1" applyFont="1" applyBorder="1"/>
    <xf numFmtId="2" fontId="3941" fillId="0" borderId="3511" xfId="0" applyNumberFormat="1" applyFont="1" applyBorder="1"/>
    <xf numFmtId="2" fontId="3942" fillId="0" borderId="3512" xfId="0" applyNumberFormat="1" applyFont="1" applyBorder="1"/>
    <xf numFmtId="2" fontId="3943" fillId="0" borderId="3513" xfId="0" applyNumberFormat="1" applyFont="1" applyBorder="1"/>
    <xf numFmtId="2" fontId="3738" fillId="0" borderId="3308" xfId="0" applyNumberFormat="1" applyFont="1" applyBorder="1"/>
    <xf numFmtId="2" fontId="3739" fillId="0" borderId="3309" xfId="0" applyNumberFormat="1" applyFont="1" applyBorder="1"/>
    <xf numFmtId="2" fontId="3740" fillId="0" borderId="3310" xfId="0" applyNumberFormat="1" applyFont="1" applyBorder="1"/>
    <xf numFmtId="2" fontId="3741" fillId="0" borderId="3311" xfId="0" applyNumberFormat="1" applyFont="1" applyBorder="1"/>
    <xf numFmtId="2" fontId="3742" fillId="0" borderId="3312" xfId="0" applyNumberFormat="1" applyFont="1" applyBorder="1"/>
    <xf numFmtId="2" fontId="3743" fillId="0" borderId="3313" xfId="0" applyNumberFormat="1" applyFont="1" applyBorder="1"/>
    <xf numFmtId="2" fontId="3747" fillId="0" borderId="3317" xfId="0" applyNumberFormat="1" applyFont="1" applyBorder="1"/>
    <xf numFmtId="2" fontId="3748" fillId="0" borderId="3318" xfId="0" applyNumberFormat="1" applyFont="1" applyBorder="1"/>
    <xf numFmtId="2" fontId="3749" fillId="0" borderId="3319" xfId="0" applyNumberFormat="1" applyFont="1" applyBorder="1"/>
    <xf numFmtId="2" fontId="3752" fillId="0" borderId="3322" xfId="0" applyNumberFormat="1" applyFont="1" applyBorder="1"/>
    <xf numFmtId="2" fontId="3753" fillId="0" borderId="3323" xfId="0" applyNumberFormat="1" applyFont="1" applyBorder="1"/>
    <xf numFmtId="2" fontId="3754" fillId="0" borderId="3324" xfId="0" applyNumberFormat="1" applyFont="1" applyBorder="1"/>
    <xf numFmtId="2" fontId="3555" fillId="0" borderId="3125" xfId="0" applyNumberFormat="1" applyFont="1" applyBorder="1"/>
    <xf numFmtId="2" fontId="3556" fillId="0" borderId="3126" xfId="0" applyNumberFormat="1" applyFont="1" applyBorder="1"/>
    <xf numFmtId="2" fontId="3557" fillId="0" borderId="3127" xfId="0" applyNumberFormat="1" applyFont="1" applyBorder="1"/>
    <xf numFmtId="2" fontId="3558" fillId="0" borderId="3128" xfId="0" applyNumberFormat="1" applyFont="1" applyBorder="1"/>
    <xf numFmtId="2" fontId="3559" fillId="0" borderId="3129" xfId="0" applyNumberFormat="1" applyFont="1" applyBorder="1"/>
    <xf numFmtId="2" fontId="3560" fillId="0" borderId="3130" xfId="0" applyNumberFormat="1" applyFont="1" applyBorder="1"/>
    <xf numFmtId="2" fontId="3564" fillId="0" borderId="3134" xfId="0" applyNumberFormat="1" applyFont="1" applyBorder="1"/>
    <xf numFmtId="2" fontId="3565" fillId="0" borderId="3135" xfId="0" applyNumberFormat="1" applyFont="1" applyBorder="1"/>
    <xf numFmtId="2" fontId="3566" fillId="0" borderId="3136" xfId="0" applyNumberFormat="1" applyFont="1" applyBorder="1"/>
    <xf numFmtId="2" fontId="3569" fillId="0" borderId="3139" xfId="0" applyNumberFormat="1" applyFont="1" applyBorder="1"/>
    <xf numFmtId="2" fontId="3570" fillId="0" borderId="3140" xfId="0" applyNumberFormat="1" applyFont="1" applyBorder="1"/>
    <xf numFmtId="2" fontId="3571" fillId="0" borderId="3141" xfId="0" applyNumberFormat="1" applyFont="1" applyBorder="1"/>
    <xf numFmtId="2" fontId="3372" fillId="0" borderId="2942" xfId="0" applyNumberFormat="1" applyFont="1" applyBorder="1"/>
    <xf numFmtId="2" fontId="3373" fillId="0" borderId="2943" xfId="0" applyNumberFormat="1" applyFont="1" applyBorder="1"/>
    <xf numFmtId="2" fontId="3374" fillId="0" borderId="2944" xfId="0" applyNumberFormat="1" applyFont="1" applyBorder="1"/>
    <xf numFmtId="2" fontId="3375" fillId="0" borderId="2945" xfId="0" applyNumberFormat="1" applyFont="1" applyBorder="1"/>
    <xf numFmtId="2" fontId="3376" fillId="0" borderId="2946" xfId="0" applyNumberFormat="1" applyFont="1" applyBorder="1"/>
    <xf numFmtId="2" fontId="3377" fillId="0" borderId="2947" xfId="0" applyNumberFormat="1" applyFont="1" applyBorder="1"/>
    <xf numFmtId="2" fontId="3381" fillId="22" borderId="2951" xfId="0" applyNumberFormat="1" applyFont="1" applyFill="1" applyBorder="1"/>
    <xf numFmtId="2" fontId="3382" fillId="23" borderId="2952" xfId="0" applyNumberFormat="1" applyFont="1" applyFill="1" applyBorder="1"/>
    <xf numFmtId="2" fontId="3383" fillId="24" borderId="2953" xfId="0" applyNumberFormat="1" applyFont="1" applyFill="1" applyBorder="1"/>
    <xf numFmtId="2" fontId="3386" fillId="0" borderId="2956" xfId="0" applyNumberFormat="1" applyFont="1" applyBorder="1"/>
    <xf numFmtId="2" fontId="3387" fillId="0" borderId="2957" xfId="0" applyNumberFormat="1" applyFont="1" applyBorder="1"/>
    <xf numFmtId="2" fontId="3388" fillId="0" borderId="2958" xfId="0" applyNumberFormat="1" applyFont="1" applyBorder="1"/>
    <xf numFmtId="0" fontId="5401" fillId="25" borderId="4971" xfId="0" applyFont="1" applyFill="1" applyBorder="1"/>
    <xf numFmtId="0" fontId="5408" fillId="0" borderId="4978" xfId="0" applyFont="1" applyBorder="1" applyAlignment="1">
      <alignment horizontal="right"/>
    </xf>
    <xf numFmtId="0" fontId="5409" fillId="0" borderId="4979" xfId="0" applyFont="1" applyBorder="1" applyAlignment="1">
      <alignment horizontal="center"/>
    </xf>
    <xf numFmtId="0" fontId="5410" fillId="0" borderId="4980" xfId="0" applyFont="1" applyBorder="1"/>
    <xf numFmtId="0" fontId="5414" fillId="0" borderId="4984" xfId="0" applyFont="1" applyBorder="1" applyAlignment="1">
      <alignment horizontal="right"/>
    </xf>
    <xf numFmtId="0" fontId="5415" fillId="0" borderId="4985" xfId="0" applyFont="1" applyBorder="1"/>
    <xf numFmtId="0" fontId="5419" fillId="0" borderId="4989" xfId="0" applyFont="1" applyBorder="1"/>
    <xf numFmtId="1" fontId="5420" fillId="0" borderId="4990" xfId="0" applyNumberFormat="1" applyFont="1" applyBorder="1" applyAlignment="1">
      <alignment horizontal="right"/>
    </xf>
    <xf numFmtId="1" fontId="5421" fillId="0" borderId="4991" xfId="0" applyNumberFormat="1" applyFont="1" applyBorder="1" applyAlignment="1">
      <alignment horizontal="right"/>
    </xf>
    <xf numFmtId="1" fontId="5422" fillId="0" borderId="4992" xfId="0" applyNumberFormat="1" applyFont="1" applyBorder="1" applyAlignment="1">
      <alignment horizontal="right"/>
    </xf>
    <xf numFmtId="1" fontId="5423" fillId="0" borderId="4993" xfId="0" applyNumberFormat="1" applyFont="1" applyBorder="1" applyAlignment="1">
      <alignment horizontal="right"/>
    </xf>
    <xf numFmtId="1" fontId="5424" fillId="0" borderId="4994" xfId="0" applyNumberFormat="1" applyFont="1" applyBorder="1" applyAlignment="1">
      <alignment horizontal="right"/>
    </xf>
    <xf numFmtId="1" fontId="5425" fillId="0" borderId="4995" xfId="0" applyNumberFormat="1" applyFont="1" applyBorder="1" applyAlignment="1">
      <alignment horizontal="right"/>
    </xf>
    <xf numFmtId="0" fontId="5426" fillId="0" borderId="4996" xfId="0" applyFont="1" applyBorder="1"/>
    <xf numFmtId="1" fontId="5427" fillId="0" borderId="4997" xfId="0" applyNumberFormat="1" applyFont="1" applyBorder="1" applyAlignment="1">
      <alignment horizontal="center"/>
    </xf>
    <xf numFmtId="1" fontId="5428" fillId="0" borderId="4998" xfId="0" applyNumberFormat="1" applyFont="1" applyBorder="1" applyAlignment="1">
      <alignment horizontal="center"/>
    </xf>
    <xf numFmtId="1" fontId="5429" fillId="0" borderId="4999" xfId="0" applyNumberFormat="1" applyFont="1" applyBorder="1" applyAlignment="1">
      <alignment horizontal="center"/>
    </xf>
    <xf numFmtId="1" fontId="5430" fillId="0" borderId="5000" xfId="0" applyNumberFormat="1" applyFont="1" applyBorder="1" applyAlignment="1">
      <alignment horizontal="center"/>
    </xf>
    <xf numFmtId="1" fontId="5431" fillId="0" borderId="5001" xfId="0" applyNumberFormat="1" applyFont="1" applyBorder="1" applyAlignment="1">
      <alignment horizontal="center"/>
    </xf>
    <xf numFmtId="1" fontId="5432" fillId="0" borderId="5002" xfId="0" applyNumberFormat="1" applyFont="1" applyBorder="1" applyAlignment="1">
      <alignment horizontal="center"/>
    </xf>
    <xf numFmtId="0" fontId="5433" fillId="0" borderId="5003" xfId="0" applyFont="1" applyBorder="1"/>
    <xf numFmtId="1" fontId="5434" fillId="0" borderId="5004" xfId="0" applyNumberFormat="1" applyFont="1" applyBorder="1" applyAlignment="1">
      <alignment horizontal="right"/>
    </xf>
    <xf numFmtId="1" fontId="5435" fillId="0" borderId="5005" xfId="0" applyNumberFormat="1" applyFont="1" applyBorder="1" applyAlignment="1">
      <alignment horizontal="right"/>
    </xf>
    <xf numFmtId="1" fontId="5436" fillId="0" borderId="5006" xfId="0" applyNumberFormat="1" applyFont="1" applyBorder="1" applyAlignment="1">
      <alignment horizontal="right"/>
    </xf>
    <xf numFmtId="1" fontId="5437" fillId="0" borderId="5007" xfId="0" applyNumberFormat="1" applyFont="1" applyBorder="1" applyAlignment="1">
      <alignment horizontal="right"/>
    </xf>
    <xf numFmtId="1" fontId="5438" fillId="0" borderId="5008" xfId="0" applyNumberFormat="1" applyFont="1" applyBorder="1" applyAlignment="1">
      <alignment horizontal="right"/>
    </xf>
    <xf numFmtId="1" fontId="5439" fillId="0" borderId="5009" xfId="0" applyNumberFormat="1" applyFont="1" applyBorder="1" applyAlignment="1">
      <alignment horizontal="right"/>
    </xf>
    <xf numFmtId="0" fontId="5440" fillId="0" borderId="5010" xfId="0" applyFont="1" applyBorder="1" applyAlignment="1">
      <alignment horizontal="left"/>
    </xf>
    <xf numFmtId="1" fontId="5441" fillId="0" borderId="5011" xfId="0" applyNumberFormat="1" applyFont="1" applyBorder="1"/>
    <xf numFmtId="1" fontId="5442" fillId="0" borderId="5012" xfId="0" applyNumberFormat="1" applyFont="1" applyBorder="1"/>
    <xf numFmtId="1" fontId="5443" fillId="0" borderId="5013" xfId="0" applyNumberFormat="1" applyFont="1" applyBorder="1"/>
    <xf numFmtId="1" fontId="5444" fillId="0" borderId="5014" xfId="0" applyNumberFormat="1" applyFont="1" applyBorder="1"/>
    <xf numFmtId="1" fontId="5445" fillId="0" borderId="5015" xfId="0" applyNumberFormat="1" applyFont="1" applyBorder="1"/>
    <xf numFmtId="1" fontId="5446" fillId="0" borderId="5016" xfId="0" applyNumberFormat="1" applyFont="1" applyBorder="1"/>
    <xf numFmtId="0" fontId="5447" fillId="0" borderId="5017" xfId="0" applyFont="1" applyBorder="1"/>
    <xf numFmtId="1" fontId="5448" fillId="0" borderId="5018" xfId="0" applyNumberFormat="1" applyFont="1" applyBorder="1"/>
    <xf numFmtId="0" fontId="5449" fillId="0" borderId="5019" xfId="0" applyFont="1" applyBorder="1" applyAlignment="1">
      <alignment horizontal="left"/>
    </xf>
    <xf numFmtId="169" fontId="5450" fillId="0" borderId="5020" xfId="0" applyNumberFormat="1" applyFont="1" applyBorder="1" applyAlignment="1">
      <alignment horizontal="right"/>
    </xf>
    <xf numFmtId="169" fontId="5451" fillId="0" borderId="5021" xfId="0" applyNumberFormat="1" applyFont="1" applyBorder="1" applyAlignment="1">
      <alignment horizontal="right"/>
    </xf>
    <xf numFmtId="169" fontId="5452" fillId="0" borderId="5022" xfId="0" applyNumberFormat="1" applyFont="1" applyBorder="1" applyAlignment="1">
      <alignment horizontal="right"/>
    </xf>
    <xf numFmtId="169" fontId="5453" fillId="0" borderId="5023" xfId="0" applyNumberFormat="1" applyFont="1" applyBorder="1" applyAlignment="1">
      <alignment horizontal="right"/>
    </xf>
    <xf numFmtId="169" fontId="5454" fillId="0" borderId="5024" xfId="0" applyNumberFormat="1" applyFont="1" applyBorder="1" applyAlignment="1">
      <alignment horizontal="right"/>
    </xf>
    <xf numFmtId="169" fontId="5455" fillId="0" borderId="5025" xfId="0" applyNumberFormat="1" applyFont="1" applyBorder="1" applyAlignment="1">
      <alignment horizontal="right"/>
    </xf>
    <xf numFmtId="169" fontId="5456" fillId="0" borderId="5026" xfId="0" applyNumberFormat="1" applyFont="1" applyBorder="1" applyAlignment="1">
      <alignment horizontal="right"/>
    </xf>
    <xf numFmtId="169" fontId="5457" fillId="0" borderId="5027" xfId="0" applyNumberFormat="1" applyFont="1" applyBorder="1" applyAlignment="1">
      <alignment horizontal="right"/>
    </xf>
    <xf numFmtId="0" fontId="5458" fillId="0" borderId="5028" xfId="0" applyFont="1" applyBorder="1" applyAlignment="1">
      <alignment horizontal="left"/>
    </xf>
    <xf numFmtId="169" fontId="5459" fillId="0" borderId="5029" xfId="0" applyNumberFormat="1" applyFont="1" applyBorder="1" applyAlignment="1">
      <alignment horizontal="right"/>
    </xf>
    <xf numFmtId="169" fontId="5460" fillId="0" borderId="5030" xfId="0" applyNumberFormat="1" applyFont="1" applyBorder="1" applyAlignment="1">
      <alignment horizontal="right"/>
    </xf>
    <xf numFmtId="169" fontId="5461" fillId="0" borderId="5031" xfId="0" applyNumberFormat="1" applyFont="1" applyBorder="1" applyAlignment="1">
      <alignment horizontal="right"/>
    </xf>
    <xf numFmtId="169" fontId="5462" fillId="0" borderId="5032" xfId="0" applyNumberFormat="1" applyFont="1" applyBorder="1" applyAlignment="1">
      <alignment horizontal="right"/>
    </xf>
    <xf numFmtId="169" fontId="5463" fillId="0" borderId="5033" xfId="0" applyNumberFormat="1" applyFont="1" applyBorder="1" applyAlignment="1">
      <alignment horizontal="right"/>
    </xf>
    <xf numFmtId="169" fontId="5464" fillId="0" borderId="5034" xfId="0" applyNumberFormat="1" applyFont="1" applyBorder="1" applyAlignment="1">
      <alignment horizontal="right"/>
    </xf>
    <xf numFmtId="169" fontId="5465" fillId="0" borderId="5035" xfId="0" applyNumberFormat="1" applyFont="1" applyBorder="1" applyAlignment="1">
      <alignment horizontal="right"/>
    </xf>
    <xf numFmtId="169" fontId="5466" fillId="0" borderId="5036" xfId="0" applyNumberFormat="1" applyFont="1" applyBorder="1" applyAlignment="1">
      <alignment horizontal="right"/>
    </xf>
    <xf numFmtId="0" fontId="5467" fillId="0" borderId="5037" xfId="0" applyFont="1" applyBorder="1" applyAlignment="1">
      <alignment horizontal="left"/>
    </xf>
    <xf numFmtId="169" fontId="5468" fillId="0" borderId="5038" xfId="0" applyNumberFormat="1" applyFont="1" applyBorder="1" applyAlignment="1">
      <alignment horizontal="right"/>
    </xf>
    <xf numFmtId="169" fontId="5469" fillId="0" borderId="5039" xfId="0" applyNumberFormat="1" applyFont="1" applyBorder="1" applyAlignment="1">
      <alignment horizontal="right"/>
    </xf>
    <xf numFmtId="169" fontId="5470" fillId="0" borderId="5040" xfId="0" applyNumberFormat="1" applyFont="1" applyBorder="1" applyAlignment="1">
      <alignment horizontal="right"/>
    </xf>
    <xf numFmtId="169" fontId="5471" fillId="0" borderId="5041" xfId="0" applyNumberFormat="1" applyFont="1" applyBorder="1" applyAlignment="1">
      <alignment horizontal="right"/>
    </xf>
    <xf numFmtId="169" fontId="5472" fillId="0" borderId="5042" xfId="0" applyNumberFormat="1" applyFont="1" applyBorder="1" applyAlignment="1">
      <alignment horizontal="right"/>
    </xf>
    <xf numFmtId="169" fontId="5473" fillId="0" borderId="5043" xfId="0" applyNumberFormat="1" applyFont="1" applyBorder="1" applyAlignment="1">
      <alignment horizontal="right"/>
    </xf>
    <xf numFmtId="169" fontId="5474" fillId="0" borderId="5044" xfId="0" applyNumberFormat="1" applyFont="1" applyBorder="1" applyAlignment="1">
      <alignment horizontal="right"/>
    </xf>
    <xf numFmtId="169" fontId="5475" fillId="0" borderId="5045" xfId="0" applyNumberFormat="1" applyFont="1" applyBorder="1" applyAlignment="1">
      <alignment horizontal="right"/>
    </xf>
    <xf numFmtId="0" fontId="5476" fillId="0" borderId="5046" xfId="0" applyFont="1" applyBorder="1" applyAlignment="1">
      <alignment horizontal="left"/>
    </xf>
    <xf numFmtId="169" fontId="5477" fillId="0" borderId="5047" xfId="0" applyNumberFormat="1" applyFont="1" applyBorder="1" applyAlignment="1">
      <alignment horizontal="right"/>
    </xf>
    <xf numFmtId="169" fontId="5478" fillId="0" borderId="5048" xfId="0" applyNumberFormat="1" applyFont="1" applyBorder="1" applyAlignment="1">
      <alignment horizontal="right"/>
    </xf>
    <xf numFmtId="169" fontId="5479" fillId="0" borderId="5049" xfId="0" applyNumberFormat="1" applyFont="1" applyBorder="1" applyAlignment="1">
      <alignment horizontal="right"/>
    </xf>
    <xf numFmtId="169" fontId="5480" fillId="0" borderId="5050" xfId="0" applyNumberFormat="1" applyFont="1" applyBorder="1" applyAlignment="1">
      <alignment horizontal="right"/>
    </xf>
    <xf numFmtId="169" fontId="5481" fillId="0" borderId="5051" xfId="0" applyNumberFormat="1" applyFont="1" applyBorder="1" applyAlignment="1">
      <alignment horizontal="right"/>
    </xf>
    <xf numFmtId="169" fontId="5482" fillId="0" borderId="5052" xfId="0" applyNumberFormat="1" applyFont="1" applyBorder="1" applyAlignment="1">
      <alignment horizontal="right"/>
    </xf>
    <xf numFmtId="169" fontId="5483" fillId="0" borderId="5053" xfId="0" applyNumberFormat="1" applyFont="1" applyBorder="1" applyAlignment="1">
      <alignment horizontal="right"/>
    </xf>
    <xf numFmtId="169" fontId="5484" fillId="0" borderId="5054" xfId="0" applyNumberFormat="1" applyFont="1" applyBorder="1" applyAlignment="1">
      <alignment horizontal="right"/>
    </xf>
    <xf numFmtId="0" fontId="5485" fillId="0" borderId="5055" xfId="0" applyFont="1" applyBorder="1" applyAlignment="1">
      <alignment horizontal="left"/>
    </xf>
    <xf numFmtId="169" fontId="5486" fillId="0" borderId="5056" xfId="0" applyNumberFormat="1" applyFont="1" applyBorder="1" applyAlignment="1">
      <alignment horizontal="right"/>
    </xf>
    <xf numFmtId="169" fontId="5487" fillId="0" borderId="5057" xfId="0" applyNumberFormat="1" applyFont="1" applyBorder="1" applyAlignment="1">
      <alignment horizontal="right"/>
    </xf>
    <xf numFmtId="169" fontId="5488" fillId="0" borderId="5058" xfId="0" applyNumberFormat="1" applyFont="1" applyBorder="1" applyAlignment="1">
      <alignment horizontal="right"/>
    </xf>
    <xf numFmtId="169" fontId="5489" fillId="0" borderId="5059" xfId="0" applyNumberFormat="1" applyFont="1" applyBorder="1" applyAlignment="1">
      <alignment horizontal="right"/>
    </xf>
    <xf numFmtId="169" fontId="5490" fillId="0" borderId="5060" xfId="0" applyNumberFormat="1" applyFont="1" applyBorder="1" applyAlignment="1">
      <alignment horizontal="right"/>
    </xf>
    <xf numFmtId="169" fontId="5491" fillId="0" borderId="5061" xfId="0" applyNumberFormat="1" applyFont="1" applyBorder="1" applyAlignment="1">
      <alignment horizontal="right"/>
    </xf>
    <xf numFmtId="169" fontId="5492" fillId="0" borderId="5062" xfId="0" applyNumberFormat="1" applyFont="1" applyBorder="1" applyAlignment="1">
      <alignment horizontal="right"/>
    </xf>
    <xf numFmtId="169" fontId="5493" fillId="0" borderId="5063" xfId="0" applyNumberFormat="1" applyFont="1" applyBorder="1" applyAlignment="1">
      <alignment horizontal="right"/>
    </xf>
    <xf numFmtId="0" fontId="5494" fillId="0" borderId="5064" xfId="0" applyFont="1" applyBorder="1" applyAlignment="1">
      <alignment horizontal="left"/>
    </xf>
    <xf numFmtId="169" fontId="5495" fillId="0" borderId="5065" xfId="0" applyNumberFormat="1" applyFont="1" applyBorder="1" applyAlignment="1">
      <alignment horizontal="right"/>
    </xf>
    <xf numFmtId="169" fontId="5496" fillId="0" borderId="5066" xfId="0" applyNumberFormat="1" applyFont="1" applyBorder="1" applyAlignment="1">
      <alignment horizontal="right"/>
    </xf>
    <xf numFmtId="169" fontId="5497" fillId="0" borderId="5067" xfId="0" applyNumberFormat="1" applyFont="1" applyBorder="1" applyAlignment="1">
      <alignment horizontal="right"/>
    </xf>
    <xf numFmtId="169" fontId="5498" fillId="0" borderId="5068" xfId="0" applyNumberFormat="1" applyFont="1" applyBorder="1" applyAlignment="1">
      <alignment horizontal="right"/>
    </xf>
    <xf numFmtId="169" fontId="5499" fillId="0" borderId="5069" xfId="0" applyNumberFormat="1" applyFont="1" applyBorder="1" applyAlignment="1">
      <alignment horizontal="right"/>
    </xf>
    <xf numFmtId="169" fontId="5500" fillId="0" borderId="5070" xfId="0" applyNumberFormat="1" applyFont="1" applyBorder="1" applyAlignment="1">
      <alignment horizontal="right"/>
    </xf>
    <xf numFmtId="169" fontId="5501" fillId="0" borderId="5071" xfId="0" applyNumberFormat="1" applyFont="1" applyBorder="1" applyAlignment="1">
      <alignment horizontal="right"/>
    </xf>
    <xf numFmtId="169" fontId="5502" fillId="0" borderId="5072" xfId="0" applyNumberFormat="1" applyFont="1" applyBorder="1" applyAlignment="1">
      <alignment horizontal="right"/>
    </xf>
    <xf numFmtId="0" fontId="5503" fillId="0" borderId="5073" xfId="0" applyFont="1" applyBorder="1" applyAlignment="1">
      <alignment horizontal="left"/>
    </xf>
    <xf numFmtId="169" fontId="5504" fillId="0" borderId="5074" xfId="0" applyNumberFormat="1" applyFont="1" applyBorder="1" applyAlignment="1">
      <alignment horizontal="right"/>
    </xf>
    <xf numFmtId="169" fontId="5505" fillId="0" borderId="5075" xfId="0" applyNumberFormat="1" applyFont="1" applyBorder="1" applyAlignment="1">
      <alignment horizontal="right"/>
    </xf>
    <xf numFmtId="169" fontId="5506" fillId="0" borderId="5076" xfId="0" applyNumberFormat="1" applyFont="1" applyBorder="1" applyAlignment="1">
      <alignment horizontal="right"/>
    </xf>
    <xf numFmtId="169" fontId="5507" fillId="0" borderId="5077" xfId="0" applyNumberFormat="1" applyFont="1" applyBorder="1" applyAlignment="1">
      <alignment horizontal="right"/>
    </xf>
    <xf numFmtId="169" fontId="5508" fillId="0" borderId="5078" xfId="0" applyNumberFormat="1" applyFont="1" applyBorder="1" applyAlignment="1">
      <alignment horizontal="right"/>
    </xf>
    <xf numFmtId="169" fontId="5509" fillId="0" borderId="5079" xfId="0" applyNumberFormat="1" applyFont="1" applyBorder="1" applyAlignment="1">
      <alignment horizontal="right"/>
    </xf>
    <xf numFmtId="169" fontId="5510" fillId="0" borderId="5080" xfId="0" applyNumberFormat="1" applyFont="1" applyBorder="1" applyAlignment="1">
      <alignment horizontal="right"/>
    </xf>
    <xf numFmtId="169" fontId="5511" fillId="0" borderId="5081" xfId="0" applyNumberFormat="1" applyFont="1" applyBorder="1" applyAlignment="1">
      <alignment horizontal="right"/>
    </xf>
    <xf numFmtId="0" fontId="5512" fillId="0" borderId="5082" xfId="0" applyFont="1" applyBorder="1" applyAlignment="1">
      <alignment horizontal="left"/>
    </xf>
    <xf numFmtId="169" fontId="5513" fillId="0" borderId="5083" xfId="0" applyNumberFormat="1" applyFont="1" applyBorder="1" applyAlignment="1">
      <alignment horizontal="right"/>
    </xf>
    <xf numFmtId="169" fontId="5514" fillId="0" borderId="5084" xfId="0" applyNumberFormat="1" applyFont="1" applyBorder="1" applyAlignment="1">
      <alignment horizontal="right"/>
    </xf>
    <xf numFmtId="169" fontId="5515" fillId="0" borderId="5085" xfId="0" applyNumberFormat="1" applyFont="1" applyBorder="1" applyAlignment="1">
      <alignment horizontal="right"/>
    </xf>
    <xf numFmtId="169" fontId="5516" fillId="0" borderId="5086" xfId="0" applyNumberFormat="1" applyFont="1" applyBorder="1" applyAlignment="1">
      <alignment horizontal="right"/>
    </xf>
    <xf numFmtId="169" fontId="5517" fillId="0" borderId="5087" xfId="0" applyNumberFormat="1" applyFont="1" applyBorder="1" applyAlignment="1">
      <alignment horizontal="right"/>
    </xf>
    <xf numFmtId="169" fontId="5518" fillId="0" borderId="5088" xfId="0" applyNumberFormat="1" applyFont="1" applyBorder="1" applyAlignment="1">
      <alignment horizontal="right"/>
    </xf>
    <xf numFmtId="169" fontId="5519" fillId="0" borderId="5089" xfId="0" applyNumberFormat="1" applyFont="1" applyBorder="1" applyAlignment="1">
      <alignment horizontal="right"/>
    </xf>
    <xf numFmtId="169" fontId="5520" fillId="0" borderId="5090" xfId="0" applyNumberFormat="1" applyFont="1" applyBorder="1" applyAlignment="1">
      <alignment horizontal="right"/>
    </xf>
    <xf numFmtId="0" fontId="5521" fillId="0" borderId="5091" xfId="0" applyFont="1" applyBorder="1" applyAlignment="1">
      <alignment horizontal="left"/>
    </xf>
    <xf numFmtId="169" fontId="5522" fillId="0" borderId="5092" xfId="0" applyNumberFormat="1" applyFont="1" applyBorder="1" applyAlignment="1">
      <alignment horizontal="right"/>
    </xf>
    <xf numFmtId="169" fontId="5523" fillId="0" borderId="5093" xfId="0" applyNumberFormat="1" applyFont="1" applyBorder="1" applyAlignment="1">
      <alignment horizontal="right"/>
    </xf>
    <xf numFmtId="169" fontId="5524" fillId="0" borderId="5094" xfId="0" applyNumberFormat="1" applyFont="1" applyBorder="1" applyAlignment="1">
      <alignment horizontal="right"/>
    </xf>
    <xf numFmtId="169" fontId="5525" fillId="0" borderId="5095" xfId="0" applyNumberFormat="1" applyFont="1" applyBorder="1" applyAlignment="1">
      <alignment horizontal="right"/>
    </xf>
    <xf numFmtId="169" fontId="5526" fillId="0" borderId="5096" xfId="0" applyNumberFormat="1" applyFont="1" applyBorder="1" applyAlignment="1">
      <alignment horizontal="right"/>
    </xf>
    <xf numFmtId="169" fontId="5527" fillId="0" borderId="5097" xfId="0" applyNumberFormat="1" applyFont="1" applyBorder="1" applyAlignment="1">
      <alignment horizontal="right"/>
    </xf>
    <xf numFmtId="169" fontId="5528" fillId="0" borderId="5098" xfId="0" applyNumberFormat="1" applyFont="1" applyBorder="1" applyAlignment="1">
      <alignment horizontal="right"/>
    </xf>
    <xf numFmtId="169" fontId="5529" fillId="0" borderId="5099" xfId="0" applyNumberFormat="1" applyFont="1" applyBorder="1" applyAlignment="1">
      <alignment horizontal="right"/>
    </xf>
    <xf numFmtId="0" fontId="5530" fillId="0" borderId="5100" xfId="0" applyFont="1" applyBorder="1" applyAlignment="1">
      <alignment horizontal="left"/>
    </xf>
    <xf numFmtId="169" fontId="5531" fillId="0" borderId="5101" xfId="0" applyNumberFormat="1" applyFont="1" applyBorder="1" applyAlignment="1">
      <alignment horizontal="right"/>
    </xf>
    <xf numFmtId="169" fontId="5532" fillId="0" borderId="5102" xfId="0" applyNumberFormat="1" applyFont="1" applyBorder="1" applyAlignment="1">
      <alignment horizontal="right"/>
    </xf>
    <xf numFmtId="169" fontId="5533" fillId="0" borderId="5103" xfId="0" applyNumberFormat="1" applyFont="1" applyBorder="1" applyAlignment="1">
      <alignment horizontal="right"/>
    </xf>
    <xf numFmtId="169" fontId="5534" fillId="0" borderId="5104" xfId="0" applyNumberFormat="1" applyFont="1" applyBorder="1" applyAlignment="1">
      <alignment horizontal="right"/>
    </xf>
    <xf numFmtId="169" fontId="5535" fillId="0" borderId="5105" xfId="0" applyNumberFormat="1" applyFont="1" applyBorder="1" applyAlignment="1">
      <alignment horizontal="right"/>
    </xf>
    <xf numFmtId="169" fontId="5536" fillId="0" borderId="5106" xfId="0" applyNumberFormat="1" applyFont="1" applyBorder="1" applyAlignment="1">
      <alignment horizontal="right"/>
    </xf>
    <xf numFmtId="169" fontId="5537" fillId="0" borderId="5107" xfId="0" applyNumberFormat="1" applyFont="1" applyBorder="1" applyAlignment="1">
      <alignment horizontal="right"/>
    </xf>
    <xf numFmtId="169" fontId="5538" fillId="0" borderId="5108" xfId="0" applyNumberFormat="1" applyFont="1" applyBorder="1" applyAlignment="1">
      <alignment horizontal="right"/>
    </xf>
    <xf numFmtId="0" fontId="5539" fillId="0" borderId="5109" xfId="0" applyFont="1" applyBorder="1" applyAlignment="1">
      <alignment horizontal="left"/>
    </xf>
    <xf numFmtId="169" fontId="5540" fillId="0" borderId="5110" xfId="0" applyNumberFormat="1" applyFont="1" applyBorder="1" applyAlignment="1">
      <alignment horizontal="right"/>
    </xf>
    <xf numFmtId="169" fontId="5541" fillId="0" borderId="5111" xfId="0" applyNumberFormat="1" applyFont="1" applyBorder="1" applyAlignment="1">
      <alignment horizontal="right"/>
    </xf>
    <xf numFmtId="169" fontId="5542" fillId="0" borderId="5112" xfId="0" applyNumberFormat="1" applyFont="1" applyBorder="1" applyAlignment="1">
      <alignment horizontal="right"/>
    </xf>
    <xf numFmtId="169" fontId="5543" fillId="0" borderId="5113" xfId="0" applyNumberFormat="1" applyFont="1" applyBorder="1" applyAlignment="1">
      <alignment horizontal="right"/>
    </xf>
    <xf numFmtId="169" fontId="5544" fillId="0" borderId="5114" xfId="0" applyNumberFormat="1" applyFont="1" applyBorder="1" applyAlignment="1">
      <alignment horizontal="right"/>
    </xf>
    <xf numFmtId="169" fontId="5545" fillId="0" borderId="5115" xfId="0" applyNumberFormat="1" applyFont="1" applyBorder="1" applyAlignment="1">
      <alignment horizontal="right"/>
    </xf>
    <xf numFmtId="169" fontId="5546" fillId="0" borderId="5116" xfId="0" applyNumberFormat="1" applyFont="1" applyBorder="1" applyAlignment="1">
      <alignment horizontal="right"/>
    </xf>
    <xf numFmtId="169" fontId="5547" fillId="0" borderId="5117" xfId="0" applyNumberFormat="1" applyFont="1" applyBorder="1" applyAlignment="1">
      <alignment horizontal="right"/>
    </xf>
    <xf numFmtId="0" fontId="5548" fillId="0" borderId="5118" xfId="0" applyFont="1" applyBorder="1" applyAlignment="1">
      <alignment horizontal="left"/>
    </xf>
    <xf numFmtId="169" fontId="5549" fillId="0" borderId="5119" xfId="0" applyNumberFormat="1" applyFont="1" applyBorder="1" applyAlignment="1">
      <alignment horizontal="right"/>
    </xf>
    <xf numFmtId="169" fontId="5550" fillId="0" borderId="5120" xfId="0" applyNumberFormat="1" applyFont="1" applyBorder="1" applyAlignment="1">
      <alignment horizontal="right"/>
    </xf>
    <xf numFmtId="169" fontId="5551" fillId="0" borderId="5121" xfId="0" applyNumberFormat="1" applyFont="1" applyBorder="1" applyAlignment="1">
      <alignment horizontal="right"/>
    </xf>
    <xf numFmtId="169" fontId="5552" fillId="0" borderId="5122" xfId="0" applyNumberFormat="1" applyFont="1" applyBorder="1" applyAlignment="1">
      <alignment horizontal="right"/>
    </xf>
    <xf numFmtId="169" fontId="5553" fillId="0" borderId="5123" xfId="0" applyNumberFormat="1" applyFont="1" applyBorder="1" applyAlignment="1">
      <alignment horizontal="right"/>
    </xf>
    <xf numFmtId="169" fontId="5554" fillId="0" borderId="5124" xfId="0" applyNumberFormat="1" applyFont="1" applyBorder="1" applyAlignment="1">
      <alignment horizontal="right"/>
    </xf>
    <xf numFmtId="169" fontId="5555" fillId="0" borderId="5125" xfId="0" applyNumberFormat="1" applyFont="1" applyBorder="1" applyAlignment="1">
      <alignment horizontal="right"/>
    </xf>
    <xf numFmtId="169" fontId="5556" fillId="0" borderId="5126" xfId="0" applyNumberFormat="1" applyFont="1" applyBorder="1" applyAlignment="1">
      <alignment horizontal="right"/>
    </xf>
    <xf numFmtId="0" fontId="5557" fillId="0" borderId="5127" xfId="0" applyFont="1" applyBorder="1" applyAlignment="1">
      <alignment horizontal="left"/>
    </xf>
    <xf numFmtId="169" fontId="5558" fillId="0" borderId="5128" xfId="0" applyNumberFormat="1" applyFont="1" applyBorder="1" applyAlignment="1">
      <alignment horizontal="right"/>
    </xf>
    <xf numFmtId="169" fontId="5559" fillId="0" borderId="5129" xfId="0" applyNumberFormat="1" applyFont="1" applyBorder="1" applyAlignment="1">
      <alignment horizontal="right"/>
    </xf>
    <xf numFmtId="169" fontId="5560" fillId="0" borderId="5130" xfId="0" applyNumberFormat="1" applyFont="1" applyBorder="1" applyAlignment="1">
      <alignment horizontal="right"/>
    </xf>
    <xf numFmtId="169" fontId="5561" fillId="0" borderId="5131" xfId="0" applyNumberFormat="1" applyFont="1" applyBorder="1" applyAlignment="1">
      <alignment horizontal="right"/>
    </xf>
    <xf numFmtId="169" fontId="5562" fillId="0" borderId="5132" xfId="0" applyNumberFormat="1" applyFont="1" applyBorder="1" applyAlignment="1">
      <alignment horizontal="right"/>
    </xf>
    <xf numFmtId="169" fontId="5563" fillId="0" borderId="5133" xfId="0" applyNumberFormat="1" applyFont="1" applyBorder="1" applyAlignment="1">
      <alignment horizontal="right"/>
    </xf>
    <xf numFmtId="169" fontId="5564" fillId="0" borderId="5134" xfId="0" applyNumberFormat="1" applyFont="1" applyBorder="1" applyAlignment="1">
      <alignment horizontal="right"/>
    </xf>
    <xf numFmtId="169" fontId="5565" fillId="0" borderId="5135" xfId="0" applyNumberFormat="1" applyFont="1" applyBorder="1" applyAlignment="1">
      <alignment horizontal="right"/>
    </xf>
    <xf numFmtId="0" fontId="5566" fillId="0" borderId="5136" xfId="0" applyFont="1" applyBorder="1" applyAlignment="1">
      <alignment horizontal="left"/>
    </xf>
    <xf numFmtId="169" fontId="5567" fillId="0" borderId="5137" xfId="0" applyNumberFormat="1" applyFont="1" applyBorder="1" applyAlignment="1">
      <alignment horizontal="right"/>
    </xf>
    <xf numFmtId="169" fontId="5568" fillId="0" borderId="5138" xfId="0" applyNumberFormat="1" applyFont="1" applyBorder="1" applyAlignment="1">
      <alignment horizontal="right"/>
    </xf>
    <xf numFmtId="169" fontId="5569" fillId="0" borderId="5139" xfId="0" applyNumberFormat="1" applyFont="1" applyBorder="1" applyAlignment="1">
      <alignment horizontal="right"/>
    </xf>
    <xf numFmtId="169" fontId="5570" fillId="0" borderId="5140" xfId="0" applyNumberFormat="1" applyFont="1" applyBorder="1" applyAlignment="1">
      <alignment horizontal="right"/>
    </xf>
    <xf numFmtId="169" fontId="5571" fillId="0" borderId="5141" xfId="0" applyNumberFormat="1" applyFont="1" applyBorder="1" applyAlignment="1">
      <alignment horizontal="right"/>
    </xf>
    <xf numFmtId="169" fontId="5572" fillId="0" borderId="5142" xfId="0" applyNumberFormat="1" applyFont="1" applyBorder="1" applyAlignment="1">
      <alignment horizontal="right"/>
    </xf>
    <xf numFmtId="169" fontId="5573" fillId="0" borderId="5143" xfId="0" applyNumberFormat="1" applyFont="1" applyBorder="1" applyAlignment="1">
      <alignment horizontal="right"/>
    </xf>
    <xf numFmtId="169" fontId="5574" fillId="0" borderId="5144" xfId="0" applyNumberFormat="1" applyFont="1" applyBorder="1" applyAlignment="1">
      <alignment horizontal="right"/>
    </xf>
    <xf numFmtId="0" fontId="5575" fillId="0" borderId="5145" xfId="0" applyFont="1" applyBorder="1" applyAlignment="1">
      <alignment horizontal="left"/>
    </xf>
    <xf numFmtId="1" fontId="5576" fillId="0" borderId="5146" xfId="0" applyNumberFormat="1" applyFont="1" applyBorder="1"/>
    <xf numFmtId="1" fontId="5577" fillId="0" borderId="5147" xfId="0" applyNumberFormat="1" applyFont="1" applyBorder="1"/>
    <xf numFmtId="1" fontId="5578" fillId="0" borderId="5148" xfId="0" applyNumberFormat="1" applyFont="1" applyBorder="1"/>
    <xf numFmtId="1" fontId="5579" fillId="0" borderId="5149" xfId="0" applyNumberFormat="1" applyFont="1" applyBorder="1"/>
    <xf numFmtId="1" fontId="5580" fillId="0" borderId="5150" xfId="0" applyNumberFormat="1" applyFont="1" applyBorder="1"/>
    <xf numFmtId="1" fontId="5581" fillId="0" borderId="5151" xfId="0" applyNumberFormat="1" applyFont="1" applyBorder="1"/>
    <xf numFmtId="169" fontId="5582" fillId="0" borderId="5152" xfId="0" applyNumberFormat="1" applyFont="1" applyBorder="1" applyAlignment="1">
      <alignment horizontal="right"/>
    </xf>
    <xf numFmtId="169" fontId="5583" fillId="0" borderId="5153" xfId="0" applyNumberFormat="1" applyFont="1" applyBorder="1" applyAlignment="1">
      <alignment horizontal="right"/>
    </xf>
    <xf numFmtId="0" fontId="5584" fillId="0" borderId="5154" xfId="0" applyFont="1" applyBorder="1"/>
    <xf numFmtId="0" fontId="5591" fillId="0" borderId="5161" xfId="0" applyFont="1" applyBorder="1" applyAlignment="1">
      <alignment horizontal="right"/>
    </xf>
    <xf numFmtId="0" fontId="5592" fillId="0" borderId="5162" xfId="0" applyFont="1" applyBorder="1" applyAlignment="1">
      <alignment horizontal="center"/>
    </xf>
    <xf numFmtId="0" fontId="5593" fillId="0" borderId="5163" xfId="0" applyFont="1" applyBorder="1"/>
    <xf numFmtId="0" fontId="5597" fillId="0" borderId="5167" xfId="0" applyFont="1" applyBorder="1" applyAlignment="1">
      <alignment horizontal="right"/>
    </xf>
    <xf numFmtId="0" fontId="5598" fillId="0" borderId="5168" xfId="0" applyFont="1" applyBorder="1"/>
    <xf numFmtId="0" fontId="5602" fillId="0" borderId="5172" xfId="0" applyFont="1" applyBorder="1"/>
    <xf numFmtId="1" fontId="5603" fillId="0" borderId="5173" xfId="0" applyNumberFormat="1" applyFont="1" applyBorder="1" applyAlignment="1">
      <alignment horizontal="right"/>
    </xf>
    <xf numFmtId="1" fontId="5604" fillId="0" borderId="5174" xfId="0" applyNumberFormat="1" applyFont="1" applyBorder="1" applyAlignment="1">
      <alignment horizontal="right"/>
    </xf>
    <xf numFmtId="1" fontId="5605" fillId="0" borderId="5175" xfId="0" applyNumberFormat="1" applyFont="1" applyBorder="1" applyAlignment="1">
      <alignment horizontal="right"/>
    </xf>
    <xf numFmtId="1" fontId="5606" fillId="0" borderId="5176" xfId="0" applyNumberFormat="1" applyFont="1" applyBorder="1" applyAlignment="1">
      <alignment horizontal="right"/>
    </xf>
    <xf numFmtId="1" fontId="5607" fillId="0" borderId="5177" xfId="0" applyNumberFormat="1" applyFont="1" applyBorder="1" applyAlignment="1">
      <alignment horizontal="right"/>
    </xf>
    <xf numFmtId="1" fontId="5608" fillId="0" borderId="5178" xfId="0" applyNumberFormat="1" applyFont="1" applyBorder="1" applyAlignment="1">
      <alignment horizontal="right"/>
    </xf>
    <xf numFmtId="0" fontId="5609" fillId="0" borderId="5179" xfId="0" applyFont="1" applyBorder="1"/>
    <xf numFmtId="1" fontId="5610" fillId="0" borderId="5180" xfId="0" applyNumberFormat="1" applyFont="1" applyBorder="1" applyAlignment="1">
      <alignment horizontal="center"/>
    </xf>
    <xf numFmtId="1" fontId="5611" fillId="0" borderId="5181" xfId="0" applyNumberFormat="1" applyFont="1" applyBorder="1" applyAlignment="1">
      <alignment horizontal="center"/>
    </xf>
    <xf numFmtId="1" fontId="5612" fillId="0" borderId="5182" xfId="0" applyNumberFormat="1" applyFont="1" applyBorder="1" applyAlignment="1">
      <alignment horizontal="center"/>
    </xf>
    <xf numFmtId="1" fontId="5613" fillId="0" borderId="5183" xfId="0" applyNumberFormat="1" applyFont="1" applyBorder="1" applyAlignment="1">
      <alignment horizontal="center"/>
    </xf>
    <xf numFmtId="1" fontId="5614" fillId="0" borderId="5184" xfId="0" applyNumberFormat="1" applyFont="1" applyBorder="1" applyAlignment="1">
      <alignment horizontal="center"/>
    </xf>
    <xf numFmtId="1" fontId="5615" fillId="0" borderId="5185" xfId="0" applyNumberFormat="1" applyFont="1" applyBorder="1" applyAlignment="1">
      <alignment horizontal="center"/>
    </xf>
    <xf numFmtId="0" fontId="5616" fillId="0" borderId="5186" xfId="0" applyFont="1" applyBorder="1"/>
    <xf numFmtId="1" fontId="5617" fillId="0" borderId="5187" xfId="0" applyNumberFormat="1" applyFont="1" applyBorder="1" applyAlignment="1">
      <alignment horizontal="right"/>
    </xf>
    <xf numFmtId="1" fontId="5618" fillId="0" borderId="5188" xfId="0" applyNumberFormat="1" applyFont="1" applyBorder="1" applyAlignment="1">
      <alignment horizontal="right"/>
    </xf>
    <xf numFmtId="1" fontId="5619" fillId="0" borderId="5189" xfId="0" applyNumberFormat="1" applyFont="1" applyBorder="1" applyAlignment="1">
      <alignment horizontal="right"/>
    </xf>
    <xf numFmtId="1" fontId="5620" fillId="0" borderId="5190" xfId="0" applyNumberFormat="1" applyFont="1" applyBorder="1" applyAlignment="1">
      <alignment horizontal="right"/>
    </xf>
    <xf numFmtId="1" fontId="5621" fillId="0" borderId="5191" xfId="0" applyNumberFormat="1" applyFont="1" applyBorder="1" applyAlignment="1">
      <alignment horizontal="right"/>
    </xf>
    <xf numFmtId="1" fontId="5622" fillId="0" borderId="5192" xfId="0" applyNumberFormat="1" applyFont="1" applyBorder="1" applyAlignment="1">
      <alignment horizontal="right"/>
    </xf>
    <xf numFmtId="0" fontId="5623" fillId="0" borderId="5193" xfId="0" applyFont="1" applyBorder="1" applyAlignment="1">
      <alignment horizontal="left"/>
    </xf>
    <xf numFmtId="1" fontId="5624" fillId="0" borderId="5194" xfId="0" applyNumberFormat="1" applyFont="1" applyBorder="1"/>
    <xf numFmtId="1" fontId="5625" fillId="0" borderId="5195" xfId="0" applyNumberFormat="1" applyFont="1" applyBorder="1"/>
    <xf numFmtId="1" fontId="5626" fillId="0" borderId="5196" xfId="0" applyNumberFormat="1" applyFont="1" applyBorder="1"/>
    <xf numFmtId="1" fontId="5627" fillId="0" borderId="5197" xfId="0" applyNumberFormat="1" applyFont="1" applyBorder="1"/>
    <xf numFmtId="1" fontId="5628" fillId="0" borderId="5198" xfId="0" applyNumberFormat="1" applyFont="1" applyBorder="1"/>
    <xf numFmtId="1" fontId="5629" fillId="0" borderId="5199" xfId="0" applyNumberFormat="1" applyFont="1" applyBorder="1"/>
    <xf numFmtId="0" fontId="5630" fillId="0" borderId="5200" xfId="0" applyFont="1" applyBorder="1"/>
    <xf numFmtId="1" fontId="5631" fillId="0" borderId="5201" xfId="0" applyNumberFormat="1" applyFont="1" applyBorder="1"/>
    <xf numFmtId="0" fontId="5632" fillId="0" borderId="5202" xfId="0" applyFont="1" applyBorder="1" applyAlignment="1">
      <alignment horizontal="left"/>
    </xf>
    <xf numFmtId="169" fontId="5633" fillId="0" borderId="5203" xfId="0" applyNumberFormat="1" applyFont="1" applyBorder="1" applyAlignment="1">
      <alignment horizontal="right"/>
    </xf>
    <xf numFmtId="169" fontId="5634" fillId="0" borderId="5204" xfId="0" applyNumberFormat="1" applyFont="1" applyBorder="1" applyAlignment="1">
      <alignment horizontal="right"/>
    </xf>
    <xf numFmtId="169" fontId="5635" fillId="0" borderId="5205" xfId="0" applyNumberFormat="1" applyFont="1" applyBorder="1" applyAlignment="1">
      <alignment horizontal="right"/>
    </xf>
    <xf numFmtId="169" fontId="5636" fillId="0" borderId="5206" xfId="0" applyNumberFormat="1" applyFont="1" applyBorder="1" applyAlignment="1">
      <alignment horizontal="right"/>
    </xf>
    <xf numFmtId="169" fontId="5637" fillId="0" borderId="5207" xfId="0" applyNumberFormat="1" applyFont="1" applyBorder="1" applyAlignment="1">
      <alignment horizontal="right"/>
    </xf>
    <xf numFmtId="169" fontId="5638" fillId="0" borderId="5208" xfId="0" applyNumberFormat="1" applyFont="1" applyBorder="1" applyAlignment="1">
      <alignment horizontal="right"/>
    </xf>
    <xf numFmtId="169" fontId="5639" fillId="0" borderId="5209" xfId="0" applyNumberFormat="1" applyFont="1" applyBorder="1" applyAlignment="1">
      <alignment horizontal="right"/>
    </xf>
    <xf numFmtId="169" fontId="5640" fillId="0" borderId="5210" xfId="0" applyNumberFormat="1" applyFont="1" applyBorder="1" applyAlignment="1">
      <alignment horizontal="right"/>
    </xf>
    <xf numFmtId="0" fontId="5641" fillId="0" borderId="5211" xfId="0" applyFont="1" applyBorder="1" applyAlignment="1">
      <alignment horizontal="left"/>
    </xf>
    <xf numFmtId="169" fontId="5642" fillId="0" borderId="5212" xfId="0" applyNumberFormat="1" applyFont="1" applyBorder="1" applyAlignment="1">
      <alignment horizontal="right"/>
    </xf>
    <xf numFmtId="169" fontId="5643" fillId="0" borderId="5213" xfId="0" applyNumberFormat="1" applyFont="1" applyBorder="1" applyAlignment="1">
      <alignment horizontal="right"/>
    </xf>
    <xf numFmtId="169" fontId="5644" fillId="0" borderId="5214" xfId="0" applyNumberFormat="1" applyFont="1" applyBorder="1" applyAlignment="1">
      <alignment horizontal="right"/>
    </xf>
    <xf numFmtId="169" fontId="5645" fillId="0" borderId="5215" xfId="0" applyNumberFormat="1" applyFont="1" applyBorder="1" applyAlignment="1">
      <alignment horizontal="right"/>
    </xf>
    <xf numFmtId="169" fontId="5646" fillId="0" borderId="5216" xfId="0" applyNumberFormat="1" applyFont="1" applyBorder="1" applyAlignment="1">
      <alignment horizontal="right"/>
    </xf>
    <xf numFmtId="169" fontId="5647" fillId="0" borderId="5217" xfId="0" applyNumberFormat="1" applyFont="1" applyBorder="1" applyAlignment="1">
      <alignment horizontal="right"/>
    </xf>
    <xf numFmtId="169" fontId="5648" fillId="0" borderId="5218" xfId="0" applyNumberFormat="1" applyFont="1" applyBorder="1" applyAlignment="1">
      <alignment horizontal="right"/>
    </xf>
    <xf numFmtId="169" fontId="5649" fillId="0" borderId="5219" xfId="0" applyNumberFormat="1" applyFont="1" applyBorder="1" applyAlignment="1">
      <alignment horizontal="right"/>
    </xf>
    <xf numFmtId="0" fontId="5650" fillId="0" borderId="5220" xfId="0" applyFont="1" applyBorder="1" applyAlignment="1">
      <alignment horizontal="left"/>
    </xf>
    <xf numFmtId="169" fontId="5651" fillId="0" borderId="5221" xfId="0" applyNumberFormat="1" applyFont="1" applyBorder="1" applyAlignment="1">
      <alignment horizontal="right"/>
    </xf>
    <xf numFmtId="169" fontId="5652" fillId="0" borderId="5222" xfId="0" applyNumberFormat="1" applyFont="1" applyBorder="1" applyAlignment="1">
      <alignment horizontal="right"/>
    </xf>
    <xf numFmtId="169" fontId="5653" fillId="0" borderId="5223" xfId="0" applyNumberFormat="1" applyFont="1" applyBorder="1" applyAlignment="1">
      <alignment horizontal="right"/>
    </xf>
    <xf numFmtId="169" fontId="5654" fillId="0" borderId="5224" xfId="0" applyNumberFormat="1" applyFont="1" applyBorder="1" applyAlignment="1">
      <alignment horizontal="right"/>
    </xf>
    <xf numFmtId="169" fontId="5655" fillId="0" borderId="5225" xfId="0" applyNumberFormat="1" applyFont="1" applyBorder="1" applyAlignment="1">
      <alignment horizontal="right"/>
    </xf>
    <xf numFmtId="169" fontId="5656" fillId="0" borderId="5226" xfId="0" applyNumberFormat="1" applyFont="1" applyBorder="1" applyAlignment="1">
      <alignment horizontal="right"/>
    </xf>
    <xf numFmtId="169" fontId="5657" fillId="0" borderId="5227" xfId="0" applyNumberFormat="1" applyFont="1" applyBorder="1" applyAlignment="1">
      <alignment horizontal="right"/>
    </xf>
    <xf numFmtId="169" fontId="5658" fillId="0" borderId="5228" xfId="0" applyNumberFormat="1" applyFont="1" applyBorder="1" applyAlignment="1">
      <alignment horizontal="right"/>
    </xf>
    <xf numFmtId="0" fontId="5659" fillId="0" borderId="5229" xfId="0" applyFont="1" applyBorder="1" applyAlignment="1">
      <alignment horizontal="left"/>
    </xf>
    <xf numFmtId="169" fontId="5660" fillId="0" borderId="5230" xfId="0" applyNumberFormat="1" applyFont="1" applyBorder="1" applyAlignment="1">
      <alignment horizontal="right"/>
    </xf>
    <xf numFmtId="169" fontId="5661" fillId="0" borderId="5231" xfId="0" applyNumberFormat="1" applyFont="1" applyBorder="1" applyAlignment="1">
      <alignment horizontal="right"/>
    </xf>
    <xf numFmtId="169" fontId="5662" fillId="0" borderId="5232" xfId="0" applyNumberFormat="1" applyFont="1" applyBorder="1" applyAlignment="1">
      <alignment horizontal="right"/>
    </xf>
    <xf numFmtId="169" fontId="5663" fillId="0" borderId="5233" xfId="0" applyNumberFormat="1" applyFont="1" applyBorder="1" applyAlignment="1">
      <alignment horizontal="right"/>
    </xf>
    <xf numFmtId="169" fontId="5664" fillId="0" borderId="5234" xfId="0" applyNumberFormat="1" applyFont="1" applyBorder="1" applyAlignment="1">
      <alignment horizontal="right"/>
    </xf>
    <xf numFmtId="169" fontId="5665" fillId="0" borderId="5235" xfId="0" applyNumberFormat="1" applyFont="1" applyBorder="1" applyAlignment="1">
      <alignment horizontal="right"/>
    </xf>
    <xf numFmtId="169" fontId="5666" fillId="0" borderId="5236" xfId="0" applyNumberFormat="1" applyFont="1" applyBorder="1" applyAlignment="1">
      <alignment horizontal="right"/>
    </xf>
    <xf numFmtId="169" fontId="5667" fillId="0" borderId="5237" xfId="0" applyNumberFormat="1" applyFont="1" applyBorder="1" applyAlignment="1">
      <alignment horizontal="right"/>
    </xf>
    <xf numFmtId="0" fontId="5668" fillId="0" borderId="5238" xfId="0" applyFont="1" applyBorder="1" applyAlignment="1">
      <alignment horizontal="left"/>
    </xf>
    <xf numFmtId="169" fontId="5669" fillId="0" borderId="5239" xfId="0" applyNumberFormat="1" applyFont="1" applyBorder="1" applyAlignment="1">
      <alignment horizontal="right"/>
    </xf>
    <xf numFmtId="169" fontId="5670" fillId="0" borderId="5240" xfId="0" applyNumberFormat="1" applyFont="1" applyBorder="1" applyAlignment="1">
      <alignment horizontal="right"/>
    </xf>
    <xf numFmtId="169" fontId="5671" fillId="0" borderId="5241" xfId="0" applyNumberFormat="1" applyFont="1" applyBorder="1" applyAlignment="1">
      <alignment horizontal="right"/>
    </xf>
    <xf numFmtId="169" fontId="5672" fillId="0" borderId="5242" xfId="0" applyNumberFormat="1" applyFont="1" applyBorder="1" applyAlignment="1">
      <alignment horizontal="right"/>
    </xf>
    <xf numFmtId="169" fontId="5673" fillId="0" borderId="5243" xfId="0" applyNumberFormat="1" applyFont="1" applyBorder="1" applyAlignment="1">
      <alignment horizontal="right"/>
    </xf>
    <xf numFmtId="169" fontId="5674" fillId="0" borderId="5244" xfId="0" applyNumberFormat="1" applyFont="1" applyBorder="1" applyAlignment="1">
      <alignment horizontal="right"/>
    </xf>
    <xf numFmtId="169" fontId="5675" fillId="0" borderId="5245" xfId="0" applyNumberFormat="1" applyFont="1" applyBorder="1" applyAlignment="1">
      <alignment horizontal="right"/>
    </xf>
    <xf numFmtId="169" fontId="5676" fillId="0" borderId="5246" xfId="0" applyNumberFormat="1" applyFont="1" applyBorder="1" applyAlignment="1">
      <alignment horizontal="right"/>
    </xf>
    <xf numFmtId="0" fontId="5677" fillId="0" borderId="5247" xfId="0" applyFont="1" applyBorder="1" applyAlignment="1">
      <alignment horizontal="left"/>
    </xf>
    <xf numFmtId="169" fontId="5678" fillId="0" borderId="5248" xfId="0" applyNumberFormat="1" applyFont="1" applyBorder="1" applyAlignment="1">
      <alignment horizontal="right"/>
    </xf>
    <xf numFmtId="169" fontId="5679" fillId="0" borderId="5249" xfId="0" applyNumberFormat="1" applyFont="1" applyBorder="1" applyAlignment="1">
      <alignment horizontal="right"/>
    </xf>
    <xf numFmtId="169" fontId="5680" fillId="0" borderId="5250" xfId="0" applyNumberFormat="1" applyFont="1" applyBorder="1" applyAlignment="1">
      <alignment horizontal="right"/>
    </xf>
    <xf numFmtId="169" fontId="5681" fillId="0" borderId="5251" xfId="0" applyNumberFormat="1" applyFont="1" applyBorder="1" applyAlignment="1">
      <alignment horizontal="right"/>
    </xf>
    <xf numFmtId="169" fontId="5682" fillId="0" borderId="5252" xfId="0" applyNumberFormat="1" applyFont="1" applyBorder="1" applyAlignment="1">
      <alignment horizontal="right"/>
    </xf>
    <xf numFmtId="169" fontId="5683" fillId="0" borderId="5253" xfId="0" applyNumberFormat="1" applyFont="1" applyBorder="1" applyAlignment="1">
      <alignment horizontal="right"/>
    </xf>
    <xf numFmtId="169" fontId="5684" fillId="0" borderId="5254" xfId="0" applyNumberFormat="1" applyFont="1" applyBorder="1" applyAlignment="1">
      <alignment horizontal="right"/>
    </xf>
    <xf numFmtId="169" fontId="5685" fillId="0" borderId="5255" xfId="0" applyNumberFormat="1" applyFont="1" applyBorder="1" applyAlignment="1">
      <alignment horizontal="right"/>
    </xf>
    <xf numFmtId="0" fontId="5686" fillId="0" borderId="5256" xfId="0" applyFont="1" applyBorder="1" applyAlignment="1">
      <alignment horizontal="left"/>
    </xf>
    <xf numFmtId="169" fontId="5687" fillId="0" borderId="5257" xfId="0" applyNumberFormat="1" applyFont="1" applyBorder="1" applyAlignment="1">
      <alignment horizontal="right"/>
    </xf>
    <xf numFmtId="169" fontId="5688" fillId="0" borderId="5258" xfId="0" applyNumberFormat="1" applyFont="1" applyBorder="1" applyAlignment="1">
      <alignment horizontal="right"/>
    </xf>
    <xf numFmtId="169" fontId="5689" fillId="0" borderId="5259" xfId="0" applyNumberFormat="1" applyFont="1" applyBorder="1" applyAlignment="1">
      <alignment horizontal="right"/>
    </xf>
    <xf numFmtId="169" fontId="5690" fillId="0" borderId="5260" xfId="0" applyNumberFormat="1" applyFont="1" applyBorder="1" applyAlignment="1">
      <alignment horizontal="right"/>
    </xf>
    <xf numFmtId="169" fontId="5691" fillId="0" borderId="5261" xfId="0" applyNumberFormat="1" applyFont="1" applyBorder="1" applyAlignment="1">
      <alignment horizontal="right"/>
    </xf>
    <xf numFmtId="169" fontId="5692" fillId="0" borderId="5262" xfId="0" applyNumberFormat="1" applyFont="1" applyBorder="1" applyAlignment="1">
      <alignment horizontal="right"/>
    </xf>
    <xf numFmtId="169" fontId="5693" fillId="0" borderId="5263" xfId="0" applyNumberFormat="1" applyFont="1" applyBorder="1" applyAlignment="1">
      <alignment horizontal="right"/>
    </xf>
    <xf numFmtId="169" fontId="5694" fillId="0" borderId="5264" xfId="0" applyNumberFormat="1" applyFont="1" applyBorder="1" applyAlignment="1">
      <alignment horizontal="right"/>
    </xf>
    <xf numFmtId="0" fontId="5695" fillId="0" borderId="5265" xfId="0" applyFont="1" applyBorder="1" applyAlignment="1">
      <alignment horizontal="left"/>
    </xf>
    <xf numFmtId="169" fontId="5696" fillId="0" borderId="5266" xfId="0" applyNumberFormat="1" applyFont="1" applyBorder="1" applyAlignment="1">
      <alignment horizontal="right"/>
    </xf>
    <xf numFmtId="169" fontId="5697" fillId="0" borderId="5267" xfId="0" applyNumberFormat="1" applyFont="1" applyBorder="1" applyAlignment="1">
      <alignment horizontal="right"/>
    </xf>
    <xf numFmtId="169" fontId="5698" fillId="0" borderId="5268" xfId="0" applyNumberFormat="1" applyFont="1" applyBorder="1" applyAlignment="1">
      <alignment horizontal="right"/>
    </xf>
    <xf numFmtId="169" fontId="5699" fillId="0" borderId="5269" xfId="0" applyNumberFormat="1" applyFont="1" applyBorder="1" applyAlignment="1">
      <alignment horizontal="right"/>
    </xf>
    <xf numFmtId="169" fontId="5700" fillId="0" borderId="5270" xfId="0" applyNumberFormat="1" applyFont="1" applyBorder="1" applyAlignment="1">
      <alignment horizontal="right"/>
    </xf>
    <xf numFmtId="169" fontId="5701" fillId="0" borderId="5271" xfId="0" applyNumberFormat="1" applyFont="1" applyBorder="1" applyAlignment="1">
      <alignment horizontal="right"/>
    </xf>
    <xf numFmtId="169" fontId="5702" fillId="0" borderId="5272" xfId="0" applyNumberFormat="1" applyFont="1" applyBorder="1" applyAlignment="1">
      <alignment horizontal="right"/>
    </xf>
    <xf numFmtId="169" fontId="5703" fillId="0" borderId="5273" xfId="0" applyNumberFormat="1" applyFont="1" applyBorder="1" applyAlignment="1">
      <alignment horizontal="right"/>
    </xf>
    <xf numFmtId="0" fontId="5704" fillId="0" borderId="5274" xfId="0" applyFont="1" applyBorder="1" applyAlignment="1">
      <alignment horizontal="left"/>
    </xf>
    <xf numFmtId="169" fontId="5705" fillId="0" borderId="5275" xfId="0" applyNumberFormat="1" applyFont="1" applyBorder="1" applyAlignment="1">
      <alignment horizontal="right"/>
    </xf>
    <xf numFmtId="169" fontId="5706" fillId="0" borderId="5276" xfId="0" applyNumberFormat="1" applyFont="1" applyBorder="1" applyAlignment="1">
      <alignment horizontal="right"/>
    </xf>
    <xf numFmtId="169" fontId="5707" fillId="0" borderId="5277" xfId="0" applyNumberFormat="1" applyFont="1" applyBorder="1" applyAlignment="1">
      <alignment horizontal="right"/>
    </xf>
    <xf numFmtId="169" fontId="5708" fillId="0" borderId="5278" xfId="0" applyNumberFormat="1" applyFont="1" applyBorder="1" applyAlignment="1">
      <alignment horizontal="right"/>
    </xf>
    <xf numFmtId="169" fontId="5709" fillId="0" borderId="5279" xfId="0" applyNumberFormat="1" applyFont="1" applyBorder="1" applyAlignment="1">
      <alignment horizontal="right"/>
    </xf>
    <xf numFmtId="169" fontId="5710" fillId="0" borderId="5280" xfId="0" applyNumberFormat="1" applyFont="1" applyBorder="1" applyAlignment="1">
      <alignment horizontal="right"/>
    </xf>
    <xf numFmtId="169" fontId="5711" fillId="0" borderId="5281" xfId="0" applyNumberFormat="1" applyFont="1" applyBorder="1" applyAlignment="1">
      <alignment horizontal="right"/>
    </xf>
    <xf numFmtId="169" fontId="5712" fillId="0" borderId="5282" xfId="0" applyNumberFormat="1" applyFont="1" applyBorder="1" applyAlignment="1">
      <alignment horizontal="right"/>
    </xf>
    <xf numFmtId="0" fontId="5713" fillId="0" borderId="5283" xfId="0" applyFont="1" applyBorder="1" applyAlignment="1">
      <alignment horizontal="left"/>
    </xf>
    <xf numFmtId="169" fontId="5714" fillId="0" borderId="5284" xfId="0" applyNumberFormat="1" applyFont="1" applyBorder="1" applyAlignment="1">
      <alignment horizontal="right"/>
    </xf>
    <xf numFmtId="169" fontId="5715" fillId="0" borderId="5285" xfId="0" applyNumberFormat="1" applyFont="1" applyBorder="1" applyAlignment="1">
      <alignment horizontal="right"/>
    </xf>
    <xf numFmtId="169" fontId="5716" fillId="0" borderId="5286" xfId="0" applyNumberFormat="1" applyFont="1" applyBorder="1" applyAlignment="1">
      <alignment horizontal="right"/>
    </xf>
    <xf numFmtId="169" fontId="5717" fillId="0" borderId="5287" xfId="0" applyNumberFormat="1" applyFont="1" applyBorder="1" applyAlignment="1">
      <alignment horizontal="right"/>
    </xf>
    <xf numFmtId="169" fontId="5718" fillId="0" borderId="5288" xfId="0" applyNumberFormat="1" applyFont="1" applyBorder="1" applyAlignment="1">
      <alignment horizontal="right"/>
    </xf>
    <xf numFmtId="169" fontId="5719" fillId="0" borderId="5289" xfId="0" applyNumberFormat="1" applyFont="1" applyBorder="1" applyAlignment="1">
      <alignment horizontal="right"/>
    </xf>
    <xf numFmtId="169" fontId="5720" fillId="0" borderId="5290" xfId="0" applyNumberFormat="1" applyFont="1" applyBorder="1" applyAlignment="1">
      <alignment horizontal="right"/>
    </xf>
    <xf numFmtId="169" fontId="5721" fillId="0" borderId="5291" xfId="0" applyNumberFormat="1" applyFont="1" applyBorder="1" applyAlignment="1">
      <alignment horizontal="right"/>
    </xf>
    <xf numFmtId="0" fontId="5722" fillId="0" borderId="5292" xfId="0" applyFont="1" applyBorder="1" applyAlignment="1">
      <alignment horizontal="left"/>
    </xf>
    <xf numFmtId="169" fontId="5723" fillId="0" borderId="5293" xfId="0" applyNumberFormat="1" applyFont="1" applyBorder="1" applyAlignment="1">
      <alignment horizontal="right"/>
    </xf>
    <xf numFmtId="169" fontId="5724" fillId="0" borderId="5294" xfId="0" applyNumberFormat="1" applyFont="1" applyBorder="1" applyAlignment="1">
      <alignment horizontal="right"/>
    </xf>
    <xf numFmtId="169" fontId="5725" fillId="0" borderId="5295" xfId="0" applyNumberFormat="1" applyFont="1" applyBorder="1" applyAlignment="1">
      <alignment horizontal="right"/>
    </xf>
    <xf numFmtId="169" fontId="5726" fillId="0" borderId="5296" xfId="0" applyNumberFormat="1" applyFont="1" applyBorder="1" applyAlignment="1">
      <alignment horizontal="right"/>
    </xf>
    <xf numFmtId="169" fontId="5727" fillId="0" borderId="5297" xfId="0" applyNumberFormat="1" applyFont="1" applyBorder="1" applyAlignment="1">
      <alignment horizontal="right"/>
    </xf>
    <xf numFmtId="169" fontId="5728" fillId="0" borderId="5298" xfId="0" applyNumberFormat="1" applyFont="1" applyBorder="1" applyAlignment="1">
      <alignment horizontal="right"/>
    </xf>
    <xf numFmtId="169" fontId="5729" fillId="0" borderId="5299" xfId="0" applyNumberFormat="1" applyFont="1" applyBorder="1" applyAlignment="1">
      <alignment horizontal="right"/>
    </xf>
    <xf numFmtId="169" fontId="5730" fillId="0" borderId="5300" xfId="0" applyNumberFormat="1" applyFont="1" applyBorder="1" applyAlignment="1">
      <alignment horizontal="right"/>
    </xf>
    <xf numFmtId="0" fontId="5731" fillId="0" borderId="5301" xfId="0" applyFont="1" applyBorder="1" applyAlignment="1">
      <alignment horizontal="left"/>
    </xf>
    <xf numFmtId="169" fontId="5732" fillId="0" borderId="5302" xfId="0" applyNumberFormat="1" applyFont="1" applyBorder="1" applyAlignment="1">
      <alignment horizontal="right"/>
    </xf>
    <xf numFmtId="169" fontId="5733" fillId="0" borderId="5303" xfId="0" applyNumberFormat="1" applyFont="1" applyBorder="1" applyAlignment="1">
      <alignment horizontal="right"/>
    </xf>
    <xf numFmtId="169" fontId="5734" fillId="0" borderId="5304" xfId="0" applyNumberFormat="1" applyFont="1" applyBorder="1" applyAlignment="1">
      <alignment horizontal="right"/>
    </xf>
    <xf numFmtId="169" fontId="5735" fillId="0" borderId="5305" xfId="0" applyNumberFormat="1" applyFont="1" applyBorder="1" applyAlignment="1">
      <alignment horizontal="right"/>
    </xf>
    <xf numFmtId="169" fontId="5736" fillId="0" borderId="5306" xfId="0" applyNumberFormat="1" applyFont="1" applyBorder="1" applyAlignment="1">
      <alignment horizontal="right"/>
    </xf>
    <xf numFmtId="169" fontId="5737" fillId="0" borderId="5307" xfId="0" applyNumberFormat="1" applyFont="1" applyBorder="1" applyAlignment="1">
      <alignment horizontal="right"/>
    </xf>
    <xf numFmtId="169" fontId="5738" fillId="0" borderId="5308" xfId="0" applyNumberFormat="1" applyFont="1" applyBorder="1" applyAlignment="1">
      <alignment horizontal="right"/>
    </xf>
    <xf numFmtId="169" fontId="5739" fillId="0" borderId="5309" xfId="0" applyNumberFormat="1" applyFont="1" applyBorder="1" applyAlignment="1">
      <alignment horizontal="right"/>
    </xf>
    <xf numFmtId="0" fontId="5740" fillId="0" borderId="5310" xfId="0" applyFont="1" applyBorder="1" applyAlignment="1">
      <alignment horizontal="left"/>
    </xf>
    <xf numFmtId="169" fontId="5741" fillId="0" borderId="5311" xfId="0" applyNumberFormat="1" applyFont="1" applyBorder="1" applyAlignment="1">
      <alignment horizontal="right"/>
    </xf>
    <xf numFmtId="169" fontId="5742" fillId="0" borderId="5312" xfId="0" applyNumberFormat="1" applyFont="1" applyBorder="1" applyAlignment="1">
      <alignment horizontal="right"/>
    </xf>
    <xf numFmtId="169" fontId="5743" fillId="0" borderId="5313" xfId="0" applyNumberFormat="1" applyFont="1" applyBorder="1" applyAlignment="1">
      <alignment horizontal="right"/>
    </xf>
    <xf numFmtId="169" fontId="5744" fillId="0" borderId="5314" xfId="0" applyNumberFormat="1" applyFont="1" applyBorder="1" applyAlignment="1">
      <alignment horizontal="right"/>
    </xf>
    <xf numFmtId="169" fontId="5745" fillId="0" borderId="5315" xfId="0" applyNumberFormat="1" applyFont="1" applyBorder="1" applyAlignment="1">
      <alignment horizontal="right"/>
    </xf>
    <xf numFmtId="169" fontId="5746" fillId="0" borderId="5316" xfId="0" applyNumberFormat="1" applyFont="1" applyBorder="1" applyAlignment="1">
      <alignment horizontal="right"/>
    </xf>
    <xf numFmtId="169" fontId="5747" fillId="0" borderId="5317" xfId="0" applyNumberFormat="1" applyFont="1" applyBorder="1" applyAlignment="1">
      <alignment horizontal="right"/>
    </xf>
    <xf numFmtId="169" fontId="5748" fillId="0" borderId="5318" xfId="0" applyNumberFormat="1" applyFont="1" applyBorder="1" applyAlignment="1">
      <alignment horizontal="right"/>
    </xf>
    <xf numFmtId="0" fontId="5749" fillId="0" borderId="5319" xfId="0" applyFont="1" applyBorder="1" applyAlignment="1">
      <alignment horizontal="left"/>
    </xf>
    <xf numFmtId="169" fontId="5750" fillId="0" borderId="5320" xfId="0" applyNumberFormat="1" applyFont="1" applyBorder="1" applyAlignment="1">
      <alignment horizontal="right"/>
    </xf>
    <xf numFmtId="169" fontId="5751" fillId="0" borderId="5321" xfId="0" applyNumberFormat="1" applyFont="1" applyBorder="1" applyAlignment="1">
      <alignment horizontal="right"/>
    </xf>
    <xf numFmtId="169" fontId="5752" fillId="0" borderId="5322" xfId="0" applyNumberFormat="1" applyFont="1" applyBorder="1" applyAlignment="1">
      <alignment horizontal="right"/>
    </xf>
    <xf numFmtId="169" fontId="5753" fillId="0" borderId="5323" xfId="0" applyNumberFormat="1" applyFont="1" applyBorder="1" applyAlignment="1">
      <alignment horizontal="right"/>
    </xf>
    <xf numFmtId="169" fontId="5754" fillId="0" borderId="5324" xfId="0" applyNumberFormat="1" applyFont="1" applyBorder="1" applyAlignment="1">
      <alignment horizontal="right"/>
    </xf>
    <xf numFmtId="169" fontId="5755" fillId="0" borderId="5325" xfId="0" applyNumberFormat="1" applyFont="1" applyBorder="1" applyAlignment="1">
      <alignment horizontal="right"/>
    </xf>
    <xf numFmtId="169" fontId="5756" fillId="0" borderId="5326" xfId="0" applyNumberFormat="1" applyFont="1" applyBorder="1" applyAlignment="1">
      <alignment horizontal="right"/>
    </xf>
    <xf numFmtId="169" fontId="5757" fillId="0" borderId="5327" xfId="0" applyNumberFormat="1" applyFont="1" applyBorder="1" applyAlignment="1">
      <alignment horizontal="right"/>
    </xf>
    <xf numFmtId="0" fontId="5758" fillId="0" borderId="5328" xfId="0" applyFont="1" applyBorder="1" applyAlignment="1">
      <alignment horizontal="left"/>
    </xf>
    <xf numFmtId="169" fontId="5759" fillId="0" borderId="5329" xfId="0" applyNumberFormat="1" applyFont="1" applyBorder="1" applyAlignment="1">
      <alignment horizontal="right"/>
    </xf>
    <xf numFmtId="169" fontId="5760" fillId="0" borderId="5330" xfId="0" applyNumberFormat="1" applyFont="1" applyBorder="1" applyAlignment="1">
      <alignment horizontal="right"/>
    </xf>
    <xf numFmtId="169" fontId="5761" fillId="0" borderId="5331" xfId="0" applyNumberFormat="1" applyFont="1" applyBorder="1" applyAlignment="1">
      <alignment horizontal="right"/>
    </xf>
    <xf numFmtId="169" fontId="5762" fillId="0" borderId="5332" xfId="0" applyNumberFormat="1" applyFont="1" applyBorder="1" applyAlignment="1">
      <alignment horizontal="right"/>
    </xf>
    <xf numFmtId="169" fontId="5763" fillId="0" borderId="5333" xfId="0" applyNumberFormat="1" applyFont="1" applyBorder="1" applyAlignment="1">
      <alignment horizontal="right"/>
    </xf>
    <xf numFmtId="169" fontId="5764" fillId="0" borderId="5334" xfId="0" applyNumberFormat="1" applyFont="1" applyBorder="1" applyAlignment="1">
      <alignment horizontal="right"/>
    </xf>
    <xf numFmtId="169" fontId="5765" fillId="0" borderId="5335" xfId="0" applyNumberFormat="1" applyFont="1" applyBorder="1" applyAlignment="1">
      <alignment horizontal="right"/>
    </xf>
    <xf numFmtId="169" fontId="5766" fillId="0" borderId="5336" xfId="0" applyNumberFormat="1" applyFont="1" applyBorder="1" applyAlignment="1">
      <alignment horizontal="right"/>
    </xf>
    <xf numFmtId="0" fontId="5767" fillId="0" borderId="5337" xfId="0" applyFont="1" applyBorder="1" applyAlignment="1">
      <alignment horizontal="left"/>
    </xf>
    <xf numFmtId="1" fontId="5768" fillId="0" borderId="5338" xfId="0" applyNumberFormat="1" applyFont="1" applyBorder="1"/>
    <xf numFmtId="1" fontId="5769" fillId="0" borderId="5339" xfId="0" applyNumberFormat="1" applyFont="1" applyBorder="1"/>
    <xf numFmtId="1" fontId="5770" fillId="0" borderId="5340" xfId="0" applyNumberFormat="1" applyFont="1" applyBorder="1"/>
    <xf numFmtId="1" fontId="5771" fillId="0" borderId="5341" xfId="0" applyNumberFormat="1" applyFont="1" applyBorder="1"/>
    <xf numFmtId="1" fontId="5772" fillId="0" borderId="5342" xfId="0" applyNumberFormat="1" applyFont="1" applyBorder="1"/>
    <xf numFmtId="1" fontId="5773" fillId="0" borderId="5343" xfId="0" applyNumberFormat="1" applyFont="1" applyBorder="1"/>
    <xf numFmtId="169" fontId="5774" fillId="0" borderId="5344" xfId="0" applyNumberFormat="1" applyFont="1" applyBorder="1" applyAlignment="1">
      <alignment horizontal="right"/>
    </xf>
    <xf numFmtId="169" fontId="5775" fillId="0" borderId="5345" xfId="0" applyNumberFormat="1" applyFont="1" applyBorder="1" applyAlignment="1">
      <alignment horizontal="right"/>
    </xf>
    <xf numFmtId="0" fontId="5776" fillId="0" borderId="5346" xfId="0" applyFont="1" applyBorder="1"/>
    <xf numFmtId="0" fontId="5783" fillId="0" borderId="5353" xfId="0" applyFont="1" applyBorder="1" applyAlignment="1">
      <alignment horizontal="right"/>
    </xf>
    <xf numFmtId="0" fontId="5784" fillId="0" borderId="5354" xfId="0" applyFont="1" applyBorder="1" applyAlignment="1">
      <alignment horizontal="center"/>
    </xf>
    <xf numFmtId="0" fontId="5785" fillId="0" borderId="5355" xfId="0" applyFont="1" applyBorder="1"/>
    <xf numFmtId="0" fontId="5789" fillId="0" borderId="5359" xfId="0" applyFont="1" applyBorder="1" applyAlignment="1">
      <alignment horizontal="right"/>
    </xf>
    <xf numFmtId="0" fontId="5790" fillId="0" borderId="5360" xfId="0" applyFont="1" applyBorder="1"/>
    <xf numFmtId="0" fontId="5794" fillId="0" borderId="5364" xfId="0" applyFont="1" applyBorder="1"/>
    <xf numFmtId="1" fontId="5795" fillId="0" borderId="5365" xfId="0" applyNumberFormat="1" applyFont="1" applyBorder="1" applyAlignment="1">
      <alignment horizontal="right"/>
    </xf>
    <xf numFmtId="1" fontId="5796" fillId="0" borderId="5366" xfId="0" applyNumberFormat="1" applyFont="1" applyBorder="1" applyAlignment="1">
      <alignment horizontal="right"/>
    </xf>
    <xf numFmtId="1" fontId="5797" fillId="0" borderId="5367" xfId="0" applyNumberFormat="1" applyFont="1" applyBorder="1" applyAlignment="1">
      <alignment horizontal="right"/>
    </xf>
    <xf numFmtId="1" fontId="5798" fillId="0" borderId="5368" xfId="0" applyNumberFormat="1" applyFont="1" applyBorder="1" applyAlignment="1">
      <alignment horizontal="right"/>
    </xf>
    <xf numFmtId="1" fontId="5799" fillId="0" borderId="5369" xfId="0" applyNumberFormat="1" applyFont="1" applyBorder="1" applyAlignment="1">
      <alignment horizontal="right"/>
    </xf>
    <xf numFmtId="1" fontId="5800" fillId="0" borderId="5370" xfId="0" applyNumberFormat="1" applyFont="1" applyBorder="1" applyAlignment="1">
      <alignment horizontal="right"/>
    </xf>
    <xf numFmtId="0" fontId="5801" fillId="0" borderId="5371" xfId="0" applyFont="1" applyBorder="1"/>
    <xf numFmtId="1" fontId="5802" fillId="0" borderId="5372" xfId="0" applyNumberFormat="1" applyFont="1" applyBorder="1" applyAlignment="1">
      <alignment horizontal="center"/>
    </xf>
    <xf numFmtId="1" fontId="5803" fillId="0" borderId="5373" xfId="0" applyNumberFormat="1" applyFont="1" applyBorder="1" applyAlignment="1">
      <alignment horizontal="center"/>
    </xf>
    <xf numFmtId="1" fontId="5804" fillId="0" borderId="5374" xfId="0" applyNumberFormat="1" applyFont="1" applyBorder="1" applyAlignment="1">
      <alignment horizontal="center"/>
    </xf>
    <xf numFmtId="1" fontId="5805" fillId="0" borderId="5375" xfId="0" applyNumberFormat="1" applyFont="1" applyBorder="1" applyAlignment="1">
      <alignment horizontal="center"/>
    </xf>
    <xf numFmtId="1" fontId="5806" fillId="0" borderId="5376" xfId="0" applyNumberFormat="1" applyFont="1" applyBorder="1" applyAlignment="1">
      <alignment horizontal="center"/>
    </xf>
    <xf numFmtId="1" fontId="5807" fillId="0" borderId="5377" xfId="0" applyNumberFormat="1" applyFont="1" applyBorder="1" applyAlignment="1">
      <alignment horizontal="center"/>
    </xf>
    <xf numFmtId="0" fontId="5808" fillId="0" borderId="5378" xfId="0" applyFont="1" applyBorder="1"/>
    <xf numFmtId="1" fontId="5809" fillId="0" borderId="5379" xfId="0" applyNumberFormat="1" applyFont="1" applyBorder="1" applyAlignment="1">
      <alignment horizontal="right"/>
    </xf>
    <xf numFmtId="1" fontId="5810" fillId="0" borderId="5380" xfId="0" applyNumberFormat="1" applyFont="1" applyBorder="1" applyAlignment="1">
      <alignment horizontal="right"/>
    </xf>
    <xf numFmtId="1" fontId="5811" fillId="0" borderId="5381" xfId="0" applyNumberFormat="1" applyFont="1" applyBorder="1" applyAlignment="1">
      <alignment horizontal="right"/>
    </xf>
    <xf numFmtId="1" fontId="5812" fillId="0" borderId="5382" xfId="0" applyNumberFormat="1" applyFont="1" applyBorder="1" applyAlignment="1">
      <alignment horizontal="right"/>
    </xf>
    <xf numFmtId="1" fontId="5813" fillId="0" borderId="5383" xfId="0" applyNumberFormat="1" applyFont="1" applyBorder="1" applyAlignment="1">
      <alignment horizontal="right"/>
    </xf>
    <xf numFmtId="1" fontId="5814" fillId="0" borderId="5384" xfId="0" applyNumberFormat="1" applyFont="1" applyBorder="1" applyAlignment="1">
      <alignment horizontal="right"/>
    </xf>
    <xf numFmtId="0" fontId="5815" fillId="0" borderId="5385" xfId="0" applyFont="1" applyBorder="1" applyAlignment="1">
      <alignment horizontal="left"/>
    </xf>
    <xf numFmtId="1" fontId="5816" fillId="0" borderId="5386" xfId="0" applyNumberFormat="1" applyFont="1" applyBorder="1"/>
    <xf numFmtId="1" fontId="5817" fillId="0" borderId="5387" xfId="0" applyNumberFormat="1" applyFont="1" applyBorder="1"/>
    <xf numFmtId="1" fontId="5818" fillId="0" borderId="5388" xfId="0" applyNumberFormat="1" applyFont="1" applyBorder="1"/>
    <xf numFmtId="1" fontId="5819" fillId="0" borderId="5389" xfId="0" applyNumberFormat="1" applyFont="1" applyBorder="1"/>
    <xf numFmtId="1" fontId="5820" fillId="0" borderId="5390" xfId="0" applyNumberFormat="1" applyFont="1" applyBorder="1"/>
    <xf numFmtId="1" fontId="5821" fillId="0" borderId="5391" xfId="0" applyNumberFormat="1" applyFont="1" applyBorder="1"/>
    <xf numFmtId="0" fontId="5822" fillId="0" borderId="5392" xfId="0" applyFont="1" applyBorder="1"/>
    <xf numFmtId="1" fontId="5823" fillId="0" borderId="5393" xfId="0" applyNumberFormat="1" applyFont="1" applyBorder="1"/>
    <xf numFmtId="0" fontId="5824" fillId="0" borderId="5394" xfId="0" applyFont="1" applyBorder="1" applyAlignment="1">
      <alignment horizontal="left"/>
    </xf>
    <xf numFmtId="169" fontId="5825" fillId="0" borderId="5395" xfId="0" applyNumberFormat="1" applyFont="1" applyBorder="1" applyAlignment="1">
      <alignment horizontal="right"/>
    </xf>
    <xf numFmtId="169" fontId="5826" fillId="0" borderId="5396" xfId="0" applyNumberFormat="1" applyFont="1" applyBorder="1" applyAlignment="1">
      <alignment horizontal="right"/>
    </xf>
    <xf numFmtId="169" fontId="5827" fillId="0" borderId="5397" xfId="0" applyNumberFormat="1" applyFont="1" applyBorder="1" applyAlignment="1">
      <alignment horizontal="right"/>
    </xf>
    <xf numFmtId="169" fontId="5828" fillId="0" borderId="5398" xfId="0" applyNumberFormat="1" applyFont="1" applyBorder="1" applyAlignment="1">
      <alignment horizontal="right"/>
    </xf>
    <xf numFmtId="169" fontId="5829" fillId="0" borderId="5399" xfId="0" applyNumberFormat="1" applyFont="1" applyBorder="1" applyAlignment="1">
      <alignment horizontal="right"/>
    </xf>
    <xf numFmtId="0" fontId="5830" fillId="0" borderId="5400" xfId="0" applyFont="1" applyBorder="1" applyAlignment="1">
      <alignment horizontal="left"/>
    </xf>
    <xf numFmtId="169" fontId="5831" fillId="0" borderId="5401" xfId="0" applyNumberFormat="1" applyFont="1" applyBorder="1" applyAlignment="1">
      <alignment horizontal="right"/>
    </xf>
    <xf numFmtId="169" fontId="5832" fillId="0" borderId="5402" xfId="0" applyNumberFormat="1" applyFont="1" applyBorder="1" applyAlignment="1">
      <alignment horizontal="right"/>
    </xf>
    <xf numFmtId="169" fontId="5833" fillId="0" borderId="5403" xfId="0" applyNumberFormat="1" applyFont="1" applyBorder="1" applyAlignment="1">
      <alignment horizontal="right"/>
    </xf>
    <xf numFmtId="169" fontId="5834" fillId="0" borderId="5404" xfId="0" applyNumberFormat="1" applyFont="1" applyBorder="1" applyAlignment="1">
      <alignment horizontal="right"/>
    </xf>
    <xf numFmtId="169" fontId="5835" fillId="0" borderId="5405" xfId="0" applyNumberFormat="1" applyFont="1" applyBorder="1" applyAlignment="1">
      <alignment horizontal="right"/>
    </xf>
    <xf numFmtId="169" fontId="5836" fillId="0" borderId="5406" xfId="0" applyNumberFormat="1" applyFont="1" applyBorder="1" applyAlignment="1">
      <alignment horizontal="right"/>
    </xf>
    <xf numFmtId="169" fontId="5837" fillId="0" borderId="5407" xfId="0" applyNumberFormat="1" applyFont="1" applyBorder="1" applyAlignment="1">
      <alignment horizontal="right"/>
    </xf>
    <xf numFmtId="169" fontId="5838" fillId="0" borderId="5408" xfId="0" applyNumberFormat="1" applyFont="1" applyBorder="1" applyAlignment="1">
      <alignment horizontal="right"/>
    </xf>
    <xf numFmtId="0" fontId="5839" fillId="0" borderId="5409" xfId="0" applyFont="1" applyBorder="1" applyAlignment="1">
      <alignment horizontal="left"/>
    </xf>
    <xf numFmtId="169" fontId="5840" fillId="0" borderId="5410" xfId="0" applyNumberFormat="1" applyFont="1" applyBorder="1" applyAlignment="1">
      <alignment horizontal="right"/>
    </xf>
    <xf numFmtId="169" fontId="5841" fillId="0" borderId="5411" xfId="0" applyNumberFormat="1" applyFont="1" applyBorder="1" applyAlignment="1">
      <alignment horizontal="right"/>
    </xf>
    <xf numFmtId="169" fontId="5842" fillId="0" borderId="5412" xfId="0" applyNumberFormat="1" applyFont="1" applyBorder="1" applyAlignment="1">
      <alignment horizontal="right"/>
    </xf>
    <xf numFmtId="169" fontId="5843" fillId="0" borderId="5413" xfId="0" applyNumberFormat="1" applyFont="1" applyBorder="1" applyAlignment="1">
      <alignment horizontal="right"/>
    </xf>
    <xf numFmtId="169" fontId="5844" fillId="0" borderId="5414" xfId="0" applyNumberFormat="1" applyFont="1" applyBorder="1" applyAlignment="1">
      <alignment horizontal="right"/>
    </xf>
    <xf numFmtId="169" fontId="5845" fillId="0" borderId="5415" xfId="0" applyNumberFormat="1" applyFont="1" applyBorder="1" applyAlignment="1">
      <alignment horizontal="right"/>
    </xf>
    <xf numFmtId="169" fontId="5846" fillId="0" borderId="5416" xfId="0" applyNumberFormat="1" applyFont="1" applyBorder="1" applyAlignment="1">
      <alignment horizontal="right"/>
    </xf>
    <xf numFmtId="169" fontId="5847" fillId="0" borderId="5417" xfId="0" applyNumberFormat="1" applyFont="1" applyBorder="1" applyAlignment="1">
      <alignment horizontal="right"/>
    </xf>
    <xf numFmtId="0" fontId="5848" fillId="0" borderId="5418" xfId="0" applyFont="1" applyBorder="1" applyAlignment="1">
      <alignment horizontal="left"/>
    </xf>
    <xf numFmtId="169" fontId="5849" fillId="0" borderId="5419" xfId="0" applyNumberFormat="1" applyFont="1" applyBorder="1" applyAlignment="1">
      <alignment horizontal="right"/>
    </xf>
    <xf numFmtId="169" fontId="5850" fillId="0" borderId="5420" xfId="0" applyNumberFormat="1" applyFont="1" applyBorder="1" applyAlignment="1">
      <alignment horizontal="right"/>
    </xf>
    <xf numFmtId="169" fontId="5851" fillId="0" borderId="5421" xfId="0" applyNumberFormat="1" applyFont="1" applyBorder="1" applyAlignment="1">
      <alignment horizontal="right"/>
    </xf>
    <xf numFmtId="169" fontId="5852" fillId="0" borderId="5422" xfId="0" applyNumberFormat="1" applyFont="1" applyBorder="1" applyAlignment="1">
      <alignment horizontal="right"/>
    </xf>
    <xf numFmtId="169" fontId="5853" fillId="0" borderId="5423" xfId="0" applyNumberFormat="1" applyFont="1" applyBorder="1" applyAlignment="1">
      <alignment horizontal="right"/>
    </xf>
    <xf numFmtId="169" fontId="5854" fillId="0" borderId="5424" xfId="0" applyNumberFormat="1" applyFont="1" applyBorder="1" applyAlignment="1">
      <alignment horizontal="right"/>
    </xf>
    <xf numFmtId="169" fontId="5855" fillId="0" borderId="5425" xfId="0" applyNumberFormat="1" applyFont="1" applyBorder="1" applyAlignment="1">
      <alignment horizontal="right"/>
    </xf>
    <xf numFmtId="169" fontId="5856" fillId="0" borderId="5426" xfId="0" applyNumberFormat="1" applyFont="1" applyBorder="1" applyAlignment="1">
      <alignment horizontal="right"/>
    </xf>
    <xf numFmtId="0" fontId="5857" fillId="0" borderId="5427" xfId="0" applyFont="1" applyBorder="1" applyAlignment="1">
      <alignment horizontal="left"/>
    </xf>
    <xf numFmtId="169" fontId="5858" fillId="0" borderId="5428" xfId="0" applyNumberFormat="1" applyFont="1" applyBorder="1" applyAlignment="1">
      <alignment horizontal="right"/>
    </xf>
    <xf numFmtId="169" fontId="5859" fillId="0" borderId="5429" xfId="0" applyNumberFormat="1" applyFont="1" applyBorder="1" applyAlignment="1">
      <alignment horizontal="right"/>
    </xf>
    <xf numFmtId="169" fontId="5860" fillId="0" borderId="5430" xfId="0" applyNumberFormat="1" applyFont="1" applyBorder="1" applyAlignment="1">
      <alignment horizontal="right"/>
    </xf>
    <xf numFmtId="169" fontId="5861" fillId="0" borderId="5431" xfId="0" applyNumberFormat="1" applyFont="1" applyBorder="1" applyAlignment="1">
      <alignment horizontal="right"/>
    </xf>
    <xf numFmtId="169" fontId="5862" fillId="0" borderId="5432" xfId="0" applyNumberFormat="1" applyFont="1" applyBorder="1" applyAlignment="1">
      <alignment horizontal="right"/>
    </xf>
    <xf numFmtId="169" fontId="5863" fillId="0" borderId="5433" xfId="0" applyNumberFormat="1" applyFont="1" applyBorder="1" applyAlignment="1">
      <alignment horizontal="right"/>
    </xf>
    <xf numFmtId="169" fontId="5864" fillId="0" borderId="5434" xfId="0" applyNumberFormat="1" applyFont="1" applyBorder="1" applyAlignment="1">
      <alignment horizontal="right"/>
    </xf>
    <xf numFmtId="169" fontId="5865" fillId="0" borderId="5435" xfId="0" applyNumberFormat="1" applyFont="1" applyBorder="1" applyAlignment="1">
      <alignment horizontal="right"/>
    </xf>
    <xf numFmtId="0" fontId="5866" fillId="0" borderId="5436" xfId="0" applyFont="1" applyBorder="1" applyAlignment="1">
      <alignment horizontal="left"/>
    </xf>
    <xf numFmtId="169" fontId="5867" fillId="0" borderId="5437" xfId="0" applyNumberFormat="1" applyFont="1" applyBorder="1" applyAlignment="1">
      <alignment horizontal="right"/>
    </xf>
    <xf numFmtId="169" fontId="5868" fillId="0" borderId="5438" xfId="0" applyNumberFormat="1" applyFont="1" applyBorder="1" applyAlignment="1">
      <alignment horizontal="right"/>
    </xf>
    <xf numFmtId="169" fontId="5869" fillId="0" borderId="5439" xfId="0" applyNumberFormat="1" applyFont="1" applyBorder="1" applyAlignment="1">
      <alignment horizontal="right"/>
    </xf>
    <xf numFmtId="169" fontId="5870" fillId="0" borderId="5440" xfId="0" applyNumberFormat="1" applyFont="1" applyBorder="1" applyAlignment="1">
      <alignment horizontal="right"/>
    </xf>
    <xf numFmtId="169" fontId="5871" fillId="0" borderId="5441" xfId="0" applyNumberFormat="1" applyFont="1" applyBorder="1" applyAlignment="1">
      <alignment horizontal="right"/>
    </xf>
    <xf numFmtId="169" fontId="5872" fillId="0" borderId="5442" xfId="0" applyNumberFormat="1" applyFont="1" applyBorder="1" applyAlignment="1">
      <alignment horizontal="right"/>
    </xf>
    <xf numFmtId="169" fontId="5873" fillId="0" borderId="5443" xfId="0" applyNumberFormat="1" applyFont="1" applyBorder="1" applyAlignment="1">
      <alignment horizontal="right"/>
    </xf>
    <xf numFmtId="169" fontId="5874" fillId="0" borderId="5444" xfId="0" applyNumberFormat="1" applyFont="1" applyBorder="1" applyAlignment="1">
      <alignment horizontal="right"/>
    </xf>
    <xf numFmtId="0" fontId="5875" fillId="0" borderId="5445" xfId="0" applyFont="1" applyBorder="1" applyAlignment="1">
      <alignment horizontal="left"/>
    </xf>
    <xf numFmtId="169" fontId="5876" fillId="0" borderId="5446" xfId="0" applyNumberFormat="1" applyFont="1" applyBorder="1" applyAlignment="1">
      <alignment horizontal="right"/>
    </xf>
    <xf numFmtId="169" fontId="5877" fillId="0" borderId="5447" xfId="0" applyNumberFormat="1" applyFont="1" applyBorder="1" applyAlignment="1">
      <alignment horizontal="right"/>
    </xf>
    <xf numFmtId="169" fontId="5878" fillId="0" borderId="5448" xfId="0" applyNumberFormat="1" applyFont="1" applyBorder="1" applyAlignment="1">
      <alignment horizontal="right"/>
    </xf>
    <xf numFmtId="169" fontId="5879" fillId="0" borderId="5449" xfId="0" applyNumberFormat="1" applyFont="1" applyBorder="1" applyAlignment="1">
      <alignment horizontal="right"/>
    </xf>
    <xf numFmtId="169" fontId="5880" fillId="0" borderId="5450" xfId="0" applyNumberFormat="1" applyFont="1" applyBorder="1" applyAlignment="1">
      <alignment horizontal="right"/>
    </xf>
    <xf numFmtId="169" fontId="5881" fillId="0" borderId="5451" xfId="0" applyNumberFormat="1" applyFont="1" applyBorder="1" applyAlignment="1">
      <alignment horizontal="right"/>
    </xf>
    <xf numFmtId="169" fontId="5882" fillId="0" borderId="5452" xfId="0" applyNumberFormat="1" applyFont="1" applyBorder="1" applyAlignment="1">
      <alignment horizontal="right"/>
    </xf>
    <xf numFmtId="169" fontId="5883" fillId="0" borderId="5453" xfId="0" applyNumberFormat="1" applyFont="1" applyBorder="1" applyAlignment="1">
      <alignment horizontal="right"/>
    </xf>
    <xf numFmtId="0" fontId="5884" fillId="0" borderId="5454" xfId="0" applyFont="1" applyBorder="1" applyAlignment="1">
      <alignment horizontal="left"/>
    </xf>
    <xf numFmtId="169" fontId="5885" fillId="0" borderId="5455" xfId="0" applyNumberFormat="1" applyFont="1" applyBorder="1" applyAlignment="1">
      <alignment horizontal="right"/>
    </xf>
    <xf numFmtId="169" fontId="5886" fillId="0" borderId="5456" xfId="0" applyNumberFormat="1" applyFont="1" applyBorder="1" applyAlignment="1">
      <alignment horizontal="right"/>
    </xf>
    <xf numFmtId="169" fontId="5887" fillId="0" borderId="5457" xfId="0" applyNumberFormat="1" applyFont="1" applyBorder="1" applyAlignment="1">
      <alignment horizontal="right"/>
    </xf>
    <xf numFmtId="169" fontId="5888" fillId="0" borderId="5458" xfId="0" applyNumberFormat="1" applyFont="1" applyBorder="1" applyAlignment="1">
      <alignment horizontal="right"/>
    </xf>
    <xf numFmtId="169" fontId="5889" fillId="0" borderId="5459" xfId="0" applyNumberFormat="1" applyFont="1" applyBorder="1" applyAlignment="1">
      <alignment horizontal="right"/>
    </xf>
    <xf numFmtId="169" fontId="5890" fillId="0" borderId="5460" xfId="0" applyNumberFormat="1" applyFont="1" applyBorder="1" applyAlignment="1">
      <alignment horizontal="right"/>
    </xf>
    <xf numFmtId="169" fontId="5891" fillId="0" borderId="5461" xfId="0" applyNumberFormat="1" applyFont="1" applyBorder="1" applyAlignment="1">
      <alignment horizontal="right"/>
    </xf>
    <xf numFmtId="169" fontId="5892" fillId="0" borderId="5462" xfId="0" applyNumberFormat="1" applyFont="1" applyBorder="1" applyAlignment="1">
      <alignment horizontal="right"/>
    </xf>
    <xf numFmtId="0" fontId="5893" fillId="0" borderId="5463" xfId="0" applyFont="1" applyBorder="1" applyAlignment="1">
      <alignment horizontal="left"/>
    </xf>
    <xf numFmtId="169" fontId="5894" fillId="0" borderId="5464" xfId="0" applyNumberFormat="1" applyFont="1" applyBorder="1" applyAlignment="1">
      <alignment horizontal="right"/>
    </xf>
    <xf numFmtId="169" fontId="5895" fillId="0" borderId="5465" xfId="0" applyNumberFormat="1" applyFont="1" applyBorder="1" applyAlignment="1">
      <alignment horizontal="right"/>
    </xf>
    <xf numFmtId="169" fontId="5896" fillId="0" borderId="5466" xfId="0" applyNumberFormat="1" applyFont="1" applyBorder="1" applyAlignment="1">
      <alignment horizontal="right"/>
    </xf>
    <xf numFmtId="169" fontId="5897" fillId="0" borderId="5467" xfId="0" applyNumberFormat="1" applyFont="1" applyBorder="1" applyAlignment="1">
      <alignment horizontal="right"/>
    </xf>
    <xf numFmtId="169" fontId="5898" fillId="0" borderId="5468" xfId="0" applyNumberFormat="1" applyFont="1" applyBorder="1" applyAlignment="1">
      <alignment horizontal="right"/>
    </xf>
    <xf numFmtId="169" fontId="5899" fillId="0" borderId="5469" xfId="0" applyNumberFormat="1" applyFont="1" applyBorder="1" applyAlignment="1">
      <alignment horizontal="right"/>
    </xf>
    <xf numFmtId="169" fontId="5900" fillId="0" borderId="5470" xfId="0" applyNumberFormat="1" applyFont="1" applyBorder="1" applyAlignment="1">
      <alignment horizontal="right"/>
    </xf>
    <xf numFmtId="169" fontId="5901" fillId="0" borderId="5471" xfId="0" applyNumberFormat="1" applyFont="1" applyBorder="1" applyAlignment="1">
      <alignment horizontal="right"/>
    </xf>
    <xf numFmtId="0" fontId="5902" fillId="0" borderId="5472" xfId="0" applyFont="1" applyBorder="1" applyAlignment="1">
      <alignment horizontal="left"/>
    </xf>
    <xf numFmtId="169" fontId="5903" fillId="0" borderId="5473" xfId="0" applyNumberFormat="1" applyFont="1" applyBorder="1" applyAlignment="1">
      <alignment horizontal="right"/>
    </xf>
    <xf numFmtId="169" fontId="5904" fillId="0" borderId="5474" xfId="0" applyNumberFormat="1" applyFont="1" applyBorder="1" applyAlignment="1">
      <alignment horizontal="right"/>
    </xf>
    <xf numFmtId="169" fontId="5905" fillId="0" borderId="5475" xfId="0" applyNumberFormat="1" applyFont="1" applyBorder="1" applyAlignment="1">
      <alignment horizontal="right"/>
    </xf>
    <xf numFmtId="169" fontId="5906" fillId="0" borderId="5476" xfId="0" applyNumberFormat="1" applyFont="1" applyBorder="1" applyAlignment="1">
      <alignment horizontal="right"/>
    </xf>
    <xf numFmtId="169" fontId="5907" fillId="0" borderId="5477" xfId="0" applyNumberFormat="1" applyFont="1" applyBorder="1" applyAlignment="1">
      <alignment horizontal="right"/>
    </xf>
    <xf numFmtId="169" fontId="5908" fillId="0" borderId="5478" xfId="0" applyNumberFormat="1" applyFont="1" applyBorder="1" applyAlignment="1">
      <alignment horizontal="right"/>
    </xf>
    <xf numFmtId="169" fontId="5909" fillId="0" borderId="5479" xfId="0" applyNumberFormat="1" applyFont="1" applyBorder="1" applyAlignment="1">
      <alignment horizontal="right"/>
    </xf>
    <xf numFmtId="169" fontId="5910" fillId="0" borderId="5480" xfId="0" applyNumberFormat="1" applyFont="1" applyBorder="1" applyAlignment="1">
      <alignment horizontal="right"/>
    </xf>
    <xf numFmtId="0" fontId="5911" fillId="0" borderId="5481" xfId="0" applyFont="1" applyBorder="1" applyAlignment="1">
      <alignment horizontal="left"/>
    </xf>
    <xf numFmtId="169" fontId="5912" fillId="0" borderId="5482" xfId="0" applyNumberFormat="1" applyFont="1" applyBorder="1" applyAlignment="1">
      <alignment horizontal="right"/>
    </xf>
    <xf numFmtId="169" fontId="5913" fillId="0" borderId="5483" xfId="0" applyNumberFormat="1" applyFont="1" applyBorder="1" applyAlignment="1">
      <alignment horizontal="right"/>
    </xf>
    <xf numFmtId="169" fontId="5914" fillId="0" borderId="5484" xfId="0" applyNumberFormat="1" applyFont="1" applyBorder="1" applyAlignment="1">
      <alignment horizontal="right"/>
    </xf>
    <xf numFmtId="169" fontId="5915" fillId="0" borderId="5485" xfId="0" applyNumberFormat="1" applyFont="1" applyBorder="1" applyAlignment="1">
      <alignment horizontal="right"/>
    </xf>
    <xf numFmtId="169" fontId="5916" fillId="0" borderId="5486" xfId="0" applyNumberFormat="1" applyFont="1" applyBorder="1" applyAlignment="1">
      <alignment horizontal="right"/>
    </xf>
    <xf numFmtId="169" fontId="5917" fillId="0" borderId="5487" xfId="0" applyNumberFormat="1" applyFont="1" applyBorder="1" applyAlignment="1">
      <alignment horizontal="right"/>
    </xf>
    <xf numFmtId="169" fontId="5918" fillId="0" borderId="5488" xfId="0" applyNumberFormat="1" applyFont="1" applyBorder="1" applyAlignment="1">
      <alignment horizontal="right"/>
    </xf>
    <xf numFmtId="169" fontId="5919" fillId="0" borderId="5489" xfId="0" applyNumberFormat="1" applyFont="1" applyBorder="1" applyAlignment="1">
      <alignment horizontal="right"/>
    </xf>
    <xf numFmtId="0" fontId="5920" fillId="0" borderId="5490" xfId="0" applyFont="1" applyBorder="1" applyAlignment="1">
      <alignment horizontal="left"/>
    </xf>
    <xf numFmtId="169" fontId="5921" fillId="0" borderId="5491" xfId="0" applyNumberFormat="1" applyFont="1" applyBorder="1" applyAlignment="1">
      <alignment horizontal="right"/>
    </xf>
    <xf numFmtId="169" fontId="5922" fillId="0" borderId="5492" xfId="0" applyNumberFormat="1" applyFont="1" applyBorder="1" applyAlignment="1">
      <alignment horizontal="right"/>
    </xf>
    <xf numFmtId="169" fontId="5923" fillId="0" borderId="5493" xfId="0" applyNumberFormat="1" applyFont="1" applyBorder="1" applyAlignment="1">
      <alignment horizontal="right"/>
    </xf>
    <xf numFmtId="169" fontId="5924" fillId="0" borderId="5494" xfId="0" applyNumberFormat="1" applyFont="1" applyBorder="1" applyAlignment="1">
      <alignment horizontal="right"/>
    </xf>
    <xf numFmtId="169" fontId="5925" fillId="0" borderId="5495" xfId="0" applyNumberFormat="1" applyFont="1" applyBorder="1" applyAlignment="1">
      <alignment horizontal="right"/>
    </xf>
    <xf numFmtId="169" fontId="5926" fillId="0" borderId="5496" xfId="0" applyNumberFormat="1" applyFont="1" applyBorder="1" applyAlignment="1">
      <alignment horizontal="right"/>
    </xf>
    <xf numFmtId="169" fontId="5927" fillId="0" borderId="5497" xfId="0" applyNumberFormat="1" applyFont="1" applyBorder="1" applyAlignment="1">
      <alignment horizontal="right"/>
    </xf>
    <xf numFmtId="169" fontId="5928" fillId="0" borderId="5498" xfId="0" applyNumberFormat="1" applyFont="1" applyBorder="1" applyAlignment="1">
      <alignment horizontal="right"/>
    </xf>
    <xf numFmtId="0" fontId="5929" fillId="0" borderId="5499" xfId="0" applyFont="1" applyBorder="1" applyAlignment="1">
      <alignment horizontal="left"/>
    </xf>
    <xf numFmtId="169" fontId="5930" fillId="0" borderId="5500" xfId="0" applyNumberFormat="1" applyFont="1" applyBorder="1" applyAlignment="1">
      <alignment horizontal="right"/>
    </xf>
    <xf numFmtId="169" fontId="5931" fillId="0" borderId="5501" xfId="0" applyNumberFormat="1" applyFont="1" applyBorder="1" applyAlignment="1">
      <alignment horizontal="right"/>
    </xf>
    <xf numFmtId="169" fontId="5932" fillId="0" borderId="5502" xfId="0" applyNumberFormat="1" applyFont="1" applyBorder="1" applyAlignment="1">
      <alignment horizontal="right"/>
    </xf>
    <xf numFmtId="169" fontId="5933" fillId="0" borderId="5503" xfId="0" applyNumberFormat="1" applyFont="1" applyBorder="1" applyAlignment="1">
      <alignment horizontal="right"/>
    </xf>
    <xf numFmtId="169" fontId="5934" fillId="0" borderId="5504" xfId="0" applyNumberFormat="1" applyFont="1" applyBorder="1" applyAlignment="1">
      <alignment horizontal="right"/>
    </xf>
    <xf numFmtId="169" fontId="5935" fillId="0" borderId="5505" xfId="0" applyNumberFormat="1" applyFont="1" applyBorder="1" applyAlignment="1">
      <alignment horizontal="right"/>
    </xf>
    <xf numFmtId="169" fontId="5936" fillId="0" borderId="5506" xfId="0" applyNumberFormat="1" applyFont="1" applyBorder="1" applyAlignment="1">
      <alignment horizontal="right"/>
    </xf>
    <xf numFmtId="169" fontId="5937" fillId="0" borderId="5507" xfId="0" applyNumberFormat="1" applyFont="1" applyBorder="1" applyAlignment="1">
      <alignment horizontal="right"/>
    </xf>
    <xf numFmtId="0" fontId="5938" fillId="0" borderId="5508" xfId="0" applyFont="1" applyBorder="1" applyAlignment="1">
      <alignment horizontal="left"/>
    </xf>
    <xf numFmtId="169" fontId="5939" fillId="0" borderId="5509" xfId="0" applyNumberFormat="1" applyFont="1" applyBorder="1" applyAlignment="1">
      <alignment horizontal="right"/>
    </xf>
    <xf numFmtId="169" fontId="5940" fillId="0" borderId="5510" xfId="0" applyNumberFormat="1" applyFont="1" applyBorder="1" applyAlignment="1">
      <alignment horizontal="right"/>
    </xf>
    <xf numFmtId="169" fontId="5941" fillId="0" borderId="5511" xfId="0" applyNumberFormat="1" applyFont="1" applyBorder="1" applyAlignment="1">
      <alignment horizontal="right"/>
    </xf>
    <xf numFmtId="169" fontId="5942" fillId="0" borderId="5512" xfId="0" applyNumberFormat="1" applyFont="1" applyBorder="1" applyAlignment="1">
      <alignment horizontal="right"/>
    </xf>
    <xf numFmtId="169" fontId="5943" fillId="0" borderId="5513" xfId="0" applyNumberFormat="1" applyFont="1" applyBorder="1" applyAlignment="1">
      <alignment horizontal="right"/>
    </xf>
    <xf numFmtId="0" fontId="5944" fillId="0" borderId="5514" xfId="0" applyFont="1" applyBorder="1" applyAlignment="1">
      <alignment horizontal="left"/>
    </xf>
    <xf numFmtId="169" fontId="5945" fillId="0" borderId="5515" xfId="0" applyNumberFormat="1" applyFont="1" applyBorder="1" applyAlignment="1">
      <alignment horizontal="right"/>
    </xf>
    <xf numFmtId="169" fontId="5946" fillId="0" borderId="5516" xfId="0" applyNumberFormat="1" applyFont="1" applyBorder="1" applyAlignment="1">
      <alignment horizontal="right"/>
    </xf>
    <xf numFmtId="169" fontId="5947" fillId="0" borderId="5517" xfId="0" applyNumberFormat="1" applyFont="1" applyBorder="1" applyAlignment="1">
      <alignment horizontal="right"/>
    </xf>
    <xf numFmtId="169" fontId="5948" fillId="0" borderId="5518" xfId="0" applyNumberFormat="1" applyFont="1" applyBorder="1" applyAlignment="1">
      <alignment horizontal="right"/>
    </xf>
    <xf numFmtId="169" fontId="5949" fillId="0" borderId="5519" xfId="0" applyNumberFormat="1" applyFont="1" applyBorder="1" applyAlignment="1">
      <alignment horizontal="right"/>
    </xf>
    <xf numFmtId="169" fontId="5950" fillId="0" borderId="5520" xfId="0" applyNumberFormat="1" applyFont="1" applyBorder="1" applyAlignment="1">
      <alignment horizontal="right"/>
    </xf>
    <xf numFmtId="169" fontId="5951" fillId="0" borderId="5521" xfId="0" applyNumberFormat="1" applyFont="1" applyBorder="1" applyAlignment="1">
      <alignment horizontal="right"/>
    </xf>
    <xf numFmtId="169" fontId="5952" fillId="0" borderId="5522" xfId="0" applyNumberFormat="1" applyFont="1" applyBorder="1" applyAlignment="1">
      <alignment horizontal="right"/>
    </xf>
    <xf numFmtId="0" fontId="5953" fillId="0" borderId="5523" xfId="0" applyFont="1" applyBorder="1" applyAlignment="1">
      <alignment horizontal="left"/>
    </xf>
    <xf numFmtId="169" fontId="5954" fillId="0" borderId="5524" xfId="0" applyNumberFormat="1" applyFont="1" applyBorder="1" applyAlignment="1">
      <alignment horizontal="right"/>
    </xf>
    <xf numFmtId="169" fontId="5955" fillId="0" borderId="5525" xfId="0" applyNumberFormat="1" applyFont="1" applyBorder="1" applyAlignment="1">
      <alignment horizontal="right"/>
    </xf>
    <xf numFmtId="169" fontId="5956" fillId="0" borderId="5526" xfId="0" applyNumberFormat="1" applyFont="1" applyBorder="1" applyAlignment="1">
      <alignment horizontal="right"/>
    </xf>
    <xf numFmtId="169" fontId="5957" fillId="0" borderId="5527" xfId="0" applyNumberFormat="1" applyFont="1" applyBorder="1" applyAlignment="1">
      <alignment horizontal="right"/>
    </xf>
    <xf numFmtId="169" fontId="5958" fillId="0" borderId="5528" xfId="0" applyNumberFormat="1" applyFont="1" applyBorder="1" applyAlignment="1">
      <alignment horizontal="right"/>
    </xf>
    <xf numFmtId="169" fontId="5959" fillId="0" borderId="5529" xfId="0" applyNumberFormat="1" applyFont="1" applyBorder="1" applyAlignment="1">
      <alignment horizontal="right"/>
    </xf>
    <xf numFmtId="169" fontId="5960" fillId="0" borderId="5530" xfId="0" applyNumberFormat="1" applyFont="1" applyBorder="1" applyAlignment="1">
      <alignment horizontal="right"/>
    </xf>
    <xf numFmtId="169" fontId="5961" fillId="0" borderId="5531" xfId="0" applyNumberFormat="1" applyFont="1" applyBorder="1" applyAlignment="1">
      <alignment horizontal="right"/>
    </xf>
    <xf numFmtId="0" fontId="5962" fillId="0" borderId="5532" xfId="0" applyFont="1" applyBorder="1" applyAlignment="1">
      <alignment horizontal="left"/>
    </xf>
    <xf numFmtId="169" fontId="5969" fillId="0" borderId="5539" xfId="0" applyNumberFormat="1" applyFont="1" applyBorder="1" applyAlignment="1">
      <alignment horizontal="right"/>
    </xf>
    <xf numFmtId="169" fontId="5970" fillId="0" borderId="5540" xfId="0" applyNumberFormat="1" applyFont="1" applyBorder="1" applyAlignment="1">
      <alignment horizontal="center"/>
    </xf>
    <xf numFmtId="0" fontId="5971" fillId="0" borderId="5541" xfId="0" applyFont="1" applyBorder="1"/>
    <xf numFmtId="0" fontId="5975" fillId="0" borderId="5545" xfId="0" applyFont="1" applyBorder="1" applyAlignment="1">
      <alignment horizontal="right"/>
    </xf>
    <xf numFmtId="0" fontId="5976" fillId="0" borderId="5546" xfId="0" applyFont="1" applyBorder="1"/>
    <xf numFmtId="0" fontId="5980" fillId="0" borderId="5550" xfId="0" applyFont="1" applyBorder="1"/>
    <xf numFmtId="1" fontId="5981" fillId="0" borderId="5551" xfId="0" applyNumberFormat="1" applyFont="1" applyBorder="1" applyAlignment="1">
      <alignment horizontal="right"/>
    </xf>
    <xf numFmtId="1" fontId="5982" fillId="0" borderId="5552" xfId="0" applyNumberFormat="1" applyFont="1" applyBorder="1" applyAlignment="1">
      <alignment horizontal="right"/>
    </xf>
    <xf numFmtId="1" fontId="5983" fillId="0" borderId="5553" xfId="0" applyNumberFormat="1" applyFont="1" applyBorder="1" applyAlignment="1">
      <alignment horizontal="right"/>
    </xf>
    <xf numFmtId="1" fontId="5984" fillId="0" borderId="5554" xfId="0" applyNumberFormat="1" applyFont="1" applyBorder="1" applyAlignment="1">
      <alignment horizontal="right"/>
    </xf>
    <xf numFmtId="1" fontId="5985" fillId="0" borderId="5555" xfId="0" applyNumberFormat="1" applyFont="1" applyBorder="1" applyAlignment="1">
      <alignment horizontal="right"/>
    </xf>
    <xf numFmtId="1" fontId="5986" fillId="0" borderId="5556" xfId="0" applyNumberFormat="1" applyFont="1" applyBorder="1" applyAlignment="1">
      <alignment horizontal="right"/>
    </xf>
    <xf numFmtId="0" fontId="5987" fillId="0" borderId="5557" xfId="0" applyFont="1" applyBorder="1"/>
    <xf numFmtId="1" fontId="5988" fillId="0" borderId="5558" xfId="0" applyNumberFormat="1" applyFont="1" applyBorder="1" applyAlignment="1">
      <alignment horizontal="center"/>
    </xf>
    <xf numFmtId="1" fontId="5989" fillId="0" borderId="5559" xfId="0" applyNumberFormat="1" applyFont="1" applyBorder="1" applyAlignment="1">
      <alignment horizontal="center"/>
    </xf>
    <xf numFmtId="1" fontId="5990" fillId="0" borderId="5560" xfId="0" applyNumberFormat="1" applyFont="1" applyBorder="1" applyAlignment="1">
      <alignment horizontal="center"/>
    </xf>
    <xf numFmtId="1" fontId="5991" fillId="0" borderId="5561" xfId="0" applyNumberFormat="1" applyFont="1" applyBorder="1" applyAlignment="1">
      <alignment horizontal="center"/>
    </xf>
    <xf numFmtId="1" fontId="5992" fillId="0" borderId="5562" xfId="0" applyNumberFormat="1" applyFont="1" applyBorder="1" applyAlignment="1">
      <alignment horizontal="center"/>
    </xf>
    <xf numFmtId="1" fontId="5993" fillId="0" borderId="5563" xfId="0" applyNumberFormat="1" applyFont="1" applyBorder="1" applyAlignment="1">
      <alignment horizontal="center"/>
    </xf>
    <xf numFmtId="0" fontId="5994" fillId="0" borderId="5564" xfId="0" applyFont="1" applyBorder="1"/>
    <xf numFmtId="1" fontId="5995" fillId="0" borderId="5565" xfId="0" applyNumberFormat="1" applyFont="1" applyBorder="1" applyAlignment="1">
      <alignment horizontal="right"/>
    </xf>
    <xf numFmtId="1" fontId="5996" fillId="0" borderId="5566" xfId="0" applyNumberFormat="1" applyFont="1" applyBorder="1" applyAlignment="1">
      <alignment horizontal="right"/>
    </xf>
    <xf numFmtId="1" fontId="5997" fillId="0" borderId="5567" xfId="0" applyNumberFormat="1" applyFont="1" applyBorder="1" applyAlignment="1">
      <alignment horizontal="right"/>
    </xf>
    <xf numFmtId="1" fontId="5998" fillId="0" borderId="5568" xfId="0" applyNumberFormat="1" applyFont="1" applyBorder="1" applyAlignment="1">
      <alignment horizontal="right"/>
    </xf>
    <xf numFmtId="1" fontId="5999" fillId="0" borderId="5569" xfId="0" applyNumberFormat="1" applyFont="1" applyBorder="1" applyAlignment="1">
      <alignment horizontal="right"/>
    </xf>
    <xf numFmtId="1" fontId="6000" fillId="0" borderId="5570" xfId="0" applyNumberFormat="1" applyFont="1" applyBorder="1" applyAlignment="1">
      <alignment horizontal="right"/>
    </xf>
    <xf numFmtId="0" fontId="6001" fillId="0" borderId="5571" xfId="0" applyFont="1" applyBorder="1" applyAlignment="1">
      <alignment horizontal="left"/>
    </xf>
    <xf numFmtId="1" fontId="6002" fillId="0" borderId="5572" xfId="0" applyNumberFormat="1" applyFont="1" applyBorder="1"/>
    <xf numFmtId="1" fontId="6003" fillId="0" borderId="5573" xfId="0" applyNumberFormat="1" applyFont="1" applyBorder="1"/>
    <xf numFmtId="1" fontId="6004" fillId="0" borderId="5574" xfId="0" applyNumberFormat="1" applyFont="1" applyBorder="1"/>
    <xf numFmtId="1" fontId="6005" fillId="0" borderId="5575" xfId="0" applyNumberFormat="1" applyFont="1" applyBorder="1"/>
    <xf numFmtId="1" fontId="6006" fillId="0" borderId="5576" xfId="0" applyNumberFormat="1" applyFont="1" applyBorder="1"/>
    <xf numFmtId="1" fontId="6007" fillId="0" borderId="5577" xfId="0" applyNumberFormat="1" applyFont="1" applyBorder="1"/>
    <xf numFmtId="0" fontId="6008" fillId="0" borderId="5578" xfId="0" applyFont="1" applyBorder="1"/>
    <xf numFmtId="1" fontId="6009" fillId="0" borderId="5579" xfId="0" applyNumberFormat="1" applyFont="1" applyBorder="1"/>
    <xf numFmtId="0" fontId="6010" fillId="0" borderId="5580" xfId="0" applyFont="1" applyBorder="1" applyAlignment="1">
      <alignment horizontal="left"/>
    </xf>
    <xf numFmtId="169" fontId="6011" fillId="0" borderId="5581" xfId="0" applyNumberFormat="1" applyFont="1" applyBorder="1" applyAlignment="1">
      <alignment horizontal="right"/>
    </xf>
    <xf numFmtId="169" fontId="6012" fillId="0" borderId="5582" xfId="0" applyNumberFormat="1" applyFont="1" applyBorder="1" applyAlignment="1">
      <alignment horizontal="right"/>
    </xf>
    <xf numFmtId="169" fontId="6013" fillId="0" borderId="5583" xfId="0" applyNumberFormat="1" applyFont="1" applyBorder="1" applyAlignment="1">
      <alignment horizontal="right"/>
    </xf>
    <xf numFmtId="169" fontId="6014" fillId="0" borderId="5584" xfId="0" applyNumberFormat="1" applyFont="1" applyBorder="1" applyAlignment="1">
      <alignment horizontal="right"/>
    </xf>
    <xf numFmtId="169" fontId="6015" fillId="0" borderId="5585" xfId="0" applyNumberFormat="1" applyFont="1" applyBorder="1" applyAlignment="1">
      <alignment horizontal="right"/>
    </xf>
    <xf numFmtId="0" fontId="6016" fillId="0" borderId="5586" xfId="0" applyFont="1" applyBorder="1" applyAlignment="1">
      <alignment horizontal="left"/>
    </xf>
    <xf numFmtId="169" fontId="6017" fillId="0" borderId="5587" xfId="0" applyNumberFormat="1" applyFont="1" applyBorder="1" applyAlignment="1">
      <alignment horizontal="right"/>
    </xf>
    <xf numFmtId="169" fontId="6018" fillId="0" borderId="5588" xfId="0" applyNumberFormat="1" applyFont="1" applyBorder="1" applyAlignment="1">
      <alignment horizontal="right"/>
    </xf>
    <xf numFmtId="169" fontId="6019" fillId="0" borderId="5589" xfId="0" applyNumberFormat="1" applyFont="1" applyBorder="1" applyAlignment="1">
      <alignment horizontal="right"/>
    </xf>
    <xf numFmtId="169" fontId="6020" fillId="0" borderId="5590" xfId="0" applyNumberFormat="1" applyFont="1" applyBorder="1" applyAlignment="1">
      <alignment horizontal="right"/>
    </xf>
    <xf numFmtId="169" fontId="6021" fillId="0" borderId="5591" xfId="0" applyNumberFormat="1" applyFont="1" applyBorder="1" applyAlignment="1">
      <alignment horizontal="right"/>
    </xf>
    <xf numFmtId="169" fontId="6022" fillId="0" borderId="5592" xfId="0" applyNumberFormat="1" applyFont="1" applyBorder="1" applyAlignment="1">
      <alignment horizontal="right"/>
    </xf>
    <xf numFmtId="169" fontId="6023" fillId="0" borderId="5593" xfId="0" applyNumberFormat="1" applyFont="1" applyBorder="1" applyAlignment="1">
      <alignment horizontal="right"/>
    </xf>
    <xf numFmtId="169" fontId="6024" fillId="0" borderId="5594" xfId="0" applyNumberFormat="1" applyFont="1" applyBorder="1" applyAlignment="1">
      <alignment horizontal="right"/>
    </xf>
    <xf numFmtId="0" fontId="6025" fillId="0" borderId="5595" xfId="0" applyFont="1" applyBorder="1" applyAlignment="1">
      <alignment horizontal="left"/>
    </xf>
    <xf numFmtId="169" fontId="6026" fillId="0" borderId="5596" xfId="0" applyNumberFormat="1" applyFont="1" applyBorder="1" applyAlignment="1">
      <alignment horizontal="right"/>
    </xf>
    <xf numFmtId="169" fontId="6027" fillId="0" borderId="5597" xfId="0" applyNumberFormat="1" applyFont="1" applyBorder="1" applyAlignment="1">
      <alignment horizontal="right"/>
    </xf>
    <xf numFmtId="169" fontId="6028" fillId="0" borderId="5598" xfId="0" applyNumberFormat="1" applyFont="1" applyBorder="1" applyAlignment="1">
      <alignment horizontal="right"/>
    </xf>
    <xf numFmtId="169" fontId="6029" fillId="0" borderId="5599" xfId="0" applyNumberFormat="1" applyFont="1" applyBorder="1" applyAlignment="1">
      <alignment horizontal="right"/>
    </xf>
    <xf numFmtId="169" fontId="6030" fillId="0" borderId="5600" xfId="0" applyNumberFormat="1" applyFont="1" applyBorder="1" applyAlignment="1">
      <alignment horizontal="right"/>
    </xf>
    <xf numFmtId="169" fontId="6031" fillId="0" borderId="5601" xfId="0" applyNumberFormat="1" applyFont="1" applyBorder="1" applyAlignment="1">
      <alignment horizontal="right"/>
    </xf>
    <xf numFmtId="169" fontId="6032" fillId="0" borderId="5602" xfId="0" applyNumberFormat="1" applyFont="1" applyBorder="1" applyAlignment="1">
      <alignment horizontal="right"/>
    </xf>
    <xf numFmtId="169" fontId="6033" fillId="0" borderId="5603" xfId="0" applyNumberFormat="1" applyFont="1" applyBorder="1" applyAlignment="1">
      <alignment horizontal="right"/>
    </xf>
    <xf numFmtId="0" fontId="6034" fillId="0" borderId="5604" xfId="0" applyFont="1" applyBorder="1" applyAlignment="1">
      <alignment horizontal="left"/>
    </xf>
    <xf numFmtId="169" fontId="6035" fillId="0" borderId="5605" xfId="0" applyNumberFormat="1" applyFont="1" applyBorder="1" applyAlignment="1">
      <alignment horizontal="right"/>
    </xf>
    <xf numFmtId="169" fontId="6036" fillId="0" borderId="5606" xfId="0" applyNumberFormat="1" applyFont="1" applyBorder="1" applyAlignment="1">
      <alignment horizontal="right"/>
    </xf>
    <xf numFmtId="169" fontId="6037" fillId="0" borderId="5607" xfId="0" applyNumberFormat="1" applyFont="1" applyBorder="1" applyAlignment="1">
      <alignment horizontal="right"/>
    </xf>
    <xf numFmtId="169" fontId="6038" fillId="0" borderId="5608" xfId="0" applyNumberFormat="1" applyFont="1" applyBorder="1" applyAlignment="1">
      <alignment horizontal="right"/>
    </xf>
    <xf numFmtId="169" fontId="6039" fillId="0" borderId="5609" xfId="0" applyNumberFormat="1" applyFont="1" applyBorder="1" applyAlignment="1">
      <alignment horizontal="right"/>
    </xf>
    <xf numFmtId="169" fontId="6040" fillId="0" borderId="5610" xfId="0" applyNumberFormat="1" applyFont="1" applyBorder="1" applyAlignment="1">
      <alignment horizontal="right"/>
    </xf>
    <xf numFmtId="169" fontId="6041" fillId="0" borderId="5611" xfId="0" applyNumberFormat="1" applyFont="1" applyBorder="1" applyAlignment="1">
      <alignment horizontal="right"/>
    </xf>
    <xf numFmtId="169" fontId="6042" fillId="0" borderId="5612" xfId="0" applyNumberFormat="1" applyFont="1" applyBorder="1" applyAlignment="1">
      <alignment horizontal="right"/>
    </xf>
    <xf numFmtId="0" fontId="6043" fillId="0" borderId="5613" xfId="0" applyFont="1" applyBorder="1" applyAlignment="1">
      <alignment horizontal="left"/>
    </xf>
    <xf numFmtId="169" fontId="6044" fillId="0" borderId="5614" xfId="0" applyNumberFormat="1" applyFont="1" applyBorder="1" applyAlignment="1">
      <alignment horizontal="right"/>
    </xf>
    <xf numFmtId="169" fontId="6045" fillId="0" borderId="5615" xfId="0" applyNumberFormat="1" applyFont="1" applyBorder="1" applyAlignment="1">
      <alignment horizontal="right"/>
    </xf>
    <xf numFmtId="169" fontId="6046" fillId="0" borderId="5616" xfId="0" applyNumberFormat="1" applyFont="1" applyBorder="1" applyAlignment="1">
      <alignment horizontal="right"/>
    </xf>
    <xf numFmtId="169" fontId="6047" fillId="0" borderId="5617" xfId="0" applyNumberFormat="1" applyFont="1" applyBorder="1" applyAlignment="1">
      <alignment horizontal="right"/>
    </xf>
    <xf numFmtId="169" fontId="6048" fillId="0" borderId="5618" xfId="0" applyNumberFormat="1" applyFont="1" applyBorder="1" applyAlignment="1">
      <alignment horizontal="right"/>
    </xf>
    <xf numFmtId="169" fontId="6049" fillId="0" borderId="5619" xfId="0" applyNumberFormat="1" applyFont="1" applyBorder="1" applyAlignment="1">
      <alignment horizontal="right"/>
    </xf>
    <xf numFmtId="169" fontId="6050" fillId="0" borderId="5620" xfId="0" applyNumberFormat="1" applyFont="1" applyBorder="1" applyAlignment="1">
      <alignment horizontal="right"/>
    </xf>
    <xf numFmtId="169" fontId="6051" fillId="0" borderId="5621" xfId="0" applyNumberFormat="1" applyFont="1" applyBorder="1" applyAlignment="1">
      <alignment horizontal="right"/>
    </xf>
    <xf numFmtId="0" fontId="6052" fillId="0" borderId="5622" xfId="0" applyFont="1" applyBorder="1" applyAlignment="1">
      <alignment horizontal="left"/>
    </xf>
    <xf numFmtId="169" fontId="6053" fillId="0" borderId="5623" xfId="0" applyNumberFormat="1" applyFont="1" applyBorder="1" applyAlignment="1">
      <alignment horizontal="right"/>
    </xf>
    <xf numFmtId="169" fontId="6054" fillId="0" borderId="5624" xfId="0" applyNumberFormat="1" applyFont="1" applyBorder="1" applyAlignment="1">
      <alignment horizontal="right"/>
    </xf>
    <xf numFmtId="169" fontId="6055" fillId="0" borderId="5625" xfId="0" applyNumberFormat="1" applyFont="1" applyBorder="1" applyAlignment="1">
      <alignment horizontal="right"/>
    </xf>
    <xf numFmtId="169" fontId="6056" fillId="0" borderId="5626" xfId="0" applyNumberFormat="1" applyFont="1" applyBorder="1" applyAlignment="1">
      <alignment horizontal="right"/>
    </xf>
    <xf numFmtId="169" fontId="6057" fillId="0" borderId="5627" xfId="0" applyNumberFormat="1" applyFont="1" applyBorder="1" applyAlignment="1">
      <alignment horizontal="right"/>
    </xf>
    <xf numFmtId="169" fontId="6058" fillId="0" borderId="5628" xfId="0" applyNumberFormat="1" applyFont="1" applyBorder="1" applyAlignment="1">
      <alignment horizontal="right"/>
    </xf>
    <xf numFmtId="169" fontId="6059" fillId="0" borderId="5629" xfId="0" applyNumberFormat="1" applyFont="1" applyBorder="1" applyAlignment="1">
      <alignment horizontal="right"/>
    </xf>
    <xf numFmtId="169" fontId="6060" fillId="0" borderId="5630" xfId="0" applyNumberFormat="1" applyFont="1" applyBorder="1" applyAlignment="1">
      <alignment horizontal="right"/>
    </xf>
    <xf numFmtId="0" fontId="6061" fillId="0" borderId="5631" xfId="0" applyFont="1" applyBorder="1" applyAlignment="1">
      <alignment horizontal="left"/>
    </xf>
    <xf numFmtId="169" fontId="6062" fillId="0" borderId="5632" xfId="0" applyNumberFormat="1" applyFont="1" applyBorder="1" applyAlignment="1">
      <alignment horizontal="right"/>
    </xf>
    <xf numFmtId="169" fontId="6063" fillId="0" borderId="5633" xfId="0" applyNumberFormat="1" applyFont="1" applyBorder="1" applyAlignment="1">
      <alignment horizontal="right"/>
    </xf>
    <xf numFmtId="169" fontId="6064" fillId="0" borderId="5634" xfId="0" applyNumberFormat="1" applyFont="1" applyBorder="1" applyAlignment="1">
      <alignment horizontal="right"/>
    </xf>
    <xf numFmtId="169" fontId="6065" fillId="0" borderId="5635" xfId="0" applyNumberFormat="1" applyFont="1" applyBorder="1" applyAlignment="1">
      <alignment horizontal="right"/>
    </xf>
    <xf numFmtId="169" fontId="6066" fillId="0" borderId="5636" xfId="0" applyNumberFormat="1" applyFont="1" applyBorder="1" applyAlignment="1">
      <alignment horizontal="right"/>
    </xf>
    <xf numFmtId="169" fontId="6067" fillId="0" borderId="5637" xfId="0" applyNumberFormat="1" applyFont="1" applyBorder="1" applyAlignment="1">
      <alignment horizontal="right"/>
    </xf>
    <xf numFmtId="169" fontId="6068" fillId="0" borderId="5638" xfId="0" applyNumberFormat="1" applyFont="1" applyBorder="1" applyAlignment="1">
      <alignment horizontal="right"/>
    </xf>
    <xf numFmtId="169" fontId="6069" fillId="0" borderId="5639" xfId="0" applyNumberFormat="1" applyFont="1" applyBorder="1" applyAlignment="1">
      <alignment horizontal="right"/>
    </xf>
    <xf numFmtId="0" fontId="6070" fillId="0" borderId="5640" xfId="0" applyFont="1" applyBorder="1" applyAlignment="1">
      <alignment horizontal="left"/>
    </xf>
    <xf numFmtId="169" fontId="6071" fillId="0" borderId="5641" xfId="0" applyNumberFormat="1" applyFont="1" applyBorder="1" applyAlignment="1">
      <alignment horizontal="right"/>
    </xf>
    <xf numFmtId="169" fontId="6072" fillId="0" borderId="5642" xfId="0" applyNumberFormat="1" applyFont="1" applyBorder="1" applyAlignment="1">
      <alignment horizontal="right"/>
    </xf>
    <xf numFmtId="169" fontId="6073" fillId="0" borderId="5643" xfId="0" applyNumberFormat="1" applyFont="1" applyBorder="1" applyAlignment="1">
      <alignment horizontal="right"/>
    </xf>
    <xf numFmtId="169" fontId="6074" fillId="0" borderId="5644" xfId="0" applyNumberFormat="1" applyFont="1" applyBorder="1" applyAlignment="1">
      <alignment horizontal="right"/>
    </xf>
    <xf numFmtId="169" fontId="6075" fillId="0" borderId="5645" xfId="0" applyNumberFormat="1" applyFont="1" applyBorder="1" applyAlignment="1">
      <alignment horizontal="right"/>
    </xf>
    <xf numFmtId="169" fontId="6076" fillId="0" borderId="5646" xfId="0" applyNumberFormat="1" applyFont="1" applyBorder="1" applyAlignment="1">
      <alignment horizontal="right"/>
    </xf>
    <xf numFmtId="169" fontId="6077" fillId="0" borderId="5647" xfId="0" applyNumberFormat="1" applyFont="1" applyBorder="1" applyAlignment="1">
      <alignment horizontal="right"/>
    </xf>
    <xf numFmtId="169" fontId="6078" fillId="0" borderId="5648" xfId="0" applyNumberFormat="1" applyFont="1" applyBorder="1" applyAlignment="1">
      <alignment horizontal="right"/>
    </xf>
    <xf numFmtId="0" fontId="6079" fillId="0" borderId="5649" xfId="0" applyFont="1" applyBorder="1" applyAlignment="1">
      <alignment horizontal="left"/>
    </xf>
    <xf numFmtId="169" fontId="6080" fillId="0" borderId="5650" xfId="0" applyNumberFormat="1" applyFont="1" applyBorder="1" applyAlignment="1">
      <alignment horizontal="right"/>
    </xf>
    <xf numFmtId="169" fontId="6081" fillId="0" borderId="5651" xfId="0" applyNumberFormat="1" applyFont="1" applyBorder="1" applyAlignment="1">
      <alignment horizontal="right"/>
    </xf>
    <xf numFmtId="169" fontId="6082" fillId="0" borderId="5652" xfId="0" applyNumberFormat="1" applyFont="1" applyBorder="1" applyAlignment="1">
      <alignment horizontal="right"/>
    </xf>
    <xf numFmtId="169" fontId="6083" fillId="0" borderId="5653" xfId="0" applyNumberFormat="1" applyFont="1" applyBorder="1" applyAlignment="1">
      <alignment horizontal="right"/>
    </xf>
    <xf numFmtId="169" fontId="6084" fillId="0" borderId="5654" xfId="0" applyNumberFormat="1" applyFont="1" applyBorder="1" applyAlignment="1">
      <alignment horizontal="right"/>
    </xf>
    <xf numFmtId="169" fontId="6085" fillId="0" borderId="5655" xfId="0" applyNumberFormat="1" applyFont="1" applyBorder="1" applyAlignment="1">
      <alignment horizontal="right"/>
    </xf>
    <xf numFmtId="169" fontId="6086" fillId="0" borderId="5656" xfId="0" applyNumberFormat="1" applyFont="1" applyBorder="1" applyAlignment="1">
      <alignment horizontal="right"/>
    </xf>
    <xf numFmtId="169" fontId="6087" fillId="0" borderId="5657" xfId="0" applyNumberFormat="1" applyFont="1" applyBorder="1" applyAlignment="1">
      <alignment horizontal="right"/>
    </xf>
    <xf numFmtId="0" fontId="6088" fillId="0" borderId="5658" xfId="0" applyFont="1" applyBorder="1" applyAlignment="1">
      <alignment horizontal="left"/>
    </xf>
    <xf numFmtId="169" fontId="6089" fillId="0" borderId="5659" xfId="0" applyNumberFormat="1" applyFont="1" applyBorder="1" applyAlignment="1">
      <alignment horizontal="right"/>
    </xf>
    <xf numFmtId="169" fontId="6090" fillId="0" borderId="5660" xfId="0" applyNumberFormat="1" applyFont="1" applyBorder="1" applyAlignment="1">
      <alignment horizontal="right"/>
    </xf>
    <xf numFmtId="169" fontId="6091" fillId="0" borderId="5661" xfId="0" applyNumberFormat="1" applyFont="1" applyBorder="1" applyAlignment="1">
      <alignment horizontal="right"/>
    </xf>
    <xf numFmtId="169" fontId="6092" fillId="0" borderId="5662" xfId="0" applyNumberFormat="1" applyFont="1" applyBorder="1" applyAlignment="1">
      <alignment horizontal="right"/>
    </xf>
    <xf numFmtId="169" fontId="6093" fillId="0" borderId="5663" xfId="0" applyNumberFormat="1" applyFont="1" applyBorder="1" applyAlignment="1">
      <alignment horizontal="right"/>
    </xf>
    <xf numFmtId="169" fontId="6094" fillId="0" borderId="5664" xfId="0" applyNumberFormat="1" applyFont="1" applyBorder="1" applyAlignment="1">
      <alignment horizontal="right"/>
    </xf>
    <xf numFmtId="169" fontId="6095" fillId="0" borderId="5665" xfId="0" applyNumberFormat="1" applyFont="1" applyBorder="1" applyAlignment="1">
      <alignment horizontal="right"/>
    </xf>
    <xf numFmtId="169" fontId="6096" fillId="0" borderId="5666" xfId="0" applyNumberFormat="1" applyFont="1" applyBorder="1" applyAlignment="1">
      <alignment horizontal="right"/>
    </xf>
    <xf numFmtId="0" fontId="6097" fillId="0" borderId="5667" xfId="0" applyFont="1" applyBorder="1" applyAlignment="1">
      <alignment horizontal="left"/>
    </xf>
    <xf numFmtId="169" fontId="6098" fillId="0" borderId="5668" xfId="0" applyNumberFormat="1" applyFont="1" applyBorder="1" applyAlignment="1">
      <alignment horizontal="right"/>
    </xf>
    <xf numFmtId="169" fontId="6099" fillId="0" borderId="5669" xfId="0" applyNumberFormat="1" applyFont="1" applyBorder="1" applyAlignment="1">
      <alignment horizontal="right"/>
    </xf>
    <xf numFmtId="169" fontId="6100" fillId="0" borderId="5670" xfId="0" applyNumberFormat="1" applyFont="1" applyBorder="1" applyAlignment="1">
      <alignment horizontal="right"/>
    </xf>
    <xf numFmtId="169" fontId="6101" fillId="0" borderId="5671" xfId="0" applyNumberFormat="1" applyFont="1" applyBorder="1" applyAlignment="1">
      <alignment horizontal="right"/>
    </xf>
    <xf numFmtId="169" fontId="6102" fillId="0" borderId="5672" xfId="0" applyNumberFormat="1" applyFont="1" applyBorder="1" applyAlignment="1">
      <alignment horizontal="right"/>
    </xf>
    <xf numFmtId="169" fontId="6103" fillId="0" borderId="5673" xfId="0" applyNumberFormat="1" applyFont="1" applyBorder="1" applyAlignment="1">
      <alignment horizontal="right"/>
    </xf>
    <xf numFmtId="169" fontId="6104" fillId="0" borderId="5674" xfId="0" applyNumberFormat="1" applyFont="1" applyBorder="1" applyAlignment="1">
      <alignment horizontal="right"/>
    </xf>
    <xf numFmtId="169" fontId="6105" fillId="0" borderId="5675" xfId="0" applyNumberFormat="1" applyFont="1" applyBorder="1" applyAlignment="1">
      <alignment horizontal="right"/>
    </xf>
    <xf numFmtId="0" fontId="6106" fillId="0" borderId="5676" xfId="0" applyFont="1" applyBorder="1" applyAlignment="1">
      <alignment horizontal="left"/>
    </xf>
    <xf numFmtId="169" fontId="6107" fillId="0" borderId="5677" xfId="0" applyNumberFormat="1" applyFont="1" applyBorder="1" applyAlignment="1">
      <alignment horizontal="right"/>
    </xf>
    <xf numFmtId="169" fontId="6108" fillId="0" borderId="5678" xfId="0" applyNumberFormat="1" applyFont="1" applyBorder="1" applyAlignment="1">
      <alignment horizontal="right"/>
    </xf>
    <xf numFmtId="169" fontId="6109" fillId="0" borderId="5679" xfId="0" applyNumberFormat="1" applyFont="1" applyBorder="1" applyAlignment="1">
      <alignment horizontal="right"/>
    </xf>
    <xf numFmtId="169" fontId="6110" fillId="0" borderId="5680" xfId="0" applyNumberFormat="1" applyFont="1" applyBorder="1" applyAlignment="1">
      <alignment horizontal="right"/>
    </xf>
    <xf numFmtId="169" fontId="6111" fillId="0" borderId="5681" xfId="0" applyNumberFormat="1" applyFont="1" applyBorder="1" applyAlignment="1">
      <alignment horizontal="right"/>
    </xf>
    <xf numFmtId="169" fontId="6112" fillId="0" borderId="5682" xfId="0" applyNumberFormat="1" applyFont="1" applyBorder="1" applyAlignment="1">
      <alignment horizontal="right"/>
    </xf>
    <xf numFmtId="169" fontId="6113" fillId="0" borderId="5683" xfId="0" applyNumberFormat="1" applyFont="1" applyBorder="1" applyAlignment="1">
      <alignment horizontal="right"/>
    </xf>
    <xf numFmtId="169" fontId="6114" fillId="0" borderId="5684" xfId="0" applyNumberFormat="1" applyFont="1" applyBorder="1" applyAlignment="1">
      <alignment horizontal="right"/>
    </xf>
    <xf numFmtId="0" fontId="6115" fillId="0" borderId="5685" xfId="0" applyFont="1" applyBorder="1" applyAlignment="1">
      <alignment horizontal="left"/>
    </xf>
    <xf numFmtId="169" fontId="6116" fillId="0" borderId="5686" xfId="0" applyNumberFormat="1" applyFont="1" applyBorder="1" applyAlignment="1">
      <alignment horizontal="right"/>
    </xf>
    <xf numFmtId="169" fontId="6117" fillId="0" borderId="5687" xfId="0" applyNumberFormat="1" applyFont="1" applyBorder="1" applyAlignment="1">
      <alignment horizontal="right"/>
    </xf>
    <xf numFmtId="169" fontId="6118" fillId="0" borderId="5688" xfId="0" applyNumberFormat="1" applyFont="1" applyBorder="1" applyAlignment="1">
      <alignment horizontal="right"/>
    </xf>
    <xf numFmtId="169" fontId="6119" fillId="0" borderId="5689" xfId="0" applyNumberFormat="1" applyFont="1" applyBorder="1" applyAlignment="1">
      <alignment horizontal="right"/>
    </xf>
    <xf numFmtId="169" fontId="6120" fillId="0" borderId="5690" xfId="0" applyNumberFormat="1" applyFont="1" applyBorder="1" applyAlignment="1">
      <alignment horizontal="right"/>
    </xf>
    <xf numFmtId="169" fontId="6121" fillId="0" borderId="5691" xfId="0" applyNumberFormat="1" applyFont="1" applyBorder="1" applyAlignment="1">
      <alignment horizontal="right"/>
    </xf>
    <xf numFmtId="169" fontId="6122" fillId="0" borderId="5692" xfId="0" applyNumberFormat="1" applyFont="1" applyBorder="1" applyAlignment="1">
      <alignment horizontal="right"/>
    </xf>
    <xf numFmtId="169" fontId="6123" fillId="0" borderId="5693" xfId="0" applyNumberFormat="1" applyFont="1" applyBorder="1" applyAlignment="1">
      <alignment horizontal="right"/>
    </xf>
    <xf numFmtId="0" fontId="6124" fillId="0" borderId="5694" xfId="0" applyFont="1" applyBorder="1" applyAlignment="1">
      <alignment horizontal="left"/>
    </xf>
    <xf numFmtId="169" fontId="6125" fillId="0" borderId="5695" xfId="0" applyNumberFormat="1" applyFont="1" applyBorder="1" applyAlignment="1">
      <alignment horizontal="right"/>
    </xf>
    <xf numFmtId="169" fontId="6126" fillId="0" borderId="5696" xfId="0" applyNumberFormat="1" applyFont="1" applyBorder="1" applyAlignment="1">
      <alignment horizontal="right"/>
    </xf>
    <xf numFmtId="169" fontId="6127" fillId="0" borderId="5697" xfId="0" applyNumberFormat="1" applyFont="1" applyBorder="1" applyAlignment="1">
      <alignment horizontal="right"/>
    </xf>
    <xf numFmtId="169" fontId="6128" fillId="0" borderId="5698" xfId="0" applyNumberFormat="1" applyFont="1" applyBorder="1" applyAlignment="1">
      <alignment horizontal="right"/>
    </xf>
    <xf numFmtId="169" fontId="6129" fillId="0" borderId="5699" xfId="0" applyNumberFormat="1" applyFont="1" applyBorder="1" applyAlignment="1">
      <alignment horizontal="right"/>
    </xf>
    <xf numFmtId="169" fontId="6130" fillId="0" borderId="5700" xfId="0" applyNumberFormat="1" applyFont="1" applyBorder="1" applyAlignment="1">
      <alignment horizontal="right"/>
    </xf>
    <xf numFmtId="169" fontId="6131" fillId="0" borderId="5701" xfId="0" applyNumberFormat="1" applyFont="1" applyBorder="1" applyAlignment="1">
      <alignment horizontal="right"/>
    </xf>
    <xf numFmtId="169" fontId="6132" fillId="0" borderId="5702" xfId="0" applyNumberFormat="1" applyFont="1" applyBorder="1" applyAlignment="1">
      <alignment horizontal="right"/>
    </xf>
    <xf numFmtId="0" fontId="6133" fillId="0" borderId="5703" xfId="0" applyFont="1" applyBorder="1" applyAlignment="1">
      <alignment horizontal="left"/>
    </xf>
    <xf numFmtId="169" fontId="6134" fillId="0" borderId="5704" xfId="0" applyNumberFormat="1" applyFont="1" applyBorder="1" applyAlignment="1">
      <alignment horizontal="right"/>
    </xf>
    <xf numFmtId="169" fontId="6135" fillId="0" borderId="5705" xfId="0" applyNumberFormat="1" applyFont="1" applyBorder="1" applyAlignment="1">
      <alignment horizontal="right"/>
    </xf>
    <xf numFmtId="169" fontId="6136" fillId="0" borderId="5706" xfId="0" applyNumberFormat="1" applyFont="1" applyBorder="1" applyAlignment="1">
      <alignment horizontal="right"/>
    </xf>
    <xf numFmtId="169" fontId="6137" fillId="0" borderId="5707" xfId="0" applyNumberFormat="1" applyFont="1" applyBorder="1" applyAlignment="1">
      <alignment horizontal="right"/>
    </xf>
    <xf numFmtId="169" fontId="6138" fillId="0" borderId="5708" xfId="0" applyNumberFormat="1" applyFont="1" applyBorder="1" applyAlignment="1">
      <alignment horizontal="right"/>
    </xf>
    <xf numFmtId="169" fontId="6139" fillId="0" borderId="5709" xfId="0" applyNumberFormat="1" applyFont="1" applyBorder="1" applyAlignment="1">
      <alignment horizontal="right"/>
    </xf>
    <xf numFmtId="169" fontId="6140" fillId="0" borderId="5710" xfId="0" applyNumberFormat="1" applyFont="1" applyBorder="1" applyAlignment="1">
      <alignment horizontal="right"/>
    </xf>
    <xf numFmtId="169" fontId="6141" fillId="0" borderId="5711" xfId="0" applyNumberFormat="1" applyFont="1" applyBorder="1" applyAlignment="1">
      <alignment horizontal="right"/>
    </xf>
    <xf numFmtId="0" fontId="6142" fillId="0" borderId="5712" xfId="0" applyFont="1" applyBorder="1" applyAlignment="1">
      <alignment horizontal="left"/>
    </xf>
    <xf numFmtId="169" fontId="6143" fillId="0" borderId="5713" xfId="0" applyNumberFormat="1" applyFont="1" applyBorder="1" applyAlignment="1">
      <alignment horizontal="right"/>
    </xf>
    <xf numFmtId="169" fontId="6144" fillId="0" borderId="5714" xfId="0" applyNumberFormat="1" applyFont="1" applyBorder="1" applyAlignment="1">
      <alignment horizontal="right"/>
    </xf>
    <xf numFmtId="169" fontId="6145" fillId="0" borderId="5715" xfId="0" applyNumberFormat="1" applyFont="1" applyBorder="1" applyAlignment="1">
      <alignment horizontal="right"/>
    </xf>
    <xf numFmtId="169" fontId="6146" fillId="0" borderId="5716" xfId="0" applyNumberFormat="1" applyFont="1" applyBorder="1" applyAlignment="1">
      <alignment horizontal="right"/>
    </xf>
    <xf numFmtId="169" fontId="6147" fillId="0" borderId="5717" xfId="0" applyNumberFormat="1" applyFont="1" applyBorder="1" applyAlignment="1">
      <alignment horizontal="right"/>
    </xf>
    <xf numFmtId="169" fontId="6148" fillId="0" borderId="5718" xfId="0" applyNumberFormat="1" applyFont="1" applyBorder="1" applyAlignment="1">
      <alignment horizontal="right"/>
    </xf>
    <xf numFmtId="169" fontId="6149" fillId="0" borderId="5719" xfId="0" applyNumberFormat="1" applyFont="1" applyBorder="1" applyAlignment="1">
      <alignment horizontal="right"/>
    </xf>
    <xf numFmtId="169" fontId="6150" fillId="0" borderId="5720" xfId="0" applyNumberFormat="1" applyFont="1" applyBorder="1" applyAlignment="1">
      <alignment horizontal="right"/>
    </xf>
    <xf numFmtId="0" fontId="6151" fillId="0" borderId="5721" xfId="0" applyFont="1" applyBorder="1" applyAlignment="1">
      <alignment horizontal="left"/>
    </xf>
    <xf numFmtId="169" fontId="6158" fillId="0" borderId="5728" xfId="0" applyNumberFormat="1" applyFont="1" applyBorder="1" applyAlignment="1">
      <alignment horizontal="right"/>
    </xf>
    <xf numFmtId="169" fontId="6159" fillId="0" borderId="5729" xfId="0" applyNumberFormat="1" applyFont="1" applyBorder="1" applyAlignment="1">
      <alignment horizontal="center"/>
    </xf>
    <xf numFmtId="0" fontId="6160" fillId="0" borderId="5730" xfId="0" applyFont="1" applyBorder="1"/>
    <xf numFmtId="0" fontId="6164" fillId="0" borderId="5734" xfId="0" applyFont="1" applyBorder="1" applyAlignment="1">
      <alignment horizontal="right"/>
    </xf>
    <xf numFmtId="0" fontId="6165" fillId="0" borderId="5735" xfId="0" applyFont="1" applyBorder="1"/>
    <xf numFmtId="0" fontId="6169" fillId="0" borderId="5739" xfId="0" applyFont="1" applyBorder="1"/>
    <xf numFmtId="1" fontId="6170" fillId="0" borderId="5740" xfId="0" applyNumberFormat="1" applyFont="1" applyBorder="1" applyAlignment="1">
      <alignment horizontal="right"/>
    </xf>
    <xf numFmtId="1" fontId="6171" fillId="0" borderId="5741" xfId="0" applyNumberFormat="1" applyFont="1" applyBorder="1" applyAlignment="1">
      <alignment horizontal="right"/>
    </xf>
    <xf numFmtId="1" fontId="6172" fillId="0" borderId="5742" xfId="0" applyNumberFormat="1" applyFont="1" applyBorder="1" applyAlignment="1">
      <alignment horizontal="right"/>
    </xf>
    <xf numFmtId="1" fontId="6173" fillId="0" borderId="5743" xfId="0" applyNumberFormat="1" applyFont="1" applyBorder="1" applyAlignment="1">
      <alignment horizontal="right"/>
    </xf>
    <xf numFmtId="1" fontId="6174" fillId="0" borderId="5744" xfId="0" applyNumberFormat="1" applyFont="1" applyBorder="1" applyAlignment="1">
      <alignment horizontal="right"/>
    </xf>
    <xf numFmtId="1" fontId="6175" fillId="0" borderId="5745" xfId="0" applyNumberFormat="1" applyFont="1" applyBorder="1" applyAlignment="1">
      <alignment horizontal="right"/>
    </xf>
    <xf numFmtId="0" fontId="6176" fillId="0" borderId="5746" xfId="0" applyFont="1" applyBorder="1"/>
    <xf numFmtId="1" fontId="6177" fillId="0" borderId="5747" xfId="0" applyNumberFormat="1" applyFont="1" applyBorder="1" applyAlignment="1">
      <alignment horizontal="center"/>
    </xf>
    <xf numFmtId="1" fontId="6178" fillId="0" borderId="5748" xfId="0" applyNumberFormat="1" applyFont="1" applyBorder="1" applyAlignment="1">
      <alignment horizontal="center"/>
    </xf>
    <xf numFmtId="1" fontId="6179" fillId="0" borderId="5749" xfId="0" applyNumberFormat="1" applyFont="1" applyBorder="1" applyAlignment="1">
      <alignment horizontal="center"/>
    </xf>
    <xf numFmtId="1" fontId="6180" fillId="0" borderId="5750" xfId="0" applyNumberFormat="1" applyFont="1" applyBorder="1" applyAlignment="1">
      <alignment horizontal="center"/>
    </xf>
    <xf numFmtId="1" fontId="6181" fillId="0" borderId="5751" xfId="0" applyNumberFormat="1" applyFont="1" applyBorder="1" applyAlignment="1">
      <alignment horizontal="center"/>
    </xf>
    <xf numFmtId="1" fontId="6182" fillId="0" borderId="5752" xfId="0" applyNumberFormat="1" applyFont="1" applyBorder="1" applyAlignment="1">
      <alignment horizontal="center"/>
    </xf>
    <xf numFmtId="0" fontId="6183" fillId="0" borderId="5753" xfId="0" applyFont="1" applyBorder="1"/>
    <xf numFmtId="1" fontId="6184" fillId="0" borderId="5754" xfId="0" applyNumberFormat="1" applyFont="1" applyBorder="1" applyAlignment="1">
      <alignment horizontal="right"/>
    </xf>
    <xf numFmtId="1" fontId="6185" fillId="0" borderId="5755" xfId="0" applyNumberFormat="1" applyFont="1" applyBorder="1" applyAlignment="1">
      <alignment horizontal="right"/>
    </xf>
    <xf numFmtId="1" fontId="6186" fillId="0" borderId="5756" xfId="0" applyNumberFormat="1" applyFont="1" applyBorder="1" applyAlignment="1">
      <alignment horizontal="right"/>
    </xf>
    <xf numFmtId="1" fontId="6187" fillId="0" borderId="5757" xfId="0" applyNumberFormat="1" applyFont="1" applyBorder="1" applyAlignment="1">
      <alignment horizontal="right"/>
    </xf>
    <xf numFmtId="1" fontId="6188" fillId="0" borderId="5758" xfId="0" applyNumberFormat="1" applyFont="1" applyBorder="1" applyAlignment="1">
      <alignment horizontal="right"/>
    </xf>
    <xf numFmtId="1" fontId="6189" fillId="0" borderId="5759" xfId="0" applyNumberFormat="1" applyFont="1" applyBorder="1" applyAlignment="1">
      <alignment horizontal="right"/>
    </xf>
    <xf numFmtId="0" fontId="6190" fillId="0" borderId="5760" xfId="0" applyFont="1" applyBorder="1" applyAlignment="1">
      <alignment horizontal="left"/>
    </xf>
    <xf numFmtId="1" fontId="6191" fillId="0" borderId="5761" xfId="0" applyNumberFormat="1" applyFont="1" applyBorder="1"/>
    <xf numFmtId="1" fontId="6192" fillId="0" borderId="5762" xfId="0" applyNumberFormat="1" applyFont="1" applyBorder="1"/>
    <xf numFmtId="1" fontId="6193" fillId="0" borderId="5763" xfId="0" applyNumberFormat="1" applyFont="1" applyBorder="1"/>
    <xf numFmtId="1" fontId="6194" fillId="0" borderId="5764" xfId="0" applyNumberFormat="1" applyFont="1" applyBorder="1"/>
    <xf numFmtId="1" fontId="6195" fillId="0" borderId="5765" xfId="0" applyNumberFormat="1" applyFont="1" applyBorder="1"/>
    <xf numFmtId="1" fontId="6196" fillId="0" borderId="5766" xfId="0" applyNumberFormat="1" applyFont="1" applyBorder="1"/>
    <xf numFmtId="0" fontId="6197" fillId="0" borderId="5767" xfId="0" applyFont="1" applyBorder="1"/>
    <xf numFmtId="1" fontId="6198" fillId="0" borderId="5768" xfId="0" applyNumberFormat="1" applyFont="1" applyBorder="1"/>
    <xf numFmtId="0" fontId="6199" fillId="0" borderId="5769" xfId="0" applyFont="1" applyBorder="1" applyAlignment="1">
      <alignment horizontal="left"/>
    </xf>
    <xf numFmtId="169" fontId="6200" fillId="0" borderId="5770" xfId="0" applyNumberFormat="1" applyFont="1" applyBorder="1" applyAlignment="1">
      <alignment horizontal="right"/>
    </xf>
    <xf numFmtId="169" fontId="6201" fillId="0" borderId="5771" xfId="0" applyNumberFormat="1" applyFont="1" applyBorder="1" applyAlignment="1">
      <alignment horizontal="right"/>
    </xf>
    <xf numFmtId="169" fontId="6202" fillId="0" borderId="5772" xfId="0" applyNumberFormat="1" applyFont="1" applyBorder="1" applyAlignment="1">
      <alignment horizontal="right"/>
    </xf>
    <xf numFmtId="169" fontId="6203" fillId="0" borderId="5773" xfId="0" applyNumberFormat="1" applyFont="1" applyBorder="1" applyAlignment="1">
      <alignment horizontal="right"/>
    </xf>
    <xf numFmtId="169" fontId="6204" fillId="0" borderId="5774" xfId="0" applyNumberFormat="1" applyFont="1" applyBorder="1" applyAlignment="1">
      <alignment horizontal="right"/>
    </xf>
    <xf numFmtId="169" fontId="6205" fillId="0" borderId="5775" xfId="0" applyNumberFormat="1" applyFont="1" applyBorder="1" applyAlignment="1">
      <alignment horizontal="right"/>
    </xf>
    <xf numFmtId="169" fontId="6206" fillId="0" borderId="5776" xfId="0" applyNumberFormat="1" applyFont="1" applyBorder="1" applyAlignment="1">
      <alignment horizontal="right"/>
    </xf>
    <xf numFmtId="169" fontId="6207" fillId="0" borderId="5777" xfId="0" applyNumberFormat="1" applyFont="1" applyBorder="1" applyAlignment="1">
      <alignment horizontal="right"/>
    </xf>
    <xf numFmtId="0" fontId="6208" fillId="0" borderId="5778" xfId="0" applyFont="1" applyBorder="1" applyAlignment="1">
      <alignment horizontal="left"/>
    </xf>
    <xf numFmtId="169" fontId="6209" fillId="0" borderId="5779" xfId="0" applyNumberFormat="1" applyFont="1" applyBorder="1" applyAlignment="1">
      <alignment horizontal="right"/>
    </xf>
    <xf numFmtId="169" fontId="6210" fillId="0" borderId="5780" xfId="0" applyNumberFormat="1" applyFont="1" applyBorder="1" applyAlignment="1">
      <alignment horizontal="right"/>
    </xf>
    <xf numFmtId="169" fontId="6211" fillId="0" borderId="5781" xfId="0" applyNumberFormat="1" applyFont="1" applyBorder="1" applyAlignment="1">
      <alignment horizontal="right"/>
    </xf>
    <xf numFmtId="169" fontId="6212" fillId="0" borderId="5782" xfId="0" applyNumberFormat="1" applyFont="1" applyBorder="1" applyAlignment="1">
      <alignment horizontal="right"/>
    </xf>
    <xf numFmtId="169" fontId="6213" fillId="0" borderId="5783" xfId="0" applyNumberFormat="1" applyFont="1" applyBorder="1" applyAlignment="1">
      <alignment horizontal="right"/>
    </xf>
    <xf numFmtId="169" fontId="6214" fillId="0" borderId="5784" xfId="0" applyNumberFormat="1" applyFont="1" applyBorder="1" applyAlignment="1">
      <alignment horizontal="right"/>
    </xf>
    <xf numFmtId="169" fontId="6215" fillId="0" borderId="5785" xfId="0" applyNumberFormat="1" applyFont="1" applyBorder="1" applyAlignment="1">
      <alignment horizontal="right"/>
    </xf>
    <xf numFmtId="169" fontId="6216" fillId="0" borderId="5786" xfId="0" applyNumberFormat="1" applyFont="1" applyBorder="1" applyAlignment="1">
      <alignment horizontal="right"/>
    </xf>
    <xf numFmtId="0" fontId="6217" fillId="0" borderId="5787" xfId="0" applyFont="1" applyBorder="1" applyAlignment="1">
      <alignment horizontal="left"/>
    </xf>
    <xf numFmtId="169" fontId="6218" fillId="0" borderId="5788" xfId="0" applyNumberFormat="1" applyFont="1" applyBorder="1" applyAlignment="1">
      <alignment horizontal="right"/>
    </xf>
    <xf numFmtId="169" fontId="6219" fillId="0" borderId="5789" xfId="0" applyNumberFormat="1" applyFont="1" applyBorder="1" applyAlignment="1">
      <alignment horizontal="right"/>
    </xf>
    <xf numFmtId="169" fontId="6220" fillId="0" borderId="5790" xfId="0" applyNumberFormat="1" applyFont="1" applyBorder="1" applyAlignment="1">
      <alignment horizontal="right"/>
    </xf>
    <xf numFmtId="169" fontId="6221" fillId="0" borderId="5791" xfId="0" applyNumberFormat="1" applyFont="1" applyBorder="1" applyAlignment="1">
      <alignment horizontal="right"/>
    </xf>
    <xf numFmtId="169" fontId="6222" fillId="0" borderId="5792" xfId="0" applyNumberFormat="1" applyFont="1" applyBorder="1" applyAlignment="1">
      <alignment horizontal="right"/>
    </xf>
    <xf numFmtId="169" fontId="6223" fillId="0" borderId="5793" xfId="0" applyNumberFormat="1" applyFont="1" applyBorder="1" applyAlignment="1">
      <alignment horizontal="right"/>
    </xf>
    <xf numFmtId="169" fontId="6224" fillId="0" borderId="5794" xfId="0" applyNumberFormat="1" applyFont="1" applyBorder="1" applyAlignment="1">
      <alignment horizontal="right"/>
    </xf>
    <xf numFmtId="169" fontId="6225" fillId="0" borderId="5795" xfId="0" applyNumberFormat="1" applyFont="1" applyBorder="1" applyAlignment="1">
      <alignment horizontal="right"/>
    </xf>
    <xf numFmtId="0" fontId="6226" fillId="0" borderId="5796" xfId="0" applyFont="1" applyBorder="1" applyAlignment="1">
      <alignment horizontal="left"/>
    </xf>
    <xf numFmtId="169" fontId="6227" fillId="0" borderId="5797" xfId="0" applyNumberFormat="1" applyFont="1" applyBorder="1" applyAlignment="1">
      <alignment horizontal="right"/>
    </xf>
    <xf numFmtId="169" fontId="6228" fillId="0" borderId="5798" xfId="0" applyNumberFormat="1" applyFont="1" applyBorder="1" applyAlignment="1">
      <alignment horizontal="right"/>
    </xf>
    <xf numFmtId="169" fontId="6229" fillId="0" borderId="5799" xfId="0" applyNumberFormat="1" applyFont="1" applyBorder="1" applyAlignment="1">
      <alignment horizontal="right"/>
    </xf>
    <xf numFmtId="169" fontId="6230" fillId="0" borderId="5800" xfId="0" applyNumberFormat="1" applyFont="1" applyBorder="1" applyAlignment="1">
      <alignment horizontal="right"/>
    </xf>
    <xf numFmtId="169" fontId="6231" fillId="0" borderId="5801" xfId="0" applyNumberFormat="1" applyFont="1" applyBorder="1" applyAlignment="1">
      <alignment horizontal="right"/>
    </xf>
    <xf numFmtId="169" fontId="6232" fillId="0" borderId="5802" xfId="0" applyNumberFormat="1" applyFont="1" applyBorder="1" applyAlignment="1">
      <alignment horizontal="right"/>
    </xf>
    <xf numFmtId="169" fontId="6233" fillId="0" borderId="5803" xfId="0" applyNumberFormat="1" applyFont="1" applyBorder="1" applyAlignment="1">
      <alignment horizontal="right"/>
    </xf>
    <xf numFmtId="169" fontId="6234" fillId="0" borderId="5804" xfId="0" applyNumberFormat="1" applyFont="1" applyBorder="1" applyAlignment="1">
      <alignment horizontal="right"/>
    </xf>
    <xf numFmtId="0" fontId="6235" fillId="0" borderId="5805" xfId="0" applyFont="1" applyBorder="1" applyAlignment="1">
      <alignment horizontal="left"/>
    </xf>
    <xf numFmtId="169" fontId="6236" fillId="0" borderId="5806" xfId="0" applyNumberFormat="1" applyFont="1" applyBorder="1" applyAlignment="1">
      <alignment horizontal="right"/>
    </xf>
    <xf numFmtId="169" fontId="6237" fillId="0" borderId="5807" xfId="0" applyNumberFormat="1" applyFont="1" applyBorder="1" applyAlignment="1">
      <alignment horizontal="right"/>
    </xf>
    <xf numFmtId="169" fontId="6238" fillId="0" borderId="5808" xfId="0" applyNumberFormat="1" applyFont="1" applyBorder="1" applyAlignment="1">
      <alignment horizontal="right"/>
    </xf>
    <xf numFmtId="169" fontId="6239" fillId="0" borderId="5809" xfId="0" applyNumberFormat="1" applyFont="1" applyBorder="1" applyAlignment="1">
      <alignment horizontal="right"/>
    </xf>
    <xf numFmtId="169" fontId="6240" fillId="0" borderId="5810" xfId="0" applyNumberFormat="1" applyFont="1" applyBorder="1" applyAlignment="1">
      <alignment horizontal="right"/>
    </xf>
    <xf numFmtId="169" fontId="6241" fillId="0" borderId="5811" xfId="0" applyNumberFormat="1" applyFont="1" applyBorder="1" applyAlignment="1">
      <alignment horizontal="right"/>
    </xf>
    <xf numFmtId="169" fontId="6242" fillId="0" borderId="5812" xfId="0" applyNumberFormat="1" applyFont="1" applyBorder="1" applyAlignment="1">
      <alignment horizontal="right"/>
    </xf>
    <xf numFmtId="169" fontId="6243" fillId="0" borderId="5813" xfId="0" applyNumberFormat="1" applyFont="1" applyBorder="1" applyAlignment="1">
      <alignment horizontal="right"/>
    </xf>
    <xf numFmtId="0" fontId="6244" fillId="0" borderId="5814" xfId="0" applyFont="1" applyBorder="1" applyAlignment="1">
      <alignment horizontal="left"/>
    </xf>
    <xf numFmtId="169" fontId="6245" fillId="0" borderId="5815" xfId="0" applyNumberFormat="1" applyFont="1" applyBorder="1" applyAlignment="1">
      <alignment horizontal="right"/>
    </xf>
    <xf numFmtId="169" fontId="6246" fillId="0" borderId="5816" xfId="0" applyNumberFormat="1" applyFont="1" applyBorder="1" applyAlignment="1">
      <alignment horizontal="right"/>
    </xf>
    <xf numFmtId="169" fontId="6247" fillId="0" borderId="5817" xfId="0" applyNumberFormat="1" applyFont="1" applyBorder="1" applyAlignment="1">
      <alignment horizontal="right"/>
    </xf>
    <xf numFmtId="169" fontId="6248" fillId="0" borderId="5818" xfId="0" applyNumberFormat="1" applyFont="1" applyBorder="1" applyAlignment="1">
      <alignment horizontal="right"/>
    </xf>
    <xf numFmtId="169" fontId="6249" fillId="0" borderId="5819" xfId="0" applyNumberFormat="1" applyFont="1" applyBorder="1" applyAlignment="1">
      <alignment horizontal="right"/>
    </xf>
    <xf numFmtId="169" fontId="6250" fillId="0" borderId="5820" xfId="0" applyNumberFormat="1" applyFont="1" applyBorder="1" applyAlignment="1">
      <alignment horizontal="right"/>
    </xf>
    <xf numFmtId="169" fontId="6251" fillId="0" borderId="5821" xfId="0" applyNumberFormat="1" applyFont="1" applyBorder="1" applyAlignment="1">
      <alignment horizontal="right"/>
    </xf>
    <xf numFmtId="169" fontId="6252" fillId="0" borderId="5822" xfId="0" applyNumberFormat="1" applyFont="1" applyBorder="1" applyAlignment="1">
      <alignment horizontal="right"/>
    </xf>
    <xf numFmtId="0" fontId="6253" fillId="0" borderId="5823" xfId="0" applyFont="1" applyBorder="1" applyAlignment="1">
      <alignment horizontal="left"/>
    </xf>
    <xf numFmtId="169" fontId="6254" fillId="0" borderId="5824" xfId="0" applyNumberFormat="1" applyFont="1" applyBorder="1" applyAlignment="1">
      <alignment horizontal="right"/>
    </xf>
    <xf numFmtId="169" fontId="6255" fillId="0" borderId="5825" xfId="0" applyNumberFormat="1" applyFont="1" applyBorder="1" applyAlignment="1">
      <alignment horizontal="right"/>
    </xf>
    <xf numFmtId="169" fontId="6256" fillId="0" borderId="5826" xfId="0" applyNumberFormat="1" applyFont="1" applyBorder="1" applyAlignment="1">
      <alignment horizontal="right"/>
    </xf>
    <xf numFmtId="169" fontId="6257" fillId="0" borderId="5827" xfId="0" applyNumberFormat="1" applyFont="1" applyBorder="1" applyAlignment="1">
      <alignment horizontal="right"/>
    </xf>
    <xf numFmtId="169" fontId="6258" fillId="0" borderId="5828" xfId="0" applyNumberFormat="1" applyFont="1" applyBorder="1" applyAlignment="1">
      <alignment horizontal="right"/>
    </xf>
    <xf numFmtId="169" fontId="6259" fillId="0" borderId="5829" xfId="0" applyNumberFormat="1" applyFont="1" applyBorder="1" applyAlignment="1">
      <alignment horizontal="right"/>
    </xf>
    <xf numFmtId="169" fontId="6260" fillId="0" borderId="5830" xfId="0" applyNumberFormat="1" applyFont="1" applyBorder="1" applyAlignment="1">
      <alignment horizontal="right"/>
    </xf>
    <xf numFmtId="169" fontId="6261" fillId="0" borderId="5831" xfId="0" applyNumberFormat="1" applyFont="1" applyBorder="1" applyAlignment="1">
      <alignment horizontal="right"/>
    </xf>
    <xf numFmtId="0" fontId="6262" fillId="0" borderId="5832" xfId="0" applyFont="1" applyBorder="1" applyAlignment="1">
      <alignment horizontal="left"/>
    </xf>
    <xf numFmtId="169" fontId="6263" fillId="0" borderId="5833" xfId="0" applyNumberFormat="1" applyFont="1" applyBorder="1" applyAlignment="1">
      <alignment horizontal="right"/>
    </xf>
    <xf numFmtId="169" fontId="6264" fillId="0" borderId="5834" xfId="0" applyNumberFormat="1" applyFont="1" applyBorder="1" applyAlignment="1">
      <alignment horizontal="right"/>
    </xf>
    <xf numFmtId="169" fontId="6265" fillId="0" borderId="5835" xfId="0" applyNumberFormat="1" applyFont="1" applyBorder="1" applyAlignment="1">
      <alignment horizontal="right"/>
    </xf>
    <xf numFmtId="169" fontId="6266" fillId="0" borderId="5836" xfId="0" applyNumberFormat="1" applyFont="1" applyBorder="1" applyAlignment="1">
      <alignment horizontal="right"/>
    </xf>
    <xf numFmtId="169" fontId="6267" fillId="0" borderId="5837" xfId="0" applyNumberFormat="1" applyFont="1" applyBorder="1" applyAlignment="1">
      <alignment horizontal="right"/>
    </xf>
    <xf numFmtId="169" fontId="6268" fillId="0" borderId="5838" xfId="0" applyNumberFormat="1" applyFont="1" applyBorder="1" applyAlignment="1">
      <alignment horizontal="right"/>
    </xf>
    <xf numFmtId="169" fontId="6269" fillId="0" borderId="5839" xfId="0" applyNumberFormat="1" applyFont="1" applyBorder="1" applyAlignment="1">
      <alignment horizontal="right"/>
    </xf>
    <xf numFmtId="169" fontId="6270" fillId="0" borderId="5840" xfId="0" applyNumberFormat="1" applyFont="1" applyBorder="1" applyAlignment="1">
      <alignment horizontal="right"/>
    </xf>
    <xf numFmtId="0" fontId="6271" fillId="0" borderId="5841" xfId="0" applyFont="1" applyBorder="1" applyAlignment="1">
      <alignment horizontal="left"/>
    </xf>
    <xf numFmtId="169" fontId="6272" fillId="0" borderId="5842" xfId="0" applyNumberFormat="1" applyFont="1" applyBorder="1" applyAlignment="1">
      <alignment horizontal="right"/>
    </xf>
    <xf numFmtId="169" fontId="6273" fillId="0" borderId="5843" xfId="0" applyNumberFormat="1" applyFont="1" applyBorder="1" applyAlignment="1">
      <alignment horizontal="right"/>
    </xf>
    <xf numFmtId="169" fontId="6274" fillId="0" borderId="5844" xfId="0" applyNumberFormat="1" applyFont="1" applyBorder="1" applyAlignment="1">
      <alignment horizontal="right"/>
    </xf>
    <xf numFmtId="169" fontId="6275" fillId="0" borderId="5845" xfId="0" applyNumberFormat="1" applyFont="1" applyBorder="1" applyAlignment="1">
      <alignment horizontal="right"/>
    </xf>
    <xf numFmtId="169" fontId="6276" fillId="0" borderId="5846" xfId="0" applyNumberFormat="1" applyFont="1" applyBorder="1" applyAlignment="1">
      <alignment horizontal="right"/>
    </xf>
    <xf numFmtId="169" fontId="6277" fillId="0" borderId="5847" xfId="0" applyNumberFormat="1" applyFont="1" applyBorder="1" applyAlignment="1">
      <alignment horizontal="right"/>
    </xf>
    <xf numFmtId="169" fontId="6278" fillId="0" borderId="5848" xfId="0" applyNumberFormat="1" applyFont="1" applyBorder="1" applyAlignment="1">
      <alignment horizontal="right"/>
    </xf>
    <xf numFmtId="169" fontId="6279" fillId="0" borderId="5849" xfId="0" applyNumberFormat="1" applyFont="1" applyBorder="1" applyAlignment="1">
      <alignment horizontal="right"/>
    </xf>
    <xf numFmtId="0" fontId="6280" fillId="0" borderId="5850" xfId="0" applyFont="1" applyBorder="1" applyAlignment="1">
      <alignment horizontal="left"/>
    </xf>
    <xf numFmtId="169" fontId="6281" fillId="0" borderId="5851" xfId="0" applyNumberFormat="1" applyFont="1" applyBorder="1" applyAlignment="1">
      <alignment horizontal="right"/>
    </xf>
    <xf numFmtId="169" fontId="6282" fillId="0" borderId="5852" xfId="0" applyNumberFormat="1" applyFont="1" applyBorder="1" applyAlignment="1">
      <alignment horizontal="right"/>
    </xf>
    <xf numFmtId="169" fontId="6283" fillId="0" borderId="5853" xfId="0" applyNumberFormat="1" applyFont="1" applyBorder="1" applyAlignment="1">
      <alignment horizontal="right"/>
    </xf>
    <xf numFmtId="169" fontId="6284" fillId="0" borderId="5854" xfId="0" applyNumberFormat="1" applyFont="1" applyBorder="1" applyAlignment="1">
      <alignment horizontal="right"/>
    </xf>
    <xf numFmtId="169" fontId="6285" fillId="0" borderId="5855" xfId="0" applyNumberFormat="1" applyFont="1" applyBorder="1" applyAlignment="1">
      <alignment horizontal="right"/>
    </xf>
    <xf numFmtId="169" fontId="6286" fillId="0" borderId="5856" xfId="0" applyNumberFormat="1" applyFont="1" applyBorder="1" applyAlignment="1">
      <alignment horizontal="right"/>
    </xf>
    <xf numFmtId="169" fontId="6287" fillId="0" borderId="5857" xfId="0" applyNumberFormat="1" applyFont="1" applyBorder="1" applyAlignment="1">
      <alignment horizontal="right"/>
    </xf>
    <xf numFmtId="169" fontId="6288" fillId="0" borderId="5858" xfId="0" applyNumberFormat="1" applyFont="1" applyBorder="1" applyAlignment="1">
      <alignment horizontal="right"/>
    </xf>
    <xf numFmtId="0" fontId="6289" fillId="0" borderId="5859" xfId="0" applyFont="1" applyBorder="1" applyAlignment="1">
      <alignment horizontal="left"/>
    </xf>
    <xf numFmtId="169" fontId="6290" fillId="0" borderId="5860" xfId="0" applyNumberFormat="1" applyFont="1" applyBorder="1" applyAlignment="1">
      <alignment horizontal="right"/>
    </xf>
    <xf numFmtId="169" fontId="6291" fillId="0" borderId="5861" xfId="0" applyNumberFormat="1" applyFont="1" applyBorder="1" applyAlignment="1">
      <alignment horizontal="right"/>
    </xf>
    <xf numFmtId="169" fontId="6292" fillId="0" borderId="5862" xfId="0" applyNumberFormat="1" applyFont="1" applyBorder="1" applyAlignment="1">
      <alignment horizontal="right"/>
    </xf>
    <xf numFmtId="169" fontId="6293" fillId="0" borderId="5863" xfId="0" applyNumberFormat="1" applyFont="1" applyBorder="1" applyAlignment="1">
      <alignment horizontal="right"/>
    </xf>
    <xf numFmtId="169" fontId="6294" fillId="0" borderId="5864" xfId="0" applyNumberFormat="1" applyFont="1" applyBorder="1" applyAlignment="1">
      <alignment horizontal="right"/>
    </xf>
    <xf numFmtId="169" fontId="6295" fillId="0" borderId="5865" xfId="0" applyNumberFormat="1" applyFont="1" applyBorder="1" applyAlignment="1">
      <alignment horizontal="right"/>
    </xf>
    <xf numFmtId="169" fontId="6296" fillId="0" borderId="5866" xfId="0" applyNumberFormat="1" applyFont="1" applyBorder="1" applyAlignment="1">
      <alignment horizontal="right"/>
    </xf>
    <xf numFmtId="169" fontId="6297" fillId="0" borderId="5867" xfId="0" applyNumberFormat="1" applyFont="1" applyBorder="1" applyAlignment="1">
      <alignment horizontal="right"/>
    </xf>
    <xf numFmtId="0" fontId="6298" fillId="0" borderId="5868" xfId="0" applyFont="1" applyBorder="1" applyAlignment="1">
      <alignment horizontal="left"/>
    </xf>
    <xf numFmtId="169" fontId="6299" fillId="0" borderId="5869" xfId="0" applyNumberFormat="1" applyFont="1" applyBorder="1" applyAlignment="1">
      <alignment horizontal="right"/>
    </xf>
    <xf numFmtId="169" fontId="6300" fillId="0" borderId="5870" xfId="0" applyNumberFormat="1" applyFont="1" applyBorder="1" applyAlignment="1">
      <alignment horizontal="right"/>
    </xf>
    <xf numFmtId="169" fontId="6301" fillId="0" borderId="5871" xfId="0" applyNumberFormat="1" applyFont="1" applyBorder="1" applyAlignment="1">
      <alignment horizontal="right"/>
    </xf>
    <xf numFmtId="169" fontId="6302" fillId="0" borderId="5872" xfId="0" applyNumberFormat="1" applyFont="1" applyBorder="1" applyAlignment="1">
      <alignment horizontal="right"/>
    </xf>
    <xf numFmtId="169" fontId="6303" fillId="0" borderId="5873" xfId="0" applyNumberFormat="1" applyFont="1" applyBorder="1" applyAlignment="1">
      <alignment horizontal="right"/>
    </xf>
    <xf numFmtId="169" fontId="6304" fillId="0" borderId="5874" xfId="0" applyNumberFormat="1" applyFont="1" applyBorder="1" applyAlignment="1">
      <alignment horizontal="right"/>
    </xf>
    <xf numFmtId="169" fontId="6305" fillId="0" borderId="5875" xfId="0" applyNumberFormat="1" applyFont="1" applyBorder="1" applyAlignment="1">
      <alignment horizontal="right"/>
    </xf>
    <xf numFmtId="169" fontId="6306" fillId="0" borderId="5876" xfId="0" applyNumberFormat="1" applyFont="1" applyBorder="1" applyAlignment="1">
      <alignment horizontal="right"/>
    </xf>
    <xf numFmtId="0" fontId="6307" fillId="0" borderId="5877" xfId="0" applyFont="1" applyBorder="1" applyAlignment="1">
      <alignment horizontal="left"/>
    </xf>
    <xf numFmtId="169" fontId="6308" fillId="0" borderId="5878" xfId="0" applyNumberFormat="1" applyFont="1" applyBorder="1" applyAlignment="1">
      <alignment horizontal="right"/>
    </xf>
    <xf numFmtId="169" fontId="6309" fillId="0" borderId="5879" xfId="0" applyNumberFormat="1" applyFont="1" applyBorder="1" applyAlignment="1">
      <alignment horizontal="right"/>
    </xf>
    <xf numFmtId="169" fontId="6310" fillId="0" borderId="5880" xfId="0" applyNumberFormat="1" applyFont="1" applyBorder="1" applyAlignment="1">
      <alignment horizontal="right"/>
    </xf>
    <xf numFmtId="169" fontId="6311" fillId="0" borderId="5881" xfId="0" applyNumberFormat="1" applyFont="1" applyBorder="1" applyAlignment="1">
      <alignment horizontal="right"/>
    </xf>
    <xf numFmtId="169" fontId="6312" fillId="0" borderId="5882" xfId="0" applyNumberFormat="1" applyFont="1" applyBorder="1" applyAlignment="1">
      <alignment horizontal="right"/>
    </xf>
    <xf numFmtId="169" fontId="6313" fillId="0" borderId="5883" xfId="0" applyNumberFormat="1" applyFont="1" applyBorder="1" applyAlignment="1">
      <alignment horizontal="right"/>
    </xf>
    <xf numFmtId="169" fontId="6314" fillId="0" borderId="5884" xfId="0" applyNumberFormat="1" applyFont="1" applyBorder="1" applyAlignment="1">
      <alignment horizontal="right"/>
    </xf>
    <xf numFmtId="169" fontId="6315" fillId="0" borderId="5885" xfId="0" applyNumberFormat="1" applyFont="1" applyBorder="1" applyAlignment="1">
      <alignment horizontal="right"/>
    </xf>
    <xf numFmtId="0" fontId="6316" fillId="0" borderId="5886" xfId="0" applyFont="1" applyBorder="1" applyAlignment="1">
      <alignment horizontal="left"/>
    </xf>
    <xf numFmtId="169" fontId="6317" fillId="0" borderId="5887" xfId="0" applyNumberFormat="1" applyFont="1" applyBorder="1" applyAlignment="1">
      <alignment horizontal="right"/>
    </xf>
    <xf numFmtId="169" fontId="6318" fillId="0" borderId="5888" xfId="0" applyNumberFormat="1" applyFont="1" applyBorder="1" applyAlignment="1">
      <alignment horizontal="right"/>
    </xf>
    <xf numFmtId="169" fontId="6319" fillId="0" borderId="5889" xfId="0" applyNumberFormat="1" applyFont="1" applyBorder="1" applyAlignment="1">
      <alignment horizontal="right"/>
    </xf>
    <xf numFmtId="169" fontId="6320" fillId="0" borderId="5890" xfId="0" applyNumberFormat="1" applyFont="1" applyBorder="1" applyAlignment="1">
      <alignment horizontal="right"/>
    </xf>
    <xf numFmtId="169" fontId="6321" fillId="0" borderId="5891" xfId="0" applyNumberFormat="1" applyFont="1" applyBorder="1" applyAlignment="1">
      <alignment horizontal="right"/>
    </xf>
    <xf numFmtId="169" fontId="6322" fillId="0" borderId="5892" xfId="0" applyNumberFormat="1" applyFont="1" applyBorder="1" applyAlignment="1">
      <alignment horizontal="right"/>
    </xf>
    <xf numFmtId="169" fontId="6323" fillId="0" borderId="5893" xfId="0" applyNumberFormat="1" applyFont="1" applyBorder="1" applyAlignment="1">
      <alignment horizontal="right"/>
    </xf>
    <xf numFmtId="169" fontId="6324" fillId="0" borderId="5894" xfId="0" applyNumberFormat="1" applyFont="1" applyBorder="1" applyAlignment="1">
      <alignment horizontal="right"/>
    </xf>
    <xf numFmtId="0" fontId="6325" fillId="0" borderId="5895" xfId="0" applyFont="1" applyBorder="1" applyAlignment="1">
      <alignment horizontal="left"/>
    </xf>
    <xf numFmtId="169" fontId="6326" fillId="0" borderId="5896" xfId="0" applyNumberFormat="1" applyFont="1" applyBorder="1" applyAlignment="1">
      <alignment horizontal="right"/>
    </xf>
    <xf numFmtId="169" fontId="6327" fillId="0" borderId="5897" xfId="0" applyNumberFormat="1" applyFont="1" applyBorder="1" applyAlignment="1">
      <alignment horizontal="right"/>
    </xf>
    <xf numFmtId="169" fontId="6328" fillId="0" borderId="5898" xfId="0" applyNumberFormat="1" applyFont="1" applyBorder="1" applyAlignment="1">
      <alignment horizontal="right"/>
    </xf>
    <xf numFmtId="169" fontId="6329" fillId="0" borderId="5899" xfId="0" applyNumberFormat="1" applyFont="1" applyBorder="1" applyAlignment="1">
      <alignment horizontal="right"/>
    </xf>
    <xf numFmtId="169" fontId="6330" fillId="0" borderId="5900" xfId="0" applyNumberFormat="1" applyFont="1" applyBorder="1" applyAlignment="1">
      <alignment horizontal="right"/>
    </xf>
    <xf numFmtId="169" fontId="6331" fillId="0" borderId="5901" xfId="0" applyNumberFormat="1" applyFont="1" applyBorder="1" applyAlignment="1">
      <alignment horizontal="right"/>
    </xf>
    <xf numFmtId="169" fontId="6332" fillId="0" borderId="5902" xfId="0" applyNumberFormat="1" applyFont="1" applyBorder="1" applyAlignment="1">
      <alignment horizontal="right"/>
    </xf>
    <xf numFmtId="169" fontId="6333" fillId="0" borderId="5903" xfId="0" applyNumberFormat="1" applyFont="1" applyBorder="1" applyAlignment="1">
      <alignment horizontal="right"/>
    </xf>
    <xf numFmtId="0" fontId="6334" fillId="0" borderId="5904" xfId="0" applyFont="1" applyBorder="1" applyAlignment="1">
      <alignment horizontal="left"/>
    </xf>
    <xf numFmtId="1" fontId="6335" fillId="0" borderId="5905" xfId="0" applyNumberFormat="1" applyFont="1" applyBorder="1"/>
    <xf numFmtId="1" fontId="6336" fillId="0" borderId="5906" xfId="0" applyNumberFormat="1" applyFont="1" applyBorder="1"/>
    <xf numFmtId="1" fontId="6337" fillId="0" borderId="5907" xfId="0" applyNumberFormat="1" applyFont="1" applyBorder="1"/>
    <xf numFmtId="1" fontId="6338" fillId="0" borderId="5908" xfId="0" applyNumberFormat="1" applyFont="1" applyBorder="1"/>
    <xf numFmtId="1" fontId="6339" fillId="0" borderId="5909" xfId="0" applyNumberFormat="1" applyFont="1" applyBorder="1"/>
    <xf numFmtId="1" fontId="6340" fillId="0" borderId="5910" xfId="0" applyNumberFormat="1" applyFont="1" applyBorder="1"/>
    <xf numFmtId="169" fontId="6341" fillId="0" borderId="5911" xfId="0" applyNumberFormat="1" applyFont="1" applyBorder="1" applyAlignment="1">
      <alignment horizontal="right"/>
    </xf>
    <xf numFmtId="169" fontId="6342" fillId="0" borderId="5912" xfId="0" applyNumberFormat="1" applyFont="1" applyBorder="1" applyAlignment="1">
      <alignment horizontal="right"/>
    </xf>
    <xf numFmtId="1" fontId="6152" fillId="0" borderId="5722" xfId="0" applyNumberFormat="1" applyFont="1" applyBorder="1"/>
    <xf numFmtId="1" fontId="6153" fillId="0" borderId="5723" xfId="0" applyNumberFormat="1" applyFont="1" applyBorder="1"/>
    <xf numFmtId="1" fontId="6154" fillId="0" borderId="5724" xfId="0" applyNumberFormat="1" applyFont="1" applyBorder="1"/>
    <xf numFmtId="1" fontId="6155" fillId="0" borderId="5725" xfId="0" applyNumberFormat="1" applyFont="1" applyBorder="1"/>
    <xf numFmtId="1" fontId="6156" fillId="0" borderId="5726" xfId="0" applyNumberFormat="1" applyFont="1" applyBorder="1"/>
    <xf numFmtId="1" fontId="6157" fillId="0" borderId="5727" xfId="0" applyNumberFormat="1" applyFont="1" applyBorder="1"/>
    <xf numFmtId="1" fontId="6161" fillId="0" borderId="5731" xfId="0" applyNumberFormat="1" applyFont="1" applyBorder="1"/>
    <xf numFmtId="1" fontId="6162" fillId="0" borderId="5732" xfId="0" applyNumberFormat="1" applyFont="1" applyBorder="1"/>
    <xf numFmtId="1" fontId="6163" fillId="0" borderId="5733" xfId="0" applyNumberFormat="1" applyFont="1" applyBorder="1"/>
    <xf numFmtId="1" fontId="6166" fillId="0" borderId="5736" xfId="0" applyNumberFormat="1" applyFont="1" applyBorder="1"/>
    <xf numFmtId="1" fontId="6167" fillId="0" borderId="5737" xfId="0" applyNumberFormat="1" applyFont="1" applyBorder="1"/>
    <xf numFmtId="1" fontId="6168" fillId="0" borderId="5738" xfId="0" applyNumberFormat="1" applyFont="1" applyBorder="1"/>
    <xf numFmtId="1" fontId="5963" fillId="0" borderId="5533" xfId="0" applyNumberFormat="1" applyFont="1" applyBorder="1"/>
    <xf numFmtId="1" fontId="5964" fillId="0" borderId="5534" xfId="0" applyNumberFormat="1" applyFont="1" applyBorder="1"/>
    <xf numFmtId="1" fontId="5965" fillId="0" borderId="5535" xfId="0" applyNumberFormat="1" applyFont="1" applyBorder="1"/>
    <xf numFmtId="1" fontId="5966" fillId="0" borderId="5536" xfId="0" applyNumberFormat="1" applyFont="1" applyBorder="1"/>
    <xf numFmtId="1" fontId="5967" fillId="0" borderId="5537" xfId="0" applyNumberFormat="1" applyFont="1" applyBorder="1"/>
    <xf numFmtId="1" fontId="5968" fillId="0" borderId="5538" xfId="0" applyNumberFormat="1" applyFont="1" applyBorder="1"/>
    <xf numFmtId="1" fontId="5972" fillId="0" borderId="5542" xfId="0" applyNumberFormat="1" applyFont="1" applyBorder="1"/>
    <xf numFmtId="1" fontId="5973" fillId="0" borderId="5543" xfId="0" applyNumberFormat="1" applyFont="1" applyBorder="1"/>
    <xf numFmtId="1" fontId="5974" fillId="0" borderId="5544" xfId="0" applyNumberFormat="1" applyFont="1" applyBorder="1"/>
    <xf numFmtId="1" fontId="5977" fillId="0" borderId="5547" xfId="0" applyNumberFormat="1" applyFont="1" applyBorder="1"/>
    <xf numFmtId="1" fontId="5978" fillId="0" borderId="5548" xfId="0" applyNumberFormat="1" applyFont="1" applyBorder="1"/>
    <xf numFmtId="1" fontId="5979" fillId="0" borderId="5549" xfId="0" applyNumberFormat="1" applyFont="1" applyBorder="1"/>
    <xf numFmtId="1" fontId="5777" fillId="0" borderId="5347" xfId="0" applyNumberFormat="1" applyFont="1" applyBorder="1"/>
    <xf numFmtId="1" fontId="5778" fillId="0" borderId="5348" xfId="0" applyNumberFormat="1" applyFont="1" applyBorder="1"/>
    <xf numFmtId="1" fontId="5779" fillId="0" borderId="5349" xfId="0" applyNumberFormat="1" applyFont="1" applyBorder="1"/>
    <xf numFmtId="1" fontId="5780" fillId="0" borderId="5350" xfId="0" applyNumberFormat="1" applyFont="1" applyBorder="1"/>
    <xf numFmtId="1" fontId="5781" fillId="0" borderId="5351" xfId="0" applyNumberFormat="1" applyFont="1" applyBorder="1"/>
    <xf numFmtId="1" fontId="5782" fillId="0" borderId="5352" xfId="0" applyNumberFormat="1" applyFont="1" applyBorder="1"/>
    <xf numFmtId="1" fontId="5786" fillId="0" borderId="5356" xfId="0" applyNumberFormat="1" applyFont="1" applyBorder="1"/>
    <xf numFmtId="1" fontId="5787" fillId="0" borderId="5357" xfId="0" applyNumberFormat="1" applyFont="1" applyBorder="1"/>
    <xf numFmtId="1" fontId="5788" fillId="0" borderId="5358" xfId="0" applyNumberFormat="1" applyFont="1" applyBorder="1"/>
    <xf numFmtId="1" fontId="5791" fillId="0" borderId="5361" xfId="0" applyNumberFormat="1" applyFont="1" applyBorder="1"/>
    <xf numFmtId="1" fontId="5792" fillId="0" borderId="5362" xfId="0" applyNumberFormat="1" applyFont="1" applyBorder="1"/>
    <xf numFmtId="1" fontId="5793" fillId="0" borderId="5363" xfId="0" applyNumberFormat="1" applyFont="1" applyBorder="1"/>
    <xf numFmtId="1" fontId="5585" fillId="0" borderId="5155" xfId="0" applyNumberFormat="1" applyFont="1" applyBorder="1"/>
    <xf numFmtId="1" fontId="5586" fillId="0" borderId="5156" xfId="0" applyNumberFormat="1" applyFont="1" applyBorder="1"/>
    <xf numFmtId="1" fontId="5587" fillId="0" borderId="5157" xfId="0" applyNumberFormat="1" applyFont="1" applyBorder="1"/>
    <xf numFmtId="1" fontId="5588" fillId="0" borderId="5158" xfId="0" applyNumberFormat="1" applyFont="1" applyBorder="1"/>
    <xf numFmtId="1" fontId="5589" fillId="0" borderId="5159" xfId="0" applyNumberFormat="1" applyFont="1" applyBorder="1"/>
    <xf numFmtId="1" fontId="5590" fillId="0" borderId="5160" xfId="0" applyNumberFormat="1" applyFont="1" applyBorder="1"/>
    <xf numFmtId="1" fontId="5594" fillId="0" borderId="5164" xfId="0" applyNumberFormat="1" applyFont="1" applyBorder="1"/>
    <xf numFmtId="1" fontId="5595" fillId="0" borderId="5165" xfId="0" applyNumberFormat="1" applyFont="1" applyBorder="1"/>
    <xf numFmtId="1" fontId="5596" fillId="0" borderId="5166" xfId="0" applyNumberFormat="1" applyFont="1" applyBorder="1"/>
    <xf numFmtId="1" fontId="5599" fillId="0" borderId="5169" xfId="0" applyNumberFormat="1" applyFont="1" applyBorder="1"/>
    <xf numFmtId="1" fontId="5600" fillId="0" borderId="5170" xfId="0" applyNumberFormat="1" applyFont="1" applyBorder="1"/>
    <xf numFmtId="1" fontId="5601" fillId="0" borderId="5171" xfId="0" applyNumberFormat="1" applyFont="1" applyBorder="1"/>
    <xf numFmtId="1" fontId="5402" fillId="0" borderId="4972" xfId="0" applyNumberFormat="1" applyFont="1" applyBorder="1"/>
    <xf numFmtId="1" fontId="5403" fillId="0" borderId="4973" xfId="0" applyNumberFormat="1" applyFont="1" applyBorder="1"/>
    <xf numFmtId="1" fontId="5404" fillId="0" borderId="4974" xfId="0" applyNumberFormat="1" applyFont="1" applyBorder="1"/>
    <xf numFmtId="1" fontId="5405" fillId="0" borderId="4975" xfId="0" applyNumberFormat="1" applyFont="1" applyBorder="1"/>
    <xf numFmtId="1" fontId="5406" fillId="0" borderId="4976" xfId="0" applyNumberFormat="1" applyFont="1" applyBorder="1"/>
    <xf numFmtId="1" fontId="5407" fillId="0" borderId="4977" xfId="0" applyNumberFormat="1" applyFont="1" applyBorder="1"/>
    <xf numFmtId="1" fontId="5411" fillId="0" borderId="4981" xfId="0" applyNumberFormat="1" applyFont="1" applyBorder="1"/>
    <xf numFmtId="1" fontId="5412" fillId="0" borderId="4982" xfId="0" applyNumberFormat="1" applyFont="1" applyBorder="1"/>
    <xf numFmtId="1" fontId="5413" fillId="0" borderId="4983" xfId="0" applyNumberFormat="1" applyFont="1" applyBorder="1"/>
    <xf numFmtId="1" fontId="5416" fillId="0" borderId="4986" xfId="0" applyNumberFormat="1" applyFont="1" applyBorder="1"/>
    <xf numFmtId="1" fontId="5417" fillId="0" borderId="4987" xfId="0" applyNumberFormat="1" applyFont="1" applyBorder="1"/>
    <xf numFmtId="1" fontId="5418" fillId="0" borderId="4988" xfId="0" applyNumberFormat="1" applyFont="1" applyBorder="1"/>
    <xf numFmtId="1" fontId="14" fillId="24" borderId="0" xfId="0" applyNumberFormat="1" applyFont="1" applyFill="1"/>
    <xf numFmtId="0" fontId="6343" fillId="0" borderId="5913" xfId="0" applyFont="1" applyBorder="1"/>
    <xf numFmtId="0" fontId="6347" fillId="0" borderId="5917" xfId="0" applyFont="1" applyBorder="1" applyAlignment="1">
      <alignment horizontal="right"/>
    </xf>
    <xf numFmtId="0" fontId="6348" fillId="0" borderId="5918" xfId="0" applyFont="1" applyBorder="1"/>
    <xf numFmtId="0" fontId="6350" fillId="0" borderId="5920" xfId="0" applyFont="1" applyBorder="1"/>
    <xf numFmtId="0" fontId="6352" fillId="0" borderId="5922" xfId="0" applyFont="1" applyBorder="1"/>
    <xf numFmtId="0" fontId="6356" fillId="0" borderId="5926" xfId="0" applyFont="1" applyBorder="1" applyAlignment="1">
      <alignment horizontal="left"/>
    </xf>
    <xf numFmtId="0" fontId="6360" fillId="0" borderId="5930" xfId="0" applyFont="1" applyBorder="1"/>
    <xf numFmtId="169" fontId="6364" fillId="0" borderId="5935" xfId="0" applyNumberFormat="1" applyFont="1" applyBorder="1" applyAlignment="1">
      <alignment horizontal="right"/>
    </xf>
    <xf numFmtId="0" fontId="6365" fillId="0" borderId="5936" xfId="0" applyFont="1" applyBorder="1" applyAlignment="1">
      <alignment horizontal="left"/>
    </xf>
    <xf numFmtId="169" fontId="6368" fillId="0" borderId="5939" xfId="0" applyNumberFormat="1" applyFont="1" applyBorder="1" applyAlignment="1">
      <alignment horizontal="right"/>
    </xf>
    <xf numFmtId="0" fontId="6369" fillId="0" borderId="5940" xfId="0" applyFont="1" applyBorder="1" applyAlignment="1">
      <alignment horizontal="left"/>
    </xf>
    <xf numFmtId="169" fontId="6373" fillId="0" borderId="5944" xfId="0" applyNumberFormat="1" applyFont="1" applyBorder="1" applyAlignment="1">
      <alignment horizontal="right"/>
    </xf>
    <xf numFmtId="0" fontId="6374" fillId="0" borderId="5945" xfId="0" applyFont="1" applyBorder="1" applyAlignment="1">
      <alignment horizontal="left"/>
    </xf>
    <xf numFmtId="169" fontId="6378" fillId="0" borderId="5949" xfId="0" applyNumberFormat="1" applyFont="1" applyBorder="1" applyAlignment="1">
      <alignment horizontal="right"/>
    </xf>
    <xf numFmtId="0" fontId="6379" fillId="0" borderId="5950" xfId="0" applyFont="1" applyBorder="1" applyAlignment="1">
      <alignment horizontal="left"/>
    </xf>
    <xf numFmtId="169" fontId="6383" fillId="0" borderId="5954" xfId="0" applyNumberFormat="1" applyFont="1" applyBorder="1" applyAlignment="1">
      <alignment horizontal="right"/>
    </xf>
    <xf numFmtId="0" fontId="6384" fillId="0" borderId="5955" xfId="0" applyFont="1" applyBorder="1" applyAlignment="1">
      <alignment horizontal="left"/>
    </xf>
    <xf numFmtId="169" fontId="6388" fillId="0" borderId="5959" xfId="0" applyNumberFormat="1" applyFont="1" applyBorder="1" applyAlignment="1">
      <alignment horizontal="right"/>
    </xf>
    <xf numFmtId="0" fontId="6389" fillId="0" borderId="5960" xfId="0" applyFont="1" applyBorder="1" applyAlignment="1">
      <alignment horizontal="left"/>
    </xf>
    <xf numFmtId="169" fontId="6393" fillId="0" borderId="5964" xfId="0" applyNumberFormat="1" applyFont="1" applyBorder="1" applyAlignment="1">
      <alignment horizontal="right"/>
    </xf>
    <xf numFmtId="0" fontId="6394" fillId="0" borderId="5965" xfId="0" applyFont="1" applyBorder="1" applyAlignment="1">
      <alignment horizontal="left"/>
    </xf>
    <xf numFmtId="169" fontId="6398" fillId="0" borderId="5969" xfId="0" applyNumberFormat="1" applyFont="1" applyBorder="1" applyAlignment="1">
      <alignment horizontal="right"/>
    </xf>
    <xf numFmtId="0" fontId="6399" fillId="0" borderId="5970" xfId="0" applyFont="1" applyBorder="1" applyAlignment="1">
      <alignment horizontal="left"/>
    </xf>
    <xf numFmtId="169" fontId="6403" fillId="0" borderId="5974" xfId="0" applyNumberFormat="1" applyFont="1" applyBorder="1" applyAlignment="1">
      <alignment horizontal="right"/>
    </xf>
    <xf numFmtId="0" fontId="6404" fillId="0" borderId="5975" xfId="0" applyFont="1" applyBorder="1" applyAlignment="1">
      <alignment horizontal="left"/>
    </xf>
    <xf numFmtId="169" fontId="6408" fillId="0" borderId="5979" xfId="0" applyNumberFormat="1" applyFont="1" applyBorder="1" applyAlignment="1">
      <alignment horizontal="right"/>
    </xf>
    <xf numFmtId="0" fontId="6409" fillId="0" borderId="5980" xfId="0" applyFont="1" applyBorder="1" applyAlignment="1">
      <alignment horizontal="left"/>
    </xf>
    <xf numFmtId="169" fontId="6413" fillId="0" borderId="5984" xfId="0" applyNumberFormat="1" applyFont="1" applyBorder="1" applyAlignment="1">
      <alignment horizontal="right"/>
    </xf>
    <xf numFmtId="0" fontId="6414" fillId="0" borderId="5985" xfId="0" applyFont="1" applyBorder="1" applyAlignment="1">
      <alignment horizontal="left"/>
    </xf>
    <xf numFmtId="169" fontId="6418" fillId="0" borderId="5989" xfId="0" applyNumberFormat="1" applyFont="1" applyBorder="1" applyAlignment="1">
      <alignment horizontal="right"/>
    </xf>
    <xf numFmtId="0" fontId="6419" fillId="0" borderId="5990" xfId="0" applyFont="1" applyBorder="1" applyAlignment="1">
      <alignment horizontal="left"/>
    </xf>
    <xf numFmtId="169" fontId="6423" fillId="0" borderId="5994" xfId="0" applyNumberFormat="1" applyFont="1" applyBorder="1" applyAlignment="1">
      <alignment horizontal="right"/>
    </xf>
    <xf numFmtId="0" fontId="6424" fillId="0" borderId="5995" xfId="0" applyFont="1" applyBorder="1" applyAlignment="1">
      <alignment horizontal="left"/>
    </xf>
    <xf numFmtId="169" fontId="6428" fillId="0" borderId="5999" xfId="0" applyNumberFormat="1" applyFont="1" applyBorder="1" applyAlignment="1">
      <alignment horizontal="right"/>
    </xf>
    <xf numFmtId="0" fontId="6429" fillId="0" borderId="6000" xfId="0" applyFont="1" applyBorder="1"/>
    <xf numFmtId="0" fontId="6433" fillId="0" borderId="6004" xfId="0" applyFont="1" applyBorder="1" applyAlignment="1">
      <alignment horizontal="right"/>
    </xf>
    <xf numFmtId="0" fontId="6434" fillId="0" borderId="6005" xfId="0" applyFont="1" applyBorder="1"/>
    <xf numFmtId="0" fontId="6436" fillId="0" borderId="6007" xfId="0" applyFont="1" applyBorder="1"/>
    <xf numFmtId="0" fontId="6438" fillId="0" borderId="6009" xfId="0" applyFont="1" applyBorder="1"/>
    <xf numFmtId="0" fontId="6439" fillId="0" borderId="6010" xfId="0" applyFont="1" applyBorder="1" applyAlignment="1">
      <alignment horizontal="right"/>
    </xf>
    <xf numFmtId="0" fontId="6440" fillId="0" borderId="6011" xfId="0" applyFont="1" applyBorder="1" applyAlignment="1">
      <alignment horizontal="right"/>
    </xf>
    <xf numFmtId="0" fontId="6441" fillId="0" borderId="6012" xfId="0" applyFont="1" applyBorder="1" applyAlignment="1">
      <alignment horizontal="right"/>
    </xf>
    <xf numFmtId="0" fontId="6442" fillId="0" borderId="6013" xfId="0" applyFont="1" applyBorder="1" applyAlignment="1">
      <alignment horizontal="left"/>
    </xf>
    <xf numFmtId="0" fontId="6443" fillId="0" borderId="6014" xfId="0" applyFont="1" applyBorder="1"/>
    <xf numFmtId="0" fontId="6444" fillId="0" borderId="6015" xfId="0" applyFont="1" applyBorder="1"/>
    <xf numFmtId="0" fontId="6445" fillId="0" borderId="6016" xfId="0" applyFont="1" applyBorder="1"/>
    <xf numFmtId="0" fontId="6446" fillId="0" borderId="6017" xfId="0" applyFont="1" applyBorder="1"/>
    <xf numFmtId="0" fontId="6447" fillId="0" borderId="6018" xfId="0" applyFont="1" applyBorder="1" applyAlignment="1">
      <alignment horizontal="left"/>
    </xf>
    <xf numFmtId="169" fontId="6448" fillId="0" borderId="6019" xfId="0" applyNumberFormat="1" applyFont="1" applyBorder="1" applyAlignment="1">
      <alignment horizontal="right"/>
    </xf>
    <xf numFmtId="169" fontId="6449" fillId="0" borderId="6020" xfId="0" applyNumberFormat="1" applyFont="1" applyBorder="1" applyAlignment="1">
      <alignment horizontal="right"/>
    </xf>
    <xf numFmtId="169" fontId="6450" fillId="0" borderId="6021" xfId="0" applyNumberFormat="1" applyFont="1" applyBorder="1" applyAlignment="1">
      <alignment horizontal="right"/>
    </xf>
    <xf numFmtId="169" fontId="6451" fillId="0" borderId="6022" xfId="0" applyNumberFormat="1" applyFont="1" applyBorder="1" applyAlignment="1">
      <alignment horizontal="right"/>
    </xf>
    <xf numFmtId="0" fontId="6452" fillId="0" borderId="6023" xfId="0" applyFont="1" applyBorder="1" applyAlignment="1">
      <alignment horizontal="left"/>
    </xf>
    <xf numFmtId="169" fontId="6453" fillId="0" borderId="6024" xfId="0" applyNumberFormat="1" applyFont="1" applyBorder="1" applyAlignment="1">
      <alignment horizontal="right"/>
    </xf>
    <xf numFmtId="169" fontId="6454" fillId="0" borderId="6025" xfId="0" applyNumberFormat="1" applyFont="1" applyBorder="1" applyAlignment="1">
      <alignment horizontal="right"/>
    </xf>
    <xf numFmtId="169" fontId="6455" fillId="0" borderId="6026" xfId="0" applyNumberFormat="1" applyFont="1" applyBorder="1" applyAlignment="1">
      <alignment horizontal="right"/>
    </xf>
    <xf numFmtId="169" fontId="6456" fillId="0" borderId="6027" xfId="0" applyNumberFormat="1" applyFont="1" applyBorder="1" applyAlignment="1">
      <alignment horizontal="right"/>
    </xf>
    <xf numFmtId="0" fontId="6457" fillId="0" borderId="6028" xfId="0" applyFont="1" applyBorder="1" applyAlignment="1">
      <alignment horizontal="left"/>
    </xf>
    <xf numFmtId="169" fontId="6458" fillId="0" borderId="6029" xfId="0" applyNumberFormat="1" applyFont="1" applyBorder="1" applyAlignment="1">
      <alignment horizontal="right"/>
    </xf>
    <xf numFmtId="169" fontId="6459" fillId="0" borderId="6030" xfId="0" applyNumberFormat="1" applyFont="1" applyBorder="1" applyAlignment="1">
      <alignment horizontal="right"/>
    </xf>
    <xf numFmtId="169" fontId="6460" fillId="0" borderId="6031" xfId="0" applyNumberFormat="1" applyFont="1" applyBorder="1" applyAlignment="1">
      <alignment horizontal="right"/>
    </xf>
    <xf numFmtId="169" fontId="6461" fillId="0" borderId="6032" xfId="0" applyNumberFormat="1" applyFont="1" applyBorder="1" applyAlignment="1">
      <alignment horizontal="right"/>
    </xf>
    <xf numFmtId="0" fontId="6462" fillId="0" borderId="6033" xfId="0" applyFont="1" applyBorder="1" applyAlignment="1">
      <alignment horizontal="left"/>
    </xf>
    <xf numFmtId="169" fontId="6463" fillId="0" borderId="6034" xfId="0" applyNumberFormat="1" applyFont="1" applyBorder="1" applyAlignment="1">
      <alignment horizontal="right"/>
    </xf>
    <xf numFmtId="169" fontId="6464" fillId="0" borderId="6035" xfId="0" applyNumberFormat="1" applyFont="1" applyBorder="1" applyAlignment="1">
      <alignment horizontal="right"/>
    </xf>
    <xf numFmtId="169" fontId="6465" fillId="0" borderId="6036" xfId="0" applyNumberFormat="1" applyFont="1" applyBorder="1" applyAlignment="1">
      <alignment horizontal="right"/>
    </xf>
    <xf numFmtId="169" fontId="6466" fillId="0" borderId="6037" xfId="0" applyNumberFormat="1" applyFont="1" applyBorder="1" applyAlignment="1">
      <alignment horizontal="right"/>
    </xf>
    <xf numFmtId="0" fontId="6467" fillId="0" borderId="6038" xfId="0" applyFont="1" applyBorder="1" applyAlignment="1">
      <alignment horizontal="left"/>
    </xf>
    <xf numFmtId="169" fontId="6468" fillId="0" borderId="6039" xfId="0" applyNumberFormat="1" applyFont="1" applyBorder="1" applyAlignment="1">
      <alignment horizontal="right"/>
    </xf>
    <xf numFmtId="169" fontId="6469" fillId="0" borderId="6040" xfId="0" applyNumberFormat="1" applyFont="1" applyBorder="1" applyAlignment="1">
      <alignment horizontal="right"/>
    </xf>
    <xf numFmtId="169" fontId="6470" fillId="0" borderId="6041" xfId="0" applyNumberFormat="1" applyFont="1" applyBorder="1" applyAlignment="1">
      <alignment horizontal="right"/>
    </xf>
    <xf numFmtId="169" fontId="6471" fillId="0" borderId="6042" xfId="0" applyNumberFormat="1" applyFont="1" applyBorder="1" applyAlignment="1">
      <alignment horizontal="right"/>
    </xf>
    <xf numFmtId="0" fontId="6472" fillId="0" borderId="6043" xfId="0" applyFont="1" applyBorder="1" applyAlignment="1">
      <alignment horizontal="left"/>
    </xf>
    <xf numFmtId="169" fontId="6473" fillId="0" borderId="6044" xfId="0" applyNumberFormat="1" applyFont="1" applyBorder="1" applyAlignment="1">
      <alignment horizontal="right"/>
    </xf>
    <xf numFmtId="169" fontId="6474" fillId="0" borderId="6045" xfId="0" applyNumberFormat="1" applyFont="1" applyBorder="1" applyAlignment="1">
      <alignment horizontal="right"/>
    </xf>
    <xf numFmtId="169" fontId="6475" fillId="0" borderId="6046" xfId="0" applyNumberFormat="1" applyFont="1" applyBorder="1" applyAlignment="1">
      <alignment horizontal="right"/>
    </xf>
    <xf numFmtId="169" fontId="6476" fillId="0" borderId="6047" xfId="0" applyNumberFormat="1" applyFont="1" applyBorder="1" applyAlignment="1">
      <alignment horizontal="right"/>
    </xf>
    <xf numFmtId="0" fontId="6477" fillId="0" borderId="6048" xfId="0" applyFont="1" applyBorder="1" applyAlignment="1">
      <alignment horizontal="left"/>
    </xf>
    <xf numFmtId="169" fontId="6478" fillId="0" borderId="6049" xfId="0" applyNumberFormat="1" applyFont="1" applyBorder="1" applyAlignment="1">
      <alignment horizontal="right"/>
    </xf>
    <xf numFmtId="169" fontId="6479" fillId="0" borderId="6050" xfId="0" applyNumberFormat="1" applyFont="1" applyBorder="1" applyAlignment="1">
      <alignment horizontal="right"/>
    </xf>
    <xf numFmtId="169" fontId="6480" fillId="0" borderId="6051" xfId="0" applyNumberFormat="1" applyFont="1" applyBorder="1" applyAlignment="1">
      <alignment horizontal="right"/>
    </xf>
    <xf numFmtId="169" fontId="6481" fillId="0" borderId="6052" xfId="0" applyNumberFormat="1" applyFont="1" applyBorder="1" applyAlignment="1">
      <alignment horizontal="right"/>
    </xf>
    <xf numFmtId="0" fontId="6482" fillId="0" borderId="6053" xfId="0" applyFont="1" applyBorder="1" applyAlignment="1">
      <alignment horizontal="left"/>
    </xf>
    <xf numFmtId="169" fontId="6483" fillId="0" borderId="6054" xfId="0" applyNumberFormat="1" applyFont="1" applyBorder="1" applyAlignment="1">
      <alignment horizontal="right"/>
    </xf>
    <xf numFmtId="169" fontId="6484" fillId="0" borderId="6055" xfId="0" applyNumberFormat="1" applyFont="1" applyBorder="1" applyAlignment="1">
      <alignment horizontal="right"/>
    </xf>
    <xf numFmtId="169" fontId="6485" fillId="0" borderId="6056" xfId="0" applyNumberFormat="1" applyFont="1" applyBorder="1" applyAlignment="1">
      <alignment horizontal="right"/>
    </xf>
    <xf numFmtId="169" fontId="6486" fillId="0" borderId="6057" xfId="0" applyNumberFormat="1" applyFont="1" applyBorder="1" applyAlignment="1">
      <alignment horizontal="right"/>
    </xf>
    <xf numFmtId="0" fontId="6487" fillId="0" borderId="6058" xfId="0" applyFont="1" applyBorder="1" applyAlignment="1">
      <alignment horizontal="left"/>
    </xf>
    <xf numFmtId="169" fontId="6488" fillId="0" borderId="6059" xfId="0" applyNumberFormat="1" applyFont="1" applyBorder="1" applyAlignment="1">
      <alignment horizontal="right"/>
    </xf>
    <xf numFmtId="169" fontId="6489" fillId="0" borderId="6060" xfId="0" applyNumberFormat="1" applyFont="1" applyBorder="1" applyAlignment="1">
      <alignment horizontal="right"/>
    </xf>
    <xf numFmtId="169" fontId="6490" fillId="0" borderId="6061" xfId="0" applyNumberFormat="1" applyFont="1" applyBorder="1" applyAlignment="1">
      <alignment horizontal="right"/>
    </xf>
    <xf numFmtId="169" fontId="6491" fillId="0" borderId="6062" xfId="0" applyNumberFormat="1" applyFont="1" applyBorder="1" applyAlignment="1">
      <alignment horizontal="right"/>
    </xf>
    <xf numFmtId="0" fontId="6492" fillId="0" borderId="6063" xfId="0" applyFont="1" applyBorder="1" applyAlignment="1">
      <alignment horizontal="left"/>
    </xf>
    <xf numFmtId="169" fontId="6493" fillId="0" borderId="6064" xfId="0" applyNumberFormat="1" applyFont="1" applyBorder="1" applyAlignment="1">
      <alignment horizontal="right"/>
    </xf>
    <xf numFmtId="169" fontId="6494" fillId="0" borderId="6065" xfId="0" applyNumberFormat="1" applyFont="1" applyBorder="1" applyAlignment="1">
      <alignment horizontal="right"/>
    </xf>
    <xf numFmtId="169" fontId="6495" fillId="0" borderId="6066" xfId="0" applyNumberFormat="1" applyFont="1" applyBorder="1" applyAlignment="1">
      <alignment horizontal="right"/>
    </xf>
    <xf numFmtId="169" fontId="6496" fillId="0" borderId="6067" xfId="0" applyNumberFormat="1" applyFont="1" applyBorder="1" applyAlignment="1">
      <alignment horizontal="right"/>
    </xf>
    <xf numFmtId="0" fontId="6497" fillId="0" borderId="6068" xfId="0" applyFont="1" applyBorder="1" applyAlignment="1">
      <alignment horizontal="left"/>
    </xf>
    <xf numFmtId="169" fontId="6498" fillId="0" borderId="6069" xfId="0" applyNumberFormat="1" applyFont="1" applyBorder="1" applyAlignment="1">
      <alignment horizontal="right"/>
    </xf>
    <xf numFmtId="169" fontId="6499" fillId="0" borderId="6070" xfId="0" applyNumberFormat="1" applyFont="1" applyBorder="1" applyAlignment="1">
      <alignment horizontal="right"/>
    </xf>
    <xf numFmtId="169" fontId="6500" fillId="0" borderId="6071" xfId="0" applyNumberFormat="1" applyFont="1" applyBorder="1" applyAlignment="1">
      <alignment horizontal="right"/>
    </xf>
    <xf numFmtId="169" fontId="6501" fillId="0" borderId="6072" xfId="0" applyNumberFormat="1" applyFont="1" applyBorder="1" applyAlignment="1">
      <alignment horizontal="right"/>
    </xf>
    <xf numFmtId="0" fontId="6502" fillId="0" borderId="6073" xfId="0" applyFont="1" applyBorder="1" applyAlignment="1">
      <alignment horizontal="left"/>
    </xf>
    <xf numFmtId="169" fontId="6503" fillId="0" borderId="6074" xfId="0" applyNumberFormat="1" applyFont="1" applyBorder="1" applyAlignment="1">
      <alignment horizontal="right"/>
    </xf>
    <xf numFmtId="169" fontId="6504" fillId="0" borderId="6075" xfId="0" applyNumberFormat="1" applyFont="1" applyBorder="1" applyAlignment="1">
      <alignment horizontal="right"/>
    </xf>
    <xf numFmtId="169" fontId="6505" fillId="0" borderId="6076" xfId="0" applyNumberFormat="1" applyFont="1" applyBorder="1" applyAlignment="1">
      <alignment horizontal="right"/>
    </xf>
    <xf numFmtId="169" fontId="6506" fillId="0" borderId="6077" xfId="0" applyNumberFormat="1" applyFont="1" applyBorder="1" applyAlignment="1">
      <alignment horizontal="right"/>
    </xf>
    <xf numFmtId="0" fontId="6507" fillId="0" borderId="6078" xfId="0" applyFont="1" applyBorder="1" applyAlignment="1">
      <alignment horizontal="left"/>
    </xf>
    <xf numFmtId="169" fontId="6508" fillId="0" borderId="6079" xfId="0" applyNumberFormat="1" applyFont="1" applyBorder="1" applyAlignment="1">
      <alignment horizontal="right"/>
    </xf>
    <xf numFmtId="169" fontId="6509" fillId="0" borderId="6080" xfId="0" applyNumberFormat="1" applyFont="1" applyBorder="1" applyAlignment="1">
      <alignment horizontal="right"/>
    </xf>
    <xf numFmtId="169" fontId="6510" fillId="0" borderId="6081" xfId="0" applyNumberFormat="1" applyFont="1" applyBorder="1" applyAlignment="1">
      <alignment horizontal="right"/>
    </xf>
    <xf numFmtId="169" fontId="6511" fillId="0" borderId="6082" xfId="0" applyNumberFormat="1" applyFont="1" applyBorder="1" applyAlignment="1">
      <alignment horizontal="right"/>
    </xf>
    <xf numFmtId="0" fontId="6512" fillId="0" borderId="6083" xfId="0" applyFont="1" applyBorder="1" applyAlignment="1">
      <alignment horizontal="left"/>
    </xf>
    <xf numFmtId="169" fontId="6513" fillId="0" borderId="6084" xfId="0" applyNumberFormat="1" applyFont="1" applyBorder="1" applyAlignment="1">
      <alignment horizontal="right"/>
    </xf>
    <xf numFmtId="169" fontId="6514" fillId="0" borderId="6085" xfId="0" applyNumberFormat="1" applyFont="1" applyBorder="1" applyAlignment="1">
      <alignment horizontal="right"/>
    </xf>
    <xf numFmtId="169" fontId="6515" fillId="0" borderId="6086" xfId="0" applyNumberFormat="1" applyFont="1" applyBorder="1" applyAlignment="1">
      <alignment horizontal="right"/>
    </xf>
    <xf numFmtId="169" fontId="6516" fillId="0" borderId="6087" xfId="0" applyNumberFormat="1" applyFont="1" applyBorder="1" applyAlignment="1">
      <alignment horizontal="right"/>
    </xf>
    <xf numFmtId="0" fontId="6517" fillId="0" borderId="6088" xfId="0" applyFont="1" applyBorder="1" applyAlignment="1">
      <alignment horizontal="left"/>
    </xf>
    <xf numFmtId="169" fontId="6518" fillId="0" borderId="6089" xfId="0" applyNumberFormat="1" applyFont="1" applyBorder="1" applyAlignment="1">
      <alignment horizontal="right"/>
    </xf>
    <xf numFmtId="169" fontId="6519" fillId="0" borderId="6090" xfId="0" applyNumberFormat="1" applyFont="1" applyBorder="1" applyAlignment="1">
      <alignment horizontal="right"/>
    </xf>
    <xf numFmtId="169" fontId="6520" fillId="0" borderId="6091" xfId="0" applyNumberFormat="1" applyFont="1" applyBorder="1" applyAlignment="1">
      <alignment horizontal="right"/>
    </xf>
    <xf numFmtId="169" fontId="6521" fillId="0" borderId="6092" xfId="0" applyNumberFormat="1" applyFont="1" applyBorder="1" applyAlignment="1">
      <alignment horizontal="right"/>
    </xf>
    <xf numFmtId="0" fontId="6522" fillId="0" borderId="6093" xfId="0" applyFont="1" applyBorder="1" applyAlignment="1">
      <alignment horizontal="left"/>
    </xf>
    <xf numFmtId="169" fontId="6523" fillId="0" borderId="6094" xfId="0" applyNumberFormat="1" applyFont="1" applyBorder="1" applyAlignment="1">
      <alignment horizontal="right"/>
    </xf>
    <xf numFmtId="169" fontId="6524" fillId="0" borderId="6095" xfId="0" applyNumberFormat="1" applyFont="1" applyBorder="1" applyAlignment="1">
      <alignment horizontal="right"/>
    </xf>
    <xf numFmtId="169" fontId="6525" fillId="0" borderId="6096" xfId="0" applyNumberFormat="1" applyFont="1" applyBorder="1" applyAlignment="1">
      <alignment horizontal="right"/>
    </xf>
    <xf numFmtId="169" fontId="6526" fillId="0" borderId="6097" xfId="0" applyNumberFormat="1" applyFont="1" applyBorder="1" applyAlignment="1">
      <alignment horizontal="right"/>
    </xf>
    <xf numFmtId="0" fontId="6527" fillId="0" borderId="6098" xfId="0" applyFont="1" applyBorder="1" applyAlignment="1">
      <alignment horizontal="left"/>
    </xf>
    <xf numFmtId="169" fontId="6528" fillId="0" borderId="6099" xfId="0" applyNumberFormat="1" applyFont="1" applyBorder="1" applyAlignment="1">
      <alignment horizontal="right"/>
    </xf>
    <xf numFmtId="169" fontId="6529" fillId="0" borderId="6100" xfId="0" applyNumberFormat="1" applyFont="1" applyBorder="1" applyAlignment="1">
      <alignment horizontal="right"/>
    </xf>
    <xf numFmtId="169" fontId="6530" fillId="0" borderId="6101" xfId="0" applyNumberFormat="1" applyFont="1" applyBorder="1" applyAlignment="1">
      <alignment horizontal="right"/>
    </xf>
    <xf numFmtId="169" fontId="6531" fillId="0" borderId="6102" xfId="0" applyNumberFormat="1" applyFont="1" applyBorder="1" applyAlignment="1">
      <alignment horizontal="right"/>
    </xf>
    <xf numFmtId="0" fontId="6532" fillId="0" borderId="6103" xfId="0" applyFont="1" applyBorder="1" applyAlignment="1">
      <alignment horizontal="left"/>
    </xf>
    <xf numFmtId="169" fontId="6533" fillId="0" borderId="6104" xfId="0" applyNumberFormat="1" applyFont="1" applyBorder="1" applyAlignment="1">
      <alignment horizontal="right"/>
    </xf>
    <xf numFmtId="169" fontId="6534" fillId="0" borderId="6105" xfId="0" applyNumberFormat="1" applyFont="1" applyBorder="1" applyAlignment="1">
      <alignment horizontal="right"/>
    </xf>
    <xf numFmtId="169" fontId="6535" fillId="0" borderId="6106" xfId="0" applyNumberFormat="1" applyFont="1" applyBorder="1" applyAlignment="1">
      <alignment horizontal="right"/>
    </xf>
    <xf numFmtId="169" fontId="6536" fillId="0" borderId="6107" xfId="0" applyNumberFormat="1" applyFont="1" applyBorder="1" applyAlignment="1">
      <alignment horizontal="right"/>
    </xf>
    <xf numFmtId="0" fontId="6537" fillId="0" borderId="6108" xfId="0" applyFont="1" applyBorder="1"/>
    <xf numFmtId="0" fontId="6541" fillId="0" borderId="6112" xfId="0" applyFont="1" applyBorder="1" applyAlignment="1">
      <alignment horizontal="right"/>
    </xf>
    <xf numFmtId="0" fontId="6542" fillId="0" borderId="6113" xfId="0" applyFont="1" applyBorder="1"/>
    <xf numFmtId="0" fontId="6544" fillId="0" borderId="6115" xfId="0" applyFont="1" applyBorder="1"/>
    <xf numFmtId="0" fontId="6546" fillId="0" borderId="6117" xfId="0" applyFont="1" applyBorder="1"/>
    <xf numFmtId="0" fontId="6547" fillId="0" borderId="6118" xfId="0" applyFont="1" applyBorder="1" applyAlignment="1">
      <alignment horizontal="right"/>
    </xf>
    <xf numFmtId="0" fontId="6548" fillId="0" borderId="6119" xfId="0" applyFont="1" applyBorder="1" applyAlignment="1">
      <alignment horizontal="right"/>
    </xf>
    <xf numFmtId="0" fontId="6549" fillId="0" borderId="6120" xfId="0" applyFont="1" applyBorder="1" applyAlignment="1">
      <alignment horizontal="right"/>
    </xf>
    <xf numFmtId="0" fontId="6550" fillId="0" borderId="6121" xfId="0" applyFont="1" applyBorder="1" applyAlignment="1">
      <alignment horizontal="left"/>
    </xf>
    <xf numFmtId="0" fontId="6551" fillId="0" borderId="6122" xfId="0" applyFont="1" applyBorder="1"/>
    <xf numFmtId="0" fontId="6552" fillId="0" borderId="6123" xfId="0" applyFont="1" applyBorder="1"/>
    <xf numFmtId="0" fontId="6553" fillId="0" borderId="6124" xfId="0" applyFont="1" applyBorder="1"/>
    <xf numFmtId="0" fontId="6554" fillId="0" borderId="6125" xfId="0" applyFont="1" applyBorder="1"/>
    <xf numFmtId="0" fontId="6555" fillId="0" borderId="6126" xfId="0" applyFont="1" applyBorder="1" applyAlignment="1">
      <alignment horizontal="left"/>
    </xf>
    <xf numFmtId="169" fontId="6556" fillId="0" borderId="6127" xfId="0" applyNumberFormat="1" applyFont="1" applyBorder="1" applyAlignment="1">
      <alignment horizontal="right"/>
    </xf>
    <xf numFmtId="169" fontId="6557" fillId="0" borderId="6128" xfId="0" applyNumberFormat="1" applyFont="1" applyBorder="1" applyAlignment="1">
      <alignment horizontal="right"/>
    </xf>
    <xf numFmtId="169" fontId="6558" fillId="0" borderId="6129" xfId="0" applyNumberFormat="1" applyFont="1" applyBorder="1" applyAlignment="1">
      <alignment horizontal="right"/>
    </xf>
    <xf numFmtId="169" fontId="6559" fillId="0" borderId="6130" xfId="0" applyNumberFormat="1" applyFont="1" applyBorder="1" applyAlignment="1">
      <alignment horizontal="right"/>
    </xf>
    <xf numFmtId="0" fontId="6560" fillId="0" borderId="6131" xfId="0" applyFont="1" applyBorder="1" applyAlignment="1">
      <alignment horizontal="left"/>
    </xf>
    <xf numFmtId="169" fontId="6561" fillId="0" borderId="6132" xfId="0" applyNumberFormat="1" applyFont="1" applyBorder="1" applyAlignment="1">
      <alignment horizontal="right"/>
    </xf>
    <xf numFmtId="169" fontId="6562" fillId="0" borderId="6133" xfId="0" applyNumberFormat="1" applyFont="1" applyBorder="1" applyAlignment="1">
      <alignment horizontal="right"/>
    </xf>
    <xf numFmtId="169" fontId="6563" fillId="0" borderId="6134" xfId="0" applyNumberFormat="1" applyFont="1" applyBorder="1" applyAlignment="1">
      <alignment horizontal="right"/>
    </xf>
    <xf numFmtId="169" fontId="6564" fillId="0" borderId="6135" xfId="0" applyNumberFormat="1" applyFont="1" applyBorder="1" applyAlignment="1">
      <alignment horizontal="right"/>
    </xf>
    <xf numFmtId="0" fontId="6565" fillId="0" borderId="6136" xfId="0" applyFont="1" applyBorder="1" applyAlignment="1">
      <alignment horizontal="left"/>
    </xf>
    <xf numFmtId="169" fontId="6566" fillId="0" borderId="6137" xfId="0" applyNumberFormat="1" applyFont="1" applyBorder="1" applyAlignment="1">
      <alignment horizontal="right"/>
    </xf>
    <xf numFmtId="169" fontId="6567" fillId="0" borderId="6138" xfId="0" applyNumberFormat="1" applyFont="1" applyBorder="1" applyAlignment="1">
      <alignment horizontal="right"/>
    </xf>
    <xf numFmtId="169" fontId="6568" fillId="0" borderId="6139" xfId="0" applyNumberFormat="1" applyFont="1" applyBorder="1" applyAlignment="1">
      <alignment horizontal="right"/>
    </xf>
    <xf numFmtId="169" fontId="6569" fillId="0" borderId="6140" xfId="0" applyNumberFormat="1" applyFont="1" applyBorder="1" applyAlignment="1">
      <alignment horizontal="right"/>
    </xf>
    <xf numFmtId="0" fontId="6570" fillId="0" borderId="6141" xfId="0" applyFont="1" applyBorder="1" applyAlignment="1">
      <alignment horizontal="left"/>
    </xf>
    <xf numFmtId="169" fontId="6571" fillId="0" borderId="6142" xfId="0" applyNumberFormat="1" applyFont="1" applyBorder="1" applyAlignment="1">
      <alignment horizontal="right"/>
    </xf>
    <xf numFmtId="169" fontId="6572" fillId="0" borderId="6143" xfId="0" applyNumberFormat="1" applyFont="1" applyBorder="1" applyAlignment="1">
      <alignment horizontal="right"/>
    </xf>
    <xf numFmtId="169" fontId="6573" fillId="0" borderId="6144" xfId="0" applyNumberFormat="1" applyFont="1" applyBorder="1" applyAlignment="1">
      <alignment horizontal="right"/>
    </xf>
    <xf numFmtId="169" fontId="6574" fillId="0" borderId="6145" xfId="0" applyNumberFormat="1" applyFont="1" applyBorder="1" applyAlignment="1">
      <alignment horizontal="right"/>
    </xf>
    <xf numFmtId="0" fontId="6575" fillId="0" borderId="6146" xfId="0" applyFont="1" applyBorder="1" applyAlignment="1">
      <alignment horizontal="left"/>
    </xf>
    <xf numFmtId="169" fontId="6576" fillId="0" borderId="6147" xfId="0" applyNumberFormat="1" applyFont="1" applyBorder="1" applyAlignment="1">
      <alignment horizontal="right"/>
    </xf>
    <xf numFmtId="169" fontId="6577" fillId="0" borderId="6148" xfId="0" applyNumberFormat="1" applyFont="1" applyBorder="1" applyAlignment="1">
      <alignment horizontal="right"/>
    </xf>
    <xf numFmtId="169" fontId="6578" fillId="0" borderId="6149" xfId="0" applyNumberFormat="1" applyFont="1" applyBorder="1" applyAlignment="1">
      <alignment horizontal="right"/>
    </xf>
    <xf numFmtId="169" fontId="6579" fillId="0" borderId="6150" xfId="0" applyNumberFormat="1" applyFont="1" applyBorder="1" applyAlignment="1">
      <alignment horizontal="right"/>
    </xf>
    <xf numFmtId="0" fontId="6580" fillId="0" borderId="6151" xfId="0" applyFont="1" applyBorder="1" applyAlignment="1">
      <alignment horizontal="left"/>
    </xf>
    <xf numFmtId="169" fontId="6581" fillId="0" borderId="6152" xfId="0" applyNumberFormat="1" applyFont="1" applyBorder="1" applyAlignment="1">
      <alignment horizontal="right"/>
    </xf>
    <xf numFmtId="169" fontId="6582" fillId="0" borderId="6153" xfId="0" applyNumberFormat="1" applyFont="1" applyBorder="1" applyAlignment="1">
      <alignment horizontal="right"/>
    </xf>
    <xf numFmtId="169" fontId="6583" fillId="0" borderId="6154" xfId="0" applyNumberFormat="1" applyFont="1" applyBorder="1" applyAlignment="1">
      <alignment horizontal="right"/>
    </xf>
    <xf numFmtId="169" fontId="6584" fillId="0" borderId="6155" xfId="0" applyNumberFormat="1" applyFont="1" applyBorder="1" applyAlignment="1">
      <alignment horizontal="right"/>
    </xf>
    <xf numFmtId="0" fontId="6585" fillId="0" borderId="6156" xfId="0" applyFont="1" applyBorder="1" applyAlignment="1">
      <alignment horizontal="left"/>
    </xf>
    <xf numFmtId="169" fontId="6586" fillId="0" borderId="6157" xfId="0" applyNumberFormat="1" applyFont="1" applyBorder="1" applyAlignment="1">
      <alignment horizontal="right"/>
    </xf>
    <xf numFmtId="169" fontId="6587" fillId="0" borderId="6158" xfId="0" applyNumberFormat="1" applyFont="1" applyBorder="1" applyAlignment="1">
      <alignment horizontal="right"/>
    </xf>
    <xf numFmtId="169" fontId="6588" fillId="0" borderId="6159" xfId="0" applyNumberFormat="1" applyFont="1" applyBorder="1" applyAlignment="1">
      <alignment horizontal="right"/>
    </xf>
    <xf numFmtId="169" fontId="6589" fillId="0" borderId="6160" xfId="0" applyNumberFormat="1" applyFont="1" applyBorder="1" applyAlignment="1">
      <alignment horizontal="right"/>
    </xf>
    <xf numFmtId="0" fontId="6590" fillId="0" borderId="6161" xfId="0" applyFont="1" applyBorder="1" applyAlignment="1">
      <alignment horizontal="left"/>
    </xf>
    <xf numFmtId="169" fontId="6591" fillId="0" borderId="6162" xfId="0" applyNumberFormat="1" applyFont="1" applyBorder="1" applyAlignment="1">
      <alignment horizontal="right"/>
    </xf>
    <xf numFmtId="169" fontId="6592" fillId="0" borderId="6163" xfId="0" applyNumberFormat="1" applyFont="1" applyBorder="1" applyAlignment="1">
      <alignment horizontal="right"/>
    </xf>
    <xf numFmtId="169" fontId="6593" fillId="0" borderId="6164" xfId="0" applyNumberFormat="1" applyFont="1" applyBorder="1" applyAlignment="1">
      <alignment horizontal="right"/>
    </xf>
    <xf numFmtId="169" fontId="6594" fillId="0" borderId="6165" xfId="0" applyNumberFormat="1" applyFont="1" applyBorder="1" applyAlignment="1">
      <alignment horizontal="right"/>
    </xf>
    <xf numFmtId="0" fontId="6595" fillId="0" borderId="6166" xfId="0" applyFont="1" applyBorder="1" applyAlignment="1">
      <alignment horizontal="left"/>
    </xf>
    <xf numFmtId="169" fontId="6596" fillId="0" borderId="6167" xfId="0" applyNumberFormat="1" applyFont="1" applyBorder="1" applyAlignment="1">
      <alignment horizontal="right"/>
    </xf>
    <xf numFmtId="169" fontId="6597" fillId="0" borderId="6168" xfId="0" applyNumberFormat="1" applyFont="1" applyBorder="1" applyAlignment="1">
      <alignment horizontal="right"/>
    </xf>
    <xf numFmtId="169" fontId="6598" fillId="0" borderId="6169" xfId="0" applyNumberFormat="1" applyFont="1" applyBorder="1" applyAlignment="1">
      <alignment horizontal="right"/>
    </xf>
    <xf numFmtId="169" fontId="6599" fillId="0" borderId="6170" xfId="0" applyNumberFormat="1" applyFont="1" applyBorder="1" applyAlignment="1">
      <alignment horizontal="right"/>
    </xf>
    <xf numFmtId="0" fontId="6600" fillId="0" borderId="6171" xfId="0" applyFont="1" applyBorder="1" applyAlignment="1">
      <alignment horizontal="left"/>
    </xf>
    <xf numFmtId="169" fontId="6601" fillId="0" borderId="6172" xfId="0" applyNumberFormat="1" applyFont="1" applyBorder="1" applyAlignment="1">
      <alignment horizontal="right"/>
    </xf>
    <xf numFmtId="169" fontId="6602" fillId="0" borderId="6173" xfId="0" applyNumberFormat="1" applyFont="1" applyBorder="1" applyAlignment="1">
      <alignment horizontal="right"/>
    </xf>
    <xf numFmtId="169" fontId="6603" fillId="0" borderId="6174" xfId="0" applyNumberFormat="1" applyFont="1" applyBorder="1" applyAlignment="1">
      <alignment horizontal="right"/>
    </xf>
    <xf numFmtId="169" fontId="6604" fillId="0" borderId="6175" xfId="0" applyNumberFormat="1" applyFont="1" applyBorder="1" applyAlignment="1">
      <alignment horizontal="right"/>
    </xf>
    <xf numFmtId="0" fontId="6605" fillId="0" borderId="6176" xfId="0" applyFont="1" applyBorder="1" applyAlignment="1">
      <alignment horizontal="left"/>
    </xf>
    <xf numFmtId="169" fontId="6606" fillId="0" borderId="6177" xfId="0" applyNumberFormat="1" applyFont="1" applyBorder="1" applyAlignment="1">
      <alignment horizontal="right"/>
    </xf>
    <xf numFmtId="169" fontId="6607" fillId="0" borderId="6178" xfId="0" applyNumberFormat="1" applyFont="1" applyBorder="1" applyAlignment="1">
      <alignment horizontal="right"/>
    </xf>
    <xf numFmtId="169" fontId="6608" fillId="0" borderId="6179" xfId="0" applyNumberFormat="1" applyFont="1" applyBorder="1" applyAlignment="1">
      <alignment horizontal="right"/>
    </xf>
    <xf numFmtId="169" fontId="6609" fillId="0" borderId="6180" xfId="0" applyNumberFormat="1" applyFont="1" applyBorder="1" applyAlignment="1">
      <alignment horizontal="right"/>
    </xf>
    <xf numFmtId="0" fontId="6610" fillId="0" borderId="6181" xfId="0" applyFont="1" applyBorder="1" applyAlignment="1">
      <alignment horizontal="left"/>
    </xf>
    <xf numFmtId="169" fontId="6611" fillId="0" borderId="6182" xfId="0" applyNumberFormat="1" applyFont="1" applyBorder="1" applyAlignment="1">
      <alignment horizontal="right"/>
    </xf>
    <xf numFmtId="169" fontId="6612" fillId="0" borderId="6183" xfId="0" applyNumberFormat="1" applyFont="1" applyBorder="1" applyAlignment="1">
      <alignment horizontal="right"/>
    </xf>
    <xf numFmtId="169" fontId="6613" fillId="0" borderId="6184" xfId="0" applyNumberFormat="1" applyFont="1" applyBorder="1" applyAlignment="1">
      <alignment horizontal="right"/>
    </xf>
    <xf numFmtId="169" fontId="6614" fillId="0" borderId="6185" xfId="0" applyNumberFormat="1" applyFont="1" applyBorder="1" applyAlignment="1">
      <alignment horizontal="right"/>
    </xf>
    <xf numFmtId="0" fontId="6615" fillId="0" borderId="6186" xfId="0" applyFont="1" applyBorder="1" applyAlignment="1">
      <alignment horizontal="left"/>
    </xf>
    <xf numFmtId="169" fontId="6616" fillId="0" borderId="6187" xfId="0" applyNumberFormat="1" applyFont="1" applyBorder="1" applyAlignment="1">
      <alignment horizontal="right"/>
    </xf>
    <xf numFmtId="169" fontId="6617" fillId="0" borderId="6188" xfId="0" applyNumberFormat="1" applyFont="1" applyBorder="1" applyAlignment="1">
      <alignment horizontal="right"/>
    </xf>
    <xf numFmtId="169" fontId="6618" fillId="0" borderId="6189" xfId="0" applyNumberFormat="1" applyFont="1" applyBorder="1" applyAlignment="1">
      <alignment horizontal="right"/>
    </xf>
    <xf numFmtId="169" fontId="6619" fillId="0" borderId="6190" xfId="0" applyNumberFormat="1" applyFont="1" applyBorder="1" applyAlignment="1">
      <alignment horizontal="right"/>
    </xf>
    <xf numFmtId="0" fontId="6620" fillId="0" borderId="6191" xfId="0" applyFont="1" applyBorder="1" applyAlignment="1">
      <alignment horizontal="left"/>
    </xf>
    <xf numFmtId="169" fontId="6621" fillId="0" borderId="6192" xfId="0" applyNumberFormat="1" applyFont="1" applyBorder="1" applyAlignment="1">
      <alignment horizontal="right"/>
    </xf>
    <xf numFmtId="169" fontId="6622" fillId="0" borderId="6193" xfId="0" applyNumberFormat="1" applyFont="1" applyBorder="1" applyAlignment="1">
      <alignment horizontal="right"/>
    </xf>
    <xf numFmtId="169" fontId="6623" fillId="0" borderId="6194" xfId="0" applyNumberFormat="1" applyFont="1" applyBorder="1" applyAlignment="1">
      <alignment horizontal="right"/>
    </xf>
    <xf numFmtId="169" fontId="6624" fillId="0" borderId="6195" xfId="0" applyNumberFormat="1" applyFont="1" applyBorder="1" applyAlignment="1">
      <alignment horizontal="right"/>
    </xf>
    <xf numFmtId="0" fontId="6625" fillId="0" borderId="6196" xfId="0" applyFont="1" applyBorder="1" applyAlignment="1">
      <alignment horizontal="left"/>
    </xf>
    <xf numFmtId="169" fontId="6626" fillId="0" borderId="6197" xfId="0" applyNumberFormat="1" applyFont="1" applyBorder="1" applyAlignment="1">
      <alignment horizontal="right"/>
    </xf>
    <xf numFmtId="169" fontId="6627" fillId="0" borderId="6198" xfId="0" applyNumberFormat="1" applyFont="1" applyBorder="1" applyAlignment="1">
      <alignment horizontal="right"/>
    </xf>
    <xf numFmtId="169" fontId="6628" fillId="0" borderId="6199" xfId="0" applyNumberFormat="1" applyFont="1" applyBorder="1" applyAlignment="1">
      <alignment horizontal="right"/>
    </xf>
    <xf numFmtId="169" fontId="6629" fillId="0" borderId="6200" xfId="0" applyNumberFormat="1" applyFont="1" applyBorder="1" applyAlignment="1">
      <alignment horizontal="right"/>
    </xf>
    <xf numFmtId="0" fontId="6630" fillId="0" borderId="6201" xfId="0" applyFont="1" applyBorder="1" applyAlignment="1">
      <alignment horizontal="left"/>
    </xf>
    <xf numFmtId="169" fontId="6631" fillId="0" borderId="6202" xfId="0" applyNumberFormat="1" applyFont="1" applyBorder="1" applyAlignment="1">
      <alignment horizontal="right"/>
    </xf>
    <xf numFmtId="169" fontId="6632" fillId="0" borderId="6203" xfId="0" applyNumberFormat="1" applyFont="1" applyBorder="1" applyAlignment="1">
      <alignment horizontal="right"/>
    </xf>
    <xf numFmtId="169" fontId="6633" fillId="0" borderId="6204" xfId="0" applyNumberFormat="1" applyFont="1" applyBorder="1" applyAlignment="1">
      <alignment horizontal="right"/>
    </xf>
    <xf numFmtId="169" fontId="6634" fillId="0" borderId="6205" xfId="0" applyNumberFormat="1" applyFont="1" applyBorder="1" applyAlignment="1">
      <alignment horizontal="right"/>
    </xf>
    <xf numFmtId="0" fontId="6635" fillId="0" borderId="6206" xfId="0" applyFont="1" applyBorder="1" applyAlignment="1">
      <alignment horizontal="left"/>
    </xf>
    <xf numFmtId="169" fontId="6636" fillId="0" borderId="6207" xfId="0" applyNumberFormat="1" applyFont="1" applyBorder="1" applyAlignment="1">
      <alignment horizontal="right"/>
    </xf>
    <xf numFmtId="169" fontId="6637" fillId="0" borderId="6208" xfId="0" applyNumberFormat="1" applyFont="1" applyBorder="1" applyAlignment="1">
      <alignment horizontal="right"/>
    </xf>
    <xf numFmtId="169" fontId="6638" fillId="0" borderId="6209" xfId="0" applyNumberFormat="1" applyFont="1" applyBorder="1" applyAlignment="1">
      <alignment horizontal="right"/>
    </xf>
    <xf numFmtId="169" fontId="6639" fillId="0" borderId="6210" xfId="0" applyNumberFormat="1" applyFont="1" applyBorder="1" applyAlignment="1">
      <alignment horizontal="right"/>
    </xf>
    <xf numFmtId="0" fontId="6640" fillId="0" borderId="6211" xfId="0" applyFont="1" applyBorder="1" applyAlignment="1">
      <alignment horizontal="left"/>
    </xf>
    <xf numFmtId="169" fontId="6641" fillId="0" borderId="6212" xfId="0" applyNumberFormat="1" applyFont="1" applyBorder="1" applyAlignment="1">
      <alignment horizontal="right"/>
    </xf>
    <xf numFmtId="169" fontId="6642" fillId="0" borderId="6213" xfId="0" applyNumberFormat="1" applyFont="1" applyBorder="1" applyAlignment="1">
      <alignment horizontal="right"/>
    </xf>
    <xf numFmtId="169" fontId="6643" fillId="0" borderId="6214" xfId="0" applyNumberFormat="1" applyFont="1" applyBorder="1" applyAlignment="1">
      <alignment horizontal="right"/>
    </xf>
    <xf numFmtId="169" fontId="6644" fillId="0" borderId="6215" xfId="0" applyNumberFormat="1" applyFont="1" applyBorder="1" applyAlignment="1">
      <alignment horizontal="right"/>
    </xf>
    <xf numFmtId="0" fontId="6645" fillId="0" borderId="6216" xfId="0" applyFont="1" applyBorder="1"/>
    <xf numFmtId="0" fontId="6649" fillId="0" borderId="6220" xfId="0" applyFont="1" applyBorder="1" applyAlignment="1">
      <alignment horizontal="right"/>
    </xf>
    <xf numFmtId="0" fontId="6650" fillId="0" borderId="6221" xfId="0" applyFont="1" applyBorder="1"/>
    <xf numFmtId="0" fontId="6652" fillId="0" borderId="6223" xfId="0" applyFont="1" applyBorder="1"/>
    <xf numFmtId="0" fontId="6654" fillId="0" borderId="6225" xfId="0" applyFont="1" applyBorder="1"/>
    <xf numFmtId="0" fontId="6655" fillId="0" borderId="6226" xfId="0" applyFont="1" applyBorder="1" applyAlignment="1">
      <alignment horizontal="right"/>
    </xf>
    <xf numFmtId="0" fontId="6656" fillId="0" borderId="6227" xfId="0" applyFont="1" applyBorder="1" applyAlignment="1">
      <alignment horizontal="right"/>
    </xf>
    <xf numFmtId="0" fontId="6657" fillId="0" borderId="6228" xfId="0" applyFont="1" applyBorder="1" applyAlignment="1">
      <alignment horizontal="right"/>
    </xf>
    <xf numFmtId="0" fontId="6658" fillId="0" borderId="6229" xfId="0" applyFont="1" applyBorder="1" applyAlignment="1">
      <alignment horizontal="left"/>
    </xf>
    <xf numFmtId="0" fontId="6659" fillId="0" borderId="6230" xfId="0" applyFont="1" applyBorder="1"/>
    <xf numFmtId="0" fontId="6660" fillId="0" borderId="6231" xfId="0" applyFont="1" applyBorder="1"/>
    <xf numFmtId="0" fontId="6661" fillId="0" borderId="6232" xfId="0" applyFont="1" applyBorder="1"/>
    <xf numFmtId="0" fontId="6662" fillId="0" borderId="6233" xfId="0" applyFont="1" applyBorder="1"/>
    <xf numFmtId="0" fontId="6663" fillId="0" borderId="6234" xfId="0" applyFont="1" applyBorder="1" applyAlignment="1">
      <alignment horizontal="left"/>
    </xf>
    <xf numFmtId="169" fontId="6664" fillId="0" borderId="6235" xfId="0" applyNumberFormat="1" applyFont="1" applyBorder="1" applyAlignment="1">
      <alignment horizontal="right"/>
    </xf>
    <xf numFmtId="169" fontId="6665" fillId="0" borderId="6236" xfId="0" applyNumberFormat="1" applyFont="1" applyBorder="1" applyAlignment="1">
      <alignment horizontal="right"/>
    </xf>
    <xf numFmtId="169" fontId="6666" fillId="0" borderId="6237" xfId="0" applyNumberFormat="1" applyFont="1" applyBorder="1" applyAlignment="1">
      <alignment horizontal="right"/>
    </xf>
    <xf numFmtId="169" fontId="6667" fillId="0" borderId="6238" xfId="0" applyNumberFormat="1" applyFont="1" applyBorder="1" applyAlignment="1">
      <alignment horizontal="right"/>
    </xf>
    <xf numFmtId="0" fontId="6668" fillId="0" borderId="6239" xfId="0" applyFont="1" applyBorder="1" applyAlignment="1">
      <alignment horizontal="left"/>
    </xf>
    <xf numFmtId="169" fontId="6669" fillId="0" borderId="6240" xfId="0" applyNumberFormat="1" applyFont="1" applyBorder="1" applyAlignment="1">
      <alignment horizontal="right"/>
    </xf>
    <xf numFmtId="169" fontId="6670" fillId="0" borderId="6241" xfId="0" applyNumberFormat="1" applyFont="1" applyBorder="1" applyAlignment="1">
      <alignment horizontal="right"/>
    </xf>
    <xf numFmtId="169" fontId="6671" fillId="0" borderId="6242" xfId="0" applyNumberFormat="1" applyFont="1" applyBorder="1" applyAlignment="1">
      <alignment horizontal="right"/>
    </xf>
    <xf numFmtId="169" fontId="6672" fillId="0" borderId="6243" xfId="0" applyNumberFormat="1" applyFont="1" applyBorder="1" applyAlignment="1">
      <alignment horizontal="right"/>
    </xf>
    <xf numFmtId="0" fontId="6673" fillId="0" borderId="6244" xfId="0" applyFont="1" applyBorder="1" applyAlignment="1">
      <alignment horizontal="left"/>
    </xf>
    <xf numFmtId="169" fontId="6674" fillId="0" borderId="6245" xfId="0" applyNumberFormat="1" applyFont="1" applyBorder="1" applyAlignment="1">
      <alignment horizontal="right"/>
    </xf>
    <xf numFmtId="169" fontId="6675" fillId="0" borderId="6246" xfId="0" applyNumberFormat="1" applyFont="1" applyBorder="1" applyAlignment="1">
      <alignment horizontal="right"/>
    </xf>
    <xf numFmtId="169" fontId="6676" fillId="0" borderId="6247" xfId="0" applyNumberFormat="1" applyFont="1" applyBorder="1" applyAlignment="1">
      <alignment horizontal="right"/>
    </xf>
    <xf numFmtId="169" fontId="6677" fillId="0" borderId="6248" xfId="0" applyNumberFormat="1" applyFont="1" applyBorder="1" applyAlignment="1">
      <alignment horizontal="right"/>
    </xf>
    <xf numFmtId="0" fontId="6678" fillId="0" borderId="6249" xfId="0" applyFont="1" applyBorder="1" applyAlignment="1">
      <alignment horizontal="left"/>
    </xf>
    <xf numFmtId="169" fontId="6679" fillId="0" borderId="6250" xfId="0" applyNumberFormat="1" applyFont="1" applyBorder="1" applyAlignment="1">
      <alignment horizontal="right"/>
    </xf>
    <xf numFmtId="169" fontId="6680" fillId="0" borderId="6251" xfId="0" applyNumberFormat="1" applyFont="1" applyBorder="1" applyAlignment="1">
      <alignment horizontal="right"/>
    </xf>
    <xf numFmtId="169" fontId="6681" fillId="0" borderId="6252" xfId="0" applyNumberFormat="1" applyFont="1" applyBorder="1" applyAlignment="1">
      <alignment horizontal="right"/>
    </xf>
    <xf numFmtId="169" fontId="6682" fillId="0" borderId="6253" xfId="0" applyNumberFormat="1" applyFont="1" applyBorder="1" applyAlignment="1">
      <alignment horizontal="right"/>
    </xf>
    <xf numFmtId="0" fontId="6683" fillId="0" borderId="6254" xfId="0" applyFont="1" applyBorder="1" applyAlignment="1">
      <alignment horizontal="left"/>
    </xf>
    <xf numFmtId="169" fontId="6684" fillId="0" borderId="6255" xfId="0" applyNumberFormat="1" applyFont="1" applyBorder="1" applyAlignment="1">
      <alignment horizontal="right"/>
    </xf>
    <xf numFmtId="169" fontId="6685" fillId="0" borderId="6256" xfId="0" applyNumberFormat="1" applyFont="1" applyBorder="1" applyAlignment="1">
      <alignment horizontal="right"/>
    </xf>
    <xf numFmtId="169" fontId="6686" fillId="0" borderId="6257" xfId="0" applyNumberFormat="1" applyFont="1" applyBorder="1" applyAlignment="1">
      <alignment horizontal="right"/>
    </xf>
    <xf numFmtId="169" fontId="6687" fillId="0" borderId="6258" xfId="0" applyNumberFormat="1" applyFont="1" applyBorder="1" applyAlignment="1">
      <alignment horizontal="right"/>
    </xf>
    <xf numFmtId="0" fontId="6688" fillId="0" borderId="6259" xfId="0" applyFont="1" applyBorder="1" applyAlignment="1">
      <alignment horizontal="left"/>
    </xf>
    <xf numFmtId="169" fontId="6689" fillId="0" borderId="6260" xfId="0" applyNumberFormat="1" applyFont="1" applyBorder="1" applyAlignment="1">
      <alignment horizontal="right"/>
    </xf>
    <xf numFmtId="169" fontId="6690" fillId="0" borderId="6261" xfId="0" applyNumberFormat="1" applyFont="1" applyBorder="1" applyAlignment="1">
      <alignment horizontal="right"/>
    </xf>
    <xf numFmtId="169" fontId="6691" fillId="0" borderId="6262" xfId="0" applyNumberFormat="1" applyFont="1" applyBorder="1" applyAlignment="1">
      <alignment horizontal="right"/>
    </xf>
    <xf numFmtId="169" fontId="6692" fillId="0" borderId="6263" xfId="0" applyNumberFormat="1" applyFont="1" applyBorder="1" applyAlignment="1">
      <alignment horizontal="right"/>
    </xf>
    <xf numFmtId="0" fontId="6693" fillId="0" borderId="6264" xfId="0" applyFont="1" applyBorder="1" applyAlignment="1">
      <alignment horizontal="left"/>
    </xf>
    <xf numFmtId="169" fontId="6694" fillId="0" borderId="6265" xfId="0" applyNumberFormat="1" applyFont="1" applyBorder="1" applyAlignment="1">
      <alignment horizontal="right"/>
    </xf>
    <xf numFmtId="169" fontId="6695" fillId="0" borderId="6266" xfId="0" applyNumberFormat="1" applyFont="1" applyBorder="1" applyAlignment="1">
      <alignment horizontal="right"/>
    </xf>
    <xf numFmtId="169" fontId="6696" fillId="0" borderId="6267" xfId="0" applyNumberFormat="1" applyFont="1" applyBorder="1" applyAlignment="1">
      <alignment horizontal="right"/>
    </xf>
    <xf numFmtId="169" fontId="6697" fillId="0" borderId="6268" xfId="0" applyNumberFormat="1" applyFont="1" applyBorder="1" applyAlignment="1">
      <alignment horizontal="right"/>
    </xf>
    <xf numFmtId="0" fontId="6698" fillId="0" borderId="6269" xfId="0" applyFont="1" applyBorder="1" applyAlignment="1">
      <alignment horizontal="left"/>
    </xf>
    <xf numFmtId="169" fontId="6699" fillId="0" borderId="6270" xfId="0" applyNumberFormat="1" applyFont="1" applyBorder="1" applyAlignment="1">
      <alignment horizontal="right"/>
    </xf>
    <xf numFmtId="169" fontId="6700" fillId="0" borderId="6271" xfId="0" applyNumberFormat="1" applyFont="1" applyBorder="1" applyAlignment="1">
      <alignment horizontal="right"/>
    </xf>
    <xf numFmtId="169" fontId="6701" fillId="0" borderId="6272" xfId="0" applyNumberFormat="1" applyFont="1" applyBorder="1" applyAlignment="1">
      <alignment horizontal="right"/>
    </xf>
    <xf numFmtId="169" fontId="6702" fillId="0" borderId="6273" xfId="0" applyNumberFormat="1" applyFont="1" applyBorder="1" applyAlignment="1">
      <alignment horizontal="right"/>
    </xf>
    <xf numFmtId="0" fontId="6703" fillId="0" borderId="6274" xfId="0" applyFont="1" applyBorder="1" applyAlignment="1">
      <alignment horizontal="left"/>
    </xf>
    <xf numFmtId="169" fontId="6704" fillId="0" borderId="6275" xfId="0" applyNumberFormat="1" applyFont="1" applyBorder="1" applyAlignment="1">
      <alignment horizontal="right"/>
    </xf>
    <xf numFmtId="169" fontId="6705" fillId="0" borderId="6276" xfId="0" applyNumberFormat="1" applyFont="1" applyBorder="1" applyAlignment="1">
      <alignment horizontal="right"/>
    </xf>
    <xf numFmtId="169" fontId="6706" fillId="0" borderId="6277" xfId="0" applyNumberFormat="1" applyFont="1" applyBorder="1" applyAlignment="1">
      <alignment horizontal="right"/>
    </xf>
    <xf numFmtId="169" fontId="6707" fillId="0" borderId="6278" xfId="0" applyNumberFormat="1" applyFont="1" applyBorder="1" applyAlignment="1">
      <alignment horizontal="right"/>
    </xf>
    <xf numFmtId="0" fontId="6708" fillId="0" borderId="6279" xfId="0" applyFont="1" applyBorder="1" applyAlignment="1">
      <alignment horizontal="left"/>
    </xf>
    <xf numFmtId="169" fontId="6709" fillId="0" borderId="6280" xfId="0" applyNumberFormat="1" applyFont="1" applyBorder="1" applyAlignment="1">
      <alignment horizontal="right"/>
    </xf>
    <xf numFmtId="169" fontId="6710" fillId="0" borderId="6281" xfId="0" applyNumberFormat="1" applyFont="1" applyBorder="1" applyAlignment="1">
      <alignment horizontal="right"/>
    </xf>
    <xf numFmtId="169" fontId="6711" fillId="0" borderId="6282" xfId="0" applyNumberFormat="1" applyFont="1" applyBorder="1" applyAlignment="1">
      <alignment horizontal="right"/>
    </xf>
    <xf numFmtId="169" fontId="6712" fillId="0" borderId="6283" xfId="0" applyNumberFormat="1" applyFont="1" applyBorder="1" applyAlignment="1">
      <alignment horizontal="right"/>
    </xf>
    <xf numFmtId="0" fontId="6713" fillId="0" borderId="6284" xfId="0" applyFont="1" applyBorder="1" applyAlignment="1">
      <alignment horizontal="left"/>
    </xf>
    <xf numFmtId="169" fontId="6714" fillId="0" borderId="6285" xfId="0" applyNumberFormat="1" applyFont="1" applyBorder="1" applyAlignment="1">
      <alignment horizontal="right"/>
    </xf>
    <xf numFmtId="169" fontId="6715" fillId="0" borderId="6286" xfId="0" applyNumberFormat="1" applyFont="1" applyBorder="1" applyAlignment="1">
      <alignment horizontal="right"/>
    </xf>
    <xf numFmtId="169" fontId="6716" fillId="0" borderId="6287" xfId="0" applyNumberFormat="1" applyFont="1" applyBorder="1" applyAlignment="1">
      <alignment horizontal="right"/>
    </xf>
    <xf numFmtId="169" fontId="6717" fillId="0" borderId="6288" xfId="0" applyNumberFormat="1" applyFont="1" applyBorder="1" applyAlignment="1">
      <alignment horizontal="right"/>
    </xf>
    <xf numFmtId="0" fontId="6718" fillId="0" borderId="6289" xfId="0" applyFont="1" applyBorder="1" applyAlignment="1">
      <alignment horizontal="left"/>
    </xf>
    <xf numFmtId="169" fontId="6719" fillId="0" borderId="6290" xfId="0" applyNumberFormat="1" applyFont="1" applyBorder="1" applyAlignment="1">
      <alignment horizontal="right"/>
    </xf>
    <xf numFmtId="169" fontId="6720" fillId="0" borderId="6291" xfId="0" applyNumberFormat="1" applyFont="1" applyBorder="1" applyAlignment="1">
      <alignment horizontal="right"/>
    </xf>
    <xf numFmtId="169" fontId="6721" fillId="0" borderId="6292" xfId="0" applyNumberFormat="1" applyFont="1" applyBorder="1" applyAlignment="1">
      <alignment horizontal="right"/>
    </xf>
    <xf numFmtId="169" fontId="6722" fillId="0" borderId="6293" xfId="0" applyNumberFormat="1" applyFont="1" applyBorder="1" applyAlignment="1">
      <alignment horizontal="right"/>
    </xf>
    <xf numFmtId="0" fontId="6723" fillId="0" borderId="6294" xfId="0" applyFont="1" applyBorder="1" applyAlignment="1">
      <alignment horizontal="left"/>
    </xf>
    <xf numFmtId="169" fontId="6724" fillId="0" borderId="6295" xfId="0" applyNumberFormat="1" applyFont="1" applyBorder="1" applyAlignment="1">
      <alignment horizontal="right"/>
    </xf>
    <xf numFmtId="169" fontId="6725" fillId="0" borderId="6296" xfId="0" applyNumberFormat="1" applyFont="1" applyBorder="1" applyAlignment="1">
      <alignment horizontal="right"/>
    </xf>
    <xf numFmtId="169" fontId="6726" fillId="0" borderId="6297" xfId="0" applyNumberFormat="1" applyFont="1" applyBorder="1" applyAlignment="1">
      <alignment horizontal="right"/>
    </xf>
    <xf numFmtId="169" fontId="6727" fillId="0" borderId="6298" xfId="0" applyNumberFormat="1" applyFont="1" applyBorder="1" applyAlignment="1">
      <alignment horizontal="right"/>
    </xf>
    <xf numFmtId="0" fontId="6728" fillId="0" borderId="6299" xfId="0" applyFont="1" applyBorder="1" applyAlignment="1">
      <alignment horizontal="left"/>
    </xf>
    <xf numFmtId="169" fontId="6729" fillId="0" borderId="6300" xfId="0" applyNumberFormat="1" applyFont="1" applyBorder="1" applyAlignment="1">
      <alignment horizontal="right"/>
    </xf>
    <xf numFmtId="169" fontId="6730" fillId="0" borderId="6301" xfId="0" applyNumberFormat="1" applyFont="1" applyBorder="1" applyAlignment="1">
      <alignment horizontal="right"/>
    </xf>
    <xf numFmtId="169" fontId="6731" fillId="0" borderId="6302" xfId="0" applyNumberFormat="1" applyFont="1" applyBorder="1" applyAlignment="1">
      <alignment horizontal="right"/>
    </xf>
    <xf numFmtId="169" fontId="6732" fillId="0" borderId="6303" xfId="0" applyNumberFormat="1" applyFont="1" applyBorder="1" applyAlignment="1">
      <alignment horizontal="right"/>
    </xf>
    <xf numFmtId="0" fontId="6733" fillId="0" borderId="6304" xfId="0" applyFont="1" applyBorder="1" applyAlignment="1">
      <alignment horizontal="left"/>
    </xf>
    <xf numFmtId="169" fontId="6734" fillId="0" borderId="6305" xfId="0" applyNumberFormat="1" applyFont="1" applyBorder="1" applyAlignment="1">
      <alignment horizontal="right"/>
    </xf>
    <xf numFmtId="169" fontId="6735" fillId="0" borderId="6306" xfId="0" applyNumberFormat="1" applyFont="1" applyBorder="1" applyAlignment="1">
      <alignment horizontal="right"/>
    </xf>
    <xf numFmtId="169" fontId="6736" fillId="0" borderId="6307" xfId="0" applyNumberFormat="1" applyFont="1" applyBorder="1" applyAlignment="1">
      <alignment horizontal="right"/>
    </xf>
    <xf numFmtId="169" fontId="6737" fillId="0" borderId="6308" xfId="0" applyNumberFormat="1" applyFont="1" applyBorder="1" applyAlignment="1">
      <alignment horizontal="right"/>
    </xf>
    <xf numFmtId="0" fontId="6738" fillId="0" borderId="6309" xfId="0" applyFont="1" applyBorder="1" applyAlignment="1">
      <alignment horizontal="left"/>
    </xf>
    <xf numFmtId="169" fontId="6739" fillId="0" borderId="6310" xfId="0" applyNumberFormat="1" applyFont="1" applyBorder="1" applyAlignment="1">
      <alignment horizontal="right"/>
    </xf>
    <xf numFmtId="169" fontId="6740" fillId="0" borderId="6311" xfId="0" applyNumberFormat="1" applyFont="1" applyBorder="1" applyAlignment="1">
      <alignment horizontal="right"/>
    </xf>
    <xf numFmtId="169" fontId="6741" fillId="0" borderId="6312" xfId="0" applyNumberFormat="1" applyFont="1" applyBorder="1" applyAlignment="1">
      <alignment horizontal="right"/>
    </xf>
    <xf numFmtId="169" fontId="6742" fillId="0" borderId="6313" xfId="0" applyNumberFormat="1" applyFont="1" applyBorder="1" applyAlignment="1">
      <alignment horizontal="right"/>
    </xf>
    <xf numFmtId="0" fontId="6743" fillId="0" borderId="6314" xfId="0" applyFont="1" applyBorder="1" applyAlignment="1">
      <alignment horizontal="left"/>
    </xf>
    <xf numFmtId="169" fontId="6744" fillId="0" borderId="6315" xfId="0" applyNumberFormat="1" applyFont="1" applyBorder="1" applyAlignment="1">
      <alignment horizontal="right"/>
    </xf>
    <xf numFmtId="169" fontId="6745" fillId="0" borderId="6316" xfId="0" applyNumberFormat="1" applyFont="1" applyBorder="1" applyAlignment="1">
      <alignment horizontal="right"/>
    </xf>
    <xf numFmtId="169" fontId="6746" fillId="0" borderId="6317" xfId="0" applyNumberFormat="1" applyFont="1" applyBorder="1" applyAlignment="1">
      <alignment horizontal="right"/>
    </xf>
    <xf numFmtId="169" fontId="6747" fillId="0" borderId="6318" xfId="0" applyNumberFormat="1" applyFont="1" applyBorder="1" applyAlignment="1">
      <alignment horizontal="right"/>
    </xf>
    <xf numFmtId="0" fontId="6748" fillId="0" borderId="6319" xfId="0" applyFont="1" applyBorder="1" applyAlignment="1">
      <alignment horizontal="left"/>
    </xf>
    <xf numFmtId="169" fontId="6749" fillId="0" borderId="6320" xfId="0" applyNumberFormat="1" applyFont="1" applyBorder="1" applyAlignment="1">
      <alignment horizontal="right"/>
    </xf>
    <xf numFmtId="169" fontId="6750" fillId="0" borderId="6321" xfId="0" applyNumberFormat="1" applyFont="1" applyBorder="1" applyAlignment="1">
      <alignment horizontal="right"/>
    </xf>
    <xf numFmtId="169" fontId="6751" fillId="0" borderId="6322" xfId="0" applyNumberFormat="1" applyFont="1" applyBorder="1" applyAlignment="1">
      <alignment horizontal="right"/>
    </xf>
    <xf numFmtId="169" fontId="6752" fillId="0" borderId="6323" xfId="0" applyNumberFormat="1" applyFont="1" applyBorder="1" applyAlignment="1">
      <alignment horizontal="right"/>
    </xf>
    <xf numFmtId="0" fontId="6753" fillId="0" borderId="6324" xfId="0" applyFont="1" applyBorder="1"/>
    <xf numFmtId="0" fontId="6757" fillId="0" borderId="6328" xfId="0" applyFont="1" applyBorder="1" applyAlignment="1">
      <alignment horizontal="right"/>
    </xf>
    <xf numFmtId="0" fontId="6758" fillId="0" borderId="6329" xfId="0" applyFont="1" applyBorder="1"/>
    <xf numFmtId="0" fontId="6760" fillId="0" borderId="6331" xfId="0" applyFont="1" applyBorder="1"/>
    <xf numFmtId="0" fontId="6762" fillId="0" borderId="6333" xfId="0" applyFont="1" applyBorder="1"/>
    <xf numFmtId="0" fontId="6763" fillId="0" borderId="6334" xfId="0" applyFont="1" applyBorder="1" applyAlignment="1">
      <alignment horizontal="right"/>
    </xf>
    <xf numFmtId="0" fontId="6764" fillId="0" borderId="6335" xfId="0" applyFont="1" applyBorder="1" applyAlignment="1">
      <alignment horizontal="right"/>
    </xf>
    <xf numFmtId="0" fontId="6765" fillId="0" borderId="6336" xfId="0" applyFont="1" applyBorder="1" applyAlignment="1">
      <alignment horizontal="right"/>
    </xf>
    <xf numFmtId="0" fontId="6766" fillId="0" borderId="6337" xfId="0" applyFont="1" applyBorder="1" applyAlignment="1">
      <alignment horizontal="left"/>
    </xf>
    <xf numFmtId="0" fontId="6767" fillId="0" borderId="6338" xfId="0" applyFont="1" applyBorder="1"/>
    <xf numFmtId="0" fontId="6768" fillId="0" borderId="6339" xfId="0" applyFont="1" applyBorder="1"/>
    <xf numFmtId="0" fontId="6769" fillId="0" borderId="6340" xfId="0" applyFont="1" applyBorder="1"/>
    <xf numFmtId="0" fontId="6770" fillId="0" borderId="6341" xfId="0" applyFont="1" applyBorder="1"/>
    <xf numFmtId="0" fontId="6771" fillId="0" borderId="6342" xfId="0" applyFont="1" applyBorder="1" applyAlignment="1">
      <alignment horizontal="left"/>
    </xf>
    <xf numFmtId="169" fontId="6772" fillId="0" borderId="6343" xfId="0" applyNumberFormat="1" applyFont="1" applyBorder="1" applyAlignment="1">
      <alignment horizontal="right"/>
    </xf>
    <xf numFmtId="169" fontId="6773" fillId="0" borderId="6344" xfId="0" applyNumberFormat="1" applyFont="1" applyBorder="1" applyAlignment="1">
      <alignment horizontal="right"/>
    </xf>
    <xf numFmtId="0" fontId="6774" fillId="0" borderId="6345" xfId="0" applyFont="1" applyBorder="1" applyAlignment="1">
      <alignment horizontal="left"/>
    </xf>
    <xf numFmtId="169" fontId="6775" fillId="0" borderId="6346" xfId="0" applyNumberFormat="1" applyFont="1" applyBorder="1" applyAlignment="1">
      <alignment horizontal="right"/>
    </xf>
    <xf numFmtId="169" fontId="6776" fillId="0" borderId="6347" xfId="0" applyNumberFormat="1" applyFont="1" applyBorder="1" applyAlignment="1">
      <alignment horizontal="right"/>
    </xf>
    <xf numFmtId="169" fontId="6777" fillId="0" borderId="6348" xfId="0" applyNumberFormat="1" applyFont="1" applyBorder="1" applyAlignment="1">
      <alignment horizontal="right"/>
    </xf>
    <xf numFmtId="169" fontId="6778" fillId="0" borderId="6349" xfId="0" applyNumberFormat="1" applyFont="1" applyBorder="1" applyAlignment="1">
      <alignment horizontal="right"/>
    </xf>
    <xf numFmtId="0" fontId="6779" fillId="0" borderId="6350" xfId="0" applyFont="1" applyBorder="1" applyAlignment="1">
      <alignment horizontal="left"/>
    </xf>
    <xf numFmtId="169" fontId="6780" fillId="0" borderId="6351" xfId="0" applyNumberFormat="1" applyFont="1" applyBorder="1" applyAlignment="1">
      <alignment horizontal="right"/>
    </xf>
    <xf numFmtId="169" fontId="6781" fillId="0" borderId="6352" xfId="0" applyNumberFormat="1" applyFont="1" applyBorder="1" applyAlignment="1">
      <alignment horizontal="right"/>
    </xf>
    <xf numFmtId="169" fontId="6782" fillId="0" borderId="6353" xfId="0" applyNumberFormat="1" applyFont="1" applyBorder="1" applyAlignment="1">
      <alignment horizontal="right"/>
    </xf>
    <xf numFmtId="169" fontId="6783" fillId="0" borderId="6354" xfId="0" applyNumberFormat="1" applyFont="1" applyBorder="1" applyAlignment="1">
      <alignment horizontal="right"/>
    </xf>
    <xf numFmtId="0" fontId="6784" fillId="0" borderId="6355" xfId="0" applyFont="1" applyBorder="1" applyAlignment="1">
      <alignment horizontal="left"/>
    </xf>
    <xf numFmtId="169" fontId="6785" fillId="0" borderId="6356" xfId="0" applyNumberFormat="1" applyFont="1" applyBorder="1" applyAlignment="1">
      <alignment horizontal="right"/>
    </xf>
    <xf numFmtId="169" fontId="6786" fillId="0" borderId="6357" xfId="0" applyNumberFormat="1" applyFont="1" applyBorder="1" applyAlignment="1">
      <alignment horizontal="right"/>
    </xf>
    <xf numFmtId="169" fontId="6787" fillId="0" borderId="6358" xfId="0" applyNumberFormat="1" applyFont="1" applyBorder="1" applyAlignment="1">
      <alignment horizontal="right"/>
    </xf>
    <xf numFmtId="169" fontId="6788" fillId="0" borderId="6359" xfId="0" applyNumberFormat="1" applyFont="1" applyBorder="1" applyAlignment="1">
      <alignment horizontal="right"/>
    </xf>
    <xf numFmtId="0" fontId="6789" fillId="0" borderId="6360" xfId="0" applyFont="1" applyBorder="1" applyAlignment="1">
      <alignment horizontal="left"/>
    </xf>
    <xf numFmtId="169" fontId="6790" fillId="0" borderId="6361" xfId="0" applyNumberFormat="1" applyFont="1" applyBorder="1" applyAlignment="1">
      <alignment horizontal="right"/>
    </xf>
    <xf numFmtId="169" fontId="6791" fillId="0" borderId="6362" xfId="0" applyNumberFormat="1" applyFont="1" applyBorder="1" applyAlignment="1">
      <alignment horizontal="right"/>
    </xf>
    <xf numFmtId="169" fontId="6792" fillId="0" borderId="6363" xfId="0" applyNumberFormat="1" applyFont="1" applyBorder="1" applyAlignment="1">
      <alignment horizontal="right"/>
    </xf>
    <xf numFmtId="169" fontId="6793" fillId="0" borderId="6364" xfId="0" applyNumberFormat="1" applyFont="1" applyBorder="1" applyAlignment="1">
      <alignment horizontal="right"/>
    </xf>
    <xf numFmtId="0" fontId="6794" fillId="0" borderId="6365" xfId="0" applyFont="1" applyBorder="1" applyAlignment="1">
      <alignment horizontal="left"/>
    </xf>
    <xf numFmtId="169" fontId="6795" fillId="0" borderId="6366" xfId="0" applyNumberFormat="1" applyFont="1" applyBorder="1" applyAlignment="1">
      <alignment horizontal="right"/>
    </xf>
    <xf numFmtId="169" fontId="6796" fillId="0" borderId="6367" xfId="0" applyNumberFormat="1" applyFont="1" applyBorder="1" applyAlignment="1">
      <alignment horizontal="right"/>
    </xf>
    <xf numFmtId="169" fontId="6797" fillId="0" borderId="6368" xfId="0" applyNumberFormat="1" applyFont="1" applyBorder="1" applyAlignment="1">
      <alignment horizontal="right"/>
    </xf>
    <xf numFmtId="169" fontId="6798" fillId="0" borderId="6369" xfId="0" applyNumberFormat="1" applyFont="1" applyBorder="1" applyAlignment="1">
      <alignment horizontal="right"/>
    </xf>
    <xf numFmtId="0" fontId="6799" fillId="0" borderId="6370" xfId="0" applyFont="1" applyBorder="1" applyAlignment="1">
      <alignment horizontal="left"/>
    </xf>
    <xf numFmtId="169" fontId="6800" fillId="0" borderId="6371" xfId="0" applyNumberFormat="1" applyFont="1" applyBorder="1" applyAlignment="1">
      <alignment horizontal="right"/>
    </xf>
    <xf numFmtId="169" fontId="6801" fillId="0" borderId="6372" xfId="0" applyNumberFormat="1" applyFont="1" applyBorder="1" applyAlignment="1">
      <alignment horizontal="right"/>
    </xf>
    <xf numFmtId="169" fontId="6802" fillId="0" borderId="6373" xfId="0" applyNumberFormat="1" applyFont="1" applyBorder="1" applyAlignment="1">
      <alignment horizontal="right"/>
    </xf>
    <xf numFmtId="169" fontId="6803" fillId="0" borderId="6374" xfId="0" applyNumberFormat="1" applyFont="1" applyBorder="1" applyAlignment="1">
      <alignment horizontal="right"/>
    </xf>
    <xf numFmtId="0" fontId="6804" fillId="0" borderId="6375" xfId="0" applyFont="1" applyBorder="1" applyAlignment="1">
      <alignment horizontal="left"/>
    </xf>
    <xf numFmtId="169" fontId="6805" fillId="0" borderId="6376" xfId="0" applyNumberFormat="1" applyFont="1" applyBorder="1" applyAlignment="1">
      <alignment horizontal="right"/>
    </xf>
    <xf numFmtId="169" fontId="6806" fillId="0" borderId="6377" xfId="0" applyNumberFormat="1" applyFont="1" applyBorder="1" applyAlignment="1">
      <alignment horizontal="right"/>
    </xf>
    <xf numFmtId="169" fontId="6807" fillId="0" borderId="6378" xfId="0" applyNumberFormat="1" applyFont="1" applyBorder="1" applyAlignment="1">
      <alignment horizontal="right"/>
    </xf>
    <xf numFmtId="169" fontId="6808" fillId="0" borderId="6379" xfId="0" applyNumberFormat="1" applyFont="1" applyBorder="1" applyAlignment="1">
      <alignment horizontal="right"/>
    </xf>
    <xf numFmtId="0" fontId="6809" fillId="0" borderId="6380" xfId="0" applyFont="1" applyBorder="1" applyAlignment="1">
      <alignment horizontal="left"/>
    </xf>
    <xf numFmtId="169" fontId="6810" fillId="0" borderId="6381" xfId="0" applyNumberFormat="1" applyFont="1" applyBorder="1" applyAlignment="1">
      <alignment horizontal="right"/>
    </xf>
    <xf numFmtId="169" fontId="6811" fillId="0" borderId="6382" xfId="0" applyNumberFormat="1" applyFont="1" applyBorder="1" applyAlignment="1">
      <alignment horizontal="right"/>
    </xf>
    <xf numFmtId="169" fontId="6812" fillId="0" borderId="6383" xfId="0" applyNumberFormat="1" applyFont="1" applyBorder="1" applyAlignment="1">
      <alignment horizontal="right"/>
    </xf>
    <xf numFmtId="169" fontId="6813" fillId="0" borderId="6384" xfId="0" applyNumberFormat="1" applyFont="1" applyBorder="1" applyAlignment="1">
      <alignment horizontal="right"/>
    </xf>
    <xf numFmtId="0" fontId="6814" fillId="0" borderId="6385" xfId="0" applyFont="1" applyBorder="1"/>
    <xf numFmtId="0" fontId="6818" fillId="0" borderId="6389" xfId="0" applyFont="1" applyBorder="1" applyAlignment="1">
      <alignment horizontal="right"/>
    </xf>
    <xf numFmtId="0" fontId="6819" fillId="0" borderId="6390" xfId="0" applyFont="1" applyBorder="1"/>
    <xf numFmtId="0" fontId="6821" fillId="0" borderId="6392" xfId="0" applyFont="1" applyBorder="1"/>
    <xf numFmtId="0" fontId="6823" fillId="0" borderId="6394" xfId="0" applyFont="1" applyBorder="1"/>
    <xf numFmtId="0" fontId="6824" fillId="0" borderId="6395" xfId="0" applyFont="1" applyBorder="1" applyAlignment="1">
      <alignment horizontal="right"/>
    </xf>
    <xf numFmtId="0" fontId="6825" fillId="0" borderId="6396" xfId="0" applyFont="1" applyBorder="1" applyAlignment="1">
      <alignment horizontal="right"/>
    </xf>
    <xf numFmtId="0" fontId="6826" fillId="0" borderId="6397" xfId="0" applyFont="1" applyBorder="1" applyAlignment="1">
      <alignment horizontal="right"/>
    </xf>
    <xf numFmtId="0" fontId="6827" fillId="0" borderId="6398" xfId="0" applyFont="1" applyBorder="1" applyAlignment="1">
      <alignment horizontal="left"/>
    </xf>
    <xf numFmtId="0" fontId="6828" fillId="0" borderId="6399" xfId="0" applyFont="1" applyBorder="1"/>
    <xf numFmtId="0" fontId="6829" fillId="0" borderId="6400" xfId="0" applyFont="1" applyBorder="1"/>
    <xf numFmtId="0" fontId="6830" fillId="0" borderId="6401" xfId="0" applyFont="1" applyBorder="1"/>
    <xf numFmtId="0" fontId="6831" fillId="0" borderId="6402" xfId="0" applyFont="1" applyBorder="1"/>
    <xf numFmtId="0" fontId="6832" fillId="0" borderId="6403" xfId="0" applyFont="1" applyBorder="1" applyAlignment="1">
      <alignment horizontal="left"/>
    </xf>
    <xf numFmtId="169" fontId="6833" fillId="0" borderId="6404" xfId="0" applyNumberFormat="1" applyFont="1" applyBorder="1" applyAlignment="1">
      <alignment horizontal="right"/>
    </xf>
    <xf numFmtId="169" fontId="6834" fillId="0" borderId="6405" xfId="0" applyNumberFormat="1" applyFont="1" applyBorder="1" applyAlignment="1">
      <alignment horizontal="right"/>
    </xf>
    <xf numFmtId="169" fontId="6835" fillId="0" borderId="6406" xfId="0" applyNumberFormat="1" applyFont="1" applyBorder="1" applyAlignment="1">
      <alignment horizontal="right"/>
    </xf>
    <xf numFmtId="169" fontId="6836" fillId="0" borderId="6407" xfId="0" applyNumberFormat="1" applyFont="1" applyBorder="1" applyAlignment="1">
      <alignment horizontal="right"/>
    </xf>
    <xf numFmtId="0" fontId="6837" fillId="0" borderId="6408" xfId="0" applyFont="1" applyBorder="1" applyAlignment="1">
      <alignment horizontal="left"/>
    </xf>
    <xf numFmtId="169" fontId="6838" fillId="0" borderId="6409" xfId="0" applyNumberFormat="1" applyFont="1" applyBorder="1" applyAlignment="1">
      <alignment horizontal="right"/>
    </xf>
    <xf numFmtId="169" fontId="6839" fillId="0" borderId="6410" xfId="0" applyNumberFormat="1" applyFont="1" applyBorder="1" applyAlignment="1">
      <alignment horizontal="right"/>
    </xf>
    <xf numFmtId="169" fontId="6840" fillId="0" borderId="6411" xfId="0" applyNumberFormat="1" applyFont="1" applyBorder="1" applyAlignment="1">
      <alignment horizontal="right"/>
    </xf>
    <xf numFmtId="169" fontId="6841" fillId="0" borderId="6412" xfId="0" applyNumberFormat="1" applyFont="1" applyBorder="1" applyAlignment="1">
      <alignment horizontal="right"/>
    </xf>
    <xf numFmtId="0" fontId="6842" fillId="0" borderId="6413" xfId="0" applyFont="1" applyBorder="1" applyAlignment="1">
      <alignment horizontal="left"/>
    </xf>
    <xf numFmtId="169" fontId="6843" fillId="0" borderId="6414" xfId="0" applyNumberFormat="1" applyFont="1" applyBorder="1" applyAlignment="1">
      <alignment horizontal="right"/>
    </xf>
    <xf numFmtId="169" fontId="6844" fillId="0" borderId="6415" xfId="0" applyNumberFormat="1" applyFont="1" applyBorder="1" applyAlignment="1">
      <alignment horizontal="right"/>
    </xf>
    <xf numFmtId="169" fontId="6845" fillId="0" borderId="6416" xfId="0" applyNumberFormat="1" applyFont="1" applyBorder="1" applyAlignment="1">
      <alignment horizontal="right"/>
    </xf>
    <xf numFmtId="169" fontId="6846" fillId="0" borderId="6417" xfId="0" applyNumberFormat="1" applyFont="1" applyBorder="1" applyAlignment="1">
      <alignment horizontal="right"/>
    </xf>
    <xf numFmtId="0" fontId="6847" fillId="0" borderId="6418" xfId="0" applyFont="1" applyBorder="1" applyAlignment="1">
      <alignment horizontal="left"/>
    </xf>
    <xf numFmtId="169" fontId="6848" fillId="0" borderId="6419" xfId="0" applyNumberFormat="1" applyFont="1" applyBorder="1" applyAlignment="1">
      <alignment horizontal="right"/>
    </xf>
    <xf numFmtId="169" fontId="6849" fillId="0" borderId="6420" xfId="0" applyNumberFormat="1" applyFont="1" applyBorder="1" applyAlignment="1">
      <alignment horizontal="right"/>
    </xf>
    <xf numFmtId="169" fontId="6850" fillId="0" borderId="6421" xfId="0" applyNumberFormat="1" applyFont="1" applyBorder="1" applyAlignment="1">
      <alignment horizontal="right"/>
    </xf>
    <xf numFmtId="169" fontId="6851" fillId="0" borderId="6422" xfId="0" applyNumberFormat="1" applyFont="1" applyBorder="1" applyAlignment="1">
      <alignment horizontal="right"/>
    </xf>
    <xf numFmtId="0" fontId="6852" fillId="0" borderId="6423" xfId="0" applyFont="1" applyBorder="1" applyAlignment="1">
      <alignment horizontal="left"/>
    </xf>
    <xf numFmtId="169" fontId="6853" fillId="0" borderId="6424" xfId="0" applyNumberFormat="1" applyFont="1" applyBorder="1" applyAlignment="1">
      <alignment horizontal="right"/>
    </xf>
    <xf numFmtId="169" fontId="6854" fillId="0" borderId="6425" xfId="0" applyNumberFormat="1" applyFont="1" applyBorder="1" applyAlignment="1">
      <alignment horizontal="right"/>
    </xf>
    <xf numFmtId="169" fontId="6855" fillId="0" borderId="6426" xfId="0" applyNumberFormat="1" applyFont="1" applyBorder="1" applyAlignment="1">
      <alignment horizontal="right"/>
    </xf>
    <xf numFmtId="169" fontId="6856" fillId="0" borderId="6427" xfId="0" applyNumberFormat="1" applyFont="1" applyBorder="1" applyAlignment="1">
      <alignment horizontal="right"/>
    </xf>
    <xf numFmtId="0" fontId="6857" fillId="0" borderId="6428" xfId="0" applyFont="1" applyBorder="1" applyAlignment="1">
      <alignment horizontal="left"/>
    </xf>
    <xf numFmtId="169" fontId="6858" fillId="0" borderId="6429" xfId="0" applyNumberFormat="1" applyFont="1" applyBorder="1" applyAlignment="1">
      <alignment horizontal="right"/>
    </xf>
    <xf numFmtId="169" fontId="6859" fillId="0" borderId="6430" xfId="0" applyNumberFormat="1" applyFont="1" applyBorder="1" applyAlignment="1">
      <alignment horizontal="right"/>
    </xf>
    <xf numFmtId="169" fontId="6860" fillId="0" borderId="6431" xfId="0" applyNumberFormat="1" applyFont="1" applyBorder="1" applyAlignment="1">
      <alignment horizontal="right"/>
    </xf>
    <xf numFmtId="169" fontId="6861" fillId="0" borderId="6432" xfId="0" applyNumberFormat="1" applyFont="1" applyBorder="1" applyAlignment="1">
      <alignment horizontal="right"/>
    </xf>
    <xf numFmtId="0" fontId="6862" fillId="0" borderId="6433" xfId="0" applyFont="1" applyBorder="1" applyAlignment="1">
      <alignment horizontal="left"/>
    </xf>
    <xf numFmtId="169" fontId="6863" fillId="0" borderId="6434" xfId="0" applyNumberFormat="1" applyFont="1" applyBorder="1" applyAlignment="1">
      <alignment horizontal="right"/>
    </xf>
    <xf numFmtId="169" fontId="6864" fillId="0" borderId="6435" xfId="0" applyNumberFormat="1" applyFont="1" applyBorder="1" applyAlignment="1">
      <alignment horizontal="right"/>
    </xf>
    <xf numFmtId="169" fontId="6865" fillId="0" borderId="6436" xfId="0" applyNumberFormat="1" applyFont="1" applyBorder="1" applyAlignment="1">
      <alignment horizontal="right"/>
    </xf>
    <xf numFmtId="169" fontId="6866" fillId="0" borderId="6437" xfId="0" applyNumberFormat="1" applyFont="1" applyBorder="1" applyAlignment="1">
      <alignment horizontal="right"/>
    </xf>
    <xf numFmtId="0" fontId="6867" fillId="0" borderId="6438" xfId="0" applyFont="1" applyBorder="1"/>
    <xf numFmtId="0" fontId="6871" fillId="0" borderId="6442" xfId="0" applyFont="1" applyBorder="1" applyAlignment="1">
      <alignment horizontal="right"/>
    </xf>
    <xf numFmtId="0" fontId="6872" fillId="0" borderId="6443" xfId="0" applyFont="1" applyBorder="1"/>
    <xf numFmtId="0" fontId="6874" fillId="0" borderId="6445" xfId="0" applyFont="1" applyBorder="1"/>
    <xf numFmtId="0" fontId="6876" fillId="0" borderId="6447" xfId="0" applyFont="1" applyBorder="1"/>
    <xf numFmtId="0" fontId="6877" fillId="0" borderId="6448" xfId="0" applyFont="1" applyBorder="1" applyAlignment="1">
      <alignment horizontal="right"/>
    </xf>
    <xf numFmtId="0" fontId="6878" fillId="0" borderId="6449" xfId="0" applyFont="1" applyBorder="1" applyAlignment="1">
      <alignment horizontal="right"/>
    </xf>
    <xf numFmtId="0" fontId="6879" fillId="0" borderId="6450" xfId="0" applyFont="1" applyBorder="1" applyAlignment="1">
      <alignment horizontal="right"/>
    </xf>
    <xf numFmtId="0" fontId="6880" fillId="0" borderId="6451" xfId="0" applyFont="1" applyBorder="1" applyAlignment="1">
      <alignment horizontal="left"/>
    </xf>
    <xf numFmtId="0" fontId="6881" fillId="0" borderId="6452" xfId="0" applyFont="1" applyBorder="1"/>
    <xf numFmtId="0" fontId="6882" fillId="0" borderId="6453" xfId="0" applyFont="1" applyBorder="1"/>
    <xf numFmtId="0" fontId="6883" fillId="0" borderId="6454" xfId="0" applyFont="1" applyBorder="1"/>
    <xf numFmtId="0" fontId="6884" fillId="0" borderId="6455" xfId="0" applyFont="1" applyBorder="1"/>
    <xf numFmtId="0" fontId="6885" fillId="0" borderId="6456" xfId="0" applyFont="1" applyBorder="1" applyAlignment="1">
      <alignment horizontal="left"/>
    </xf>
    <xf numFmtId="169" fontId="6886" fillId="0" borderId="6457" xfId="0" applyNumberFormat="1" applyFont="1" applyBorder="1" applyAlignment="1">
      <alignment horizontal="right"/>
    </xf>
    <xf numFmtId="169" fontId="6887" fillId="0" borderId="6458" xfId="0" applyNumberFormat="1" applyFont="1" applyBorder="1" applyAlignment="1">
      <alignment horizontal="right"/>
    </xf>
    <xf numFmtId="169" fontId="6888" fillId="0" borderId="6459" xfId="0" applyNumberFormat="1" applyFont="1" applyBorder="1" applyAlignment="1">
      <alignment horizontal="right"/>
    </xf>
    <xf numFmtId="169" fontId="6889" fillId="0" borderId="6460" xfId="0" applyNumberFormat="1" applyFont="1" applyBorder="1" applyAlignment="1">
      <alignment horizontal="right"/>
    </xf>
    <xf numFmtId="0" fontId="6890" fillId="0" borderId="6461" xfId="0" applyFont="1" applyBorder="1" applyAlignment="1">
      <alignment horizontal="left"/>
    </xf>
    <xf numFmtId="169" fontId="6891" fillId="0" borderId="6462" xfId="0" applyNumberFormat="1" applyFont="1" applyBorder="1" applyAlignment="1">
      <alignment horizontal="right"/>
    </xf>
    <xf numFmtId="169" fontId="6892" fillId="0" borderId="6463" xfId="0" applyNumberFormat="1" applyFont="1" applyBorder="1" applyAlignment="1">
      <alignment horizontal="right"/>
    </xf>
    <xf numFmtId="169" fontId="6893" fillId="0" borderId="6464" xfId="0" applyNumberFormat="1" applyFont="1" applyBorder="1" applyAlignment="1">
      <alignment horizontal="right"/>
    </xf>
    <xf numFmtId="169" fontId="6894" fillId="0" borderId="6465" xfId="0" applyNumberFormat="1" applyFont="1" applyBorder="1" applyAlignment="1">
      <alignment horizontal="right"/>
    </xf>
    <xf numFmtId="0" fontId="6895" fillId="0" borderId="6466" xfId="0" applyFont="1" applyBorder="1" applyAlignment="1">
      <alignment horizontal="left"/>
    </xf>
    <xf numFmtId="169" fontId="6896" fillId="0" borderId="6467" xfId="0" applyNumberFormat="1" applyFont="1" applyBorder="1" applyAlignment="1">
      <alignment horizontal="right"/>
    </xf>
    <xf numFmtId="169" fontId="6897" fillId="0" borderId="6468" xfId="0" applyNumberFormat="1" applyFont="1" applyBorder="1" applyAlignment="1">
      <alignment horizontal="right"/>
    </xf>
    <xf numFmtId="169" fontId="6898" fillId="0" borderId="6469" xfId="0" applyNumberFormat="1" applyFont="1" applyBorder="1" applyAlignment="1">
      <alignment horizontal="right"/>
    </xf>
    <xf numFmtId="169" fontId="6899" fillId="0" borderId="6470" xfId="0" applyNumberFormat="1" applyFont="1" applyBorder="1" applyAlignment="1">
      <alignment horizontal="right"/>
    </xf>
    <xf numFmtId="0" fontId="6900" fillId="0" borderId="6471" xfId="0" applyFont="1" applyBorder="1" applyAlignment="1">
      <alignment horizontal="left"/>
    </xf>
    <xf numFmtId="169" fontId="6901" fillId="0" borderId="6472" xfId="0" applyNumberFormat="1" applyFont="1" applyBorder="1" applyAlignment="1">
      <alignment horizontal="right"/>
    </xf>
    <xf numFmtId="169" fontId="6902" fillId="0" borderId="6473" xfId="0" applyNumberFormat="1" applyFont="1" applyBorder="1" applyAlignment="1">
      <alignment horizontal="right"/>
    </xf>
    <xf numFmtId="169" fontId="6903" fillId="0" borderId="6474" xfId="0" applyNumberFormat="1" applyFont="1" applyBorder="1" applyAlignment="1">
      <alignment horizontal="right"/>
    </xf>
    <xf numFmtId="169" fontId="6904" fillId="0" borderId="6475" xfId="0" applyNumberFormat="1" applyFont="1" applyBorder="1" applyAlignment="1">
      <alignment horizontal="right"/>
    </xf>
    <xf numFmtId="0" fontId="6905" fillId="0" borderId="6476" xfId="0" applyFont="1" applyBorder="1" applyAlignment="1">
      <alignment horizontal="left"/>
    </xf>
    <xf numFmtId="169" fontId="6906" fillId="0" borderId="6477" xfId="0" applyNumberFormat="1" applyFont="1" applyBorder="1" applyAlignment="1">
      <alignment horizontal="right"/>
    </xf>
    <xf numFmtId="169" fontId="6907" fillId="0" borderId="6478" xfId="0" applyNumberFormat="1" applyFont="1" applyBorder="1" applyAlignment="1">
      <alignment horizontal="right"/>
    </xf>
    <xf numFmtId="169" fontId="6908" fillId="0" borderId="6479" xfId="0" applyNumberFormat="1" applyFont="1" applyBorder="1" applyAlignment="1">
      <alignment horizontal="right"/>
    </xf>
    <xf numFmtId="169" fontId="6909" fillId="0" borderId="6480" xfId="0" applyNumberFormat="1" applyFont="1" applyBorder="1" applyAlignment="1">
      <alignment horizontal="right"/>
    </xf>
    <xf numFmtId="0" fontId="6910" fillId="0" borderId="6481" xfId="0" applyFont="1" applyBorder="1" applyAlignment="1">
      <alignment horizontal="left"/>
    </xf>
    <xf numFmtId="169" fontId="6911" fillId="0" borderId="6482" xfId="0" applyNumberFormat="1" applyFont="1" applyBorder="1" applyAlignment="1">
      <alignment horizontal="right"/>
    </xf>
    <xf numFmtId="169" fontId="6912" fillId="0" borderId="6483" xfId="0" applyNumberFormat="1" applyFont="1" applyBorder="1" applyAlignment="1">
      <alignment horizontal="right"/>
    </xf>
    <xf numFmtId="169" fontId="6913" fillId="0" borderId="6484" xfId="0" applyNumberFormat="1" applyFont="1" applyBorder="1" applyAlignment="1">
      <alignment horizontal="right"/>
    </xf>
    <xf numFmtId="169" fontId="6914" fillId="0" borderId="6485" xfId="0" applyNumberFormat="1" applyFont="1" applyBorder="1" applyAlignment="1">
      <alignment horizontal="right"/>
    </xf>
    <xf numFmtId="0" fontId="6915" fillId="0" borderId="6486" xfId="0" applyFont="1" applyBorder="1" applyAlignment="1">
      <alignment horizontal="left"/>
    </xf>
    <xf numFmtId="169" fontId="6916" fillId="0" borderId="6487" xfId="0" applyNumberFormat="1" applyFont="1" applyBorder="1" applyAlignment="1">
      <alignment horizontal="right"/>
    </xf>
    <xf numFmtId="169" fontId="6917" fillId="0" borderId="6488" xfId="0" applyNumberFormat="1" applyFont="1" applyBorder="1" applyAlignment="1">
      <alignment horizontal="right"/>
    </xf>
    <xf numFmtId="169" fontId="6918" fillId="0" borderId="6489" xfId="0" applyNumberFormat="1" applyFont="1" applyBorder="1" applyAlignment="1">
      <alignment horizontal="right"/>
    </xf>
    <xf numFmtId="169" fontId="6919" fillId="0" borderId="6490" xfId="0" applyNumberFormat="1" applyFont="1" applyBorder="1" applyAlignment="1">
      <alignment horizontal="right"/>
    </xf>
    <xf numFmtId="0" fontId="6920" fillId="0" borderId="6491" xfId="0" applyFont="1" applyBorder="1" applyAlignment="1">
      <alignment horizontal="left"/>
    </xf>
    <xf numFmtId="169" fontId="6921" fillId="0" borderId="6492" xfId="0" applyNumberFormat="1" applyFont="1" applyBorder="1" applyAlignment="1">
      <alignment horizontal="right"/>
    </xf>
    <xf numFmtId="169" fontId="6922" fillId="0" borderId="6493" xfId="0" applyNumberFormat="1" applyFont="1" applyBorder="1" applyAlignment="1">
      <alignment horizontal="right"/>
    </xf>
    <xf numFmtId="169" fontId="6923" fillId="0" borderId="6494" xfId="0" applyNumberFormat="1" applyFont="1" applyBorder="1" applyAlignment="1">
      <alignment horizontal="right"/>
    </xf>
    <xf numFmtId="169" fontId="6924" fillId="0" borderId="6495" xfId="0" applyNumberFormat="1" applyFont="1" applyBorder="1" applyAlignment="1">
      <alignment horizontal="right"/>
    </xf>
    <xf numFmtId="0" fontId="6925" fillId="0" borderId="6496" xfId="0" applyFont="1" applyBorder="1" applyAlignment="1">
      <alignment horizontal="left"/>
    </xf>
    <xf numFmtId="169" fontId="6926" fillId="0" borderId="6497" xfId="0" applyNumberFormat="1" applyFont="1" applyBorder="1" applyAlignment="1">
      <alignment horizontal="right"/>
    </xf>
    <xf numFmtId="169" fontId="6927" fillId="0" borderId="6498" xfId="0" applyNumberFormat="1" applyFont="1" applyBorder="1" applyAlignment="1">
      <alignment horizontal="right"/>
    </xf>
    <xf numFmtId="169" fontId="6928" fillId="0" borderId="6499" xfId="0" applyNumberFormat="1" applyFont="1" applyBorder="1" applyAlignment="1">
      <alignment horizontal="right"/>
    </xf>
    <xf numFmtId="169" fontId="6929" fillId="0" borderId="6500" xfId="0" applyNumberFormat="1" applyFont="1" applyBorder="1" applyAlignment="1">
      <alignment horizontal="right"/>
    </xf>
    <xf numFmtId="0" fontId="6930" fillId="0" borderId="6501" xfId="0" applyFont="1" applyBorder="1" applyAlignment="1">
      <alignment horizontal="left"/>
    </xf>
    <xf numFmtId="169" fontId="6931" fillId="0" borderId="6502" xfId="0" applyNumberFormat="1" applyFont="1" applyBorder="1" applyAlignment="1">
      <alignment horizontal="right"/>
    </xf>
    <xf numFmtId="169" fontId="6932" fillId="0" borderId="6503" xfId="0" applyNumberFormat="1" applyFont="1" applyBorder="1" applyAlignment="1">
      <alignment horizontal="right"/>
    </xf>
    <xf numFmtId="169" fontId="6933" fillId="0" borderId="6504" xfId="0" applyNumberFormat="1" applyFont="1" applyBorder="1" applyAlignment="1">
      <alignment horizontal="right"/>
    </xf>
    <xf numFmtId="169" fontId="6934" fillId="0" borderId="6505" xfId="0" applyNumberFormat="1" applyFont="1" applyBorder="1" applyAlignment="1">
      <alignment horizontal="right"/>
    </xf>
    <xf numFmtId="0" fontId="6935" fillId="0" borderId="6507" xfId="0" applyFont="1" applyBorder="1" applyAlignment="1">
      <alignment horizontal="left"/>
    </xf>
    <xf numFmtId="169" fontId="6936" fillId="0" borderId="6508" xfId="0" applyNumberFormat="1" applyFont="1" applyBorder="1" applyAlignment="1">
      <alignment horizontal="right"/>
    </xf>
    <xf numFmtId="169" fontId="6937" fillId="0" borderId="6509" xfId="0" applyNumberFormat="1" applyFont="1" applyBorder="1" applyAlignment="1">
      <alignment horizontal="right"/>
    </xf>
    <xf numFmtId="169" fontId="6938" fillId="0" borderId="6510" xfId="0" applyNumberFormat="1" applyFont="1" applyBorder="1" applyAlignment="1">
      <alignment horizontal="right"/>
    </xf>
    <xf numFmtId="169" fontId="6939" fillId="0" borderId="6512" xfId="0" applyNumberFormat="1" applyFont="1" applyBorder="1" applyAlignment="1">
      <alignment horizontal="right"/>
    </xf>
    <xf numFmtId="0" fontId="6868" fillId="0" borderId="6439" xfId="0" applyFont="1" applyBorder="1"/>
    <xf numFmtId="0" fontId="6869" fillId="0" borderId="6440" xfId="0" applyFont="1" applyBorder="1"/>
    <xf numFmtId="0" fontId="6870" fillId="0" borderId="6441" xfId="0" applyFont="1" applyBorder="1"/>
    <xf numFmtId="0" fontId="6873" fillId="0" borderId="6444" xfId="0" applyFont="1" applyBorder="1"/>
    <xf numFmtId="0" fontId="6875" fillId="0" borderId="6446" xfId="0" applyFont="1" applyBorder="1"/>
    <xf numFmtId="0" fontId="6754" fillId="0" borderId="6325" xfId="0" applyFont="1" applyBorder="1"/>
    <xf numFmtId="0" fontId="6755" fillId="0" borderId="6326" xfId="0" applyFont="1" applyBorder="1"/>
    <xf numFmtId="0" fontId="6756" fillId="0" borderId="6327" xfId="0" applyFont="1" applyBorder="1"/>
    <xf numFmtId="0" fontId="6759" fillId="0" borderId="6330" xfId="0" applyFont="1" applyBorder="1"/>
    <xf numFmtId="0" fontId="6761" fillId="0" borderId="6332" xfId="0" applyFont="1" applyBorder="1"/>
    <xf numFmtId="0" fontId="6815" fillId="0" borderId="6386" xfId="0" applyFont="1" applyBorder="1"/>
    <xf numFmtId="0" fontId="6816" fillId="0" borderId="6387" xfId="0" applyFont="1" applyBorder="1"/>
    <xf numFmtId="0" fontId="6817" fillId="0" borderId="6388" xfId="0" applyFont="1" applyBorder="1"/>
    <xf numFmtId="0" fontId="6820" fillId="0" borderId="6391" xfId="0" applyFont="1" applyBorder="1"/>
    <xf numFmtId="0" fontId="6822" fillId="0" borderId="6393" xfId="0" applyFont="1" applyBorder="1"/>
    <xf numFmtId="0" fontId="6538" fillId="0" borderId="6109" xfId="0" applyFont="1" applyBorder="1"/>
    <xf numFmtId="0" fontId="6539" fillId="0" borderId="6110" xfId="0" applyFont="1" applyBorder="1"/>
    <xf numFmtId="0" fontId="6540" fillId="0" borderId="6111" xfId="0" applyFont="1" applyBorder="1"/>
    <xf numFmtId="0" fontId="6543" fillId="0" borderId="6114" xfId="0" applyFont="1" applyBorder="1"/>
    <xf numFmtId="0" fontId="6545" fillId="0" borderId="6116" xfId="0" applyFont="1" applyBorder="1"/>
    <xf numFmtId="0" fontId="6646" fillId="0" borderId="6217" xfId="0" applyFont="1" applyBorder="1"/>
    <xf numFmtId="0" fontId="6647" fillId="0" borderId="6218" xfId="0" applyFont="1" applyBorder="1"/>
    <xf numFmtId="0" fontId="6648" fillId="0" borderId="6219" xfId="0" applyFont="1" applyBorder="1"/>
    <xf numFmtId="0" fontId="6651" fillId="0" borderId="6222" xfId="0" applyFont="1" applyBorder="1"/>
    <xf numFmtId="0" fontId="6653" fillId="0" borderId="6224" xfId="0" applyFont="1" applyBorder="1"/>
    <xf numFmtId="0" fontId="6430" fillId="0" borderId="6001" xfId="0" applyFont="1" applyBorder="1"/>
    <xf numFmtId="0" fontId="6431" fillId="0" borderId="6002" xfId="0" applyFont="1" applyBorder="1"/>
    <xf numFmtId="0" fontId="6432" fillId="0" borderId="6003" xfId="0" applyFont="1" applyBorder="1"/>
    <xf numFmtId="0" fontId="6435" fillId="0" borderId="6006" xfId="0" applyFont="1" applyBorder="1"/>
    <xf numFmtId="0" fontId="6437" fillId="0" borderId="6008" xfId="0" applyFont="1" applyBorder="1"/>
    <xf numFmtId="169" fontId="0" fillId="19" borderId="6512" xfId="0" applyNumberFormat="1" applyFill="1" applyBorder="1"/>
    <xf numFmtId="164" fontId="0" fillId="19" borderId="6512" xfId="0" applyNumberFormat="1" applyFill="1" applyBorder="1"/>
    <xf numFmtId="0" fontId="3" fillId="19" borderId="6512" xfId="0" applyFont="1" applyFill="1" applyBorder="1"/>
    <xf numFmtId="1" fontId="3" fillId="19" borderId="6512" xfId="0" applyNumberFormat="1" applyFont="1" applyFill="1" applyBorder="1" applyAlignment="1">
      <alignment horizontal="left"/>
    </xf>
    <xf numFmtId="0" fontId="0" fillId="24" borderId="0" xfId="0" applyFill="1"/>
    <xf numFmtId="0" fontId="0" fillId="25" borderId="0" xfId="0" applyFill="1"/>
    <xf numFmtId="1" fontId="0" fillId="25" borderId="0" xfId="0" applyNumberFormat="1" applyFill="1"/>
    <xf numFmtId="164" fontId="0" fillId="25" borderId="0" xfId="0" applyNumberFormat="1" applyFill="1"/>
    <xf numFmtId="2" fontId="6344" fillId="0" borderId="5914" xfId="0" applyNumberFormat="1" applyFont="1" applyBorder="1"/>
    <xf numFmtId="2" fontId="6345" fillId="0" borderId="5915" xfId="0" applyNumberFormat="1" applyFont="1" applyBorder="1"/>
    <xf numFmtId="2" fontId="6346" fillId="0" borderId="5916" xfId="0" applyNumberFormat="1" applyFont="1" applyBorder="1"/>
    <xf numFmtId="2" fontId="6349" fillId="0" borderId="5919" xfId="0" applyNumberFormat="1" applyFont="1" applyBorder="1"/>
    <xf numFmtId="2" fontId="6351" fillId="0" borderId="5921" xfId="0" applyNumberFormat="1" applyFont="1" applyBorder="1"/>
    <xf numFmtId="2" fontId="6353" fillId="0" borderId="5923" xfId="0" applyNumberFormat="1" applyFont="1" applyBorder="1" applyAlignment="1">
      <alignment horizontal="right"/>
    </xf>
    <xf numFmtId="2" fontId="6354" fillId="0" borderId="5924" xfId="0" applyNumberFormat="1" applyFont="1" applyBorder="1" applyAlignment="1">
      <alignment horizontal="right"/>
    </xf>
    <xf numFmtId="2" fontId="6355" fillId="0" borderId="5925" xfId="0" applyNumberFormat="1" applyFont="1" applyBorder="1" applyAlignment="1">
      <alignment horizontal="right"/>
    </xf>
    <xf numFmtId="2" fontId="6357" fillId="0" borderId="5927" xfId="0" applyNumberFormat="1" applyFont="1" applyBorder="1"/>
    <xf numFmtId="2" fontId="6358" fillId="0" borderId="5928" xfId="0" applyNumberFormat="1" applyFont="1" applyBorder="1"/>
    <xf numFmtId="2" fontId="6359" fillId="0" borderId="5929" xfId="0" applyNumberFormat="1" applyFont="1" applyBorder="1"/>
    <xf numFmtId="2" fontId="6361" fillId="0" borderId="5932" xfId="0" applyNumberFormat="1" applyFont="1" applyBorder="1" applyAlignment="1">
      <alignment horizontal="right"/>
    </xf>
    <xf numFmtId="2" fontId="6362" fillId="0" borderId="5933" xfId="0" applyNumberFormat="1" applyFont="1" applyBorder="1" applyAlignment="1">
      <alignment horizontal="right"/>
    </xf>
    <xf numFmtId="2" fontId="6363" fillId="0" borderId="5934" xfId="0" applyNumberFormat="1" applyFont="1" applyBorder="1" applyAlignment="1">
      <alignment horizontal="right"/>
    </xf>
    <xf numFmtId="2" fontId="6366" fillId="0" borderId="5937" xfId="0" applyNumberFormat="1" applyFont="1" applyBorder="1" applyAlignment="1">
      <alignment horizontal="right"/>
    </xf>
    <xf numFmtId="2" fontId="6367" fillId="0" borderId="5938" xfId="0" applyNumberFormat="1" applyFont="1" applyBorder="1" applyAlignment="1">
      <alignment horizontal="right"/>
    </xf>
    <xf numFmtId="2" fontId="6370" fillId="0" borderId="5941" xfId="0" applyNumberFormat="1" applyFont="1" applyBorder="1" applyAlignment="1">
      <alignment horizontal="right"/>
    </xf>
    <xf numFmtId="2" fontId="6371" fillId="0" borderId="5942" xfId="0" applyNumberFormat="1" applyFont="1" applyBorder="1" applyAlignment="1">
      <alignment horizontal="right"/>
    </xf>
    <xf numFmtId="2" fontId="6372" fillId="0" borderId="5943" xfId="0" applyNumberFormat="1" applyFont="1" applyBorder="1" applyAlignment="1">
      <alignment horizontal="right"/>
    </xf>
    <xf numFmtId="2" fontId="6375" fillId="0" borderId="5946" xfId="0" applyNumberFormat="1" applyFont="1" applyBorder="1" applyAlignment="1">
      <alignment horizontal="right"/>
    </xf>
    <xf numFmtId="2" fontId="6376" fillId="0" borderId="5947" xfId="0" applyNumberFormat="1" applyFont="1" applyBorder="1" applyAlignment="1">
      <alignment horizontal="right"/>
    </xf>
    <xf numFmtId="2" fontId="6377" fillId="0" borderId="5948" xfId="0" applyNumberFormat="1" applyFont="1" applyBorder="1" applyAlignment="1">
      <alignment horizontal="right"/>
    </xf>
    <xf numFmtId="2" fontId="6380" fillId="0" borderId="5951" xfId="0" applyNumberFormat="1" applyFont="1" applyBorder="1" applyAlignment="1">
      <alignment horizontal="right"/>
    </xf>
    <xf numFmtId="2" fontId="6381" fillId="0" borderId="5952" xfId="0" applyNumberFormat="1" applyFont="1" applyBorder="1" applyAlignment="1">
      <alignment horizontal="right"/>
    </xf>
    <xf numFmtId="2" fontId="6382" fillId="0" borderId="5953" xfId="0" applyNumberFormat="1" applyFont="1" applyBorder="1" applyAlignment="1">
      <alignment horizontal="right"/>
    </xf>
    <xf numFmtId="2" fontId="6385" fillId="0" borderId="5956" xfId="0" applyNumberFormat="1" applyFont="1" applyBorder="1" applyAlignment="1">
      <alignment horizontal="right"/>
    </xf>
    <xf numFmtId="2" fontId="6386" fillId="0" borderId="5957" xfId="0" applyNumberFormat="1" applyFont="1" applyBorder="1" applyAlignment="1">
      <alignment horizontal="right"/>
    </xf>
    <xf numFmtId="2" fontId="6387" fillId="0" borderId="5958" xfId="0" applyNumberFormat="1" applyFont="1" applyBorder="1" applyAlignment="1">
      <alignment horizontal="right"/>
    </xf>
    <xf numFmtId="2" fontId="6390" fillId="0" borderId="5961" xfId="0" applyNumberFormat="1" applyFont="1" applyBorder="1" applyAlignment="1">
      <alignment horizontal="right"/>
    </xf>
    <xf numFmtId="2" fontId="6391" fillId="0" borderId="5962" xfId="0" applyNumberFormat="1" applyFont="1" applyBorder="1" applyAlignment="1">
      <alignment horizontal="right"/>
    </xf>
    <xf numFmtId="2" fontId="6392" fillId="0" borderId="5963" xfId="0" applyNumberFormat="1" applyFont="1" applyBorder="1" applyAlignment="1">
      <alignment horizontal="right"/>
    </xf>
    <xf numFmtId="2" fontId="6395" fillId="0" borderId="5966" xfId="0" applyNumberFormat="1" applyFont="1" applyBorder="1" applyAlignment="1">
      <alignment horizontal="right"/>
    </xf>
    <xf numFmtId="2" fontId="6396" fillId="0" borderId="5967" xfId="0" applyNumberFormat="1" applyFont="1" applyBorder="1" applyAlignment="1">
      <alignment horizontal="right"/>
    </xf>
    <xf numFmtId="2" fontId="6397" fillId="0" borderId="5968" xfId="0" applyNumberFormat="1" applyFont="1" applyBorder="1" applyAlignment="1">
      <alignment horizontal="right"/>
    </xf>
    <xf numFmtId="2" fontId="6400" fillId="0" borderId="5971" xfId="0" applyNumberFormat="1" applyFont="1" applyBorder="1" applyAlignment="1">
      <alignment horizontal="right"/>
    </xf>
    <xf numFmtId="2" fontId="6401" fillId="0" borderId="5972" xfId="0" applyNumberFormat="1" applyFont="1" applyBorder="1" applyAlignment="1">
      <alignment horizontal="right"/>
    </xf>
    <xf numFmtId="2" fontId="6402" fillId="0" borderId="5973" xfId="0" applyNumberFormat="1" applyFont="1" applyBorder="1" applyAlignment="1">
      <alignment horizontal="right"/>
    </xf>
    <xf numFmtId="2" fontId="6405" fillId="0" borderId="5976" xfId="0" applyNumberFormat="1" applyFont="1" applyBorder="1" applyAlignment="1">
      <alignment horizontal="right"/>
    </xf>
    <xf numFmtId="2" fontId="6406" fillId="0" borderId="5977" xfId="0" applyNumberFormat="1" applyFont="1" applyBorder="1" applyAlignment="1">
      <alignment horizontal="right"/>
    </xf>
    <xf numFmtId="2" fontId="6407" fillId="0" borderId="5978" xfId="0" applyNumberFormat="1" applyFont="1" applyBorder="1" applyAlignment="1">
      <alignment horizontal="right"/>
    </xf>
    <xf numFmtId="2" fontId="6410" fillId="0" borderId="5981" xfId="0" applyNumberFormat="1" applyFont="1" applyBorder="1" applyAlignment="1">
      <alignment horizontal="right"/>
    </xf>
    <xf numFmtId="2" fontId="6411" fillId="0" borderId="5982" xfId="0" applyNumberFormat="1" applyFont="1" applyBorder="1" applyAlignment="1">
      <alignment horizontal="right"/>
    </xf>
    <xf numFmtId="2" fontId="6412" fillId="0" borderId="5983" xfId="0" applyNumberFormat="1" applyFont="1" applyBorder="1" applyAlignment="1">
      <alignment horizontal="right"/>
    </xf>
    <xf numFmtId="2" fontId="6415" fillId="0" borderId="5986" xfId="0" applyNumberFormat="1" applyFont="1" applyBorder="1" applyAlignment="1">
      <alignment horizontal="right"/>
    </xf>
    <xf numFmtId="2" fontId="6416" fillId="0" borderId="5987" xfId="0" applyNumberFormat="1" applyFont="1" applyBorder="1" applyAlignment="1">
      <alignment horizontal="right"/>
    </xf>
    <xf numFmtId="2" fontId="6417" fillId="0" borderId="5988" xfId="0" applyNumberFormat="1" applyFont="1" applyBorder="1" applyAlignment="1">
      <alignment horizontal="right"/>
    </xf>
    <xf numFmtId="2" fontId="6420" fillId="0" borderId="5991" xfId="0" applyNumberFormat="1" applyFont="1" applyBorder="1" applyAlignment="1">
      <alignment horizontal="right"/>
    </xf>
    <xf numFmtId="2" fontId="6421" fillId="0" borderId="5992" xfId="0" applyNumberFormat="1" applyFont="1" applyBorder="1" applyAlignment="1">
      <alignment horizontal="right"/>
    </xf>
    <xf numFmtId="2" fontId="6422" fillId="0" borderId="5993" xfId="0" applyNumberFormat="1" applyFont="1" applyBorder="1" applyAlignment="1">
      <alignment horizontal="right"/>
    </xf>
    <xf numFmtId="2" fontId="6425" fillId="0" borderId="5996" xfId="0" applyNumberFormat="1" applyFont="1" applyBorder="1" applyAlignment="1">
      <alignment horizontal="right"/>
    </xf>
    <xf numFmtId="2" fontId="6426" fillId="0" borderId="5997" xfId="0" applyNumberFormat="1" applyFont="1" applyBorder="1" applyAlignment="1">
      <alignment horizontal="right"/>
    </xf>
    <xf numFmtId="2" fontId="6427" fillId="0" borderId="5998" xfId="0" applyNumberFormat="1" applyFont="1" applyBorder="1" applyAlignment="1">
      <alignment horizontal="right"/>
    </xf>
    <xf numFmtId="2" fontId="3" fillId="19" borderId="2" xfId="0" applyNumberFormat="1" applyFont="1" applyFill="1" applyBorder="1"/>
    <xf numFmtId="2" fontId="3" fillId="19" borderId="6512" xfId="0" applyNumberFormat="1" applyFont="1" applyFill="1" applyBorder="1"/>
    <xf numFmtId="2" fontId="0" fillId="19" borderId="6512" xfId="0" applyNumberFormat="1" applyFill="1" applyBorder="1"/>
    <xf numFmtId="2" fontId="0" fillId="25" borderId="0" xfId="0" applyNumberFormat="1" applyFill="1"/>
    <xf numFmtId="2" fontId="0" fillId="24" borderId="0" xfId="0" applyNumberFormat="1" applyFill="1"/>
    <xf numFmtId="1" fontId="6" fillId="0" borderId="1" xfId="2" applyNumberFormat="1"/>
    <xf numFmtId="1" fontId="0" fillId="7" borderId="0" xfId="0" applyNumberFormat="1" applyFill="1"/>
    <xf numFmtId="1" fontId="0" fillId="7" borderId="6455" xfId="0" applyNumberFormat="1" applyFill="1" applyBorder="1"/>
    <xf numFmtId="1" fontId="0" fillId="7" borderId="6451" xfId="0" applyNumberFormat="1" applyFill="1" applyBorder="1"/>
    <xf numFmtId="1" fontId="0" fillId="7" borderId="6" xfId="0" applyNumberFormat="1" applyFill="1" applyBorder="1"/>
    <xf numFmtId="1" fontId="0" fillId="7" borderId="5729" xfId="0" applyNumberFormat="1" applyFill="1" applyBorder="1"/>
    <xf numFmtId="1" fontId="0" fillId="7" borderId="5721" xfId="0" applyNumberFormat="1" applyFill="1" applyBorder="1"/>
    <xf numFmtId="9" fontId="0" fillId="7" borderId="6455" xfId="0" applyNumberFormat="1" applyFill="1" applyBorder="1"/>
    <xf numFmtId="9" fontId="0" fillId="7" borderId="6451" xfId="0" applyNumberFormat="1" applyFill="1" applyBorder="1"/>
    <xf numFmtId="9" fontId="0" fillId="7" borderId="6511" xfId="0" applyNumberFormat="1" applyFill="1" applyBorder="1"/>
    <xf numFmtId="9" fontId="0" fillId="7" borderId="6506" xfId="0" applyNumberFormat="1" applyFill="1" applyBorder="1"/>
    <xf numFmtId="9" fontId="0" fillId="7" borderId="6512" xfId="0" applyNumberFormat="1" applyFill="1" applyBorder="1"/>
    <xf numFmtId="9" fontId="0" fillId="7" borderId="6507" xfId="0" applyNumberFormat="1" applyFill="1" applyBorder="1"/>
    <xf numFmtId="0" fontId="0" fillId="7" borderId="27" xfId="0" applyFill="1" applyBorder="1"/>
    <xf numFmtId="0" fontId="0" fillId="7" borderId="28" xfId="0" applyFill="1" applyBorder="1"/>
    <xf numFmtId="164" fontId="0" fillId="7" borderId="9" xfId="0" applyNumberFormat="1" applyFill="1" applyBorder="1"/>
    <xf numFmtId="164" fontId="0" fillId="7" borderId="5721" xfId="0" applyNumberFormat="1" applyFill="1" applyBorder="1"/>
    <xf numFmtId="0" fontId="0" fillId="7" borderId="9" xfId="0" applyFill="1" applyBorder="1"/>
    <xf numFmtId="1" fontId="0" fillId="7" borderId="9" xfId="0" applyNumberFormat="1" applyFill="1" applyBorder="1"/>
    <xf numFmtId="164" fontId="0" fillId="7" borderId="5729" xfId="0" applyNumberFormat="1" applyFill="1" applyBorder="1"/>
    <xf numFmtId="164" fontId="0" fillId="18" borderId="5729" xfId="0" applyNumberFormat="1" applyFill="1" applyBorder="1"/>
    <xf numFmtId="164" fontId="0" fillId="18" borderId="5721" xfId="0" applyNumberFormat="1" applyFill="1" applyBorder="1"/>
    <xf numFmtId="0" fontId="0" fillId="7" borderId="5729" xfId="0" applyFill="1" applyBorder="1"/>
    <xf numFmtId="0" fontId="0" fillId="7" borderId="5721" xfId="0" applyFill="1" applyBorder="1"/>
    <xf numFmtId="0" fontId="0" fillId="26" borderId="0" xfId="0" applyFill="1"/>
    <xf numFmtId="1" fontId="0" fillId="26" borderId="0" xfId="0" applyNumberFormat="1" applyFill="1"/>
    <xf numFmtId="1" fontId="3" fillId="0" borderId="0" xfId="0" applyNumberFormat="1" applyFont="1"/>
    <xf numFmtId="2" fontId="0" fillId="0" borderId="0" xfId="1" applyNumberFormat="1" applyFont="1"/>
    <xf numFmtId="4" fontId="0" fillId="0" borderId="0" xfId="0" applyNumberFormat="1"/>
    <xf numFmtId="0" fontId="2406" fillId="25" borderId="2304" xfId="0" applyFont="1" applyFill="1" applyBorder="1" applyAlignment="1">
      <alignment horizontal="left"/>
    </xf>
    <xf numFmtId="0" fontId="2413" fillId="25" borderId="2311" xfId="0" applyFont="1" applyFill="1" applyBorder="1" applyAlignment="1">
      <alignment horizontal="left"/>
    </xf>
    <xf numFmtId="0" fontId="2475" fillId="25" borderId="2318" xfId="0" applyFont="1" applyFill="1" applyBorder="1" applyAlignment="1">
      <alignment horizontal="left"/>
    </xf>
    <xf numFmtId="0" fontId="15" fillId="0" borderId="6512" xfId="0" applyFont="1" applyBorder="1"/>
    <xf numFmtId="0" fontId="16" fillId="0" borderId="6511" xfId="0" applyFont="1" applyBorder="1"/>
    <xf numFmtId="0" fontId="16" fillId="0" borderId="6512" xfId="0" applyFont="1" applyBorder="1"/>
    <xf numFmtId="0" fontId="16" fillId="0" borderId="5729" xfId="0" applyFont="1" applyBorder="1" applyAlignment="1">
      <alignment horizontal="center"/>
    </xf>
    <xf numFmtId="1" fontId="15" fillId="8" borderId="6511" xfId="0" applyNumberFormat="1" applyFont="1" applyFill="1" applyBorder="1"/>
    <xf numFmtId="0" fontId="6940" fillId="0" borderId="0" xfId="0" applyFont="1"/>
    <xf numFmtId="0" fontId="15" fillId="0" borderId="6511" xfId="0" applyFont="1" applyBorder="1"/>
    <xf numFmtId="0" fontId="16" fillId="0" borderId="6511" xfId="0" applyFont="1" applyBorder="1" applyAlignment="1">
      <alignment horizontal="center"/>
    </xf>
    <xf numFmtId="0" fontId="0" fillId="0" borderId="6511" xfId="0" applyBorder="1"/>
    <xf numFmtId="1" fontId="15" fillId="0" borderId="0" xfId="0" applyNumberFormat="1" applyFont="1"/>
    <xf numFmtId="1" fontId="15" fillId="0" borderId="6511" xfId="0" applyNumberFormat="1" applyFont="1" applyBorder="1"/>
    <xf numFmtId="0" fontId="16" fillId="0" borderId="6512" xfId="0" applyFont="1" applyBorder="1" applyAlignment="1">
      <alignment horizontal="center"/>
    </xf>
    <xf numFmtId="0" fontId="15" fillId="0" borderId="5729" xfId="0" applyFont="1" applyBorder="1"/>
    <xf numFmtId="1" fontId="15" fillId="0" borderId="6512" xfId="0" applyNumberFormat="1" applyFont="1" applyBorder="1"/>
    <xf numFmtId="0" fontId="16" fillId="0" borderId="6512" xfId="0" applyFont="1" applyBorder="1" applyAlignment="1">
      <alignment horizontal="right"/>
    </xf>
    <xf numFmtId="0" fontId="6941" fillId="0" borderId="0" xfId="0" applyFont="1"/>
    <xf numFmtId="0" fontId="16" fillId="0" borderId="6455" xfId="0" applyFont="1" applyBorder="1" applyAlignment="1">
      <alignment horizontal="center" vertical="center"/>
    </xf>
    <xf numFmtId="0" fontId="16" fillId="0" borderId="6511" xfId="0" applyFont="1" applyBorder="1" applyAlignment="1">
      <alignment horizontal="center" vertical="center"/>
    </xf>
    <xf numFmtId="3" fontId="0" fillId="25" borderId="0" xfId="0" applyNumberFormat="1" applyFill="1"/>
    <xf numFmtId="11" fontId="0" fillId="0" borderId="0" xfId="0" applyNumberFormat="1"/>
    <xf numFmtId="3" fontId="3" fillId="0" borderId="0" xfId="0" applyNumberFormat="1" applyFont="1"/>
    <xf numFmtId="3" fontId="3" fillId="27" borderId="0" xfId="0" applyNumberFormat="1" applyFont="1" applyFill="1"/>
    <xf numFmtId="0" fontId="0" fillId="27" borderId="0" xfId="0" applyFill="1"/>
    <xf numFmtId="0" fontId="0" fillId="28" borderId="0" xfId="0" applyFill="1"/>
    <xf numFmtId="3" fontId="0" fillId="28" borderId="0" xfId="0" applyNumberFormat="1" applyFill="1"/>
    <xf numFmtId="0" fontId="0" fillId="0" borderId="6511" xfId="0" applyBorder="1" applyAlignment="1">
      <alignment horizontal="left"/>
    </xf>
    <xf numFmtId="0" fontId="3" fillId="0" borderId="6506" xfId="0" applyFont="1" applyBorder="1" applyAlignment="1">
      <alignment horizontal="left"/>
    </xf>
    <xf numFmtId="0" fontId="4" fillId="0" borderId="1" xfId="24"/>
    <xf numFmtId="9" fontId="2" fillId="28" borderId="0" xfId="1" applyFont="1" applyFill="1"/>
    <xf numFmtId="9" fontId="2" fillId="0" borderId="0" xfId="1" applyFont="1"/>
    <xf numFmtId="9" fontId="2" fillId="29" borderId="0" xfId="1" applyFont="1" applyFill="1"/>
    <xf numFmtId="9" fontId="2" fillId="0" borderId="6513" xfId="1" applyFont="1" applyBorder="1"/>
    <xf numFmtId="1" fontId="4" fillId="0" borderId="1" xfId="24" applyNumberFormat="1"/>
    <xf numFmtId="9" fontId="4" fillId="0" borderId="1" xfId="1" applyFont="1" applyBorder="1"/>
    <xf numFmtId="9" fontId="4" fillId="0" borderId="1" xfId="24" applyNumberFormat="1"/>
    <xf numFmtId="0" fontId="2" fillId="0" borderId="1" xfId="24" applyFont="1"/>
    <xf numFmtId="0" fontId="2" fillId="0" borderId="0" xfId="0" applyFont="1" applyAlignment="1">
      <alignment wrapText="1"/>
    </xf>
    <xf numFmtId="9" fontId="2" fillId="0" borderId="0" xfId="1" applyFont="1" applyFill="1"/>
    <xf numFmtId="9" fontId="2" fillId="30" borderId="0" xfId="1" applyFont="1" applyFill="1"/>
    <xf numFmtId="9" fontId="2" fillId="31" borderId="0" xfId="1" applyFont="1" applyFill="1"/>
    <xf numFmtId="10" fontId="2" fillId="0" borderId="0" xfId="1" applyNumberFormat="1" applyFont="1"/>
    <xf numFmtId="9" fontId="2" fillId="32" borderId="6513" xfId="1" applyFont="1" applyFill="1" applyBorder="1"/>
    <xf numFmtId="9" fontId="3" fillId="0" borderId="0" xfId="1" applyFont="1"/>
    <xf numFmtId="1" fontId="0" fillId="32" borderId="0" xfId="0" applyNumberFormat="1" applyFill="1"/>
    <xf numFmtId="0" fontId="2" fillId="0" borderId="6511" xfId="0" applyFont="1" applyBorder="1"/>
    <xf numFmtId="1" fontId="0" fillId="33" borderId="0" xfId="0" applyNumberFormat="1" applyFill="1"/>
    <xf numFmtId="9" fontId="0" fillId="7" borderId="0" xfId="0" applyNumberFormat="1" applyFill="1"/>
    <xf numFmtId="0" fontId="0" fillId="7" borderId="6455" xfId="0" applyFill="1" applyBorder="1"/>
    <xf numFmtId="0" fontId="0" fillId="7" borderId="6451" xfId="0" applyFill="1" applyBorder="1"/>
    <xf numFmtId="0" fontId="0" fillId="7" borderId="6511" xfId="0" applyFill="1" applyBorder="1"/>
    <xf numFmtId="0" fontId="0" fillId="7" borderId="6506" xfId="0" applyFill="1" applyBorder="1"/>
    <xf numFmtId="0" fontId="0" fillId="7" borderId="6512" xfId="0" applyFill="1" applyBorder="1"/>
    <xf numFmtId="0" fontId="0" fillId="7" borderId="6507" xfId="0" applyFill="1" applyBorder="1"/>
    <xf numFmtId="1" fontId="15" fillId="0" borderId="20" xfId="0" applyNumberFormat="1" applyFont="1" applyBorder="1"/>
    <xf numFmtId="1" fontId="0" fillId="12" borderId="0" xfId="0" applyNumberFormat="1" applyFill="1"/>
    <xf numFmtId="1" fontId="0" fillId="0" borderId="2" xfId="0" applyNumberFormat="1" applyBorder="1"/>
    <xf numFmtId="0" fontId="15" fillId="25" borderId="6511" xfId="0" applyFont="1" applyFill="1" applyBorder="1"/>
    <xf numFmtId="0" fontId="6943" fillId="0" borderId="6514" xfId="0" applyFont="1" applyBorder="1"/>
    <xf numFmtId="0" fontId="6947" fillId="0" borderId="6518" xfId="0" applyFont="1" applyBorder="1" applyAlignment="1">
      <alignment horizontal="center"/>
    </xf>
    <xf numFmtId="0" fontId="6948" fillId="0" borderId="6519" xfId="0" applyFont="1" applyBorder="1" applyAlignment="1">
      <alignment horizontal="right"/>
    </xf>
    <xf numFmtId="0" fontId="6949" fillId="0" borderId="6520" xfId="0" applyFont="1" applyBorder="1"/>
    <xf numFmtId="0" fontId="6951" fillId="0" borderId="6522" xfId="0" applyFont="1" applyBorder="1" applyAlignment="1">
      <alignment horizontal="right"/>
    </xf>
    <xf numFmtId="0" fontId="6952" fillId="0" borderId="6523" xfId="0" applyFont="1" applyBorder="1"/>
    <xf numFmtId="0" fontId="6954" fillId="0" borderId="6525" xfId="0" applyFont="1" applyBorder="1" applyAlignment="1">
      <alignment horizontal="center"/>
    </xf>
    <xf numFmtId="0" fontId="6955" fillId="0" borderId="6526" xfId="0" applyFont="1" applyBorder="1"/>
    <xf numFmtId="0" fontId="6956" fillId="0" borderId="6527" xfId="0" applyFont="1" applyBorder="1" applyAlignment="1">
      <alignment horizontal="right"/>
    </xf>
    <xf numFmtId="0" fontId="6957" fillId="0" borderId="6528" xfId="0" applyFont="1" applyBorder="1" applyAlignment="1">
      <alignment horizontal="right"/>
    </xf>
    <xf numFmtId="0" fontId="6958" fillId="0" borderId="6529" xfId="0" applyFont="1" applyBorder="1" applyAlignment="1">
      <alignment horizontal="right"/>
    </xf>
    <xf numFmtId="0" fontId="6959" fillId="0" borderId="6530" xfId="0" applyFont="1" applyBorder="1" applyAlignment="1">
      <alignment horizontal="right"/>
    </xf>
    <xf numFmtId="0" fontId="6960" fillId="0" borderId="6531" xfId="0" applyFont="1" applyBorder="1" applyAlignment="1">
      <alignment horizontal="left"/>
    </xf>
    <xf numFmtId="0" fontId="6961" fillId="0" borderId="6532" xfId="0" applyFont="1" applyBorder="1"/>
    <xf numFmtId="0" fontId="6962" fillId="0" borderId="6533" xfId="0" applyFont="1" applyBorder="1"/>
    <xf numFmtId="0" fontId="6963" fillId="0" borderId="6534" xfId="0" applyFont="1" applyBorder="1"/>
    <xf numFmtId="0" fontId="6964" fillId="0" borderId="6535" xfId="0" applyFont="1" applyBorder="1"/>
    <xf numFmtId="0" fontId="6965" fillId="0" borderId="6536" xfId="0" applyFont="1" applyBorder="1"/>
    <xf numFmtId="0" fontId="6966" fillId="0" borderId="6537" xfId="0" applyFont="1" applyBorder="1" applyAlignment="1">
      <alignment horizontal="left"/>
    </xf>
    <xf numFmtId="169" fontId="6971" fillId="0" borderId="6542" xfId="0" applyNumberFormat="1" applyFont="1" applyBorder="1" applyAlignment="1">
      <alignment horizontal="right"/>
    </xf>
    <xf numFmtId="0" fontId="6972" fillId="0" borderId="6543" xfId="0" applyFont="1" applyBorder="1" applyAlignment="1">
      <alignment horizontal="left"/>
    </xf>
    <xf numFmtId="169" fontId="6977" fillId="0" borderId="6548" xfId="0" applyNumberFormat="1" applyFont="1" applyBorder="1" applyAlignment="1">
      <alignment horizontal="right"/>
    </xf>
    <xf numFmtId="0" fontId="6978" fillId="0" borderId="6549" xfId="0" applyFont="1" applyBorder="1" applyAlignment="1">
      <alignment horizontal="left"/>
    </xf>
    <xf numFmtId="169" fontId="6983" fillId="0" borderId="6554" xfId="0" applyNumberFormat="1" applyFont="1" applyBorder="1" applyAlignment="1">
      <alignment horizontal="right"/>
    </xf>
    <xf numFmtId="0" fontId="6984" fillId="0" borderId="6555" xfId="0" applyFont="1" applyBorder="1" applyAlignment="1">
      <alignment horizontal="left"/>
    </xf>
    <xf numFmtId="169" fontId="6989" fillId="0" borderId="6560" xfId="0" applyNumberFormat="1" applyFont="1" applyBorder="1" applyAlignment="1">
      <alignment horizontal="right"/>
    </xf>
    <xf numFmtId="0" fontId="6990" fillId="0" borderId="6561" xfId="0" applyFont="1" applyBorder="1" applyAlignment="1">
      <alignment horizontal="left"/>
    </xf>
    <xf numFmtId="169" fontId="6995" fillId="0" borderId="6566" xfId="0" applyNumberFormat="1" applyFont="1" applyBorder="1" applyAlignment="1">
      <alignment horizontal="right"/>
    </xf>
    <xf numFmtId="0" fontId="6996" fillId="0" borderId="6567" xfId="0" applyFont="1" applyBorder="1" applyAlignment="1">
      <alignment horizontal="left"/>
    </xf>
    <xf numFmtId="169" fontId="7001" fillId="0" borderId="6572" xfId="0" applyNumberFormat="1" applyFont="1" applyBorder="1" applyAlignment="1">
      <alignment horizontal="right"/>
    </xf>
    <xf numFmtId="0" fontId="7002" fillId="0" borderId="6573" xfId="0" applyFont="1" applyBorder="1" applyAlignment="1">
      <alignment horizontal="left"/>
    </xf>
    <xf numFmtId="169" fontId="7007" fillId="0" borderId="6578" xfId="0" applyNumberFormat="1" applyFont="1" applyBorder="1" applyAlignment="1">
      <alignment horizontal="right"/>
    </xf>
    <xf numFmtId="0" fontId="7008" fillId="0" borderId="6579" xfId="0" applyFont="1" applyBorder="1" applyAlignment="1">
      <alignment horizontal="left"/>
    </xf>
    <xf numFmtId="169" fontId="7013" fillId="0" borderId="6584" xfId="0" applyNumberFormat="1" applyFont="1" applyBorder="1" applyAlignment="1">
      <alignment horizontal="right"/>
    </xf>
    <xf numFmtId="0" fontId="7014" fillId="0" borderId="6585" xfId="0" applyFont="1" applyBorder="1" applyAlignment="1">
      <alignment horizontal="left"/>
    </xf>
    <xf numFmtId="169" fontId="7019" fillId="0" borderId="6590" xfId="0" applyNumberFormat="1" applyFont="1" applyBorder="1" applyAlignment="1">
      <alignment horizontal="right"/>
    </xf>
    <xf numFmtId="0" fontId="7020" fillId="0" borderId="6591" xfId="0" applyFont="1" applyBorder="1" applyAlignment="1">
      <alignment horizontal="left"/>
    </xf>
    <xf numFmtId="169" fontId="7025" fillId="0" borderId="6596" xfId="0" applyNumberFormat="1" applyFont="1" applyBorder="1" applyAlignment="1">
      <alignment horizontal="right"/>
    </xf>
    <xf numFmtId="0" fontId="7026" fillId="0" borderId="6597" xfId="0" applyFont="1" applyBorder="1" applyAlignment="1">
      <alignment horizontal="left"/>
    </xf>
    <xf numFmtId="169" fontId="7031" fillId="0" borderId="6602" xfId="0" applyNumberFormat="1" applyFont="1" applyBorder="1" applyAlignment="1">
      <alignment horizontal="right"/>
    </xf>
    <xf numFmtId="0" fontId="7032" fillId="0" borderId="6603" xfId="0" applyFont="1" applyBorder="1" applyAlignment="1">
      <alignment horizontal="left"/>
    </xf>
    <xf numFmtId="169" fontId="7037" fillId="0" borderId="6608" xfId="0" applyNumberFormat="1" applyFont="1" applyBorder="1" applyAlignment="1">
      <alignment horizontal="right"/>
    </xf>
    <xf numFmtId="0" fontId="7038" fillId="0" borderId="6609" xfId="0" applyFont="1" applyBorder="1" applyAlignment="1">
      <alignment horizontal="left"/>
    </xf>
    <xf numFmtId="169" fontId="7043" fillId="0" borderId="6614" xfId="0" applyNumberFormat="1" applyFont="1" applyBorder="1" applyAlignment="1">
      <alignment horizontal="right"/>
    </xf>
    <xf numFmtId="0" fontId="7044" fillId="0" borderId="6615" xfId="0" applyFont="1" applyBorder="1" applyAlignment="1">
      <alignment horizontal="left"/>
    </xf>
    <xf numFmtId="169" fontId="7049" fillId="0" borderId="6620" xfId="0" applyNumberFormat="1" applyFont="1" applyBorder="1" applyAlignment="1">
      <alignment horizontal="right"/>
    </xf>
    <xf numFmtId="0" fontId="7050" fillId="0" borderId="6621" xfId="0" applyFont="1" applyBorder="1" applyAlignment="1">
      <alignment horizontal="left"/>
    </xf>
    <xf numFmtId="169" fontId="7055" fillId="0" borderId="6626" xfId="0" applyNumberFormat="1" applyFont="1" applyBorder="1" applyAlignment="1">
      <alignment horizontal="right"/>
    </xf>
    <xf numFmtId="0" fontId="7056" fillId="0" borderId="6627" xfId="0" applyFont="1" applyBorder="1" applyAlignment="1">
      <alignment horizontal="left"/>
    </xf>
    <xf numFmtId="169" fontId="7061" fillId="0" borderId="6632" xfId="0" applyNumberFormat="1" applyFont="1" applyBorder="1" applyAlignment="1">
      <alignment horizontal="right"/>
    </xf>
    <xf numFmtId="0" fontId="7062" fillId="0" borderId="6633" xfId="0" applyFont="1" applyBorder="1"/>
    <xf numFmtId="0" fontId="7066" fillId="0" borderId="6637" xfId="0" applyFont="1" applyBorder="1" applyAlignment="1">
      <alignment horizontal="center"/>
    </xf>
    <xf numFmtId="0" fontId="7067" fillId="0" borderId="6638" xfId="0" applyFont="1" applyBorder="1" applyAlignment="1">
      <alignment horizontal="right"/>
    </xf>
    <xf numFmtId="0" fontId="7068" fillId="0" borderId="6639" xfId="0" applyFont="1" applyBorder="1"/>
    <xf numFmtId="0" fontId="7070" fillId="0" borderId="6641" xfId="0" applyFont="1" applyBorder="1" applyAlignment="1">
      <alignment horizontal="right"/>
    </xf>
    <xf numFmtId="0" fontId="7071" fillId="0" borderId="6642" xfId="0" applyFont="1" applyBorder="1"/>
    <xf numFmtId="0" fontId="7073" fillId="0" borderId="6644" xfId="0" applyFont="1" applyBorder="1" applyAlignment="1">
      <alignment horizontal="center"/>
    </xf>
    <xf numFmtId="0" fontId="7074" fillId="0" borderId="6645" xfId="0" applyFont="1" applyBorder="1"/>
    <xf numFmtId="0" fontId="7075" fillId="0" borderId="6646" xfId="0" applyFont="1" applyBorder="1" applyAlignment="1">
      <alignment horizontal="right"/>
    </xf>
    <xf numFmtId="0" fontId="7076" fillId="0" borderId="6647" xfId="0" applyFont="1" applyBorder="1" applyAlignment="1">
      <alignment horizontal="right"/>
    </xf>
    <xf numFmtId="0" fontId="7077" fillId="0" borderId="6648" xfId="0" applyFont="1" applyBorder="1" applyAlignment="1">
      <alignment horizontal="right"/>
    </xf>
    <xf numFmtId="0" fontId="7078" fillId="0" borderId="6649" xfId="0" applyFont="1" applyBorder="1" applyAlignment="1">
      <alignment horizontal="right"/>
    </xf>
    <xf numFmtId="0" fontId="7079" fillId="0" borderId="6650" xfId="0" applyFont="1" applyBorder="1" applyAlignment="1">
      <alignment horizontal="left"/>
    </xf>
    <xf numFmtId="0" fontId="7080" fillId="0" borderId="6651" xfId="0" applyFont="1" applyBorder="1"/>
    <xf numFmtId="0" fontId="7081" fillId="0" borderId="6652" xfId="0" applyFont="1" applyBorder="1"/>
    <xf numFmtId="0" fontId="7082" fillId="0" borderId="6653" xfId="0" applyFont="1" applyBorder="1"/>
    <xf numFmtId="0" fontId="7083" fillId="0" borderId="6654" xfId="0" applyFont="1" applyBorder="1"/>
    <xf numFmtId="0" fontId="7084" fillId="0" borderId="6655" xfId="0" applyFont="1" applyBorder="1"/>
    <xf numFmtId="0" fontId="7085" fillId="0" borderId="6656" xfId="0" applyFont="1" applyBorder="1" applyAlignment="1">
      <alignment horizontal="left"/>
    </xf>
    <xf numFmtId="169" fontId="7086" fillId="0" borderId="6657" xfId="0" applyNumberFormat="1" applyFont="1" applyBorder="1" applyAlignment="1">
      <alignment horizontal="right"/>
    </xf>
    <xf numFmtId="0" fontId="7087" fillId="0" borderId="6658" xfId="0" applyFont="1" applyBorder="1" applyAlignment="1">
      <alignment horizontal="left"/>
    </xf>
    <xf numFmtId="169" fontId="7088" fillId="0" borderId="6659" xfId="0" applyNumberFormat="1" applyFont="1" applyBorder="1" applyAlignment="1">
      <alignment horizontal="right"/>
    </xf>
    <xf numFmtId="0" fontId="7089" fillId="0" borderId="6660" xfId="0" applyFont="1" applyBorder="1" applyAlignment="1">
      <alignment horizontal="left"/>
    </xf>
    <xf numFmtId="169" fontId="7090" fillId="0" borderId="6661" xfId="0" applyNumberFormat="1" applyFont="1" applyBorder="1" applyAlignment="1">
      <alignment horizontal="right"/>
    </xf>
    <xf numFmtId="0" fontId="7091" fillId="0" borderId="6662" xfId="0" applyFont="1" applyBorder="1" applyAlignment="1">
      <alignment horizontal="left"/>
    </xf>
    <xf numFmtId="169" fontId="7092" fillId="0" borderId="6663" xfId="0" applyNumberFormat="1" applyFont="1" applyBorder="1" applyAlignment="1">
      <alignment horizontal="right"/>
    </xf>
    <xf numFmtId="0" fontId="7093" fillId="0" borderId="6664" xfId="0" applyFont="1" applyBorder="1" applyAlignment="1">
      <alignment horizontal="left"/>
    </xf>
    <xf numFmtId="169" fontId="7094" fillId="0" borderId="6665" xfId="0" applyNumberFormat="1" applyFont="1" applyBorder="1" applyAlignment="1">
      <alignment horizontal="right"/>
    </xf>
    <xf numFmtId="0" fontId="7095" fillId="0" borderId="6666" xfId="0" applyFont="1" applyBorder="1" applyAlignment="1">
      <alignment horizontal="left"/>
    </xf>
    <xf numFmtId="169" fontId="7096" fillId="0" borderId="6667" xfId="0" applyNumberFormat="1" applyFont="1" applyBorder="1" applyAlignment="1">
      <alignment horizontal="right"/>
    </xf>
    <xf numFmtId="0" fontId="7097" fillId="0" borderId="6668" xfId="0" applyFont="1" applyBorder="1" applyAlignment="1">
      <alignment horizontal="left"/>
    </xf>
    <xf numFmtId="169" fontId="7098" fillId="0" borderId="6669" xfId="0" applyNumberFormat="1" applyFont="1" applyBorder="1" applyAlignment="1">
      <alignment horizontal="right"/>
    </xf>
    <xf numFmtId="0" fontId="7099" fillId="0" borderId="6670" xfId="0" applyFont="1" applyBorder="1" applyAlignment="1">
      <alignment horizontal="left"/>
    </xf>
    <xf numFmtId="169" fontId="7100" fillId="0" borderId="6671" xfId="0" applyNumberFormat="1" applyFont="1" applyBorder="1" applyAlignment="1">
      <alignment horizontal="right"/>
    </xf>
    <xf numFmtId="0" fontId="7101" fillId="0" borderId="6672" xfId="0" applyFont="1" applyBorder="1" applyAlignment="1">
      <alignment horizontal="left"/>
    </xf>
    <xf numFmtId="169" fontId="7102" fillId="0" borderId="6673" xfId="0" applyNumberFormat="1" applyFont="1" applyBorder="1" applyAlignment="1">
      <alignment horizontal="right"/>
    </xf>
    <xf numFmtId="0" fontId="7103" fillId="0" borderId="6674" xfId="0" applyFont="1" applyBorder="1" applyAlignment="1">
      <alignment horizontal="left"/>
    </xf>
    <xf numFmtId="169" fontId="7104" fillId="0" borderId="6675" xfId="0" applyNumberFormat="1" applyFont="1" applyBorder="1" applyAlignment="1">
      <alignment horizontal="right"/>
    </xf>
    <xf numFmtId="0" fontId="7105" fillId="0" borderId="6676" xfId="0" applyFont="1" applyBorder="1" applyAlignment="1">
      <alignment horizontal="left"/>
    </xf>
    <xf numFmtId="169" fontId="7106" fillId="0" borderId="6677" xfId="0" applyNumberFormat="1" applyFont="1" applyBorder="1" applyAlignment="1">
      <alignment horizontal="right"/>
    </xf>
    <xf numFmtId="0" fontId="7107" fillId="0" borderId="6678" xfId="0" applyFont="1" applyBorder="1" applyAlignment="1">
      <alignment horizontal="left"/>
    </xf>
    <xf numFmtId="169" fontId="7108" fillId="0" borderId="6679" xfId="0" applyNumberFormat="1" applyFont="1" applyBorder="1" applyAlignment="1">
      <alignment horizontal="right"/>
    </xf>
    <xf numFmtId="0" fontId="7109" fillId="0" borderId="6680" xfId="0" applyFont="1" applyBorder="1" applyAlignment="1">
      <alignment horizontal="left"/>
    </xf>
    <xf numFmtId="169" fontId="7110" fillId="0" borderId="6681" xfId="0" applyNumberFormat="1" applyFont="1" applyBorder="1" applyAlignment="1">
      <alignment horizontal="right"/>
    </xf>
    <xf numFmtId="0" fontId="7111" fillId="0" borderId="6682" xfId="0" applyFont="1" applyBorder="1" applyAlignment="1">
      <alignment horizontal="left"/>
    </xf>
    <xf numFmtId="169" fontId="7112" fillId="0" borderId="6683" xfId="0" applyNumberFormat="1" applyFont="1" applyBorder="1" applyAlignment="1">
      <alignment horizontal="right"/>
    </xf>
    <xf numFmtId="0" fontId="7113" fillId="0" borderId="6684" xfId="0" applyFont="1" applyBorder="1" applyAlignment="1">
      <alignment horizontal="left"/>
    </xf>
    <xf numFmtId="169" fontId="7114" fillId="0" borderId="6685" xfId="0" applyNumberFormat="1" applyFont="1" applyBorder="1" applyAlignment="1">
      <alignment horizontal="right"/>
    </xf>
    <xf numFmtId="0" fontId="7115" fillId="0" borderId="6686" xfId="0" applyFont="1" applyBorder="1" applyAlignment="1">
      <alignment horizontal="left"/>
    </xf>
    <xf numFmtId="169" fontId="7116" fillId="0" borderId="6687" xfId="0" applyNumberFormat="1" applyFont="1" applyBorder="1" applyAlignment="1">
      <alignment horizontal="right"/>
    </xf>
    <xf numFmtId="0" fontId="7117" fillId="0" borderId="6688" xfId="0" applyFont="1" applyBorder="1"/>
    <xf numFmtId="0" fontId="7121" fillId="0" borderId="6692" xfId="0" applyFont="1" applyBorder="1" applyAlignment="1">
      <alignment horizontal="center"/>
    </xf>
    <xf numFmtId="0" fontId="7122" fillId="0" borderId="6693" xfId="0" applyFont="1" applyBorder="1" applyAlignment="1">
      <alignment horizontal="right"/>
    </xf>
    <xf numFmtId="0" fontId="7123" fillId="0" borderId="6694" xfId="0" applyFont="1" applyBorder="1"/>
    <xf numFmtId="0" fontId="7125" fillId="0" borderId="6696" xfId="0" applyFont="1" applyBorder="1" applyAlignment="1">
      <alignment horizontal="right"/>
    </xf>
    <xf numFmtId="0" fontId="7126" fillId="0" borderId="6697" xfId="0" applyFont="1" applyBorder="1"/>
    <xf numFmtId="0" fontId="7128" fillId="0" borderId="6699" xfId="0" applyFont="1" applyBorder="1" applyAlignment="1">
      <alignment horizontal="center"/>
    </xf>
    <xf numFmtId="0" fontId="7129" fillId="0" borderId="6700" xfId="0" applyFont="1" applyBorder="1"/>
    <xf numFmtId="0" fontId="7130" fillId="0" borderId="6701" xfId="0" applyFont="1" applyBorder="1" applyAlignment="1">
      <alignment horizontal="right"/>
    </xf>
    <xf numFmtId="0" fontId="7131" fillId="0" borderId="6702" xfId="0" applyFont="1" applyBorder="1" applyAlignment="1">
      <alignment horizontal="right"/>
    </xf>
    <xf numFmtId="0" fontId="7132" fillId="0" borderId="6703" xfId="0" applyFont="1" applyBorder="1" applyAlignment="1">
      <alignment horizontal="right"/>
    </xf>
    <xf numFmtId="0" fontId="7133" fillId="0" borderId="6704" xfId="0" applyFont="1" applyBorder="1" applyAlignment="1">
      <alignment horizontal="right"/>
    </xf>
    <xf numFmtId="0" fontId="7134" fillId="0" borderId="6705" xfId="0" applyFont="1" applyBorder="1" applyAlignment="1">
      <alignment horizontal="left"/>
    </xf>
    <xf numFmtId="0" fontId="7135" fillId="0" borderId="6706" xfId="0" applyFont="1" applyBorder="1"/>
    <xf numFmtId="0" fontId="7136" fillId="0" borderId="6707" xfId="0" applyFont="1" applyBorder="1"/>
    <xf numFmtId="0" fontId="7137" fillId="0" borderId="6708" xfId="0" applyFont="1" applyBorder="1"/>
    <xf numFmtId="0" fontId="7138" fillId="0" borderId="6709" xfId="0" applyFont="1" applyBorder="1"/>
    <xf numFmtId="0" fontId="7139" fillId="0" borderId="6710" xfId="0" applyFont="1" applyBorder="1"/>
    <xf numFmtId="0" fontId="7140" fillId="0" borderId="6711" xfId="0" applyFont="1" applyBorder="1" applyAlignment="1">
      <alignment horizontal="left"/>
    </xf>
    <xf numFmtId="169" fontId="7141" fillId="0" borderId="6712" xfId="0" applyNumberFormat="1" applyFont="1" applyBorder="1" applyAlignment="1">
      <alignment horizontal="right"/>
    </xf>
    <xf numFmtId="0" fontId="7142" fillId="0" borderId="6713" xfId="0" applyFont="1" applyBorder="1" applyAlignment="1">
      <alignment horizontal="left"/>
    </xf>
    <xf numFmtId="169" fontId="7143" fillId="0" borderId="6714" xfId="0" applyNumberFormat="1" applyFont="1" applyBorder="1" applyAlignment="1">
      <alignment horizontal="right"/>
    </xf>
    <xf numFmtId="0" fontId="7144" fillId="0" borderId="6715" xfId="0" applyFont="1" applyBorder="1" applyAlignment="1">
      <alignment horizontal="left"/>
    </xf>
    <xf numFmtId="169" fontId="7145" fillId="0" borderId="6716" xfId="0" applyNumberFormat="1" applyFont="1" applyBorder="1" applyAlignment="1">
      <alignment horizontal="right"/>
    </xf>
    <xf numFmtId="0" fontId="7146" fillId="0" borderId="6717" xfId="0" applyFont="1" applyBorder="1" applyAlignment="1">
      <alignment horizontal="left"/>
    </xf>
    <xf numFmtId="169" fontId="7147" fillId="0" borderId="6718" xfId="0" applyNumberFormat="1" applyFont="1" applyBorder="1" applyAlignment="1">
      <alignment horizontal="right"/>
    </xf>
    <xf numFmtId="0" fontId="7148" fillId="0" borderId="6719" xfId="0" applyFont="1" applyBorder="1" applyAlignment="1">
      <alignment horizontal="left"/>
    </xf>
    <xf numFmtId="169" fontId="7149" fillId="0" borderId="6720" xfId="0" applyNumberFormat="1" applyFont="1" applyBorder="1" applyAlignment="1">
      <alignment horizontal="right"/>
    </xf>
    <xf numFmtId="0" fontId="7150" fillId="0" borderId="6721" xfId="0" applyFont="1" applyBorder="1" applyAlignment="1">
      <alignment horizontal="left"/>
    </xf>
    <xf numFmtId="169" fontId="7151" fillId="0" borderId="6722" xfId="0" applyNumberFormat="1" applyFont="1" applyBorder="1" applyAlignment="1">
      <alignment horizontal="right"/>
    </xf>
    <xf numFmtId="0" fontId="7152" fillId="0" borderId="6723" xfId="0" applyFont="1" applyBorder="1" applyAlignment="1">
      <alignment horizontal="left"/>
    </xf>
    <xf numFmtId="169" fontId="7153" fillId="0" borderId="6724" xfId="0" applyNumberFormat="1" applyFont="1" applyBorder="1" applyAlignment="1">
      <alignment horizontal="right"/>
    </xf>
    <xf numFmtId="0" fontId="7154" fillId="0" borderId="6725" xfId="0" applyFont="1" applyBorder="1" applyAlignment="1">
      <alignment horizontal="left"/>
    </xf>
    <xf numFmtId="169" fontId="7155" fillId="0" borderId="6726" xfId="0" applyNumberFormat="1" applyFont="1" applyBorder="1" applyAlignment="1">
      <alignment horizontal="right"/>
    </xf>
    <xf numFmtId="0" fontId="7156" fillId="0" borderId="6727" xfId="0" applyFont="1" applyBorder="1" applyAlignment="1">
      <alignment horizontal="left"/>
    </xf>
    <xf numFmtId="169" fontId="7157" fillId="0" borderId="6728" xfId="0" applyNumberFormat="1" applyFont="1" applyBorder="1" applyAlignment="1">
      <alignment horizontal="right"/>
    </xf>
    <xf numFmtId="0" fontId="7158" fillId="0" borderId="6729" xfId="0" applyFont="1" applyBorder="1" applyAlignment="1">
      <alignment horizontal="left"/>
    </xf>
    <xf numFmtId="169" fontId="7159" fillId="0" borderId="6730" xfId="0" applyNumberFormat="1" applyFont="1" applyBorder="1" applyAlignment="1">
      <alignment horizontal="right"/>
    </xf>
    <xf numFmtId="0" fontId="7160" fillId="0" borderId="6731" xfId="0" applyFont="1" applyBorder="1" applyAlignment="1">
      <alignment horizontal="left"/>
    </xf>
    <xf numFmtId="169" fontId="7161" fillId="0" borderId="6732" xfId="0" applyNumberFormat="1" applyFont="1" applyBorder="1" applyAlignment="1">
      <alignment horizontal="right"/>
    </xf>
    <xf numFmtId="0" fontId="7162" fillId="0" borderId="6733" xfId="0" applyFont="1" applyBorder="1" applyAlignment="1">
      <alignment horizontal="left"/>
    </xf>
    <xf numFmtId="169" fontId="7163" fillId="0" borderId="6734" xfId="0" applyNumberFormat="1" applyFont="1" applyBorder="1" applyAlignment="1">
      <alignment horizontal="right"/>
    </xf>
    <xf numFmtId="0" fontId="7164" fillId="0" borderId="6735" xfId="0" applyFont="1" applyBorder="1" applyAlignment="1">
      <alignment horizontal="left"/>
    </xf>
    <xf numFmtId="169" fontId="7165" fillId="0" borderId="6736" xfId="0" applyNumberFormat="1" applyFont="1" applyBorder="1" applyAlignment="1">
      <alignment horizontal="right"/>
    </xf>
    <xf numFmtId="0" fontId="7166" fillId="0" borderId="6737" xfId="0" applyFont="1" applyBorder="1" applyAlignment="1">
      <alignment horizontal="left"/>
    </xf>
    <xf numFmtId="169" fontId="7167" fillId="0" borderId="6738" xfId="0" applyNumberFormat="1" applyFont="1" applyBorder="1" applyAlignment="1">
      <alignment horizontal="right"/>
    </xf>
    <xf numFmtId="0" fontId="7168" fillId="0" borderId="6739" xfId="0" applyFont="1" applyBorder="1" applyAlignment="1">
      <alignment horizontal="left"/>
    </xf>
    <xf numFmtId="169" fontId="7169" fillId="0" borderId="6740" xfId="0" applyNumberFormat="1" applyFont="1" applyBorder="1" applyAlignment="1">
      <alignment horizontal="right"/>
    </xf>
    <xf numFmtId="0" fontId="7170" fillId="0" borderId="6741" xfId="0" applyFont="1" applyBorder="1" applyAlignment="1">
      <alignment horizontal="left"/>
    </xf>
    <xf numFmtId="169" fontId="7171" fillId="0" borderId="6742" xfId="0" applyNumberFormat="1" applyFont="1" applyBorder="1" applyAlignment="1">
      <alignment horizontal="right"/>
    </xf>
    <xf numFmtId="0" fontId="7172" fillId="0" borderId="6743" xfId="0" applyFont="1" applyBorder="1" applyAlignment="1">
      <alignment horizontal="left"/>
    </xf>
    <xf numFmtId="169" fontId="7173" fillId="0" borderId="6744" xfId="0" applyNumberFormat="1" applyFont="1" applyBorder="1" applyAlignment="1">
      <alignment horizontal="right"/>
    </xf>
    <xf numFmtId="0" fontId="7118" fillId="0" borderId="6689" xfId="0" applyFont="1" applyBorder="1"/>
    <xf numFmtId="0" fontId="7119" fillId="0" borderId="6690" xfId="0" applyFont="1" applyBorder="1"/>
    <xf numFmtId="0" fontId="7120" fillId="0" borderId="6691" xfId="0" applyFont="1" applyBorder="1"/>
    <xf numFmtId="0" fontId="7124" fillId="0" borderId="6695" xfId="0" applyFont="1" applyBorder="1"/>
    <xf numFmtId="0" fontId="7127" fillId="0" borderId="6698" xfId="0" applyFont="1" applyBorder="1"/>
    <xf numFmtId="0" fontId="6944" fillId="0" borderId="6515" xfId="0" applyFont="1" applyBorder="1"/>
    <xf numFmtId="0" fontId="6945" fillId="0" borderId="6516" xfId="0" applyFont="1" applyBorder="1"/>
    <xf numFmtId="0" fontId="6946" fillId="0" borderId="6517" xfId="0" applyFont="1" applyBorder="1"/>
    <xf numFmtId="0" fontId="6950" fillId="0" borderId="6521" xfId="0" applyFont="1" applyBorder="1"/>
    <xf numFmtId="0" fontId="6953" fillId="0" borderId="6524" xfId="0" applyFont="1" applyBorder="1"/>
    <xf numFmtId="0" fontId="7063" fillId="0" borderId="6634" xfId="0" applyFont="1" applyBorder="1"/>
    <xf numFmtId="0" fontId="7064" fillId="0" borderId="6635" xfId="0" applyFont="1" applyBorder="1"/>
    <xf numFmtId="0" fontId="7065" fillId="0" borderId="6636" xfId="0" applyFont="1" applyBorder="1"/>
    <xf numFmtId="0" fontId="7069" fillId="0" borderId="6640" xfId="0" applyFont="1" applyBorder="1"/>
    <xf numFmtId="0" fontId="7072" fillId="0" borderId="6643" xfId="0" applyFont="1" applyBorder="1"/>
    <xf numFmtId="0" fontId="2" fillId="0" borderId="6741" xfId="0" applyFont="1" applyBorder="1" applyAlignment="1">
      <alignment horizontal="left"/>
    </xf>
    <xf numFmtId="1" fontId="6967" fillId="0" borderId="6538" xfId="0" applyNumberFormat="1" applyFont="1" applyBorder="1" applyAlignment="1">
      <alignment horizontal="right"/>
    </xf>
    <xf numFmtId="1" fontId="6968" fillId="0" borderId="6539" xfId="0" applyNumberFormat="1" applyFont="1" applyBorder="1" applyAlignment="1">
      <alignment horizontal="right"/>
    </xf>
    <xf numFmtId="1" fontId="6969" fillId="0" borderId="6540" xfId="0" applyNumberFormat="1" applyFont="1" applyBorder="1" applyAlignment="1">
      <alignment horizontal="right"/>
    </xf>
    <xf numFmtId="1" fontId="6970" fillId="0" borderId="6541" xfId="0" applyNumberFormat="1" applyFont="1" applyBorder="1" applyAlignment="1">
      <alignment horizontal="right"/>
    </xf>
    <xf numFmtId="1" fontId="6973" fillId="0" borderId="6544" xfId="0" applyNumberFormat="1" applyFont="1" applyBorder="1" applyAlignment="1">
      <alignment horizontal="right"/>
    </xf>
    <xf numFmtId="1" fontId="6974" fillId="0" borderId="6545" xfId="0" applyNumberFormat="1" applyFont="1" applyBorder="1" applyAlignment="1">
      <alignment horizontal="right"/>
    </xf>
    <xf numFmtId="1" fontId="6975" fillId="0" borderId="6546" xfId="0" applyNumberFormat="1" applyFont="1" applyBorder="1" applyAlignment="1">
      <alignment horizontal="right"/>
    </xf>
    <xf numFmtId="1" fontId="6976" fillId="0" borderId="6547" xfId="0" applyNumberFormat="1" applyFont="1" applyBorder="1" applyAlignment="1">
      <alignment horizontal="right"/>
    </xf>
    <xf numFmtId="1" fontId="6979" fillId="0" borderId="6550" xfId="0" applyNumberFormat="1" applyFont="1" applyBorder="1" applyAlignment="1">
      <alignment horizontal="right"/>
    </xf>
    <xf numFmtId="1" fontId="6980" fillId="0" borderId="6551" xfId="0" applyNumberFormat="1" applyFont="1" applyBorder="1" applyAlignment="1">
      <alignment horizontal="right"/>
    </xf>
    <xf numFmtId="1" fontId="6981" fillId="0" borderId="6552" xfId="0" applyNumberFormat="1" applyFont="1" applyBorder="1" applyAlignment="1">
      <alignment horizontal="right"/>
    </xf>
    <xf numFmtId="1" fontId="6982" fillId="0" borderId="6553" xfId="0" applyNumberFormat="1" applyFont="1" applyBorder="1" applyAlignment="1">
      <alignment horizontal="right"/>
    </xf>
    <xf numFmtId="1" fontId="6985" fillId="0" borderId="6556" xfId="0" applyNumberFormat="1" applyFont="1" applyBorder="1" applyAlignment="1">
      <alignment horizontal="right"/>
    </xf>
    <xf numFmtId="1" fontId="6986" fillId="0" borderId="6557" xfId="0" applyNumberFormat="1" applyFont="1" applyBorder="1" applyAlignment="1">
      <alignment horizontal="right"/>
    </xf>
    <xf numFmtId="1" fontId="6987" fillId="0" borderId="6558" xfId="0" applyNumberFormat="1" applyFont="1" applyBorder="1" applyAlignment="1">
      <alignment horizontal="right"/>
    </xf>
    <xf numFmtId="1" fontId="6988" fillId="0" borderId="6559" xfId="0" applyNumberFormat="1" applyFont="1" applyBorder="1" applyAlignment="1">
      <alignment horizontal="right"/>
    </xf>
    <xf numFmtId="1" fontId="6991" fillId="0" borderId="6562" xfId="0" applyNumberFormat="1" applyFont="1" applyBorder="1" applyAlignment="1">
      <alignment horizontal="right"/>
    </xf>
    <xf numFmtId="1" fontId="6992" fillId="0" borderId="6563" xfId="0" applyNumberFormat="1" applyFont="1" applyBorder="1" applyAlignment="1">
      <alignment horizontal="right"/>
    </xf>
    <xf numFmtId="1" fontId="6993" fillId="0" borderId="6564" xfId="0" applyNumberFormat="1" applyFont="1" applyBorder="1" applyAlignment="1">
      <alignment horizontal="right"/>
    </xf>
    <xf numFmtId="1" fontId="6994" fillId="0" borderId="6565" xfId="0" applyNumberFormat="1" applyFont="1" applyBorder="1" applyAlignment="1">
      <alignment horizontal="right"/>
    </xf>
    <xf numFmtId="1" fontId="6997" fillId="0" borderId="6568" xfId="0" applyNumberFormat="1" applyFont="1" applyBorder="1" applyAlignment="1">
      <alignment horizontal="right"/>
    </xf>
    <xf numFmtId="1" fontId="6998" fillId="0" borderId="6569" xfId="0" applyNumberFormat="1" applyFont="1" applyBorder="1" applyAlignment="1">
      <alignment horizontal="right"/>
    </xf>
    <xf numFmtId="1" fontId="6999" fillId="0" borderId="6570" xfId="0" applyNumberFormat="1" applyFont="1" applyBorder="1" applyAlignment="1">
      <alignment horizontal="right"/>
    </xf>
    <xf numFmtId="1" fontId="7000" fillId="0" borderId="6571" xfId="0" applyNumberFormat="1" applyFont="1" applyBorder="1" applyAlignment="1">
      <alignment horizontal="right"/>
    </xf>
    <xf numFmtId="1" fontId="7003" fillId="0" borderId="6574" xfId="0" applyNumberFormat="1" applyFont="1" applyBorder="1" applyAlignment="1">
      <alignment horizontal="right"/>
    </xf>
    <xf numFmtId="1" fontId="7004" fillId="0" borderId="6575" xfId="0" applyNumberFormat="1" applyFont="1" applyBorder="1" applyAlignment="1">
      <alignment horizontal="right"/>
    </xf>
    <xf numFmtId="1" fontId="7005" fillId="0" borderId="6576" xfId="0" applyNumberFormat="1" applyFont="1" applyBorder="1" applyAlignment="1">
      <alignment horizontal="right"/>
    </xf>
    <xf numFmtId="1" fontId="7006" fillId="0" borderId="6577" xfId="0" applyNumberFormat="1" applyFont="1" applyBorder="1" applyAlignment="1">
      <alignment horizontal="right"/>
    </xf>
    <xf numFmtId="1" fontId="7009" fillId="0" borderId="6580" xfId="0" applyNumberFormat="1" applyFont="1" applyBorder="1" applyAlignment="1">
      <alignment horizontal="right"/>
    </xf>
    <xf numFmtId="1" fontId="7010" fillId="0" borderId="6581" xfId="0" applyNumberFormat="1" applyFont="1" applyBorder="1" applyAlignment="1">
      <alignment horizontal="right"/>
    </xf>
    <xf numFmtId="1" fontId="7011" fillId="0" borderId="6582" xfId="0" applyNumberFormat="1" applyFont="1" applyBorder="1" applyAlignment="1">
      <alignment horizontal="right"/>
    </xf>
    <xf numFmtId="1" fontId="7012" fillId="0" borderId="6583" xfId="0" applyNumberFormat="1" applyFont="1" applyBorder="1" applyAlignment="1">
      <alignment horizontal="right"/>
    </xf>
    <xf numFmtId="1" fontId="7015" fillId="0" borderId="6586" xfId="0" applyNumberFormat="1" applyFont="1" applyBorder="1" applyAlignment="1">
      <alignment horizontal="right"/>
    </xf>
    <xf numFmtId="1" fontId="7016" fillId="0" borderId="6587" xfId="0" applyNumberFormat="1" applyFont="1" applyBorder="1" applyAlignment="1">
      <alignment horizontal="right"/>
    </xf>
    <xf numFmtId="1" fontId="7017" fillId="0" borderId="6588" xfId="0" applyNumberFormat="1" applyFont="1" applyBorder="1" applyAlignment="1">
      <alignment horizontal="right"/>
    </xf>
    <xf numFmtId="1" fontId="7018" fillId="0" borderId="6589" xfId="0" applyNumberFormat="1" applyFont="1" applyBorder="1" applyAlignment="1">
      <alignment horizontal="right"/>
    </xf>
    <xf numFmtId="1" fontId="7021" fillId="0" borderId="6592" xfId="0" applyNumberFormat="1" applyFont="1" applyBorder="1" applyAlignment="1">
      <alignment horizontal="right"/>
    </xf>
    <xf numFmtId="1" fontId="7022" fillId="0" borderId="6593" xfId="0" applyNumberFormat="1" applyFont="1" applyBorder="1" applyAlignment="1">
      <alignment horizontal="right"/>
    </xf>
    <xf numFmtId="1" fontId="7023" fillId="0" borderId="6594" xfId="0" applyNumberFormat="1" applyFont="1" applyBorder="1" applyAlignment="1">
      <alignment horizontal="right"/>
    </xf>
    <xf numFmtId="1" fontId="7024" fillId="0" borderId="6595" xfId="0" applyNumberFormat="1" applyFont="1" applyBorder="1" applyAlignment="1">
      <alignment horizontal="right"/>
    </xf>
    <xf numFmtId="1" fontId="7027" fillId="0" borderId="6598" xfId="0" applyNumberFormat="1" applyFont="1" applyBorder="1" applyAlignment="1">
      <alignment horizontal="right"/>
    </xf>
    <xf numFmtId="1" fontId="7028" fillId="0" borderId="6599" xfId="0" applyNumberFormat="1" applyFont="1" applyBorder="1" applyAlignment="1">
      <alignment horizontal="right"/>
    </xf>
    <xf numFmtId="1" fontId="7029" fillId="0" borderId="6600" xfId="0" applyNumberFormat="1" applyFont="1" applyBorder="1" applyAlignment="1">
      <alignment horizontal="right"/>
    </xf>
    <xf numFmtId="1" fontId="7030" fillId="0" borderId="6601" xfId="0" applyNumberFormat="1" applyFont="1" applyBorder="1" applyAlignment="1">
      <alignment horizontal="right"/>
    </xf>
    <xf numFmtId="1" fontId="7033" fillId="0" borderId="6604" xfId="0" applyNumberFormat="1" applyFont="1" applyBorder="1" applyAlignment="1">
      <alignment horizontal="right"/>
    </xf>
    <xf numFmtId="1" fontId="7034" fillId="0" borderId="6605" xfId="0" applyNumberFormat="1" applyFont="1" applyBorder="1" applyAlignment="1">
      <alignment horizontal="right"/>
    </xf>
    <xf numFmtId="1" fontId="7035" fillId="0" borderId="6606" xfId="0" applyNumberFormat="1" applyFont="1" applyBorder="1" applyAlignment="1">
      <alignment horizontal="right"/>
    </xf>
    <xf numFmtId="1" fontId="7036" fillId="0" borderId="6607" xfId="0" applyNumberFormat="1" applyFont="1" applyBorder="1" applyAlignment="1">
      <alignment horizontal="right"/>
    </xf>
    <xf numFmtId="1" fontId="7039" fillId="0" borderId="6610" xfId="0" applyNumberFormat="1" applyFont="1" applyBorder="1" applyAlignment="1">
      <alignment horizontal="right"/>
    </xf>
    <xf numFmtId="1" fontId="7040" fillId="0" borderId="6611" xfId="0" applyNumberFormat="1" applyFont="1" applyBorder="1" applyAlignment="1">
      <alignment horizontal="right"/>
    </xf>
    <xf numFmtId="1" fontId="7041" fillId="0" borderId="6612" xfId="0" applyNumberFormat="1" applyFont="1" applyBorder="1" applyAlignment="1">
      <alignment horizontal="right"/>
    </xf>
    <xf numFmtId="1" fontId="7042" fillId="0" borderId="6613" xfId="0" applyNumberFormat="1" applyFont="1" applyBorder="1" applyAlignment="1">
      <alignment horizontal="right"/>
    </xf>
    <xf numFmtId="1" fontId="7045" fillId="0" borderId="6616" xfId="0" applyNumberFormat="1" applyFont="1" applyBorder="1" applyAlignment="1">
      <alignment horizontal="right"/>
    </xf>
    <xf numFmtId="1" fontId="7046" fillId="0" borderId="6617" xfId="0" applyNumberFormat="1" applyFont="1" applyBorder="1" applyAlignment="1">
      <alignment horizontal="right"/>
    </xf>
    <xf numFmtId="1" fontId="7047" fillId="0" borderId="6618" xfId="0" applyNumberFormat="1" applyFont="1" applyBorder="1" applyAlignment="1">
      <alignment horizontal="right"/>
    </xf>
    <xf numFmtId="1" fontId="7048" fillId="0" borderId="6619" xfId="0" applyNumberFormat="1" applyFont="1" applyBorder="1" applyAlignment="1">
      <alignment horizontal="right"/>
    </xf>
    <xf numFmtId="1" fontId="7051" fillId="0" borderId="6622" xfId="0" applyNumberFormat="1" applyFont="1" applyBorder="1" applyAlignment="1">
      <alignment horizontal="right"/>
    </xf>
    <xf numFmtId="1" fontId="7052" fillId="0" borderId="6623" xfId="0" applyNumberFormat="1" applyFont="1" applyBorder="1" applyAlignment="1">
      <alignment horizontal="right"/>
    </xf>
    <xf numFmtId="1" fontId="7053" fillId="0" borderId="6624" xfId="0" applyNumberFormat="1" applyFont="1" applyBorder="1" applyAlignment="1">
      <alignment horizontal="right"/>
    </xf>
    <xf numFmtId="1" fontId="7054" fillId="0" borderId="6625" xfId="0" applyNumberFormat="1" applyFont="1" applyBorder="1" applyAlignment="1">
      <alignment horizontal="right"/>
    </xf>
    <xf numFmtId="1" fontId="7057" fillId="0" borderId="6628" xfId="0" applyNumberFormat="1" applyFont="1" applyBorder="1" applyAlignment="1">
      <alignment horizontal="right"/>
    </xf>
    <xf numFmtId="1" fontId="7058" fillId="0" borderId="6629" xfId="0" applyNumberFormat="1" applyFont="1" applyBorder="1" applyAlignment="1">
      <alignment horizontal="right"/>
    </xf>
    <xf numFmtId="1" fontId="7059" fillId="0" borderId="6630" xfId="0" applyNumberFormat="1" applyFont="1" applyBorder="1" applyAlignment="1">
      <alignment horizontal="right"/>
    </xf>
    <xf numFmtId="1" fontId="7060" fillId="0" borderId="6631" xfId="0" applyNumberFormat="1" applyFont="1" applyBorder="1" applyAlignment="1">
      <alignment horizontal="right"/>
    </xf>
    <xf numFmtId="0" fontId="15" fillId="0" borderId="6742" xfId="0" applyFont="1" applyBorder="1"/>
    <xf numFmtId="0" fontId="2" fillId="0" borderId="6742" xfId="0" applyFont="1" applyBorder="1"/>
    <xf numFmtId="1" fontId="15" fillId="0" borderId="6744" xfId="0" applyNumberFormat="1" applyFont="1" applyBorder="1"/>
    <xf numFmtId="0" fontId="15" fillId="0" borderId="6744" xfId="0" applyFont="1" applyBorder="1"/>
    <xf numFmtId="0" fontId="16" fillId="0" borderId="6744" xfId="0" applyFont="1" applyBorder="1" applyAlignment="1">
      <alignment horizontal="center"/>
    </xf>
    <xf numFmtId="0" fontId="0" fillId="0" borderId="6742" xfId="0" applyBorder="1"/>
    <xf numFmtId="0" fontId="16" fillId="0" borderId="6744" xfId="0" applyFont="1" applyBorder="1"/>
    <xf numFmtId="0" fontId="16" fillId="0" borderId="6742" xfId="0" applyFont="1" applyBorder="1" applyAlignment="1">
      <alignment horizontal="center"/>
    </xf>
    <xf numFmtId="0" fontId="15" fillId="0" borderId="6742" xfId="0" applyFont="1" applyBorder="1" applyAlignment="1">
      <alignment horizontal="center"/>
    </xf>
    <xf numFmtId="0" fontId="15" fillId="0" borderId="6744" xfId="0" applyFont="1" applyBorder="1" applyAlignment="1">
      <alignment horizontal="center"/>
    </xf>
    <xf numFmtId="1" fontId="2358" fillId="0" borderId="2298" xfId="0" applyNumberFormat="1" applyFont="1" applyBorder="1" applyAlignment="1">
      <alignment horizontal="right"/>
    </xf>
    <xf numFmtId="1" fontId="2359" fillId="0" borderId="2299" xfId="0" applyNumberFormat="1" applyFont="1" applyBorder="1" applyAlignment="1">
      <alignment horizontal="right"/>
    </xf>
    <xf numFmtId="1" fontId="2360" fillId="0" borderId="2300" xfId="0" applyNumberFormat="1" applyFont="1" applyBorder="1" applyAlignment="1">
      <alignment horizontal="right"/>
    </xf>
    <xf numFmtId="1" fontId="2361" fillId="0" borderId="2301" xfId="0" applyNumberFormat="1" applyFont="1" applyBorder="1" applyAlignment="1">
      <alignment horizontal="right"/>
    </xf>
    <xf numFmtId="1" fontId="2362" fillId="0" borderId="2302" xfId="0" applyNumberFormat="1" applyFont="1" applyBorder="1" applyAlignment="1">
      <alignment horizontal="right"/>
    </xf>
    <xf numFmtId="1" fontId="2363" fillId="0" borderId="2303" xfId="0" applyNumberFormat="1" applyFont="1" applyBorder="1" applyAlignment="1">
      <alignment horizontal="right"/>
    </xf>
    <xf numFmtId="1" fontId="2407" fillId="25" borderId="2305" xfId="0" applyNumberFormat="1" applyFont="1" applyFill="1" applyBorder="1" applyAlignment="1">
      <alignment horizontal="right"/>
    </xf>
    <xf numFmtId="1" fontId="2408" fillId="25" borderId="2306" xfId="0" applyNumberFormat="1" applyFont="1" applyFill="1" applyBorder="1" applyAlignment="1">
      <alignment horizontal="right"/>
    </xf>
    <xf numFmtId="1" fontId="2409" fillId="25" borderId="2307" xfId="0" applyNumberFormat="1" applyFont="1" applyFill="1" applyBorder="1" applyAlignment="1">
      <alignment horizontal="right"/>
    </xf>
    <xf numFmtId="1" fontId="2410" fillId="25" borderId="2308" xfId="0" applyNumberFormat="1" applyFont="1" applyFill="1" applyBorder="1" applyAlignment="1">
      <alignment horizontal="right"/>
    </xf>
    <xf numFmtId="1" fontId="2411" fillId="25" borderId="2309" xfId="0" applyNumberFormat="1" applyFont="1" applyFill="1" applyBorder="1" applyAlignment="1">
      <alignment horizontal="right"/>
    </xf>
    <xf numFmtId="1" fontId="2412" fillId="25" borderId="2310" xfId="0" applyNumberFormat="1" applyFont="1" applyFill="1" applyBorder="1" applyAlignment="1">
      <alignment horizontal="right"/>
    </xf>
    <xf numFmtId="1" fontId="2414" fillId="25" borderId="2312" xfId="0" applyNumberFormat="1" applyFont="1" applyFill="1" applyBorder="1" applyAlignment="1">
      <alignment horizontal="right"/>
    </xf>
    <xf numFmtId="1" fontId="2415" fillId="25" borderId="2313" xfId="0" applyNumberFormat="1" applyFont="1" applyFill="1" applyBorder="1" applyAlignment="1">
      <alignment horizontal="right"/>
    </xf>
    <xf numFmtId="1" fontId="2416" fillId="25" borderId="2314" xfId="0" applyNumberFormat="1" applyFont="1" applyFill="1" applyBorder="1" applyAlignment="1">
      <alignment horizontal="right"/>
    </xf>
    <xf numFmtId="1" fontId="2417" fillId="25" borderId="2315" xfId="0" applyNumberFormat="1" applyFont="1" applyFill="1" applyBorder="1" applyAlignment="1">
      <alignment horizontal="right"/>
    </xf>
    <xf numFmtId="1" fontId="2418" fillId="25" borderId="2316" xfId="0" applyNumberFormat="1" applyFont="1" applyFill="1" applyBorder="1" applyAlignment="1">
      <alignment horizontal="right"/>
    </xf>
    <xf numFmtId="1" fontId="2419" fillId="25" borderId="2317" xfId="0" applyNumberFormat="1" applyFont="1" applyFill="1" applyBorder="1" applyAlignment="1">
      <alignment horizontal="right"/>
    </xf>
    <xf numFmtId="1" fontId="2476" fillId="25" borderId="2319" xfId="0" applyNumberFormat="1" applyFont="1" applyFill="1" applyBorder="1" applyAlignment="1">
      <alignment horizontal="right"/>
    </xf>
    <xf numFmtId="1" fontId="2477" fillId="25" borderId="2320" xfId="0" applyNumberFormat="1" applyFont="1" applyFill="1" applyBorder="1" applyAlignment="1">
      <alignment horizontal="right"/>
    </xf>
    <xf numFmtId="1" fontId="2478" fillId="25" borderId="2321" xfId="0" applyNumberFormat="1" applyFont="1" applyFill="1" applyBorder="1" applyAlignment="1">
      <alignment horizontal="right"/>
    </xf>
    <xf numFmtId="1" fontId="2479" fillId="25" borderId="2322" xfId="0" applyNumberFormat="1" applyFont="1" applyFill="1" applyBorder="1" applyAlignment="1">
      <alignment horizontal="right"/>
    </xf>
    <xf numFmtId="1" fontId="2480" fillId="25" borderId="2323" xfId="0" applyNumberFormat="1" applyFont="1" applyFill="1" applyBorder="1" applyAlignment="1">
      <alignment horizontal="right"/>
    </xf>
    <xf numFmtId="1" fontId="2481" fillId="25" borderId="2324" xfId="0" applyNumberFormat="1" applyFont="1" applyFill="1" applyBorder="1" applyAlignment="1">
      <alignment horizontal="right"/>
    </xf>
    <xf numFmtId="0" fontId="7174" fillId="0" borderId="6745" xfId="0" applyFont="1" applyBorder="1"/>
    <xf numFmtId="1" fontId="7178" fillId="0" borderId="6749" xfId="0" applyNumberFormat="1" applyFont="1" applyBorder="1" applyAlignment="1">
      <alignment horizontal="center"/>
    </xf>
    <xf numFmtId="1" fontId="7179" fillId="0" borderId="6750" xfId="0" applyNumberFormat="1" applyFont="1" applyBorder="1" applyAlignment="1">
      <alignment horizontal="right"/>
    </xf>
    <xf numFmtId="1" fontId="7180" fillId="0" borderId="6751" xfId="0" applyNumberFormat="1" applyFont="1" applyBorder="1" applyAlignment="1">
      <alignment horizontal="center"/>
    </xf>
    <xf numFmtId="0" fontId="7181" fillId="0" borderId="6752" xfId="0" applyFont="1" applyBorder="1"/>
    <xf numFmtId="1" fontId="7183" fillId="0" borderId="6754" xfId="0" applyNumberFormat="1" applyFont="1" applyBorder="1" applyAlignment="1">
      <alignment horizontal="right"/>
    </xf>
    <xf numFmtId="1" fontId="7184" fillId="0" borderId="6755" xfId="0" applyNumberFormat="1" applyFont="1" applyBorder="1" applyAlignment="1">
      <alignment horizontal="right"/>
    </xf>
    <xf numFmtId="0" fontId="7185" fillId="0" borderId="6756" xfId="0" applyFont="1" applyBorder="1"/>
    <xf numFmtId="1" fontId="7187" fillId="0" borderId="6758" xfId="0" applyNumberFormat="1" applyFont="1" applyBorder="1" applyAlignment="1">
      <alignment horizontal="center"/>
    </xf>
    <xf numFmtId="0" fontId="7188" fillId="0" borderId="6759" xfId="0" applyFont="1" applyBorder="1"/>
    <xf numFmtId="1" fontId="7189" fillId="0" borderId="6760" xfId="0" applyNumberFormat="1" applyFont="1" applyBorder="1" applyAlignment="1">
      <alignment horizontal="right"/>
    </xf>
    <xf numFmtId="1" fontId="7190" fillId="0" borderId="6761" xfId="0" applyNumberFormat="1" applyFont="1" applyBorder="1" applyAlignment="1">
      <alignment horizontal="right"/>
    </xf>
    <xf numFmtId="1" fontId="7191" fillId="0" borderId="6762" xfId="0" applyNumberFormat="1" applyFont="1" applyBorder="1" applyAlignment="1">
      <alignment horizontal="right"/>
    </xf>
    <xf numFmtId="1" fontId="7192" fillId="0" borderId="6763" xfId="0" applyNumberFormat="1" applyFont="1" applyBorder="1" applyAlignment="1">
      <alignment horizontal="right"/>
    </xf>
    <xf numFmtId="0" fontId="7193" fillId="0" borderId="6764" xfId="0" applyFont="1" applyBorder="1" applyAlignment="1">
      <alignment horizontal="left"/>
    </xf>
    <xf numFmtId="1" fontId="7194" fillId="0" borderId="6765" xfId="0" applyNumberFormat="1" applyFont="1" applyBorder="1"/>
    <xf numFmtId="1" fontId="7195" fillId="0" borderId="6766" xfId="0" applyNumberFormat="1" applyFont="1" applyBorder="1"/>
    <xf numFmtId="1" fontId="7196" fillId="0" borderId="6767" xfId="0" applyNumberFormat="1" applyFont="1" applyBorder="1"/>
    <xf numFmtId="1" fontId="7197" fillId="0" borderId="6768" xfId="0" applyNumberFormat="1" applyFont="1" applyBorder="1"/>
    <xf numFmtId="1" fontId="7198" fillId="0" borderId="6769" xfId="0" applyNumberFormat="1" applyFont="1" applyBorder="1"/>
    <xf numFmtId="1" fontId="7199" fillId="0" borderId="6770" xfId="0" applyNumberFormat="1" applyFont="1" applyBorder="1"/>
    <xf numFmtId="0" fontId="7200" fillId="0" borderId="6771" xfId="0" applyFont="1" applyBorder="1" applyAlignment="1">
      <alignment horizontal="left"/>
    </xf>
    <xf numFmtId="169" fontId="7201" fillId="0" borderId="6772" xfId="0" applyNumberFormat="1" applyFont="1" applyBorder="1" applyAlignment="1">
      <alignment horizontal="right"/>
    </xf>
    <xf numFmtId="169" fontId="7202" fillId="0" borderId="6773" xfId="0" applyNumberFormat="1" applyFont="1" applyBorder="1" applyAlignment="1">
      <alignment horizontal="right"/>
    </xf>
    <xf numFmtId="169" fontId="7203" fillId="0" borderId="6774" xfId="0" applyNumberFormat="1" applyFont="1" applyBorder="1" applyAlignment="1">
      <alignment horizontal="right"/>
    </xf>
    <xf numFmtId="169" fontId="7204" fillId="0" borderId="6775" xfId="0" applyNumberFormat="1" applyFont="1" applyBorder="1" applyAlignment="1">
      <alignment horizontal="right"/>
    </xf>
    <xf numFmtId="169" fontId="7205" fillId="0" borderId="6776" xfId="0" applyNumberFormat="1" applyFont="1" applyBorder="1" applyAlignment="1">
      <alignment horizontal="right"/>
    </xf>
    <xf numFmtId="169" fontId="7206" fillId="0" borderId="6777" xfId="0" applyNumberFormat="1" applyFont="1" applyBorder="1" applyAlignment="1">
      <alignment horizontal="right"/>
    </xf>
    <xf numFmtId="0" fontId="7207" fillId="0" borderId="6778" xfId="0" applyFont="1" applyBorder="1" applyAlignment="1">
      <alignment horizontal="left"/>
    </xf>
    <xf numFmtId="169" fontId="7208" fillId="0" borderId="6779" xfId="0" applyNumberFormat="1" applyFont="1" applyBorder="1" applyAlignment="1">
      <alignment horizontal="right"/>
    </xf>
    <xf numFmtId="169" fontId="7209" fillId="0" borderId="6780" xfId="0" applyNumberFormat="1" applyFont="1" applyBorder="1" applyAlignment="1">
      <alignment horizontal="right"/>
    </xf>
    <xf numFmtId="169" fontId="7210" fillId="0" borderId="6781" xfId="0" applyNumberFormat="1" applyFont="1" applyBorder="1" applyAlignment="1">
      <alignment horizontal="right"/>
    </xf>
    <xf numFmtId="169" fontId="7211" fillId="0" borderId="6782" xfId="0" applyNumberFormat="1" applyFont="1" applyBorder="1" applyAlignment="1">
      <alignment horizontal="right"/>
    </xf>
    <xf numFmtId="169" fontId="7212" fillId="0" borderId="6783" xfId="0" applyNumberFormat="1" applyFont="1" applyBorder="1" applyAlignment="1">
      <alignment horizontal="right"/>
    </xf>
    <xf numFmtId="169" fontId="7213" fillId="0" borderId="6784" xfId="0" applyNumberFormat="1" applyFont="1" applyBorder="1" applyAlignment="1">
      <alignment horizontal="right"/>
    </xf>
    <xf numFmtId="0" fontId="7214" fillId="0" borderId="6785" xfId="0" applyFont="1" applyBorder="1" applyAlignment="1">
      <alignment horizontal="left"/>
    </xf>
    <xf numFmtId="169" fontId="7215" fillId="0" borderId="6786" xfId="0" applyNumberFormat="1" applyFont="1" applyBorder="1" applyAlignment="1">
      <alignment horizontal="right"/>
    </xf>
    <xf numFmtId="169" fontId="7216" fillId="0" borderId="6787" xfId="0" applyNumberFormat="1" applyFont="1" applyBorder="1" applyAlignment="1">
      <alignment horizontal="right"/>
    </xf>
    <xf numFmtId="169" fontId="7217" fillId="0" borderId="6788" xfId="0" applyNumberFormat="1" applyFont="1" applyBorder="1" applyAlignment="1">
      <alignment horizontal="right"/>
    </xf>
    <xf numFmtId="169" fontId="7218" fillId="0" borderId="6789" xfId="0" applyNumberFormat="1" applyFont="1" applyBorder="1" applyAlignment="1">
      <alignment horizontal="right"/>
    </xf>
    <xf numFmtId="169" fontId="7219" fillId="0" borderId="6790" xfId="0" applyNumberFormat="1" applyFont="1" applyBorder="1" applyAlignment="1">
      <alignment horizontal="right"/>
    </xf>
    <xf numFmtId="169" fontId="7220" fillId="0" borderId="6791" xfId="0" applyNumberFormat="1" applyFont="1" applyBorder="1" applyAlignment="1">
      <alignment horizontal="right"/>
    </xf>
    <xf numFmtId="0" fontId="7221" fillId="0" borderId="6792" xfId="0" applyFont="1" applyBorder="1" applyAlignment="1">
      <alignment horizontal="left"/>
    </xf>
    <xf numFmtId="169" fontId="7222" fillId="0" borderId="6793" xfId="0" applyNumberFormat="1" applyFont="1" applyBorder="1" applyAlignment="1">
      <alignment horizontal="right"/>
    </xf>
    <xf numFmtId="169" fontId="7223" fillId="0" borderId="6794" xfId="0" applyNumberFormat="1" applyFont="1" applyBorder="1" applyAlignment="1">
      <alignment horizontal="right"/>
    </xf>
    <xf numFmtId="169" fontId="7224" fillId="0" borderId="6795" xfId="0" applyNumberFormat="1" applyFont="1" applyBorder="1" applyAlignment="1">
      <alignment horizontal="right"/>
    </xf>
    <xf numFmtId="169" fontId="7225" fillId="0" borderId="6796" xfId="0" applyNumberFormat="1" applyFont="1" applyBorder="1" applyAlignment="1">
      <alignment horizontal="right"/>
    </xf>
    <xf numFmtId="169" fontId="7226" fillId="0" borderId="6797" xfId="0" applyNumberFormat="1" applyFont="1" applyBorder="1" applyAlignment="1">
      <alignment horizontal="right"/>
    </xf>
    <xf numFmtId="169" fontId="7227" fillId="0" borderId="6798" xfId="0" applyNumberFormat="1" applyFont="1" applyBorder="1" applyAlignment="1">
      <alignment horizontal="right"/>
    </xf>
    <xf numFmtId="0" fontId="7228" fillId="0" borderId="6799" xfId="0" applyFont="1" applyBorder="1" applyAlignment="1">
      <alignment horizontal="left"/>
    </xf>
    <xf numFmtId="169" fontId="7229" fillId="0" borderId="6800" xfId="0" applyNumberFormat="1" applyFont="1" applyBorder="1" applyAlignment="1">
      <alignment horizontal="right"/>
    </xf>
    <xf numFmtId="169" fontId="7230" fillId="0" borderId="6801" xfId="0" applyNumberFormat="1" applyFont="1" applyBorder="1" applyAlignment="1">
      <alignment horizontal="right"/>
    </xf>
    <xf numFmtId="169" fontId="7231" fillId="0" borderId="6802" xfId="0" applyNumberFormat="1" applyFont="1" applyBorder="1" applyAlignment="1">
      <alignment horizontal="right"/>
    </xf>
    <xf numFmtId="169" fontId="7232" fillId="0" borderId="6803" xfId="0" applyNumberFormat="1" applyFont="1" applyBorder="1" applyAlignment="1">
      <alignment horizontal="right"/>
    </xf>
    <xf numFmtId="169" fontId="7233" fillId="0" borderId="6804" xfId="0" applyNumberFormat="1" applyFont="1" applyBorder="1" applyAlignment="1">
      <alignment horizontal="right"/>
    </xf>
    <xf numFmtId="169" fontId="7234" fillId="0" borderId="6805" xfId="0" applyNumberFormat="1" applyFont="1" applyBorder="1" applyAlignment="1">
      <alignment horizontal="right"/>
    </xf>
    <xf numFmtId="0" fontId="7235" fillId="0" borderId="6806" xfId="0" applyFont="1" applyBorder="1" applyAlignment="1">
      <alignment horizontal="left"/>
    </xf>
    <xf numFmtId="169" fontId="7236" fillId="0" borderId="6807" xfId="0" applyNumberFormat="1" applyFont="1" applyBorder="1" applyAlignment="1">
      <alignment horizontal="right"/>
    </xf>
    <xf numFmtId="169" fontId="7237" fillId="0" borderId="6808" xfId="0" applyNumberFormat="1" applyFont="1" applyBorder="1" applyAlignment="1">
      <alignment horizontal="right"/>
    </xf>
    <xf numFmtId="169" fontId="7238" fillId="0" borderId="6809" xfId="0" applyNumberFormat="1" applyFont="1" applyBorder="1" applyAlignment="1">
      <alignment horizontal="right"/>
    </xf>
    <xf numFmtId="169" fontId="7239" fillId="0" borderId="6810" xfId="0" applyNumberFormat="1" applyFont="1" applyBorder="1" applyAlignment="1">
      <alignment horizontal="right"/>
    </xf>
    <xf numFmtId="169" fontId="7240" fillId="0" borderId="6811" xfId="0" applyNumberFormat="1" applyFont="1" applyBorder="1" applyAlignment="1">
      <alignment horizontal="right"/>
    </xf>
    <xf numFmtId="169" fontId="7241" fillId="0" borderId="6812" xfId="0" applyNumberFormat="1" applyFont="1" applyBorder="1" applyAlignment="1">
      <alignment horizontal="right"/>
    </xf>
    <xf numFmtId="0" fontId="7242" fillId="0" borderId="6813" xfId="0" applyFont="1" applyBorder="1" applyAlignment="1">
      <alignment horizontal="left"/>
    </xf>
    <xf numFmtId="169" fontId="7243" fillId="0" borderId="6814" xfId="0" applyNumberFormat="1" applyFont="1" applyBorder="1" applyAlignment="1">
      <alignment horizontal="right"/>
    </xf>
    <xf numFmtId="169" fontId="7244" fillId="0" borderId="6815" xfId="0" applyNumberFormat="1" applyFont="1" applyBorder="1" applyAlignment="1">
      <alignment horizontal="right"/>
    </xf>
    <xf numFmtId="169" fontId="7245" fillId="0" borderId="6816" xfId="0" applyNumberFormat="1" applyFont="1" applyBorder="1" applyAlignment="1">
      <alignment horizontal="right"/>
    </xf>
    <xf numFmtId="169" fontId="7246" fillId="0" borderId="6817" xfId="0" applyNumberFormat="1" applyFont="1" applyBorder="1" applyAlignment="1">
      <alignment horizontal="right"/>
    </xf>
    <xf numFmtId="169" fontId="7247" fillId="0" borderId="6818" xfId="0" applyNumberFormat="1" applyFont="1" applyBorder="1" applyAlignment="1">
      <alignment horizontal="right"/>
    </xf>
    <xf numFmtId="169" fontId="7248" fillId="0" borderId="6819" xfId="0" applyNumberFormat="1" applyFont="1" applyBorder="1" applyAlignment="1">
      <alignment horizontal="right"/>
    </xf>
    <xf numFmtId="0" fontId="7249" fillId="0" borderId="6820" xfId="0" applyFont="1" applyBorder="1" applyAlignment="1">
      <alignment horizontal="left"/>
    </xf>
    <xf numFmtId="169" fontId="7250" fillId="0" borderId="6821" xfId="0" applyNumberFormat="1" applyFont="1" applyBorder="1" applyAlignment="1">
      <alignment horizontal="right"/>
    </xf>
    <xf numFmtId="169" fontId="7251" fillId="0" borderId="6822" xfId="0" applyNumberFormat="1" applyFont="1" applyBorder="1" applyAlignment="1">
      <alignment horizontal="right"/>
    </xf>
    <xf numFmtId="169" fontId="7252" fillId="0" borderId="6823" xfId="0" applyNumberFormat="1" applyFont="1" applyBorder="1" applyAlignment="1">
      <alignment horizontal="right"/>
    </xf>
    <xf numFmtId="169" fontId="7253" fillId="0" borderId="6824" xfId="0" applyNumberFormat="1" applyFont="1" applyBorder="1" applyAlignment="1">
      <alignment horizontal="right"/>
    </xf>
    <xf numFmtId="169" fontId="7254" fillId="0" borderId="6825" xfId="0" applyNumberFormat="1" applyFont="1" applyBorder="1" applyAlignment="1">
      <alignment horizontal="right"/>
    </xf>
    <xf numFmtId="169" fontId="7255" fillId="0" borderId="6826" xfId="0" applyNumberFormat="1" applyFont="1" applyBorder="1" applyAlignment="1">
      <alignment horizontal="right"/>
    </xf>
    <xf numFmtId="0" fontId="7256" fillId="0" borderId="6827" xfId="0" applyFont="1" applyBorder="1" applyAlignment="1">
      <alignment horizontal="left"/>
    </xf>
    <xf numFmtId="169" fontId="7257" fillId="0" borderId="6828" xfId="0" applyNumberFormat="1" applyFont="1" applyBorder="1" applyAlignment="1">
      <alignment horizontal="right"/>
    </xf>
    <xf numFmtId="169" fontId="7258" fillId="0" borderId="6829" xfId="0" applyNumberFormat="1" applyFont="1" applyBorder="1" applyAlignment="1">
      <alignment horizontal="right"/>
    </xf>
    <xf numFmtId="169" fontId="7259" fillId="0" borderId="6830" xfId="0" applyNumberFormat="1" applyFont="1" applyBorder="1" applyAlignment="1">
      <alignment horizontal="right"/>
    </xf>
    <xf numFmtId="169" fontId="7260" fillId="0" borderId="6831" xfId="0" applyNumberFormat="1" applyFont="1" applyBorder="1" applyAlignment="1">
      <alignment horizontal="right"/>
    </xf>
    <xf numFmtId="169" fontId="7261" fillId="0" borderId="6832" xfId="0" applyNumberFormat="1" applyFont="1" applyBorder="1" applyAlignment="1">
      <alignment horizontal="right"/>
    </xf>
    <xf numFmtId="169" fontId="7262" fillId="0" borderId="6833" xfId="0" applyNumberFormat="1" applyFont="1" applyBorder="1" applyAlignment="1">
      <alignment horizontal="right"/>
    </xf>
    <xf numFmtId="0" fontId="7263" fillId="0" borderId="6834" xfId="0" applyFont="1" applyBorder="1" applyAlignment="1">
      <alignment horizontal="left"/>
    </xf>
    <xf numFmtId="169" fontId="7264" fillId="0" borderId="6835" xfId="0" applyNumberFormat="1" applyFont="1" applyBorder="1" applyAlignment="1">
      <alignment horizontal="right"/>
    </xf>
    <xf numFmtId="169" fontId="7265" fillId="0" borderId="6836" xfId="0" applyNumberFormat="1" applyFont="1" applyBorder="1" applyAlignment="1">
      <alignment horizontal="right"/>
    </xf>
    <xf numFmtId="169" fontId="7266" fillId="0" borderId="6837" xfId="0" applyNumberFormat="1" applyFont="1" applyBorder="1" applyAlignment="1">
      <alignment horizontal="right"/>
    </xf>
    <xf numFmtId="169" fontId="7267" fillId="0" borderId="6838" xfId="0" applyNumberFormat="1" applyFont="1" applyBorder="1" applyAlignment="1">
      <alignment horizontal="right"/>
    </xf>
    <xf numFmtId="169" fontId="7268" fillId="0" borderId="6839" xfId="0" applyNumberFormat="1" applyFont="1" applyBorder="1" applyAlignment="1">
      <alignment horizontal="right"/>
    </xf>
    <xf numFmtId="169" fontId="7269" fillId="0" borderId="6840" xfId="0" applyNumberFormat="1" applyFont="1" applyBorder="1" applyAlignment="1">
      <alignment horizontal="right"/>
    </xf>
    <xf numFmtId="0" fontId="7270" fillId="0" borderId="6841" xfId="0" applyFont="1" applyBorder="1" applyAlignment="1">
      <alignment horizontal="left"/>
    </xf>
    <xf numFmtId="169" fontId="7271" fillId="0" borderId="6842" xfId="0" applyNumberFormat="1" applyFont="1" applyBorder="1" applyAlignment="1">
      <alignment horizontal="right"/>
    </xf>
    <xf numFmtId="169" fontId="7272" fillId="0" borderId="6843" xfId="0" applyNumberFormat="1" applyFont="1" applyBorder="1" applyAlignment="1">
      <alignment horizontal="right"/>
    </xf>
    <xf numFmtId="169" fontId="7273" fillId="0" borderId="6844" xfId="0" applyNumberFormat="1" applyFont="1" applyBorder="1" applyAlignment="1">
      <alignment horizontal="right"/>
    </xf>
    <xf numFmtId="169" fontId="7274" fillId="0" borderId="6845" xfId="0" applyNumberFormat="1" applyFont="1" applyBorder="1" applyAlignment="1">
      <alignment horizontal="right"/>
    </xf>
    <xf numFmtId="169" fontId="7275" fillId="0" borderId="6846" xfId="0" applyNumberFormat="1" applyFont="1" applyBorder="1" applyAlignment="1">
      <alignment horizontal="right"/>
    </xf>
    <xf numFmtId="169" fontId="7276" fillId="0" borderId="6847" xfId="0" applyNumberFormat="1" applyFont="1" applyBorder="1" applyAlignment="1">
      <alignment horizontal="right"/>
    </xf>
    <xf numFmtId="0" fontId="7277" fillId="0" borderId="6848" xfId="0" applyFont="1" applyBorder="1" applyAlignment="1">
      <alignment horizontal="left"/>
    </xf>
    <xf numFmtId="169" fontId="7278" fillId="0" borderId="6849" xfId="0" applyNumberFormat="1" applyFont="1" applyBorder="1" applyAlignment="1">
      <alignment horizontal="right"/>
    </xf>
    <xf numFmtId="169" fontId="7279" fillId="0" borderId="6850" xfId="0" applyNumberFormat="1" applyFont="1" applyBorder="1" applyAlignment="1">
      <alignment horizontal="right"/>
    </xf>
    <xf numFmtId="169" fontId="7280" fillId="0" borderId="6851" xfId="0" applyNumberFormat="1" applyFont="1" applyBorder="1" applyAlignment="1">
      <alignment horizontal="right"/>
    </xf>
    <xf numFmtId="169" fontId="7281" fillId="0" borderId="6852" xfId="0" applyNumberFormat="1" applyFont="1" applyBorder="1" applyAlignment="1">
      <alignment horizontal="right"/>
    </xf>
    <xf numFmtId="169" fontId="7282" fillId="0" borderId="6853" xfId="0" applyNumberFormat="1" applyFont="1" applyBorder="1" applyAlignment="1">
      <alignment horizontal="right"/>
    </xf>
    <xf numFmtId="169" fontId="7283" fillId="0" borderId="6854" xfId="0" applyNumberFormat="1" applyFont="1" applyBorder="1" applyAlignment="1">
      <alignment horizontal="right"/>
    </xf>
    <xf numFmtId="0" fontId="7284" fillId="0" borderId="6855" xfId="0" applyFont="1" applyBorder="1" applyAlignment="1">
      <alignment horizontal="left"/>
    </xf>
    <xf numFmtId="169" fontId="7285" fillId="0" borderId="6856" xfId="0" applyNumberFormat="1" applyFont="1" applyBorder="1" applyAlignment="1">
      <alignment horizontal="right"/>
    </xf>
    <xf numFmtId="169" fontId="7286" fillId="0" borderId="6857" xfId="0" applyNumberFormat="1" applyFont="1" applyBorder="1" applyAlignment="1">
      <alignment horizontal="right"/>
    </xf>
    <xf numFmtId="169" fontId="7287" fillId="0" borderId="6858" xfId="0" applyNumberFormat="1" applyFont="1" applyBorder="1" applyAlignment="1">
      <alignment horizontal="right"/>
    </xf>
    <xf numFmtId="169" fontId="7288" fillId="0" borderId="6859" xfId="0" applyNumberFormat="1" applyFont="1" applyBorder="1" applyAlignment="1">
      <alignment horizontal="right"/>
    </xf>
    <xf numFmtId="169" fontId="7289" fillId="0" borderId="6860" xfId="0" applyNumberFormat="1" applyFont="1" applyBorder="1" applyAlignment="1">
      <alignment horizontal="right"/>
    </xf>
    <xf numFmtId="169" fontId="7290" fillId="0" borderId="6861" xfId="0" applyNumberFormat="1" applyFont="1" applyBorder="1" applyAlignment="1">
      <alignment horizontal="right"/>
    </xf>
    <xf numFmtId="0" fontId="7291" fillId="0" borderId="6862" xfId="0" applyFont="1" applyBorder="1" applyAlignment="1">
      <alignment horizontal="left"/>
    </xf>
    <xf numFmtId="169" fontId="7292" fillId="0" borderId="6863" xfId="0" applyNumberFormat="1" applyFont="1" applyBorder="1" applyAlignment="1">
      <alignment horizontal="right"/>
    </xf>
    <xf numFmtId="169" fontId="7293" fillId="0" borderId="6864" xfId="0" applyNumberFormat="1" applyFont="1" applyBorder="1" applyAlignment="1">
      <alignment horizontal="right"/>
    </xf>
    <xf numFmtId="169" fontId="7294" fillId="0" borderId="6865" xfId="0" applyNumberFormat="1" applyFont="1" applyBorder="1" applyAlignment="1">
      <alignment horizontal="right"/>
    </xf>
    <xf numFmtId="169" fontId="7295" fillId="0" borderId="6866" xfId="0" applyNumberFormat="1" applyFont="1" applyBorder="1" applyAlignment="1">
      <alignment horizontal="right"/>
    </xf>
    <xf numFmtId="169" fontId="7296" fillId="0" borderId="6867" xfId="0" applyNumberFormat="1" applyFont="1" applyBorder="1" applyAlignment="1">
      <alignment horizontal="right"/>
    </xf>
    <xf numFmtId="169" fontId="7297" fillId="0" borderId="6868" xfId="0" applyNumberFormat="1" applyFont="1" applyBorder="1" applyAlignment="1">
      <alignment horizontal="right"/>
    </xf>
    <xf numFmtId="0" fontId="7298" fillId="0" borderId="6869" xfId="0" applyFont="1" applyBorder="1" applyAlignment="1">
      <alignment horizontal="left"/>
    </xf>
    <xf numFmtId="169" fontId="7299" fillId="0" borderId="6870" xfId="0" applyNumberFormat="1" applyFont="1" applyBorder="1" applyAlignment="1">
      <alignment horizontal="right"/>
    </xf>
    <xf numFmtId="169" fontId="7300" fillId="0" borderId="6871" xfId="0" applyNumberFormat="1" applyFont="1" applyBorder="1" applyAlignment="1">
      <alignment horizontal="right"/>
    </xf>
    <xf numFmtId="169" fontId="7301" fillId="0" borderId="6872" xfId="0" applyNumberFormat="1" applyFont="1" applyBorder="1" applyAlignment="1">
      <alignment horizontal="right"/>
    </xf>
    <xf numFmtId="169" fontId="7302" fillId="0" borderId="6873" xfId="0" applyNumberFormat="1" applyFont="1" applyBorder="1" applyAlignment="1">
      <alignment horizontal="right"/>
    </xf>
    <xf numFmtId="169" fontId="7303" fillId="0" borderId="6874" xfId="0" applyNumberFormat="1" applyFont="1" applyBorder="1" applyAlignment="1">
      <alignment horizontal="right"/>
    </xf>
    <xf numFmtId="169" fontId="7304" fillId="0" borderId="6875" xfId="0" applyNumberFormat="1" applyFont="1" applyBorder="1" applyAlignment="1">
      <alignment horizontal="right"/>
    </xf>
    <xf numFmtId="0" fontId="7305" fillId="0" borderId="6876" xfId="0" applyFont="1" applyBorder="1"/>
    <xf numFmtId="1" fontId="7309" fillId="0" borderId="6880" xfId="0" applyNumberFormat="1" applyFont="1" applyBorder="1" applyAlignment="1">
      <alignment horizontal="center"/>
    </xf>
    <xf numFmtId="1" fontId="7310" fillId="0" borderId="6881" xfId="0" applyNumberFormat="1" applyFont="1" applyBorder="1" applyAlignment="1">
      <alignment horizontal="right"/>
    </xf>
    <xf numFmtId="1" fontId="7311" fillId="0" borderId="6882" xfId="0" applyNumberFormat="1" applyFont="1" applyBorder="1" applyAlignment="1">
      <alignment horizontal="center"/>
    </xf>
    <xf numFmtId="0" fontId="7312" fillId="0" borderId="6883" xfId="0" applyFont="1" applyBorder="1"/>
    <xf numFmtId="1" fontId="7314" fillId="0" borderId="6885" xfId="0" applyNumberFormat="1" applyFont="1" applyBorder="1" applyAlignment="1">
      <alignment horizontal="right"/>
    </xf>
    <xf numFmtId="1" fontId="7315" fillId="0" borderId="6886" xfId="0" applyNumberFormat="1" applyFont="1" applyBorder="1" applyAlignment="1">
      <alignment horizontal="right"/>
    </xf>
    <xf numFmtId="0" fontId="7316" fillId="0" borderId="6887" xfId="0" applyFont="1" applyBorder="1"/>
    <xf numFmtId="1" fontId="7318" fillId="0" borderId="6889" xfId="0" applyNumberFormat="1" applyFont="1" applyBorder="1" applyAlignment="1">
      <alignment horizontal="center"/>
    </xf>
    <xf numFmtId="0" fontId="7319" fillId="0" borderId="6890" xfId="0" applyFont="1" applyBorder="1"/>
    <xf numFmtId="1" fontId="7320" fillId="0" borderId="6891" xfId="0" applyNumberFormat="1" applyFont="1" applyBorder="1" applyAlignment="1">
      <alignment horizontal="right"/>
    </xf>
    <xf numFmtId="1" fontId="7321" fillId="0" borderId="6892" xfId="0" applyNumberFormat="1" applyFont="1" applyBorder="1" applyAlignment="1">
      <alignment horizontal="right"/>
    </xf>
    <xf numFmtId="1" fontId="7322" fillId="0" borderId="6893" xfId="0" applyNumberFormat="1" applyFont="1" applyBorder="1" applyAlignment="1">
      <alignment horizontal="right"/>
    </xf>
    <xf numFmtId="1" fontId="7323" fillId="0" borderId="6894" xfId="0" applyNumberFormat="1" applyFont="1" applyBorder="1" applyAlignment="1">
      <alignment horizontal="right"/>
    </xf>
    <xf numFmtId="0" fontId="7324" fillId="0" borderId="6895" xfId="0" applyFont="1" applyBorder="1" applyAlignment="1">
      <alignment horizontal="left"/>
    </xf>
    <xf numFmtId="1" fontId="7325" fillId="0" borderId="6896" xfId="0" applyNumberFormat="1" applyFont="1" applyBorder="1"/>
    <xf numFmtId="1" fontId="7326" fillId="0" borderId="6897" xfId="0" applyNumberFormat="1" applyFont="1" applyBorder="1"/>
    <xf numFmtId="1" fontId="7327" fillId="0" borderId="6898" xfId="0" applyNumberFormat="1" applyFont="1" applyBorder="1"/>
    <xf numFmtId="1" fontId="7328" fillId="0" borderId="6899" xfId="0" applyNumberFormat="1" applyFont="1" applyBorder="1"/>
    <xf numFmtId="1" fontId="7329" fillId="0" borderId="6900" xfId="0" applyNumberFormat="1" applyFont="1" applyBorder="1"/>
    <xf numFmtId="1" fontId="7330" fillId="0" borderId="6901" xfId="0" applyNumberFormat="1" applyFont="1" applyBorder="1"/>
    <xf numFmtId="0" fontId="7331" fillId="0" borderId="6902" xfId="0" applyFont="1" applyBorder="1" applyAlignment="1">
      <alignment horizontal="left"/>
    </xf>
    <xf numFmtId="169" fontId="7332" fillId="0" borderId="6903" xfId="0" applyNumberFormat="1" applyFont="1" applyBorder="1" applyAlignment="1">
      <alignment horizontal="right"/>
    </xf>
    <xf numFmtId="169" fontId="7333" fillId="0" borderId="6904" xfId="0" applyNumberFormat="1" applyFont="1" applyBorder="1" applyAlignment="1">
      <alignment horizontal="right"/>
    </xf>
    <xf numFmtId="169" fontId="7334" fillId="0" borderId="6905" xfId="0" applyNumberFormat="1" applyFont="1" applyBorder="1" applyAlignment="1">
      <alignment horizontal="right"/>
    </xf>
    <xf numFmtId="169" fontId="7335" fillId="0" borderId="6906" xfId="0" applyNumberFormat="1" applyFont="1" applyBorder="1" applyAlignment="1">
      <alignment horizontal="right"/>
    </xf>
    <xf numFmtId="169" fontId="7336" fillId="0" borderId="6907" xfId="0" applyNumberFormat="1" applyFont="1" applyBorder="1" applyAlignment="1">
      <alignment horizontal="right"/>
    </xf>
    <xf numFmtId="169" fontId="7337" fillId="0" borderId="6908" xfId="0" applyNumberFormat="1" applyFont="1" applyBorder="1" applyAlignment="1">
      <alignment horizontal="right"/>
    </xf>
    <xf numFmtId="0" fontId="7338" fillId="0" borderId="6909" xfId="0" applyFont="1" applyBorder="1" applyAlignment="1">
      <alignment horizontal="left"/>
    </xf>
    <xf numFmtId="169" fontId="7339" fillId="0" borderId="6910" xfId="0" applyNumberFormat="1" applyFont="1" applyBorder="1" applyAlignment="1">
      <alignment horizontal="right"/>
    </xf>
    <xf numFmtId="169" fontId="7340" fillId="0" borderId="6911" xfId="0" applyNumberFormat="1" applyFont="1" applyBorder="1" applyAlignment="1">
      <alignment horizontal="right"/>
    </xf>
    <xf numFmtId="169" fontId="7341" fillId="0" borderId="6912" xfId="0" applyNumberFormat="1" applyFont="1" applyBorder="1" applyAlignment="1">
      <alignment horizontal="right"/>
    </xf>
    <xf numFmtId="169" fontId="7342" fillId="0" borderId="6913" xfId="0" applyNumberFormat="1" applyFont="1" applyBorder="1" applyAlignment="1">
      <alignment horizontal="right"/>
    </xf>
    <xf numFmtId="169" fontId="7343" fillId="0" borderId="6914" xfId="0" applyNumberFormat="1" applyFont="1" applyBorder="1" applyAlignment="1">
      <alignment horizontal="right"/>
    </xf>
    <xf numFmtId="169" fontId="7344" fillId="0" borderId="6915" xfId="0" applyNumberFormat="1" applyFont="1" applyBorder="1" applyAlignment="1">
      <alignment horizontal="right"/>
    </xf>
    <xf numFmtId="0" fontId="7345" fillId="0" borderId="6916" xfId="0" applyFont="1" applyBorder="1" applyAlignment="1">
      <alignment horizontal="left"/>
    </xf>
    <xf numFmtId="169" fontId="7346" fillId="0" borderId="6917" xfId="0" applyNumberFormat="1" applyFont="1" applyBorder="1" applyAlignment="1">
      <alignment horizontal="right"/>
    </xf>
    <xf numFmtId="169" fontId="7347" fillId="0" borderId="6918" xfId="0" applyNumberFormat="1" applyFont="1" applyBorder="1" applyAlignment="1">
      <alignment horizontal="right"/>
    </xf>
    <xf numFmtId="169" fontId="7348" fillId="0" borderId="6919" xfId="0" applyNumberFormat="1" applyFont="1" applyBorder="1" applyAlignment="1">
      <alignment horizontal="right"/>
    </xf>
    <xf numFmtId="169" fontId="7349" fillId="0" borderId="6920" xfId="0" applyNumberFormat="1" applyFont="1" applyBorder="1" applyAlignment="1">
      <alignment horizontal="right"/>
    </xf>
    <xf numFmtId="169" fontId="7350" fillId="0" borderId="6921" xfId="0" applyNumberFormat="1" applyFont="1" applyBorder="1" applyAlignment="1">
      <alignment horizontal="right"/>
    </xf>
    <xf numFmtId="169" fontId="7351" fillId="0" borderId="6922" xfId="0" applyNumberFormat="1" applyFont="1" applyBorder="1" applyAlignment="1">
      <alignment horizontal="right"/>
    </xf>
    <xf numFmtId="0" fontId="7352" fillId="0" borderId="6923" xfId="0" applyFont="1" applyBorder="1" applyAlignment="1">
      <alignment horizontal="left"/>
    </xf>
    <xf numFmtId="169" fontId="7353" fillId="0" borderId="6924" xfId="0" applyNumberFormat="1" applyFont="1" applyBorder="1" applyAlignment="1">
      <alignment horizontal="right"/>
    </xf>
    <xf numFmtId="169" fontId="7354" fillId="0" borderId="6925" xfId="0" applyNumberFormat="1" applyFont="1" applyBorder="1" applyAlignment="1">
      <alignment horizontal="right"/>
    </xf>
    <xf numFmtId="169" fontId="7355" fillId="0" borderId="6926" xfId="0" applyNumberFormat="1" applyFont="1" applyBorder="1" applyAlignment="1">
      <alignment horizontal="right"/>
    </xf>
    <xf numFmtId="169" fontId="7356" fillId="0" borderId="6927" xfId="0" applyNumberFormat="1" applyFont="1" applyBorder="1" applyAlignment="1">
      <alignment horizontal="right"/>
    </xf>
    <xf numFmtId="169" fontId="7357" fillId="0" borderId="6928" xfId="0" applyNumberFormat="1" applyFont="1" applyBorder="1" applyAlignment="1">
      <alignment horizontal="right"/>
    </xf>
    <xf numFmtId="169" fontId="7358" fillId="0" borderId="6929" xfId="0" applyNumberFormat="1" applyFont="1" applyBorder="1" applyAlignment="1">
      <alignment horizontal="right"/>
    </xf>
    <xf numFmtId="0" fontId="7359" fillId="0" borderId="6930" xfId="0" applyFont="1" applyBorder="1" applyAlignment="1">
      <alignment horizontal="left"/>
    </xf>
    <xf numFmtId="169" fontId="7360" fillId="0" borderId="6931" xfId="0" applyNumberFormat="1" applyFont="1" applyBorder="1" applyAlignment="1">
      <alignment horizontal="right"/>
    </xf>
    <xf numFmtId="169" fontId="7361" fillId="0" borderId="6932" xfId="0" applyNumberFormat="1" applyFont="1" applyBorder="1" applyAlignment="1">
      <alignment horizontal="right"/>
    </xf>
    <xf numFmtId="169" fontId="7362" fillId="0" borderId="6933" xfId="0" applyNumberFormat="1" applyFont="1" applyBorder="1" applyAlignment="1">
      <alignment horizontal="right"/>
    </xf>
    <xf numFmtId="169" fontId="7363" fillId="0" borderId="6934" xfId="0" applyNumberFormat="1" applyFont="1" applyBorder="1" applyAlignment="1">
      <alignment horizontal="right"/>
    </xf>
    <xf numFmtId="169" fontId="7364" fillId="0" borderId="6935" xfId="0" applyNumberFormat="1" applyFont="1" applyBorder="1" applyAlignment="1">
      <alignment horizontal="right"/>
    </xf>
    <xf numFmtId="169" fontId="7365" fillId="0" borderId="6936" xfId="0" applyNumberFormat="1" applyFont="1" applyBorder="1" applyAlignment="1">
      <alignment horizontal="right"/>
    </xf>
    <xf numFmtId="0" fontId="7366" fillId="0" borderId="6937" xfId="0" applyFont="1" applyBorder="1" applyAlignment="1">
      <alignment horizontal="left"/>
    </xf>
    <xf numFmtId="169" fontId="7367" fillId="0" borderId="6938" xfId="0" applyNumberFormat="1" applyFont="1" applyBorder="1" applyAlignment="1">
      <alignment horizontal="right"/>
    </xf>
    <xf numFmtId="169" fontId="7368" fillId="0" borderId="6939" xfId="0" applyNumberFormat="1" applyFont="1" applyBorder="1" applyAlignment="1">
      <alignment horizontal="right"/>
    </xf>
    <xf numFmtId="169" fontId="7369" fillId="0" borderId="6940" xfId="0" applyNumberFormat="1" applyFont="1" applyBorder="1" applyAlignment="1">
      <alignment horizontal="right"/>
    </xf>
    <xf numFmtId="169" fontId="7370" fillId="0" borderId="6941" xfId="0" applyNumberFormat="1" applyFont="1" applyBorder="1" applyAlignment="1">
      <alignment horizontal="right"/>
    </xf>
    <xf numFmtId="169" fontId="7371" fillId="0" borderId="6942" xfId="0" applyNumberFormat="1" applyFont="1" applyBorder="1" applyAlignment="1">
      <alignment horizontal="right"/>
    </xf>
    <xf numFmtId="169" fontId="7372" fillId="0" borderId="6943" xfId="0" applyNumberFormat="1" applyFont="1" applyBorder="1" applyAlignment="1">
      <alignment horizontal="right"/>
    </xf>
    <xf numFmtId="0" fontId="7373" fillId="0" borderId="6944" xfId="0" applyFont="1" applyBorder="1" applyAlignment="1">
      <alignment horizontal="left"/>
    </xf>
    <xf numFmtId="169" fontId="7374" fillId="0" borderId="6945" xfId="0" applyNumberFormat="1" applyFont="1" applyBorder="1" applyAlignment="1">
      <alignment horizontal="right"/>
    </xf>
    <xf numFmtId="169" fontId="7375" fillId="0" borderId="6946" xfId="0" applyNumberFormat="1" applyFont="1" applyBorder="1" applyAlignment="1">
      <alignment horizontal="right"/>
    </xf>
    <xf numFmtId="169" fontId="7376" fillId="0" borderId="6947" xfId="0" applyNumberFormat="1" applyFont="1" applyBorder="1" applyAlignment="1">
      <alignment horizontal="right"/>
    </xf>
    <xf numFmtId="169" fontId="7377" fillId="0" borderId="6948" xfId="0" applyNumberFormat="1" applyFont="1" applyBorder="1" applyAlignment="1">
      <alignment horizontal="right"/>
    </xf>
    <xf numFmtId="169" fontId="7378" fillId="0" borderId="6949" xfId="0" applyNumberFormat="1" applyFont="1" applyBorder="1" applyAlignment="1">
      <alignment horizontal="right"/>
    </xf>
    <xf numFmtId="169" fontId="7379" fillId="0" borderId="6950" xfId="0" applyNumberFormat="1" applyFont="1" applyBorder="1" applyAlignment="1">
      <alignment horizontal="right"/>
    </xf>
    <xf numFmtId="0" fontId="7380" fillId="0" borderId="6951" xfId="0" applyFont="1" applyBorder="1" applyAlignment="1">
      <alignment horizontal="left"/>
    </xf>
    <xf numFmtId="169" fontId="7381" fillId="0" borderId="6952" xfId="0" applyNumberFormat="1" applyFont="1" applyBorder="1" applyAlignment="1">
      <alignment horizontal="right"/>
    </xf>
    <xf numFmtId="169" fontId="7382" fillId="0" borderId="6953" xfId="0" applyNumberFormat="1" applyFont="1" applyBorder="1" applyAlignment="1">
      <alignment horizontal="right"/>
    </xf>
    <xf numFmtId="169" fontId="7383" fillId="0" borderId="6954" xfId="0" applyNumberFormat="1" applyFont="1" applyBorder="1" applyAlignment="1">
      <alignment horizontal="right"/>
    </xf>
    <xf numFmtId="169" fontId="7384" fillId="0" borderId="6955" xfId="0" applyNumberFormat="1" applyFont="1" applyBorder="1" applyAlignment="1">
      <alignment horizontal="right"/>
    </xf>
    <xf numFmtId="169" fontId="7385" fillId="0" borderId="6956" xfId="0" applyNumberFormat="1" applyFont="1" applyBorder="1" applyAlignment="1">
      <alignment horizontal="right"/>
    </xf>
    <xf numFmtId="169" fontId="7386" fillId="0" borderId="6957" xfId="0" applyNumberFormat="1" applyFont="1" applyBorder="1" applyAlignment="1">
      <alignment horizontal="right"/>
    </xf>
    <xf numFmtId="0" fontId="7387" fillId="0" borderId="6958" xfId="0" applyFont="1" applyBorder="1" applyAlignment="1">
      <alignment horizontal="left"/>
    </xf>
    <xf numFmtId="169" fontId="7388" fillId="0" borderId="6959" xfId="0" applyNumberFormat="1" applyFont="1" applyBorder="1" applyAlignment="1">
      <alignment horizontal="right"/>
    </xf>
    <xf numFmtId="169" fontId="7389" fillId="0" borderId="6960" xfId="0" applyNumberFormat="1" applyFont="1" applyBorder="1" applyAlignment="1">
      <alignment horizontal="right"/>
    </xf>
    <xf numFmtId="169" fontId="7390" fillId="0" borderId="6961" xfId="0" applyNumberFormat="1" applyFont="1" applyBorder="1" applyAlignment="1">
      <alignment horizontal="right"/>
    </xf>
    <xf numFmtId="169" fontId="7391" fillId="0" borderId="6962" xfId="0" applyNumberFormat="1" applyFont="1" applyBorder="1" applyAlignment="1">
      <alignment horizontal="right"/>
    </xf>
    <xf numFmtId="169" fontId="7392" fillId="0" borderId="6963" xfId="0" applyNumberFormat="1" applyFont="1" applyBorder="1" applyAlignment="1">
      <alignment horizontal="right"/>
    </xf>
    <xf numFmtId="169" fontId="7393" fillId="0" borderId="6964" xfId="0" applyNumberFormat="1" applyFont="1" applyBorder="1" applyAlignment="1">
      <alignment horizontal="right"/>
    </xf>
    <xf numFmtId="0" fontId="7394" fillId="0" borderId="6965" xfId="0" applyFont="1" applyBorder="1" applyAlignment="1">
      <alignment horizontal="left"/>
    </xf>
    <xf numFmtId="169" fontId="7395" fillId="0" borderId="6966" xfId="0" applyNumberFormat="1" applyFont="1" applyBorder="1" applyAlignment="1">
      <alignment horizontal="right"/>
    </xf>
    <xf numFmtId="169" fontId="7396" fillId="0" borderId="6967" xfId="0" applyNumberFormat="1" applyFont="1" applyBorder="1" applyAlignment="1">
      <alignment horizontal="right"/>
    </xf>
    <xf numFmtId="169" fontId="7397" fillId="0" borderId="6968" xfId="0" applyNumberFormat="1" applyFont="1" applyBorder="1" applyAlignment="1">
      <alignment horizontal="right"/>
    </xf>
    <xf numFmtId="169" fontId="7398" fillId="0" borderId="6969" xfId="0" applyNumberFormat="1" applyFont="1" applyBorder="1" applyAlignment="1">
      <alignment horizontal="right"/>
    </xf>
    <xf numFmtId="169" fontId="7399" fillId="0" borderId="6970" xfId="0" applyNumberFormat="1" applyFont="1" applyBorder="1" applyAlignment="1">
      <alignment horizontal="right"/>
    </xf>
    <xf numFmtId="169" fontId="7400" fillId="0" borderId="6971" xfId="0" applyNumberFormat="1" applyFont="1" applyBorder="1" applyAlignment="1">
      <alignment horizontal="right"/>
    </xf>
    <xf numFmtId="0" fontId="7401" fillId="0" borderId="6972" xfId="0" applyFont="1" applyBorder="1" applyAlignment="1">
      <alignment horizontal="left"/>
    </xf>
    <xf numFmtId="169" fontId="7402" fillId="0" borderId="6973" xfId="0" applyNumberFormat="1" applyFont="1" applyBorder="1" applyAlignment="1">
      <alignment horizontal="right"/>
    </xf>
    <xf numFmtId="169" fontId="7403" fillId="0" borderId="6974" xfId="0" applyNumberFormat="1" applyFont="1" applyBorder="1" applyAlignment="1">
      <alignment horizontal="right"/>
    </xf>
    <xf numFmtId="169" fontId="7404" fillId="0" borderId="6975" xfId="0" applyNumberFormat="1" applyFont="1" applyBorder="1" applyAlignment="1">
      <alignment horizontal="right"/>
    </xf>
    <xf numFmtId="169" fontId="7405" fillId="0" borderId="6976" xfId="0" applyNumberFormat="1" applyFont="1" applyBorder="1" applyAlignment="1">
      <alignment horizontal="right"/>
    </xf>
    <xf numFmtId="169" fontId="7406" fillId="0" borderId="6977" xfId="0" applyNumberFormat="1" applyFont="1" applyBorder="1" applyAlignment="1">
      <alignment horizontal="right"/>
    </xf>
    <xf numFmtId="169" fontId="7407" fillId="0" borderId="6978" xfId="0" applyNumberFormat="1" applyFont="1" applyBorder="1" applyAlignment="1">
      <alignment horizontal="right"/>
    </xf>
    <xf numFmtId="0" fontId="7408" fillId="0" borderId="6979" xfId="0" applyFont="1" applyBorder="1" applyAlignment="1">
      <alignment horizontal="left"/>
    </xf>
    <xf numFmtId="169" fontId="7409" fillId="0" borderId="6980" xfId="0" applyNumberFormat="1" applyFont="1" applyBorder="1" applyAlignment="1">
      <alignment horizontal="right"/>
    </xf>
    <xf numFmtId="169" fontId="7410" fillId="0" borderId="6981" xfId="0" applyNumberFormat="1" applyFont="1" applyBorder="1" applyAlignment="1">
      <alignment horizontal="right"/>
    </xf>
    <xf numFmtId="169" fontId="7411" fillId="0" borderId="6982" xfId="0" applyNumberFormat="1" applyFont="1" applyBorder="1" applyAlignment="1">
      <alignment horizontal="right"/>
    </xf>
    <xf numFmtId="169" fontId="7412" fillId="0" borderId="6983" xfId="0" applyNumberFormat="1" applyFont="1" applyBorder="1" applyAlignment="1">
      <alignment horizontal="right"/>
    </xf>
    <xf numFmtId="169" fontId="7413" fillId="0" borderId="6984" xfId="0" applyNumberFormat="1" applyFont="1" applyBorder="1" applyAlignment="1">
      <alignment horizontal="right"/>
    </xf>
    <xf numFmtId="169" fontId="7414" fillId="0" borderId="6985" xfId="0" applyNumberFormat="1" applyFont="1" applyBorder="1" applyAlignment="1">
      <alignment horizontal="right"/>
    </xf>
    <xf numFmtId="0" fontId="7415" fillId="0" borderId="6986" xfId="0" applyFont="1" applyBorder="1" applyAlignment="1">
      <alignment horizontal="left"/>
    </xf>
    <xf numFmtId="169" fontId="7416" fillId="0" borderId="6987" xfId="0" applyNumberFormat="1" applyFont="1" applyBorder="1" applyAlignment="1">
      <alignment horizontal="right"/>
    </xf>
    <xf numFmtId="169" fontId="7417" fillId="0" borderId="6988" xfId="0" applyNumberFormat="1" applyFont="1" applyBorder="1" applyAlignment="1">
      <alignment horizontal="right"/>
    </xf>
    <xf numFmtId="169" fontId="7418" fillId="0" borderId="6989" xfId="0" applyNumberFormat="1" applyFont="1" applyBorder="1" applyAlignment="1">
      <alignment horizontal="right"/>
    </xf>
    <xf numFmtId="169" fontId="7419" fillId="0" borderId="6990" xfId="0" applyNumberFormat="1" applyFont="1" applyBorder="1" applyAlignment="1">
      <alignment horizontal="right"/>
    </xf>
    <xf numFmtId="169" fontId="7420" fillId="0" borderId="6991" xfId="0" applyNumberFormat="1" applyFont="1" applyBorder="1" applyAlignment="1">
      <alignment horizontal="right"/>
    </xf>
    <xf numFmtId="169" fontId="7421" fillId="0" borderId="6992" xfId="0" applyNumberFormat="1" applyFont="1" applyBorder="1" applyAlignment="1">
      <alignment horizontal="right"/>
    </xf>
    <xf numFmtId="0" fontId="7422" fillId="0" borderId="6993" xfId="0" applyFont="1" applyBorder="1" applyAlignment="1">
      <alignment horizontal="left"/>
    </xf>
    <xf numFmtId="169" fontId="7423" fillId="0" borderId="6994" xfId="0" applyNumberFormat="1" applyFont="1" applyBorder="1" applyAlignment="1">
      <alignment horizontal="right"/>
    </xf>
    <xf numFmtId="169" fontId="7424" fillId="0" borderId="6995" xfId="0" applyNumberFormat="1" applyFont="1" applyBorder="1" applyAlignment="1">
      <alignment horizontal="right"/>
    </xf>
    <xf numFmtId="169" fontId="7425" fillId="0" borderId="6996" xfId="0" applyNumberFormat="1" applyFont="1" applyBorder="1" applyAlignment="1">
      <alignment horizontal="right"/>
    </xf>
    <xf numFmtId="169" fontId="7426" fillId="0" borderId="6997" xfId="0" applyNumberFormat="1" applyFont="1" applyBorder="1" applyAlignment="1">
      <alignment horizontal="right"/>
    </xf>
    <xf numFmtId="169" fontId="7427" fillId="0" borderId="6998" xfId="0" applyNumberFormat="1" applyFont="1" applyBorder="1" applyAlignment="1">
      <alignment horizontal="right"/>
    </xf>
    <xf numFmtId="169" fontId="7428" fillId="0" borderId="6999" xfId="0" applyNumberFormat="1" applyFont="1" applyBorder="1" applyAlignment="1">
      <alignment horizontal="right"/>
    </xf>
    <xf numFmtId="0" fontId="7429" fillId="0" borderId="7000" xfId="0" applyFont="1" applyBorder="1" applyAlignment="1">
      <alignment horizontal="left"/>
    </xf>
    <xf numFmtId="169" fontId="7430" fillId="0" borderId="7001" xfId="0" applyNumberFormat="1" applyFont="1" applyBorder="1" applyAlignment="1">
      <alignment horizontal="right"/>
    </xf>
    <xf numFmtId="169" fontId="7431" fillId="0" borderId="7002" xfId="0" applyNumberFormat="1" applyFont="1" applyBorder="1" applyAlignment="1">
      <alignment horizontal="right"/>
    </xf>
    <xf numFmtId="169" fontId="7432" fillId="0" borderId="7003" xfId="0" applyNumberFormat="1" applyFont="1" applyBorder="1" applyAlignment="1">
      <alignment horizontal="right"/>
    </xf>
    <xf numFmtId="169" fontId="7433" fillId="0" borderId="7004" xfId="0" applyNumberFormat="1" applyFont="1" applyBorder="1" applyAlignment="1">
      <alignment horizontal="right"/>
    </xf>
    <xf numFmtId="169" fontId="7434" fillId="0" borderId="7005" xfId="0" applyNumberFormat="1" applyFont="1" applyBorder="1" applyAlignment="1">
      <alignment horizontal="right"/>
    </xf>
    <xf numFmtId="169" fontId="7435" fillId="0" borderId="7006" xfId="0" applyNumberFormat="1" applyFont="1" applyBorder="1" applyAlignment="1">
      <alignment horizontal="right"/>
    </xf>
    <xf numFmtId="0" fontId="7436" fillId="0" borderId="7007" xfId="0" applyFont="1" applyBorder="1"/>
    <xf numFmtId="1" fontId="7440" fillId="0" borderId="7011" xfId="0" applyNumberFormat="1" applyFont="1" applyBorder="1" applyAlignment="1">
      <alignment horizontal="center"/>
    </xf>
    <xf numFmtId="1" fontId="7441" fillId="0" borderId="7012" xfId="0" applyNumberFormat="1" applyFont="1" applyBorder="1" applyAlignment="1">
      <alignment horizontal="right"/>
    </xf>
    <xf numFmtId="1" fontId="7442" fillId="0" borderId="7013" xfId="0" applyNumberFormat="1" applyFont="1" applyBorder="1" applyAlignment="1">
      <alignment horizontal="center"/>
    </xf>
    <xf numFmtId="0" fontId="7443" fillId="0" borderId="7014" xfId="0" applyFont="1" applyBorder="1"/>
    <xf numFmtId="1" fontId="7445" fillId="0" borderId="7016" xfId="0" applyNumberFormat="1" applyFont="1" applyBorder="1" applyAlignment="1">
      <alignment horizontal="right"/>
    </xf>
    <xf numFmtId="1" fontId="7446" fillId="0" borderId="7017" xfId="0" applyNumberFormat="1" applyFont="1" applyBorder="1" applyAlignment="1">
      <alignment horizontal="right"/>
    </xf>
    <xf numFmtId="0" fontId="7447" fillId="0" borderId="7018" xfId="0" applyFont="1" applyBorder="1"/>
    <xf numFmtId="1" fontId="7449" fillId="0" borderId="7020" xfId="0" applyNumberFormat="1" applyFont="1" applyBorder="1" applyAlignment="1">
      <alignment horizontal="center"/>
    </xf>
    <xf numFmtId="0" fontId="7450" fillId="0" borderId="7021" xfId="0" applyFont="1" applyBorder="1"/>
    <xf numFmtId="1" fontId="7451" fillId="0" borderId="7022" xfId="0" applyNumberFormat="1" applyFont="1" applyBorder="1" applyAlignment="1">
      <alignment horizontal="right"/>
    </xf>
    <xf numFmtId="1" fontId="7452" fillId="0" borderId="7023" xfId="0" applyNumberFormat="1" applyFont="1" applyBorder="1" applyAlignment="1">
      <alignment horizontal="right"/>
    </xf>
    <xf numFmtId="1" fontId="7453" fillId="0" borderId="7024" xfId="0" applyNumberFormat="1" applyFont="1" applyBorder="1" applyAlignment="1">
      <alignment horizontal="right"/>
    </xf>
    <xf numFmtId="1" fontId="7454" fillId="0" borderId="7025" xfId="0" applyNumberFormat="1" applyFont="1" applyBorder="1" applyAlignment="1">
      <alignment horizontal="right"/>
    </xf>
    <xf numFmtId="0" fontId="7455" fillId="0" borderId="7026" xfId="0" applyFont="1" applyBorder="1" applyAlignment="1">
      <alignment horizontal="left"/>
    </xf>
    <xf numFmtId="1" fontId="7456" fillId="0" borderId="7027" xfId="0" applyNumberFormat="1" applyFont="1" applyBorder="1"/>
    <xf numFmtId="1" fontId="7457" fillId="0" borderId="7028" xfId="0" applyNumberFormat="1" applyFont="1" applyBorder="1"/>
    <xf numFmtId="1" fontId="7458" fillId="0" borderId="7029" xfId="0" applyNumberFormat="1" applyFont="1" applyBorder="1"/>
    <xf numFmtId="1" fontId="7459" fillId="0" borderId="7030" xfId="0" applyNumberFormat="1" applyFont="1" applyBorder="1"/>
    <xf numFmtId="1" fontId="7460" fillId="0" borderId="7031" xfId="0" applyNumberFormat="1" applyFont="1" applyBorder="1"/>
    <xf numFmtId="1" fontId="7461" fillId="0" borderId="7032" xfId="0" applyNumberFormat="1" applyFont="1" applyBorder="1"/>
    <xf numFmtId="0" fontId="7462" fillId="0" borderId="7033" xfId="0" applyFont="1" applyBorder="1" applyAlignment="1">
      <alignment horizontal="left"/>
    </xf>
    <xf numFmtId="169" fontId="7463" fillId="0" borderId="7034" xfId="0" applyNumberFormat="1" applyFont="1" applyBorder="1" applyAlignment="1">
      <alignment horizontal="right"/>
    </xf>
    <xf numFmtId="169" fontId="7464" fillId="0" borderId="7035" xfId="0" applyNumberFormat="1" applyFont="1" applyBorder="1" applyAlignment="1">
      <alignment horizontal="right"/>
    </xf>
    <xf numFmtId="169" fontId="7465" fillId="0" borderId="7036" xfId="0" applyNumberFormat="1" applyFont="1" applyBorder="1" applyAlignment="1">
      <alignment horizontal="right"/>
    </xf>
    <xf numFmtId="169" fontId="7466" fillId="0" borderId="7037" xfId="0" applyNumberFormat="1" applyFont="1" applyBorder="1" applyAlignment="1">
      <alignment horizontal="right"/>
    </xf>
    <xf numFmtId="169" fontId="7467" fillId="0" borderId="7038" xfId="0" applyNumberFormat="1" applyFont="1" applyBorder="1" applyAlignment="1">
      <alignment horizontal="right"/>
    </xf>
    <xf numFmtId="169" fontId="7468" fillId="0" borderId="7039" xfId="0" applyNumberFormat="1" applyFont="1" applyBorder="1" applyAlignment="1">
      <alignment horizontal="right"/>
    </xf>
    <xf numFmtId="0" fontId="7469" fillId="0" borderId="7040" xfId="0" applyFont="1" applyBorder="1" applyAlignment="1">
      <alignment horizontal="left"/>
    </xf>
    <xf numFmtId="169" fontId="7470" fillId="0" borderId="7041" xfId="0" applyNumberFormat="1" applyFont="1" applyBorder="1" applyAlignment="1">
      <alignment horizontal="right"/>
    </xf>
    <xf numFmtId="169" fontId="7471" fillId="0" borderId="7042" xfId="0" applyNumberFormat="1" applyFont="1" applyBorder="1" applyAlignment="1">
      <alignment horizontal="right"/>
    </xf>
    <xf numFmtId="169" fontId="7472" fillId="0" borderId="7043" xfId="0" applyNumberFormat="1" applyFont="1" applyBorder="1" applyAlignment="1">
      <alignment horizontal="right"/>
    </xf>
    <xf numFmtId="169" fontId="7473" fillId="0" borderId="7044" xfId="0" applyNumberFormat="1" applyFont="1" applyBorder="1" applyAlignment="1">
      <alignment horizontal="right"/>
    </xf>
    <xf numFmtId="169" fontId="7474" fillId="0" borderId="7045" xfId="0" applyNumberFormat="1" applyFont="1" applyBorder="1" applyAlignment="1">
      <alignment horizontal="right"/>
    </xf>
    <xf numFmtId="169" fontId="7475" fillId="0" borderId="7046" xfId="0" applyNumberFormat="1" applyFont="1" applyBorder="1" applyAlignment="1">
      <alignment horizontal="right"/>
    </xf>
    <xf numFmtId="0" fontId="7476" fillId="0" borderId="7047" xfId="0" applyFont="1" applyBorder="1" applyAlignment="1">
      <alignment horizontal="left"/>
    </xf>
    <xf numFmtId="169" fontId="7477" fillId="0" borderId="7048" xfId="0" applyNumberFormat="1" applyFont="1" applyBorder="1" applyAlignment="1">
      <alignment horizontal="right"/>
    </xf>
    <xf numFmtId="169" fontId="7478" fillId="0" borderId="7049" xfId="0" applyNumberFormat="1" applyFont="1" applyBorder="1" applyAlignment="1">
      <alignment horizontal="right"/>
    </xf>
    <xf numFmtId="169" fontId="7479" fillId="0" borderId="7050" xfId="0" applyNumberFormat="1" applyFont="1" applyBorder="1" applyAlignment="1">
      <alignment horizontal="right"/>
    </xf>
    <xf numFmtId="169" fontId="7480" fillId="0" borderId="7051" xfId="0" applyNumberFormat="1" applyFont="1" applyBorder="1" applyAlignment="1">
      <alignment horizontal="right"/>
    </xf>
    <xf numFmtId="169" fontId="7481" fillId="0" borderId="7052" xfId="0" applyNumberFormat="1" applyFont="1" applyBorder="1" applyAlignment="1">
      <alignment horizontal="right"/>
    </xf>
    <xf numFmtId="169" fontId="7482" fillId="0" borderId="7053" xfId="0" applyNumberFormat="1" applyFont="1" applyBorder="1" applyAlignment="1">
      <alignment horizontal="right"/>
    </xf>
    <xf numFmtId="0" fontId="7483" fillId="0" borderId="7054" xfId="0" applyFont="1" applyBorder="1" applyAlignment="1">
      <alignment horizontal="left"/>
    </xf>
    <xf numFmtId="169" fontId="7484" fillId="0" borderId="7055" xfId="0" applyNumberFormat="1" applyFont="1" applyBorder="1" applyAlignment="1">
      <alignment horizontal="right"/>
    </xf>
    <xf numFmtId="169" fontId="7485" fillId="0" borderId="7056" xfId="0" applyNumberFormat="1" applyFont="1" applyBorder="1" applyAlignment="1">
      <alignment horizontal="right"/>
    </xf>
    <xf numFmtId="169" fontId="7486" fillId="0" borderId="7057" xfId="0" applyNumberFormat="1" applyFont="1" applyBorder="1" applyAlignment="1">
      <alignment horizontal="right"/>
    </xf>
    <xf numFmtId="169" fontId="7487" fillId="0" borderId="7058" xfId="0" applyNumberFormat="1" applyFont="1" applyBorder="1" applyAlignment="1">
      <alignment horizontal="right"/>
    </xf>
    <xf numFmtId="169" fontId="7488" fillId="0" borderId="7059" xfId="0" applyNumberFormat="1" applyFont="1" applyBorder="1" applyAlignment="1">
      <alignment horizontal="right"/>
    </xf>
    <xf numFmtId="169" fontId="7489" fillId="0" borderId="7060" xfId="0" applyNumberFormat="1" applyFont="1" applyBorder="1" applyAlignment="1">
      <alignment horizontal="right"/>
    </xf>
    <xf numFmtId="0" fontId="7490" fillId="0" borderId="7061" xfId="0" applyFont="1" applyBorder="1" applyAlignment="1">
      <alignment horizontal="left"/>
    </xf>
    <xf numFmtId="169" fontId="7491" fillId="0" borderId="7062" xfId="0" applyNumberFormat="1" applyFont="1" applyBorder="1" applyAlignment="1">
      <alignment horizontal="right"/>
    </xf>
    <xf numFmtId="169" fontId="7492" fillId="0" borderId="7063" xfId="0" applyNumberFormat="1" applyFont="1" applyBorder="1" applyAlignment="1">
      <alignment horizontal="right"/>
    </xf>
    <xf numFmtId="169" fontId="7493" fillId="0" borderId="7064" xfId="0" applyNumberFormat="1" applyFont="1" applyBorder="1" applyAlignment="1">
      <alignment horizontal="right"/>
    </xf>
    <xf numFmtId="169" fontId="7494" fillId="0" borderId="7065" xfId="0" applyNumberFormat="1" applyFont="1" applyBorder="1" applyAlignment="1">
      <alignment horizontal="right"/>
    </xf>
    <xf numFmtId="169" fontId="7495" fillId="0" borderId="7066" xfId="0" applyNumberFormat="1" applyFont="1" applyBorder="1" applyAlignment="1">
      <alignment horizontal="right"/>
    </xf>
    <xf numFmtId="169" fontId="7496" fillId="0" borderId="7067" xfId="0" applyNumberFormat="1" applyFont="1" applyBorder="1" applyAlignment="1">
      <alignment horizontal="right"/>
    </xf>
    <xf numFmtId="0" fontId="7497" fillId="0" borderId="7068" xfId="0" applyFont="1" applyBorder="1" applyAlignment="1">
      <alignment horizontal="left"/>
    </xf>
    <xf numFmtId="169" fontId="7498" fillId="0" borderId="7069" xfId="0" applyNumberFormat="1" applyFont="1" applyBorder="1" applyAlignment="1">
      <alignment horizontal="right"/>
    </xf>
    <xf numFmtId="169" fontId="7499" fillId="0" borderId="7070" xfId="0" applyNumberFormat="1" applyFont="1" applyBorder="1" applyAlignment="1">
      <alignment horizontal="right"/>
    </xf>
    <xf numFmtId="169" fontId="7500" fillId="0" borderId="7071" xfId="0" applyNumberFormat="1" applyFont="1" applyBorder="1" applyAlignment="1">
      <alignment horizontal="right"/>
    </xf>
    <xf numFmtId="169" fontId="7501" fillId="0" borderId="7072" xfId="0" applyNumberFormat="1" applyFont="1" applyBorder="1" applyAlignment="1">
      <alignment horizontal="right"/>
    </xf>
    <xf numFmtId="169" fontId="7502" fillId="0" borderId="7073" xfId="0" applyNumberFormat="1" applyFont="1" applyBorder="1" applyAlignment="1">
      <alignment horizontal="right"/>
    </xf>
    <xf numFmtId="169" fontId="7503" fillId="0" borderId="7074" xfId="0" applyNumberFormat="1" applyFont="1" applyBorder="1" applyAlignment="1">
      <alignment horizontal="right"/>
    </xf>
    <xf numFmtId="0" fontId="7504" fillId="0" borderId="7075" xfId="0" applyFont="1" applyBorder="1" applyAlignment="1">
      <alignment horizontal="left"/>
    </xf>
    <xf numFmtId="169" fontId="7505" fillId="0" borderId="7076" xfId="0" applyNumberFormat="1" applyFont="1" applyBorder="1" applyAlignment="1">
      <alignment horizontal="right"/>
    </xf>
    <xf numFmtId="169" fontId="7506" fillId="0" borderId="7077" xfId="0" applyNumberFormat="1" applyFont="1" applyBorder="1" applyAlignment="1">
      <alignment horizontal="right"/>
    </xf>
    <xf numFmtId="169" fontId="7507" fillId="0" borderId="7078" xfId="0" applyNumberFormat="1" applyFont="1" applyBorder="1" applyAlignment="1">
      <alignment horizontal="right"/>
    </xf>
    <xf numFmtId="169" fontId="7508" fillId="0" borderId="7079" xfId="0" applyNumberFormat="1" applyFont="1" applyBorder="1" applyAlignment="1">
      <alignment horizontal="right"/>
    </xf>
    <xf numFmtId="169" fontId="7509" fillId="0" borderId="7080" xfId="0" applyNumberFormat="1" applyFont="1" applyBorder="1" applyAlignment="1">
      <alignment horizontal="right"/>
    </xf>
    <xf numFmtId="169" fontId="7510" fillId="0" borderId="7081" xfId="0" applyNumberFormat="1" applyFont="1" applyBorder="1" applyAlignment="1">
      <alignment horizontal="right"/>
    </xf>
    <xf numFmtId="0" fontId="7511" fillId="0" borderId="7082" xfId="0" applyFont="1" applyBorder="1" applyAlignment="1">
      <alignment horizontal="left"/>
    </xf>
    <xf numFmtId="169" fontId="7512" fillId="0" borderId="7083" xfId="0" applyNumberFormat="1" applyFont="1" applyBorder="1" applyAlignment="1">
      <alignment horizontal="right"/>
    </xf>
    <xf numFmtId="169" fontId="7513" fillId="0" borderId="7084" xfId="0" applyNumberFormat="1" applyFont="1" applyBorder="1" applyAlignment="1">
      <alignment horizontal="right"/>
    </xf>
    <xf numFmtId="169" fontId="7514" fillId="0" borderId="7085" xfId="0" applyNumberFormat="1" applyFont="1" applyBorder="1" applyAlignment="1">
      <alignment horizontal="right"/>
    </xf>
    <xf numFmtId="169" fontId="7515" fillId="0" borderId="7086" xfId="0" applyNumberFormat="1" applyFont="1" applyBorder="1" applyAlignment="1">
      <alignment horizontal="right"/>
    </xf>
    <xf numFmtId="169" fontId="7516" fillId="0" borderId="7087" xfId="0" applyNumberFormat="1" applyFont="1" applyBorder="1" applyAlignment="1">
      <alignment horizontal="right"/>
    </xf>
    <xf numFmtId="169" fontId="7517" fillId="0" borderId="7088" xfId="0" applyNumberFormat="1" applyFont="1" applyBorder="1" applyAlignment="1">
      <alignment horizontal="right"/>
    </xf>
    <xf numFmtId="0" fontId="7518" fillId="0" borderId="7089" xfId="0" applyFont="1" applyBorder="1" applyAlignment="1">
      <alignment horizontal="left"/>
    </xf>
    <xf numFmtId="169" fontId="7519" fillId="0" borderId="7090" xfId="0" applyNumberFormat="1" applyFont="1" applyBorder="1" applyAlignment="1">
      <alignment horizontal="right"/>
    </xf>
    <xf numFmtId="169" fontId="7520" fillId="0" borderId="7091" xfId="0" applyNumberFormat="1" applyFont="1" applyBorder="1" applyAlignment="1">
      <alignment horizontal="right"/>
    </xf>
    <xf numFmtId="169" fontId="7521" fillId="0" borderId="7092" xfId="0" applyNumberFormat="1" applyFont="1" applyBorder="1" applyAlignment="1">
      <alignment horizontal="right"/>
    </xf>
    <xf numFmtId="169" fontId="7522" fillId="0" borderId="7093" xfId="0" applyNumberFormat="1" applyFont="1" applyBorder="1" applyAlignment="1">
      <alignment horizontal="right"/>
    </xf>
    <xf numFmtId="169" fontId="7523" fillId="0" borderId="7094" xfId="0" applyNumberFormat="1" applyFont="1" applyBorder="1" applyAlignment="1">
      <alignment horizontal="right"/>
    </xf>
    <xf numFmtId="169" fontId="7524" fillId="0" borderId="7095" xfId="0" applyNumberFormat="1" applyFont="1" applyBorder="1" applyAlignment="1">
      <alignment horizontal="right"/>
    </xf>
    <xf numFmtId="0" fontId="7525" fillId="0" borderId="7096" xfId="0" applyFont="1" applyBorder="1" applyAlignment="1">
      <alignment horizontal="left"/>
    </xf>
    <xf numFmtId="169" fontId="7526" fillId="0" borderId="7097" xfId="0" applyNumberFormat="1" applyFont="1" applyBorder="1" applyAlignment="1">
      <alignment horizontal="right"/>
    </xf>
    <xf numFmtId="169" fontId="7527" fillId="0" borderId="7098" xfId="0" applyNumberFormat="1" applyFont="1" applyBorder="1" applyAlignment="1">
      <alignment horizontal="right"/>
    </xf>
    <xf numFmtId="169" fontId="7528" fillId="0" borderId="7099" xfId="0" applyNumberFormat="1" applyFont="1" applyBorder="1" applyAlignment="1">
      <alignment horizontal="right"/>
    </xf>
    <xf numFmtId="169" fontId="7529" fillId="0" borderId="7100" xfId="0" applyNumberFormat="1" applyFont="1" applyBorder="1" applyAlignment="1">
      <alignment horizontal="right"/>
    </xf>
    <xf numFmtId="169" fontId="7530" fillId="0" borderId="7101" xfId="0" applyNumberFormat="1" applyFont="1" applyBorder="1" applyAlignment="1">
      <alignment horizontal="right"/>
    </xf>
    <xf numFmtId="169" fontId="7531" fillId="0" borderId="7102" xfId="0" applyNumberFormat="1" applyFont="1" applyBorder="1" applyAlignment="1">
      <alignment horizontal="right"/>
    </xf>
    <xf numFmtId="0" fontId="7532" fillId="0" borderId="7103" xfId="0" applyFont="1" applyBorder="1" applyAlignment="1">
      <alignment horizontal="left"/>
    </xf>
    <xf numFmtId="169" fontId="7533" fillId="0" borderId="7104" xfId="0" applyNumberFormat="1" applyFont="1" applyBorder="1" applyAlignment="1">
      <alignment horizontal="right"/>
    </xf>
    <xf numFmtId="169" fontId="7534" fillId="0" borderId="7105" xfId="0" applyNumberFormat="1" applyFont="1" applyBorder="1" applyAlignment="1">
      <alignment horizontal="right"/>
    </xf>
    <xf numFmtId="169" fontId="7535" fillId="0" borderId="7106" xfId="0" applyNumberFormat="1" applyFont="1" applyBorder="1" applyAlignment="1">
      <alignment horizontal="right"/>
    </xf>
    <xf numFmtId="169" fontId="7536" fillId="0" borderId="7107" xfId="0" applyNumberFormat="1" applyFont="1" applyBorder="1" applyAlignment="1">
      <alignment horizontal="right"/>
    </xf>
    <xf numFmtId="169" fontId="7537" fillId="0" borderId="7108" xfId="0" applyNumberFormat="1" applyFont="1" applyBorder="1" applyAlignment="1">
      <alignment horizontal="right"/>
    </xf>
    <xf numFmtId="169" fontId="7538" fillId="0" borderId="7109" xfId="0" applyNumberFormat="1" applyFont="1" applyBorder="1" applyAlignment="1">
      <alignment horizontal="right"/>
    </xf>
    <xf numFmtId="0" fontId="7539" fillId="0" borderId="7110" xfId="0" applyFont="1" applyBorder="1" applyAlignment="1">
      <alignment horizontal="left"/>
    </xf>
    <xf numFmtId="169" fontId="7540" fillId="0" borderId="7111" xfId="0" applyNumberFormat="1" applyFont="1" applyBorder="1" applyAlignment="1">
      <alignment horizontal="right"/>
    </xf>
    <xf numFmtId="169" fontId="7541" fillId="0" borderId="7112" xfId="0" applyNumberFormat="1" applyFont="1" applyBorder="1" applyAlignment="1">
      <alignment horizontal="right"/>
    </xf>
    <xf numFmtId="169" fontId="7542" fillId="0" borderId="7113" xfId="0" applyNumberFormat="1" applyFont="1" applyBorder="1" applyAlignment="1">
      <alignment horizontal="right"/>
    </xf>
    <xf numFmtId="169" fontId="7543" fillId="0" borderId="7114" xfId="0" applyNumberFormat="1" applyFont="1" applyBorder="1" applyAlignment="1">
      <alignment horizontal="right"/>
    </xf>
    <xf numFmtId="169" fontId="7544" fillId="0" borderId="7115" xfId="0" applyNumberFormat="1" applyFont="1" applyBorder="1" applyAlignment="1">
      <alignment horizontal="right"/>
    </xf>
    <xf numFmtId="169" fontId="7545" fillId="0" borderId="7116" xfId="0" applyNumberFormat="1" applyFont="1" applyBorder="1" applyAlignment="1">
      <alignment horizontal="right"/>
    </xf>
    <xf numFmtId="0" fontId="7546" fillId="0" borderId="7117" xfId="0" applyFont="1" applyBorder="1" applyAlignment="1">
      <alignment horizontal="left"/>
    </xf>
    <xf numFmtId="169" fontId="7547" fillId="0" borderId="7118" xfId="0" applyNumberFormat="1" applyFont="1" applyBorder="1" applyAlignment="1">
      <alignment horizontal="right"/>
    </xf>
    <xf numFmtId="169" fontId="7548" fillId="0" borderId="7119" xfId="0" applyNumberFormat="1" applyFont="1" applyBorder="1" applyAlignment="1">
      <alignment horizontal="right"/>
    </xf>
    <xf numFmtId="169" fontId="7549" fillId="0" borderId="7120" xfId="0" applyNumberFormat="1" applyFont="1" applyBorder="1" applyAlignment="1">
      <alignment horizontal="right"/>
    </xf>
    <xf numFmtId="169" fontId="7550" fillId="0" borderId="7121" xfId="0" applyNumberFormat="1" applyFont="1" applyBorder="1" applyAlignment="1">
      <alignment horizontal="right"/>
    </xf>
    <xf numFmtId="169" fontId="7551" fillId="0" borderId="7122" xfId="0" applyNumberFormat="1" applyFont="1" applyBorder="1" applyAlignment="1">
      <alignment horizontal="right"/>
    </xf>
    <xf numFmtId="169" fontId="7552" fillId="0" borderId="7123" xfId="0" applyNumberFormat="1" applyFont="1" applyBorder="1" applyAlignment="1">
      <alignment horizontal="right"/>
    </xf>
    <xf numFmtId="0" fontId="7553" fillId="0" borderId="7124" xfId="0" applyFont="1" applyBorder="1" applyAlignment="1">
      <alignment horizontal="left"/>
    </xf>
    <xf numFmtId="169" fontId="7554" fillId="0" borderId="7125" xfId="0" applyNumberFormat="1" applyFont="1" applyBorder="1" applyAlignment="1">
      <alignment horizontal="right"/>
    </xf>
    <xf numFmtId="169" fontId="7555" fillId="0" borderId="7126" xfId="0" applyNumberFormat="1" applyFont="1" applyBorder="1" applyAlignment="1">
      <alignment horizontal="right"/>
    </xf>
    <xf numFmtId="169" fontId="7556" fillId="0" borderId="7127" xfId="0" applyNumberFormat="1" applyFont="1" applyBorder="1" applyAlignment="1">
      <alignment horizontal="right"/>
    </xf>
    <xf numFmtId="169" fontId="7557" fillId="0" borderId="7128" xfId="0" applyNumberFormat="1" applyFont="1" applyBorder="1" applyAlignment="1">
      <alignment horizontal="right"/>
    </xf>
    <xf numFmtId="169" fontId="7558" fillId="0" borderId="7129" xfId="0" applyNumberFormat="1" applyFont="1" applyBorder="1" applyAlignment="1">
      <alignment horizontal="right"/>
    </xf>
    <xf numFmtId="169" fontId="7559" fillId="0" borderId="7130" xfId="0" applyNumberFormat="1" applyFont="1" applyBorder="1" applyAlignment="1">
      <alignment horizontal="right"/>
    </xf>
    <xf numFmtId="0" fontId="7560" fillId="0" borderId="7131" xfId="0" applyFont="1" applyBorder="1" applyAlignment="1">
      <alignment horizontal="left"/>
    </xf>
    <xf numFmtId="169" fontId="7561" fillId="0" borderId="7132" xfId="0" applyNumberFormat="1" applyFont="1" applyBorder="1" applyAlignment="1">
      <alignment horizontal="right"/>
    </xf>
    <xf numFmtId="169" fontId="7562" fillId="0" borderId="7133" xfId="0" applyNumberFormat="1" applyFont="1" applyBorder="1" applyAlignment="1">
      <alignment horizontal="right"/>
    </xf>
    <xf numFmtId="169" fontId="7563" fillId="0" borderId="7134" xfId="0" applyNumberFormat="1" applyFont="1" applyBorder="1" applyAlignment="1">
      <alignment horizontal="right"/>
    </xf>
    <xf numFmtId="169" fontId="7564" fillId="0" borderId="7135" xfId="0" applyNumberFormat="1" applyFont="1" applyBorder="1" applyAlignment="1">
      <alignment horizontal="right"/>
    </xf>
    <xf numFmtId="169" fontId="7565" fillId="0" borderId="7136" xfId="0" applyNumberFormat="1" applyFont="1" applyBorder="1" applyAlignment="1">
      <alignment horizontal="right"/>
    </xf>
    <xf numFmtId="169" fontId="7566" fillId="0" borderId="7137" xfId="0" applyNumberFormat="1" applyFont="1" applyBorder="1" applyAlignment="1">
      <alignment horizontal="right"/>
    </xf>
    <xf numFmtId="0" fontId="7567" fillId="0" borderId="7138" xfId="0" applyFont="1" applyBorder="1" applyAlignment="1">
      <alignment horizontal="left"/>
    </xf>
    <xf numFmtId="169" fontId="7568" fillId="0" borderId="7139" xfId="0" applyNumberFormat="1" applyFont="1" applyBorder="1" applyAlignment="1">
      <alignment horizontal="right"/>
    </xf>
    <xf numFmtId="169" fontId="7569" fillId="0" borderId="7140" xfId="0" applyNumberFormat="1" applyFont="1" applyBorder="1" applyAlignment="1">
      <alignment horizontal="right"/>
    </xf>
    <xf numFmtId="169" fontId="7570" fillId="0" borderId="7141" xfId="0" applyNumberFormat="1" applyFont="1" applyBorder="1" applyAlignment="1">
      <alignment horizontal="right"/>
    </xf>
    <xf numFmtId="169" fontId="7571" fillId="0" borderId="7142" xfId="0" applyNumberFormat="1" applyFont="1" applyBorder="1" applyAlignment="1">
      <alignment horizontal="right"/>
    </xf>
    <xf numFmtId="169" fontId="7572" fillId="0" borderId="7143" xfId="0" applyNumberFormat="1" applyFont="1" applyBorder="1" applyAlignment="1">
      <alignment horizontal="right"/>
    </xf>
    <xf numFmtId="169" fontId="7573" fillId="0" borderId="7144" xfId="0" applyNumberFormat="1" applyFont="1" applyBorder="1" applyAlignment="1">
      <alignment horizontal="right"/>
    </xf>
    <xf numFmtId="0" fontId="7574" fillId="0" borderId="7145" xfId="0" applyFont="1" applyBorder="1"/>
    <xf numFmtId="1" fontId="7578" fillId="0" borderId="7149" xfId="0" applyNumberFormat="1" applyFont="1" applyBorder="1" applyAlignment="1">
      <alignment horizontal="center"/>
    </xf>
    <xf numFmtId="1" fontId="7579" fillId="0" borderId="7150" xfId="0" applyNumberFormat="1" applyFont="1" applyBorder="1" applyAlignment="1">
      <alignment horizontal="right"/>
    </xf>
    <xf numFmtId="1" fontId="7580" fillId="0" borderId="7151" xfId="0" applyNumberFormat="1" applyFont="1" applyBorder="1" applyAlignment="1">
      <alignment horizontal="center"/>
    </xf>
    <xf numFmtId="0" fontId="7581" fillId="0" borderId="7152" xfId="0" applyFont="1" applyBorder="1"/>
    <xf numFmtId="1" fontId="7583" fillId="0" borderId="7154" xfId="0" applyNumberFormat="1" applyFont="1" applyBorder="1" applyAlignment="1">
      <alignment horizontal="right"/>
    </xf>
    <xf numFmtId="1" fontId="7584" fillId="0" borderId="7155" xfId="0" applyNumberFormat="1" applyFont="1" applyBorder="1" applyAlignment="1">
      <alignment horizontal="right"/>
    </xf>
    <xf numFmtId="0" fontId="7585" fillId="0" borderId="7156" xfId="0" applyFont="1" applyBorder="1"/>
    <xf numFmtId="1" fontId="7587" fillId="0" borderId="7158" xfId="0" applyNumberFormat="1" applyFont="1" applyBorder="1" applyAlignment="1">
      <alignment horizontal="center"/>
    </xf>
    <xf numFmtId="0" fontId="7588" fillId="0" borderId="7159" xfId="0" applyFont="1" applyBorder="1"/>
    <xf numFmtId="1" fontId="7589" fillId="0" borderId="7160" xfId="0" applyNumberFormat="1" applyFont="1" applyBorder="1" applyAlignment="1">
      <alignment horizontal="right"/>
    </xf>
    <xf numFmtId="1" fontId="7590" fillId="0" borderId="7161" xfId="0" applyNumberFormat="1" applyFont="1" applyBorder="1" applyAlignment="1">
      <alignment horizontal="right"/>
    </xf>
    <xf numFmtId="1" fontId="7591" fillId="0" borderId="7162" xfId="0" applyNumberFormat="1" applyFont="1" applyBorder="1" applyAlignment="1">
      <alignment horizontal="right"/>
    </xf>
    <xf numFmtId="1" fontId="7592" fillId="0" borderId="7163" xfId="0" applyNumberFormat="1" applyFont="1" applyBorder="1" applyAlignment="1">
      <alignment horizontal="right"/>
    </xf>
    <xf numFmtId="0" fontId="7593" fillId="0" borderId="7164" xfId="0" applyFont="1" applyBorder="1" applyAlignment="1">
      <alignment horizontal="left"/>
    </xf>
    <xf numFmtId="1" fontId="7594" fillId="0" borderId="7165" xfId="0" applyNumberFormat="1" applyFont="1" applyBorder="1"/>
    <xf numFmtId="1" fontId="7595" fillId="0" borderId="7166" xfId="0" applyNumberFormat="1" applyFont="1" applyBorder="1"/>
    <xf numFmtId="1" fontId="7596" fillId="0" borderId="7167" xfId="0" applyNumberFormat="1" applyFont="1" applyBorder="1"/>
    <xf numFmtId="1" fontId="7597" fillId="0" borderId="7168" xfId="0" applyNumberFormat="1" applyFont="1" applyBorder="1"/>
    <xf numFmtId="1" fontId="7598" fillId="0" borderId="7169" xfId="0" applyNumberFormat="1" applyFont="1" applyBorder="1"/>
    <xf numFmtId="1" fontId="7599" fillId="0" borderId="7170" xfId="0" applyNumberFormat="1" applyFont="1" applyBorder="1"/>
    <xf numFmtId="0" fontId="7600" fillId="0" borderId="7171" xfId="0" applyFont="1" applyBorder="1" applyAlignment="1">
      <alignment horizontal="left"/>
    </xf>
    <xf numFmtId="169" fontId="7601" fillId="0" borderId="7172" xfId="0" applyNumberFormat="1" applyFont="1" applyBorder="1" applyAlignment="1">
      <alignment horizontal="right"/>
    </xf>
    <xf numFmtId="169" fontId="7602" fillId="0" borderId="7173" xfId="0" applyNumberFormat="1" applyFont="1" applyBorder="1" applyAlignment="1">
      <alignment horizontal="right"/>
    </xf>
    <xf numFmtId="169" fontId="7603" fillId="0" borderId="7174" xfId="0" applyNumberFormat="1" applyFont="1" applyBorder="1" applyAlignment="1">
      <alignment horizontal="right"/>
    </xf>
    <xf numFmtId="169" fontId="7604" fillId="0" borderId="7175" xfId="0" applyNumberFormat="1" applyFont="1" applyBorder="1" applyAlignment="1">
      <alignment horizontal="right"/>
    </xf>
    <xf numFmtId="169" fontId="7605" fillId="0" borderId="7176" xfId="0" applyNumberFormat="1" applyFont="1" applyBorder="1" applyAlignment="1">
      <alignment horizontal="right"/>
    </xf>
    <xf numFmtId="169" fontId="7606" fillId="0" borderId="7177" xfId="0" applyNumberFormat="1" applyFont="1" applyBorder="1" applyAlignment="1">
      <alignment horizontal="right"/>
    </xf>
    <xf numFmtId="0" fontId="7607" fillId="0" borderId="7178" xfId="0" applyFont="1" applyBorder="1" applyAlignment="1">
      <alignment horizontal="left"/>
    </xf>
    <xf numFmtId="169" fontId="7608" fillId="0" borderId="7179" xfId="0" applyNumberFormat="1" applyFont="1" applyBorder="1" applyAlignment="1">
      <alignment horizontal="right"/>
    </xf>
    <xf numFmtId="169" fontId="7609" fillId="0" borderId="7180" xfId="0" applyNumberFormat="1" applyFont="1" applyBorder="1" applyAlignment="1">
      <alignment horizontal="right"/>
    </xf>
    <xf numFmtId="169" fontId="7610" fillId="0" borderId="7181" xfId="0" applyNumberFormat="1" applyFont="1" applyBorder="1" applyAlignment="1">
      <alignment horizontal="right"/>
    </xf>
    <xf numFmtId="169" fontId="7611" fillId="0" borderId="7182" xfId="0" applyNumberFormat="1" applyFont="1" applyBorder="1" applyAlignment="1">
      <alignment horizontal="right"/>
    </xf>
    <xf numFmtId="169" fontId="7612" fillId="0" borderId="7183" xfId="0" applyNumberFormat="1" applyFont="1" applyBorder="1" applyAlignment="1">
      <alignment horizontal="right"/>
    </xf>
    <xf numFmtId="169" fontId="7613" fillId="0" borderId="7184" xfId="0" applyNumberFormat="1" applyFont="1" applyBorder="1" applyAlignment="1">
      <alignment horizontal="right"/>
    </xf>
    <xf numFmtId="0" fontId="7614" fillId="0" borderId="7185" xfId="0" applyFont="1" applyBorder="1" applyAlignment="1">
      <alignment horizontal="left"/>
    </xf>
    <xf numFmtId="169" fontId="7615" fillId="0" borderId="7186" xfId="0" applyNumberFormat="1" applyFont="1" applyBorder="1" applyAlignment="1">
      <alignment horizontal="right"/>
    </xf>
    <xf numFmtId="169" fontId="7616" fillId="0" borderId="7187" xfId="0" applyNumberFormat="1" applyFont="1" applyBorder="1" applyAlignment="1">
      <alignment horizontal="right"/>
    </xf>
    <xf numFmtId="169" fontId="7617" fillId="0" borderId="7188" xfId="0" applyNumberFormat="1" applyFont="1" applyBorder="1" applyAlignment="1">
      <alignment horizontal="right"/>
    </xf>
    <xf numFmtId="169" fontId="7618" fillId="0" borderId="7189" xfId="0" applyNumberFormat="1" applyFont="1" applyBorder="1" applyAlignment="1">
      <alignment horizontal="right"/>
    </xf>
    <xf numFmtId="169" fontId="7619" fillId="0" borderId="7190" xfId="0" applyNumberFormat="1" applyFont="1" applyBorder="1" applyAlignment="1">
      <alignment horizontal="right"/>
    </xf>
    <xf numFmtId="169" fontId="7620" fillId="0" borderId="7191" xfId="0" applyNumberFormat="1" applyFont="1" applyBorder="1" applyAlignment="1">
      <alignment horizontal="right"/>
    </xf>
    <xf numFmtId="0" fontId="7621" fillId="0" borderId="7192" xfId="0" applyFont="1" applyBorder="1" applyAlignment="1">
      <alignment horizontal="left"/>
    </xf>
    <xf numFmtId="169" fontId="7622" fillId="0" borderId="7193" xfId="0" applyNumberFormat="1" applyFont="1" applyBorder="1" applyAlignment="1">
      <alignment horizontal="right"/>
    </xf>
    <xf numFmtId="169" fontId="7623" fillId="0" borderId="7194" xfId="0" applyNumberFormat="1" applyFont="1" applyBorder="1" applyAlignment="1">
      <alignment horizontal="right"/>
    </xf>
    <xf numFmtId="169" fontId="7624" fillId="0" borderId="7195" xfId="0" applyNumberFormat="1" applyFont="1" applyBorder="1" applyAlignment="1">
      <alignment horizontal="right"/>
    </xf>
    <xf numFmtId="169" fontId="7625" fillId="0" borderId="7196" xfId="0" applyNumberFormat="1" applyFont="1" applyBorder="1" applyAlignment="1">
      <alignment horizontal="right"/>
    </xf>
    <xf numFmtId="169" fontId="7626" fillId="0" borderId="7197" xfId="0" applyNumberFormat="1" applyFont="1" applyBorder="1" applyAlignment="1">
      <alignment horizontal="right"/>
    </xf>
    <xf numFmtId="169" fontId="7627" fillId="0" borderId="7198" xfId="0" applyNumberFormat="1" applyFont="1" applyBorder="1" applyAlignment="1">
      <alignment horizontal="right"/>
    </xf>
    <xf numFmtId="0" fontId="7628" fillId="0" borderId="7199" xfId="0" applyFont="1" applyBorder="1" applyAlignment="1">
      <alignment horizontal="left"/>
    </xf>
    <xf numFmtId="169" fontId="7629" fillId="0" borderId="7200" xfId="0" applyNumberFormat="1" applyFont="1" applyBorder="1" applyAlignment="1">
      <alignment horizontal="right"/>
    </xf>
    <xf numFmtId="169" fontId="7630" fillId="0" borderId="7201" xfId="0" applyNumberFormat="1" applyFont="1" applyBorder="1" applyAlignment="1">
      <alignment horizontal="right"/>
    </xf>
    <xf numFmtId="169" fontId="7631" fillId="0" borderId="7202" xfId="0" applyNumberFormat="1" applyFont="1" applyBorder="1" applyAlignment="1">
      <alignment horizontal="right"/>
    </xf>
    <xf numFmtId="169" fontId="7632" fillId="0" borderId="7203" xfId="0" applyNumberFormat="1" applyFont="1" applyBorder="1" applyAlignment="1">
      <alignment horizontal="right"/>
    </xf>
    <xf numFmtId="169" fontId="7633" fillId="0" borderId="7204" xfId="0" applyNumberFormat="1" applyFont="1" applyBorder="1" applyAlignment="1">
      <alignment horizontal="right"/>
    </xf>
    <xf numFmtId="169" fontId="7634" fillId="0" borderId="7205" xfId="0" applyNumberFormat="1" applyFont="1" applyBorder="1" applyAlignment="1">
      <alignment horizontal="right"/>
    </xf>
    <xf numFmtId="0" fontId="7635" fillId="0" borderId="7206" xfId="0" applyFont="1" applyBorder="1" applyAlignment="1">
      <alignment horizontal="left"/>
    </xf>
    <xf numFmtId="169" fontId="7636" fillId="0" borderId="7207" xfId="0" applyNumberFormat="1" applyFont="1" applyBorder="1" applyAlignment="1">
      <alignment horizontal="right"/>
    </xf>
    <xf numFmtId="169" fontId="7637" fillId="0" borderId="7208" xfId="0" applyNumberFormat="1" applyFont="1" applyBorder="1" applyAlignment="1">
      <alignment horizontal="right"/>
    </xf>
    <xf numFmtId="169" fontId="7638" fillId="0" borderId="7209" xfId="0" applyNumberFormat="1" applyFont="1" applyBorder="1" applyAlignment="1">
      <alignment horizontal="right"/>
    </xf>
    <xf numFmtId="169" fontId="7639" fillId="0" borderId="7210" xfId="0" applyNumberFormat="1" applyFont="1" applyBorder="1" applyAlignment="1">
      <alignment horizontal="right"/>
    </xf>
    <xf numFmtId="169" fontId="7640" fillId="0" borderId="7211" xfId="0" applyNumberFormat="1" applyFont="1" applyBorder="1" applyAlignment="1">
      <alignment horizontal="right"/>
    </xf>
    <xf numFmtId="169" fontId="7641" fillId="0" borderId="7212" xfId="0" applyNumberFormat="1" applyFont="1" applyBorder="1" applyAlignment="1">
      <alignment horizontal="right"/>
    </xf>
    <xf numFmtId="0" fontId="7642" fillId="0" borderId="7213" xfId="0" applyFont="1" applyBorder="1" applyAlignment="1">
      <alignment horizontal="left"/>
    </xf>
    <xf numFmtId="169" fontId="7643" fillId="0" borderId="7214" xfId="0" applyNumberFormat="1" applyFont="1" applyBorder="1" applyAlignment="1">
      <alignment horizontal="right"/>
    </xf>
    <xf numFmtId="169" fontId="7644" fillId="0" borderId="7215" xfId="0" applyNumberFormat="1" applyFont="1" applyBorder="1" applyAlignment="1">
      <alignment horizontal="right"/>
    </xf>
    <xf numFmtId="169" fontId="7645" fillId="0" borderId="7216" xfId="0" applyNumberFormat="1" applyFont="1" applyBorder="1" applyAlignment="1">
      <alignment horizontal="right"/>
    </xf>
    <xf numFmtId="169" fontId="7646" fillId="0" borderId="7217" xfId="0" applyNumberFormat="1" applyFont="1" applyBorder="1" applyAlignment="1">
      <alignment horizontal="right"/>
    </xf>
    <xf numFmtId="169" fontId="7647" fillId="0" borderId="7218" xfId="0" applyNumberFormat="1" applyFont="1" applyBorder="1" applyAlignment="1">
      <alignment horizontal="right"/>
    </xf>
    <xf numFmtId="169" fontId="7648" fillId="0" borderId="7219" xfId="0" applyNumberFormat="1" applyFont="1" applyBorder="1" applyAlignment="1">
      <alignment horizontal="right"/>
    </xf>
    <xf numFmtId="0" fontId="7649" fillId="0" borderId="7220" xfId="0" applyFont="1" applyBorder="1" applyAlignment="1">
      <alignment horizontal="left"/>
    </xf>
    <xf numFmtId="169" fontId="7650" fillId="0" borderId="7221" xfId="0" applyNumberFormat="1" applyFont="1" applyBorder="1" applyAlignment="1">
      <alignment horizontal="right"/>
    </xf>
    <xf numFmtId="169" fontId="7651" fillId="0" borderId="7222" xfId="0" applyNumberFormat="1" applyFont="1" applyBorder="1" applyAlignment="1">
      <alignment horizontal="right"/>
    </xf>
    <xf numFmtId="169" fontId="7652" fillId="0" borderId="7223" xfId="0" applyNumberFormat="1" applyFont="1" applyBorder="1" applyAlignment="1">
      <alignment horizontal="right"/>
    </xf>
    <xf numFmtId="169" fontId="7653" fillId="0" borderId="7224" xfId="0" applyNumberFormat="1" applyFont="1" applyBorder="1" applyAlignment="1">
      <alignment horizontal="right"/>
    </xf>
    <xf numFmtId="169" fontId="7654" fillId="0" borderId="7225" xfId="0" applyNumberFormat="1" applyFont="1" applyBorder="1" applyAlignment="1">
      <alignment horizontal="right"/>
    </xf>
    <xf numFmtId="169" fontId="7655" fillId="0" borderId="7226" xfId="0" applyNumberFormat="1" applyFont="1" applyBorder="1" applyAlignment="1">
      <alignment horizontal="right"/>
    </xf>
    <xf numFmtId="0" fontId="7656" fillId="0" borderId="7227" xfId="0" applyFont="1" applyBorder="1" applyAlignment="1">
      <alignment horizontal="left"/>
    </xf>
    <xf numFmtId="169" fontId="7657" fillId="0" borderId="7228" xfId="0" applyNumberFormat="1" applyFont="1" applyBorder="1" applyAlignment="1">
      <alignment horizontal="right"/>
    </xf>
    <xf numFmtId="169" fontId="7658" fillId="0" borderId="7229" xfId="0" applyNumberFormat="1" applyFont="1" applyBorder="1" applyAlignment="1">
      <alignment horizontal="right"/>
    </xf>
    <xf numFmtId="169" fontId="7659" fillId="0" borderId="7230" xfId="0" applyNumberFormat="1" applyFont="1" applyBorder="1" applyAlignment="1">
      <alignment horizontal="right"/>
    </xf>
    <xf numFmtId="169" fontId="7660" fillId="0" borderId="7231" xfId="0" applyNumberFormat="1" applyFont="1" applyBorder="1" applyAlignment="1">
      <alignment horizontal="right"/>
    </xf>
    <xf numFmtId="169" fontId="7661" fillId="0" borderId="7232" xfId="0" applyNumberFormat="1" applyFont="1" applyBorder="1" applyAlignment="1">
      <alignment horizontal="right"/>
    </xf>
    <xf numFmtId="169" fontId="7662" fillId="0" borderId="7233" xfId="0" applyNumberFormat="1" applyFont="1" applyBorder="1" applyAlignment="1">
      <alignment horizontal="right"/>
    </xf>
    <xf numFmtId="0" fontId="7663" fillId="0" borderId="7234" xfId="0" applyFont="1" applyBorder="1" applyAlignment="1">
      <alignment horizontal="left"/>
    </xf>
    <xf numFmtId="169" fontId="7664" fillId="0" borderId="7235" xfId="0" applyNumberFormat="1" applyFont="1" applyBorder="1" applyAlignment="1">
      <alignment horizontal="right"/>
    </xf>
    <xf numFmtId="169" fontId="7665" fillId="0" borderId="7236" xfId="0" applyNumberFormat="1" applyFont="1" applyBorder="1" applyAlignment="1">
      <alignment horizontal="right"/>
    </xf>
    <xf numFmtId="169" fontId="7666" fillId="0" borderId="7237" xfId="0" applyNumberFormat="1" applyFont="1" applyBorder="1" applyAlignment="1">
      <alignment horizontal="right"/>
    </xf>
    <xf numFmtId="169" fontId="7667" fillId="0" borderId="7238" xfId="0" applyNumberFormat="1" applyFont="1" applyBorder="1" applyAlignment="1">
      <alignment horizontal="right"/>
    </xf>
    <xf numFmtId="169" fontId="7668" fillId="0" borderId="7239" xfId="0" applyNumberFormat="1" applyFont="1" applyBorder="1" applyAlignment="1">
      <alignment horizontal="right"/>
    </xf>
    <xf numFmtId="169" fontId="7669" fillId="0" borderId="7240" xfId="0" applyNumberFormat="1" applyFont="1" applyBorder="1" applyAlignment="1">
      <alignment horizontal="right"/>
    </xf>
    <xf numFmtId="0" fontId="7670" fillId="0" borderId="7241" xfId="0" applyFont="1" applyBorder="1" applyAlignment="1">
      <alignment horizontal="left"/>
    </xf>
    <xf numFmtId="169" fontId="7671" fillId="0" borderId="7242" xfId="0" applyNumberFormat="1" applyFont="1" applyBorder="1" applyAlignment="1">
      <alignment horizontal="right"/>
    </xf>
    <xf numFmtId="169" fontId="7672" fillId="0" borderId="7243" xfId="0" applyNumberFormat="1" applyFont="1" applyBorder="1" applyAlignment="1">
      <alignment horizontal="right"/>
    </xf>
    <xf numFmtId="169" fontId="7673" fillId="0" borderId="7244" xfId="0" applyNumberFormat="1" applyFont="1" applyBorder="1" applyAlignment="1">
      <alignment horizontal="right"/>
    </xf>
    <xf numFmtId="169" fontId="7674" fillId="0" borderId="7245" xfId="0" applyNumberFormat="1" applyFont="1" applyBorder="1" applyAlignment="1">
      <alignment horizontal="right"/>
    </xf>
    <xf numFmtId="169" fontId="7675" fillId="0" borderId="7246" xfId="0" applyNumberFormat="1" applyFont="1" applyBorder="1" applyAlignment="1">
      <alignment horizontal="right"/>
    </xf>
    <xf numFmtId="169" fontId="7676" fillId="0" borderId="7247" xfId="0" applyNumberFormat="1" applyFont="1" applyBorder="1" applyAlignment="1">
      <alignment horizontal="right"/>
    </xf>
    <xf numFmtId="0" fontId="7677" fillId="0" borderId="7248" xfId="0" applyFont="1" applyBorder="1" applyAlignment="1">
      <alignment horizontal="left"/>
    </xf>
    <xf numFmtId="169" fontId="7678" fillId="0" borderId="7249" xfId="0" applyNumberFormat="1" applyFont="1" applyBorder="1" applyAlignment="1">
      <alignment horizontal="right"/>
    </xf>
    <xf numFmtId="169" fontId="7679" fillId="0" borderId="7250" xfId="0" applyNumberFormat="1" applyFont="1" applyBorder="1" applyAlignment="1">
      <alignment horizontal="right"/>
    </xf>
    <xf numFmtId="169" fontId="7680" fillId="0" borderId="7251" xfId="0" applyNumberFormat="1" applyFont="1" applyBorder="1" applyAlignment="1">
      <alignment horizontal="right"/>
    </xf>
    <xf numFmtId="169" fontId="7681" fillId="0" borderId="7252" xfId="0" applyNumberFormat="1" applyFont="1" applyBorder="1" applyAlignment="1">
      <alignment horizontal="right"/>
    </xf>
    <xf numFmtId="169" fontId="7682" fillId="0" borderId="7253" xfId="0" applyNumberFormat="1" applyFont="1" applyBorder="1" applyAlignment="1">
      <alignment horizontal="right"/>
    </xf>
    <xf numFmtId="169" fontId="7683" fillId="0" borderId="7254" xfId="0" applyNumberFormat="1" applyFont="1" applyBorder="1" applyAlignment="1">
      <alignment horizontal="right"/>
    </xf>
    <xf numFmtId="0" fontId="7684" fillId="0" borderId="7255" xfId="0" applyFont="1" applyBorder="1" applyAlignment="1">
      <alignment horizontal="left"/>
    </xf>
    <xf numFmtId="169" fontId="7685" fillId="0" borderId="7256" xfId="0" applyNumberFormat="1" applyFont="1" applyBorder="1" applyAlignment="1">
      <alignment horizontal="right"/>
    </xf>
    <xf numFmtId="169" fontId="7686" fillId="0" borderId="7257" xfId="0" applyNumberFormat="1" applyFont="1" applyBorder="1" applyAlignment="1">
      <alignment horizontal="right"/>
    </xf>
    <xf numFmtId="169" fontId="7687" fillId="0" borderId="7258" xfId="0" applyNumberFormat="1" applyFont="1" applyBorder="1" applyAlignment="1">
      <alignment horizontal="right"/>
    </xf>
    <xf numFmtId="169" fontId="7688" fillId="0" borderId="7259" xfId="0" applyNumberFormat="1" applyFont="1" applyBorder="1" applyAlignment="1">
      <alignment horizontal="right"/>
    </xf>
    <xf numFmtId="169" fontId="7689" fillId="0" borderId="7260" xfId="0" applyNumberFormat="1" applyFont="1" applyBorder="1" applyAlignment="1">
      <alignment horizontal="right"/>
    </xf>
    <xf numFmtId="169" fontId="7690" fillId="0" borderId="7261" xfId="0" applyNumberFormat="1" applyFont="1" applyBorder="1" applyAlignment="1">
      <alignment horizontal="right"/>
    </xf>
    <xf numFmtId="0" fontId="7691" fillId="34" borderId="7262" xfId="0" applyFont="1" applyFill="1" applyBorder="1" applyAlignment="1">
      <alignment horizontal="left"/>
    </xf>
    <xf numFmtId="169" fontId="7692" fillId="35" borderId="7263" xfId="0" applyNumberFormat="1" applyFont="1" applyFill="1" applyBorder="1" applyAlignment="1">
      <alignment horizontal="right"/>
    </xf>
    <xf numFmtId="169" fontId="7693" fillId="36" borderId="7264" xfId="0" applyNumberFormat="1" applyFont="1" applyFill="1" applyBorder="1" applyAlignment="1">
      <alignment horizontal="right"/>
    </xf>
    <xf numFmtId="169" fontId="7694" fillId="37" borderId="7265" xfId="0" applyNumberFormat="1" applyFont="1" applyFill="1" applyBorder="1" applyAlignment="1">
      <alignment horizontal="right"/>
    </xf>
    <xf numFmtId="169" fontId="7695" fillId="38" borderId="7266" xfId="0" applyNumberFormat="1" applyFont="1" applyFill="1" applyBorder="1" applyAlignment="1">
      <alignment horizontal="right"/>
    </xf>
    <xf numFmtId="169" fontId="7696" fillId="39" borderId="7267" xfId="0" applyNumberFormat="1" applyFont="1" applyFill="1" applyBorder="1" applyAlignment="1">
      <alignment horizontal="right"/>
    </xf>
    <xf numFmtId="169" fontId="7697" fillId="40" borderId="7268" xfId="0" applyNumberFormat="1" applyFont="1" applyFill="1" applyBorder="1" applyAlignment="1">
      <alignment horizontal="right"/>
    </xf>
    <xf numFmtId="0" fontId="7698" fillId="41" borderId="7269" xfId="0" applyFont="1" applyFill="1" applyBorder="1" applyAlignment="1">
      <alignment horizontal="left"/>
    </xf>
    <xf numFmtId="169" fontId="7699" fillId="42" borderId="7270" xfId="0" applyNumberFormat="1" applyFont="1" applyFill="1" applyBorder="1" applyAlignment="1">
      <alignment horizontal="right"/>
    </xf>
    <xf numFmtId="169" fontId="7700" fillId="43" borderId="7271" xfId="0" applyNumberFormat="1" applyFont="1" applyFill="1" applyBorder="1" applyAlignment="1">
      <alignment horizontal="right"/>
    </xf>
    <xf numFmtId="169" fontId="7701" fillId="44" borderId="7272" xfId="0" applyNumberFormat="1" applyFont="1" applyFill="1" applyBorder="1" applyAlignment="1">
      <alignment horizontal="right"/>
    </xf>
    <xf numFmtId="169" fontId="7702" fillId="45" borderId="7273" xfId="0" applyNumberFormat="1" applyFont="1" applyFill="1" applyBorder="1" applyAlignment="1">
      <alignment horizontal="right"/>
    </xf>
    <xf numFmtId="169" fontId="7703" fillId="46" borderId="7274" xfId="0" applyNumberFormat="1" applyFont="1" applyFill="1" applyBorder="1" applyAlignment="1">
      <alignment horizontal="right"/>
    </xf>
    <xf numFmtId="169" fontId="7704" fillId="47" borderId="7275" xfId="0" applyNumberFormat="1" applyFont="1" applyFill="1" applyBorder="1" applyAlignment="1">
      <alignment horizontal="right"/>
    </xf>
    <xf numFmtId="0" fontId="7705" fillId="0" borderId="7276" xfId="0" applyFont="1" applyBorder="1" applyAlignment="1">
      <alignment horizontal="left"/>
    </xf>
    <xf numFmtId="169" fontId="7706" fillId="0" borderId="7277" xfId="0" applyNumberFormat="1" applyFont="1" applyBorder="1" applyAlignment="1">
      <alignment horizontal="right"/>
    </xf>
    <xf numFmtId="169" fontId="7707" fillId="0" borderId="7278" xfId="0" applyNumberFormat="1" applyFont="1" applyBorder="1" applyAlignment="1">
      <alignment horizontal="right"/>
    </xf>
    <xf numFmtId="169" fontId="7708" fillId="0" borderId="7279" xfId="0" applyNumberFormat="1" applyFont="1" applyBorder="1" applyAlignment="1">
      <alignment horizontal="right"/>
    </xf>
    <xf numFmtId="169" fontId="7709" fillId="0" borderId="7280" xfId="0" applyNumberFormat="1" applyFont="1" applyBorder="1" applyAlignment="1">
      <alignment horizontal="right"/>
    </xf>
    <xf numFmtId="169" fontId="7710" fillId="0" borderId="7281" xfId="0" applyNumberFormat="1" applyFont="1" applyBorder="1" applyAlignment="1">
      <alignment horizontal="right"/>
    </xf>
    <xf numFmtId="169" fontId="7711" fillId="0" borderId="7282" xfId="0" applyNumberFormat="1" applyFont="1" applyBorder="1" applyAlignment="1">
      <alignment horizontal="right"/>
    </xf>
    <xf numFmtId="0" fontId="7712" fillId="0" borderId="7283" xfId="0" applyFont="1" applyBorder="1"/>
    <xf numFmtId="1" fontId="7716" fillId="0" borderId="7287" xfId="0" applyNumberFormat="1" applyFont="1" applyBorder="1" applyAlignment="1">
      <alignment horizontal="center"/>
    </xf>
    <xf numFmtId="1" fontId="7717" fillId="0" borderId="7288" xfId="0" applyNumberFormat="1" applyFont="1" applyBorder="1" applyAlignment="1">
      <alignment horizontal="right"/>
    </xf>
    <xf numFmtId="1" fontId="7718" fillId="0" borderId="7289" xfId="0" applyNumberFormat="1" applyFont="1" applyBorder="1" applyAlignment="1">
      <alignment horizontal="center"/>
    </xf>
    <xf numFmtId="0" fontId="7719" fillId="0" borderId="7290" xfId="0" applyFont="1" applyBorder="1"/>
    <xf numFmtId="1" fontId="7721" fillId="0" borderId="7292" xfId="0" applyNumberFormat="1" applyFont="1" applyBorder="1" applyAlignment="1">
      <alignment horizontal="right"/>
    </xf>
    <xf numFmtId="1" fontId="7722" fillId="0" borderId="7293" xfId="0" applyNumberFormat="1" applyFont="1" applyBorder="1" applyAlignment="1">
      <alignment horizontal="right"/>
    </xf>
    <xf numFmtId="0" fontId="7723" fillId="0" borderId="7294" xfId="0" applyFont="1" applyBorder="1"/>
    <xf numFmtId="1" fontId="7725" fillId="0" borderId="7296" xfId="0" applyNumberFormat="1" applyFont="1" applyBorder="1" applyAlignment="1">
      <alignment horizontal="center"/>
    </xf>
    <xf numFmtId="0" fontId="7726" fillId="0" borderId="7297" xfId="0" applyFont="1" applyBorder="1"/>
    <xf numFmtId="1" fontId="7727" fillId="0" borderId="7298" xfId="0" applyNumberFormat="1" applyFont="1" applyBorder="1" applyAlignment="1">
      <alignment horizontal="right"/>
    </xf>
    <xf numFmtId="1" fontId="7728" fillId="0" borderId="7299" xfId="0" applyNumberFormat="1" applyFont="1" applyBorder="1" applyAlignment="1">
      <alignment horizontal="right"/>
    </xf>
    <xf numFmtId="1" fontId="7729" fillId="0" borderId="7300" xfId="0" applyNumberFormat="1" applyFont="1" applyBorder="1" applyAlignment="1">
      <alignment horizontal="right"/>
    </xf>
    <xf numFmtId="1" fontId="7730" fillId="0" borderId="7301" xfId="0" applyNumberFormat="1" applyFont="1" applyBorder="1" applyAlignment="1">
      <alignment horizontal="right"/>
    </xf>
    <xf numFmtId="0" fontId="7731" fillId="0" borderId="7302" xfId="0" applyFont="1" applyBorder="1" applyAlignment="1">
      <alignment horizontal="left"/>
    </xf>
    <xf numFmtId="1" fontId="7732" fillId="0" borderId="7303" xfId="0" applyNumberFormat="1" applyFont="1" applyBorder="1"/>
    <xf numFmtId="1" fontId="7733" fillId="0" borderId="7304" xfId="0" applyNumberFormat="1" applyFont="1" applyBorder="1"/>
    <xf numFmtId="1" fontId="7734" fillId="0" borderId="7305" xfId="0" applyNumberFormat="1" applyFont="1" applyBorder="1"/>
    <xf numFmtId="1" fontId="7735" fillId="0" borderId="7306" xfId="0" applyNumberFormat="1" applyFont="1" applyBorder="1"/>
    <xf numFmtId="1" fontId="7736" fillId="0" borderId="7307" xfId="0" applyNumberFormat="1" applyFont="1" applyBorder="1"/>
    <xf numFmtId="1" fontId="7737" fillId="0" borderId="7308" xfId="0" applyNumberFormat="1" applyFont="1" applyBorder="1"/>
    <xf numFmtId="0" fontId="7738" fillId="0" borderId="7309" xfId="0" applyFont="1" applyBorder="1" applyAlignment="1">
      <alignment horizontal="left"/>
    </xf>
    <xf numFmtId="169" fontId="7739" fillId="0" borderId="7310" xfId="0" applyNumberFormat="1" applyFont="1" applyBorder="1" applyAlignment="1">
      <alignment horizontal="right"/>
    </xf>
    <xf numFmtId="169" fontId="7740" fillId="0" borderId="7311" xfId="0" applyNumberFormat="1" applyFont="1" applyBorder="1" applyAlignment="1">
      <alignment horizontal="right"/>
    </xf>
    <xf numFmtId="169" fontId="7741" fillId="0" borderId="7312" xfId="0" applyNumberFormat="1" applyFont="1" applyBorder="1" applyAlignment="1">
      <alignment horizontal="right"/>
    </xf>
    <xf numFmtId="169" fontId="7742" fillId="0" borderId="7313" xfId="0" applyNumberFormat="1" applyFont="1" applyBorder="1" applyAlignment="1">
      <alignment horizontal="right"/>
    </xf>
    <xf numFmtId="169" fontId="7743" fillId="0" borderId="7314" xfId="0" applyNumberFormat="1" applyFont="1" applyBorder="1" applyAlignment="1">
      <alignment horizontal="right"/>
    </xf>
    <xf numFmtId="169" fontId="7744" fillId="0" borderId="7315" xfId="0" applyNumberFormat="1" applyFont="1" applyBorder="1" applyAlignment="1">
      <alignment horizontal="right"/>
    </xf>
    <xf numFmtId="0" fontId="7745" fillId="0" borderId="7316" xfId="0" applyFont="1" applyBorder="1" applyAlignment="1">
      <alignment horizontal="left"/>
    </xf>
    <xf numFmtId="169" fontId="7746" fillId="0" borderId="7317" xfId="0" applyNumberFormat="1" applyFont="1" applyBorder="1" applyAlignment="1">
      <alignment horizontal="right"/>
    </xf>
    <xf numFmtId="169" fontId="7747" fillId="0" borderId="7318" xfId="0" applyNumberFormat="1" applyFont="1" applyBorder="1" applyAlignment="1">
      <alignment horizontal="right"/>
    </xf>
    <xf numFmtId="169" fontId="7748" fillId="0" borderId="7319" xfId="0" applyNumberFormat="1" applyFont="1" applyBorder="1" applyAlignment="1">
      <alignment horizontal="right"/>
    </xf>
    <xf numFmtId="169" fontId="7749" fillId="0" borderId="7320" xfId="0" applyNumberFormat="1" applyFont="1" applyBorder="1" applyAlignment="1">
      <alignment horizontal="right"/>
    </xf>
    <xf numFmtId="169" fontId="7750" fillId="0" borderId="7321" xfId="0" applyNumberFormat="1" applyFont="1" applyBorder="1" applyAlignment="1">
      <alignment horizontal="right"/>
    </xf>
    <xf numFmtId="169" fontId="7751" fillId="0" borderId="7322" xfId="0" applyNumberFormat="1" applyFont="1" applyBorder="1" applyAlignment="1">
      <alignment horizontal="right"/>
    </xf>
    <xf numFmtId="0" fontId="7752" fillId="0" borderId="7323" xfId="0" applyFont="1" applyBorder="1" applyAlignment="1">
      <alignment horizontal="left"/>
    </xf>
    <xf numFmtId="169" fontId="7753" fillId="0" borderId="7324" xfId="0" applyNumberFormat="1" applyFont="1" applyBorder="1" applyAlignment="1">
      <alignment horizontal="right"/>
    </xf>
    <xf numFmtId="169" fontId="7754" fillId="0" borderId="7325" xfId="0" applyNumberFormat="1" applyFont="1" applyBorder="1" applyAlignment="1">
      <alignment horizontal="right"/>
    </xf>
    <xf numFmtId="169" fontId="7755" fillId="0" borderId="7326" xfId="0" applyNumberFormat="1" applyFont="1" applyBorder="1" applyAlignment="1">
      <alignment horizontal="right"/>
    </xf>
    <xf numFmtId="169" fontId="7756" fillId="0" borderId="7327" xfId="0" applyNumberFormat="1" applyFont="1" applyBorder="1" applyAlignment="1">
      <alignment horizontal="right"/>
    </xf>
    <xf numFmtId="169" fontId="7757" fillId="0" borderId="7328" xfId="0" applyNumberFormat="1" applyFont="1" applyBorder="1" applyAlignment="1">
      <alignment horizontal="right"/>
    </xf>
    <xf numFmtId="169" fontId="7758" fillId="0" borderId="7329" xfId="0" applyNumberFormat="1" applyFont="1" applyBorder="1" applyAlignment="1">
      <alignment horizontal="right"/>
    </xf>
    <xf numFmtId="0" fontId="7759" fillId="0" borderId="7330" xfId="0" applyFont="1" applyBorder="1" applyAlignment="1">
      <alignment horizontal="left"/>
    </xf>
    <xf numFmtId="169" fontId="7760" fillId="0" borderId="7331" xfId="0" applyNumberFormat="1" applyFont="1" applyBorder="1" applyAlignment="1">
      <alignment horizontal="right"/>
    </xf>
    <xf numFmtId="169" fontId="7761" fillId="0" borderId="7332" xfId="0" applyNumberFormat="1" applyFont="1" applyBorder="1" applyAlignment="1">
      <alignment horizontal="right"/>
    </xf>
    <xf numFmtId="169" fontId="7762" fillId="0" borderId="7333" xfId="0" applyNumberFormat="1" applyFont="1" applyBorder="1" applyAlignment="1">
      <alignment horizontal="right"/>
    </xf>
    <xf numFmtId="169" fontId="7763" fillId="0" borderId="7334" xfId="0" applyNumberFormat="1" applyFont="1" applyBorder="1" applyAlignment="1">
      <alignment horizontal="right"/>
    </xf>
    <xf numFmtId="169" fontId="7764" fillId="0" borderId="7335" xfId="0" applyNumberFormat="1" applyFont="1" applyBorder="1" applyAlignment="1">
      <alignment horizontal="right"/>
    </xf>
    <xf numFmtId="169" fontId="7765" fillId="0" borderId="7336" xfId="0" applyNumberFormat="1" applyFont="1" applyBorder="1" applyAlignment="1">
      <alignment horizontal="right"/>
    </xf>
    <xf numFmtId="0" fontId="7766" fillId="0" borderId="7337" xfId="0" applyFont="1" applyBorder="1" applyAlignment="1">
      <alignment horizontal="left"/>
    </xf>
    <xf numFmtId="169" fontId="7767" fillId="0" borderId="7338" xfId="0" applyNumberFormat="1" applyFont="1" applyBorder="1" applyAlignment="1">
      <alignment horizontal="right"/>
    </xf>
    <xf numFmtId="169" fontId="7768" fillId="0" borderId="7339" xfId="0" applyNumberFormat="1" applyFont="1" applyBorder="1" applyAlignment="1">
      <alignment horizontal="right"/>
    </xf>
    <xf numFmtId="169" fontId="7769" fillId="0" borderId="7340" xfId="0" applyNumberFormat="1" applyFont="1" applyBorder="1" applyAlignment="1">
      <alignment horizontal="right"/>
    </xf>
    <xf numFmtId="169" fontId="7770" fillId="0" borderId="7341" xfId="0" applyNumberFormat="1" applyFont="1" applyBorder="1" applyAlignment="1">
      <alignment horizontal="right"/>
    </xf>
    <xf numFmtId="169" fontId="7771" fillId="0" borderId="7342" xfId="0" applyNumberFormat="1" applyFont="1" applyBorder="1" applyAlignment="1">
      <alignment horizontal="right"/>
    </xf>
    <xf numFmtId="169" fontId="7772" fillId="0" borderId="7343" xfId="0" applyNumberFormat="1" applyFont="1" applyBorder="1" applyAlignment="1">
      <alignment horizontal="right"/>
    </xf>
    <xf numFmtId="0" fontId="7773" fillId="0" borderId="7344" xfId="0" applyFont="1" applyBorder="1" applyAlignment="1">
      <alignment horizontal="left"/>
    </xf>
    <xf numFmtId="169" fontId="7774" fillId="0" borderId="7345" xfId="0" applyNumberFormat="1" applyFont="1" applyBorder="1" applyAlignment="1">
      <alignment horizontal="right"/>
    </xf>
    <xf numFmtId="169" fontId="7775" fillId="0" borderId="7346" xfId="0" applyNumberFormat="1" applyFont="1" applyBorder="1" applyAlignment="1">
      <alignment horizontal="right"/>
    </xf>
    <xf numFmtId="169" fontId="7776" fillId="0" borderId="7347" xfId="0" applyNumberFormat="1" applyFont="1" applyBorder="1" applyAlignment="1">
      <alignment horizontal="right"/>
    </xf>
    <xf numFmtId="169" fontId="7777" fillId="0" borderId="7348" xfId="0" applyNumberFormat="1" applyFont="1" applyBorder="1" applyAlignment="1">
      <alignment horizontal="right"/>
    </xf>
    <xf numFmtId="169" fontId="7778" fillId="0" borderId="7349" xfId="0" applyNumberFormat="1" applyFont="1" applyBorder="1" applyAlignment="1">
      <alignment horizontal="right"/>
    </xf>
    <xf numFmtId="169" fontId="7779" fillId="0" borderId="7350" xfId="0" applyNumberFormat="1" applyFont="1" applyBorder="1" applyAlignment="1">
      <alignment horizontal="right"/>
    </xf>
    <xf numFmtId="0" fontId="7780" fillId="0" borderId="7351" xfId="0" applyFont="1" applyBorder="1" applyAlignment="1">
      <alignment horizontal="left"/>
    </xf>
    <xf numFmtId="169" fontId="7781" fillId="0" borderId="7352" xfId="0" applyNumberFormat="1" applyFont="1" applyBorder="1" applyAlignment="1">
      <alignment horizontal="right"/>
    </xf>
    <xf numFmtId="169" fontId="7782" fillId="0" borderId="7353" xfId="0" applyNumberFormat="1" applyFont="1" applyBorder="1" applyAlignment="1">
      <alignment horizontal="right"/>
    </xf>
    <xf numFmtId="169" fontId="7783" fillId="0" borderId="7354" xfId="0" applyNumberFormat="1" applyFont="1" applyBorder="1" applyAlignment="1">
      <alignment horizontal="right"/>
    </xf>
    <xf numFmtId="169" fontId="7784" fillId="0" borderId="7355" xfId="0" applyNumberFormat="1" applyFont="1" applyBorder="1" applyAlignment="1">
      <alignment horizontal="right"/>
    </xf>
    <xf numFmtId="169" fontId="7785" fillId="0" borderId="7356" xfId="0" applyNumberFormat="1" applyFont="1" applyBorder="1" applyAlignment="1">
      <alignment horizontal="right"/>
    </xf>
    <xf numFmtId="169" fontId="7786" fillId="0" borderId="7357" xfId="0" applyNumberFormat="1" applyFont="1" applyBorder="1" applyAlignment="1">
      <alignment horizontal="right"/>
    </xf>
    <xf numFmtId="0" fontId="7787" fillId="0" borderId="7358" xfId="0" applyFont="1" applyBorder="1" applyAlignment="1">
      <alignment horizontal="left"/>
    </xf>
    <xf numFmtId="169" fontId="7788" fillId="0" borderId="7359" xfId="0" applyNumberFormat="1" applyFont="1" applyBorder="1" applyAlignment="1">
      <alignment horizontal="right"/>
    </xf>
    <xf numFmtId="169" fontId="7789" fillId="0" borderId="7360" xfId="0" applyNumberFormat="1" applyFont="1" applyBorder="1" applyAlignment="1">
      <alignment horizontal="right"/>
    </xf>
    <xf numFmtId="169" fontId="7790" fillId="0" borderId="7361" xfId="0" applyNumberFormat="1" applyFont="1" applyBorder="1" applyAlignment="1">
      <alignment horizontal="right"/>
    </xf>
    <xf numFmtId="169" fontId="7791" fillId="0" borderId="7362" xfId="0" applyNumberFormat="1" applyFont="1" applyBorder="1" applyAlignment="1">
      <alignment horizontal="right"/>
    </xf>
    <xf numFmtId="169" fontId="7792" fillId="0" borderId="7363" xfId="0" applyNumberFormat="1" applyFont="1" applyBorder="1" applyAlignment="1">
      <alignment horizontal="right"/>
    </xf>
    <xf numFmtId="169" fontId="7793" fillId="0" borderId="7364" xfId="0" applyNumberFormat="1" applyFont="1" applyBorder="1" applyAlignment="1">
      <alignment horizontal="right"/>
    </xf>
    <xf numFmtId="0" fontId="7794" fillId="0" borderId="7365" xfId="0" applyFont="1" applyBorder="1" applyAlignment="1">
      <alignment horizontal="left"/>
    </xf>
    <xf numFmtId="169" fontId="7795" fillId="0" borderId="7366" xfId="0" applyNumberFormat="1" applyFont="1" applyBorder="1" applyAlignment="1">
      <alignment horizontal="right"/>
    </xf>
    <xf numFmtId="169" fontId="7796" fillId="0" borderId="7367" xfId="0" applyNumberFormat="1" applyFont="1" applyBorder="1" applyAlignment="1">
      <alignment horizontal="right"/>
    </xf>
    <xf numFmtId="169" fontId="7797" fillId="0" borderId="7368" xfId="0" applyNumberFormat="1" applyFont="1" applyBorder="1" applyAlignment="1">
      <alignment horizontal="right"/>
    </xf>
    <xf numFmtId="169" fontId="7798" fillId="0" borderId="7369" xfId="0" applyNumberFormat="1" applyFont="1" applyBorder="1" applyAlignment="1">
      <alignment horizontal="right"/>
    </xf>
    <xf numFmtId="169" fontId="7799" fillId="0" borderId="7370" xfId="0" applyNumberFormat="1" applyFont="1" applyBorder="1" applyAlignment="1">
      <alignment horizontal="right"/>
    </xf>
    <xf numFmtId="169" fontId="7800" fillId="0" borderId="7371" xfId="0" applyNumberFormat="1" applyFont="1" applyBorder="1" applyAlignment="1">
      <alignment horizontal="right"/>
    </xf>
    <xf numFmtId="0" fontId="7801" fillId="0" borderId="7372" xfId="0" applyFont="1" applyBorder="1" applyAlignment="1">
      <alignment horizontal="left"/>
    </xf>
    <xf numFmtId="169" fontId="7802" fillId="0" borderId="7373" xfId="0" applyNumberFormat="1" applyFont="1" applyBorder="1" applyAlignment="1">
      <alignment horizontal="right"/>
    </xf>
    <xf numFmtId="169" fontId="7803" fillId="0" borderId="7374" xfId="0" applyNumberFormat="1" applyFont="1" applyBorder="1" applyAlignment="1">
      <alignment horizontal="right"/>
    </xf>
    <xf numFmtId="169" fontId="7804" fillId="0" borderId="7375" xfId="0" applyNumberFormat="1" applyFont="1" applyBorder="1" applyAlignment="1">
      <alignment horizontal="right"/>
    </xf>
    <xf numFmtId="169" fontId="7805" fillId="0" borderId="7376" xfId="0" applyNumberFormat="1" applyFont="1" applyBorder="1" applyAlignment="1">
      <alignment horizontal="right"/>
    </xf>
    <xf numFmtId="169" fontId="7806" fillId="0" borderId="7377" xfId="0" applyNumberFormat="1" applyFont="1" applyBorder="1" applyAlignment="1">
      <alignment horizontal="right"/>
    </xf>
    <xf numFmtId="169" fontId="7807" fillId="0" borderId="7378" xfId="0" applyNumberFormat="1" applyFont="1" applyBorder="1" applyAlignment="1">
      <alignment horizontal="right"/>
    </xf>
    <xf numFmtId="0" fontId="7808" fillId="0" borderId="7379" xfId="0" applyFont="1" applyBorder="1" applyAlignment="1">
      <alignment horizontal="left"/>
    </xf>
    <xf numFmtId="169" fontId="7809" fillId="0" borderId="7380" xfId="0" applyNumberFormat="1" applyFont="1" applyBorder="1" applyAlignment="1">
      <alignment horizontal="right"/>
    </xf>
    <xf numFmtId="169" fontId="7810" fillId="0" borderId="7381" xfId="0" applyNumberFormat="1" applyFont="1" applyBorder="1" applyAlignment="1">
      <alignment horizontal="right"/>
    </xf>
    <xf numFmtId="169" fontId="7811" fillId="0" borderId="7382" xfId="0" applyNumberFormat="1" applyFont="1" applyBorder="1" applyAlignment="1">
      <alignment horizontal="right"/>
    </xf>
    <xf numFmtId="169" fontId="7812" fillId="0" borderId="7383" xfId="0" applyNumberFormat="1" applyFont="1" applyBorder="1" applyAlignment="1">
      <alignment horizontal="right"/>
    </xf>
    <xf numFmtId="169" fontId="7813" fillId="0" borderId="7384" xfId="0" applyNumberFormat="1" applyFont="1" applyBorder="1" applyAlignment="1">
      <alignment horizontal="right"/>
    </xf>
    <xf numFmtId="169" fontId="7814" fillId="0" borderId="7385" xfId="0" applyNumberFormat="1" applyFont="1" applyBorder="1" applyAlignment="1">
      <alignment horizontal="right"/>
    </xf>
    <xf numFmtId="0" fontId="7815" fillId="0" borderId="7386" xfId="0" applyFont="1" applyBorder="1" applyAlignment="1">
      <alignment horizontal="left"/>
    </xf>
    <xf numFmtId="169" fontId="7816" fillId="0" borderId="7387" xfId="0" applyNumberFormat="1" applyFont="1" applyBorder="1" applyAlignment="1">
      <alignment horizontal="right"/>
    </xf>
    <xf numFmtId="169" fontId="7817" fillId="0" borderId="7388" xfId="0" applyNumberFormat="1" applyFont="1" applyBorder="1" applyAlignment="1">
      <alignment horizontal="right"/>
    </xf>
    <xf numFmtId="169" fontId="7818" fillId="0" borderId="7389" xfId="0" applyNumberFormat="1" applyFont="1" applyBorder="1" applyAlignment="1">
      <alignment horizontal="right"/>
    </xf>
    <xf numFmtId="169" fontId="7819" fillId="0" borderId="7390" xfId="0" applyNumberFormat="1" applyFont="1" applyBorder="1" applyAlignment="1">
      <alignment horizontal="right"/>
    </xf>
    <xf numFmtId="169" fontId="7820" fillId="0" borderId="7391" xfId="0" applyNumberFormat="1" applyFont="1" applyBorder="1" applyAlignment="1">
      <alignment horizontal="right"/>
    </xf>
    <xf numFmtId="169" fontId="7821" fillId="0" borderId="7392" xfId="0" applyNumberFormat="1" applyFont="1" applyBorder="1" applyAlignment="1">
      <alignment horizontal="right"/>
    </xf>
    <xf numFmtId="0" fontId="7822" fillId="0" borderId="7393" xfId="0" applyFont="1" applyBorder="1" applyAlignment="1">
      <alignment horizontal="left"/>
    </xf>
    <xf numFmtId="169" fontId="7823" fillId="0" borderId="7394" xfId="0" applyNumberFormat="1" applyFont="1" applyBorder="1" applyAlignment="1">
      <alignment horizontal="right"/>
    </xf>
    <xf numFmtId="169" fontId="7824" fillId="0" borderId="7395" xfId="0" applyNumberFormat="1" applyFont="1" applyBorder="1" applyAlignment="1">
      <alignment horizontal="right"/>
    </xf>
    <xf numFmtId="169" fontId="7825" fillId="0" borderId="7396" xfId="0" applyNumberFormat="1" applyFont="1" applyBorder="1" applyAlignment="1">
      <alignment horizontal="right"/>
    </xf>
    <xf numFmtId="169" fontId="7826" fillId="0" borderId="7397" xfId="0" applyNumberFormat="1" applyFont="1" applyBorder="1" applyAlignment="1">
      <alignment horizontal="right"/>
    </xf>
    <xf numFmtId="169" fontId="7827" fillId="0" borderId="7398" xfId="0" applyNumberFormat="1" applyFont="1" applyBorder="1" applyAlignment="1">
      <alignment horizontal="right"/>
    </xf>
    <xf numFmtId="169" fontId="7828" fillId="0" borderId="7399" xfId="0" applyNumberFormat="1" applyFont="1" applyBorder="1" applyAlignment="1">
      <alignment horizontal="right"/>
    </xf>
    <xf numFmtId="0" fontId="7829" fillId="0" borderId="7400" xfId="0" applyFont="1" applyBorder="1" applyAlignment="1">
      <alignment horizontal="left"/>
    </xf>
    <xf numFmtId="169" fontId="7830" fillId="0" borderId="7401" xfId="0" applyNumberFormat="1" applyFont="1" applyBorder="1" applyAlignment="1">
      <alignment horizontal="right"/>
    </xf>
    <xf numFmtId="169" fontId="7831" fillId="0" borderId="7402" xfId="0" applyNumberFormat="1" applyFont="1" applyBorder="1" applyAlignment="1">
      <alignment horizontal="right"/>
    </xf>
    <xf numFmtId="169" fontId="7832" fillId="0" borderId="7403" xfId="0" applyNumberFormat="1" applyFont="1" applyBorder="1" applyAlignment="1">
      <alignment horizontal="right"/>
    </xf>
    <xf numFmtId="169" fontId="7833" fillId="0" borderId="7404" xfId="0" applyNumberFormat="1" applyFont="1" applyBorder="1" applyAlignment="1">
      <alignment horizontal="right"/>
    </xf>
    <xf numFmtId="169" fontId="7834" fillId="0" borderId="7405" xfId="0" applyNumberFormat="1" applyFont="1" applyBorder="1" applyAlignment="1">
      <alignment horizontal="right"/>
    </xf>
    <xf numFmtId="169" fontId="7835" fillId="0" borderId="7406" xfId="0" applyNumberFormat="1" applyFont="1" applyBorder="1" applyAlignment="1">
      <alignment horizontal="right"/>
    </xf>
    <xf numFmtId="0" fontId="7836" fillId="0" borderId="7407" xfId="0" applyFont="1" applyBorder="1" applyAlignment="1">
      <alignment horizontal="left"/>
    </xf>
    <xf numFmtId="169" fontId="7837" fillId="0" borderId="7408" xfId="0" applyNumberFormat="1" applyFont="1" applyBorder="1" applyAlignment="1">
      <alignment horizontal="right"/>
    </xf>
    <xf numFmtId="169" fontId="7838" fillId="0" borderId="7409" xfId="0" applyNumberFormat="1" applyFont="1" applyBorder="1" applyAlignment="1">
      <alignment horizontal="right"/>
    </xf>
    <xf numFmtId="169" fontId="7839" fillId="0" borderId="7410" xfId="0" applyNumberFormat="1" applyFont="1" applyBorder="1" applyAlignment="1">
      <alignment horizontal="right"/>
    </xf>
    <xf numFmtId="169" fontId="7840" fillId="0" borderId="7411" xfId="0" applyNumberFormat="1" applyFont="1" applyBorder="1" applyAlignment="1">
      <alignment horizontal="right"/>
    </xf>
    <xf numFmtId="169" fontId="7841" fillId="0" borderId="7412" xfId="0" applyNumberFormat="1" applyFont="1" applyBorder="1" applyAlignment="1">
      <alignment horizontal="right"/>
    </xf>
    <xf numFmtId="169" fontId="7842" fillId="0" borderId="7413" xfId="0" applyNumberFormat="1" applyFont="1" applyBorder="1" applyAlignment="1">
      <alignment horizontal="right"/>
    </xf>
    <xf numFmtId="0" fontId="7843" fillId="0" borderId="7414" xfId="0" applyFont="1" applyBorder="1" applyAlignment="1">
      <alignment horizontal="left"/>
    </xf>
    <xf numFmtId="169" fontId="7844" fillId="0" borderId="7415" xfId="0" applyNumberFormat="1" applyFont="1" applyBorder="1" applyAlignment="1">
      <alignment horizontal="right"/>
    </xf>
    <xf numFmtId="169" fontId="7845" fillId="0" borderId="7416" xfId="0" applyNumberFormat="1" applyFont="1" applyBorder="1" applyAlignment="1">
      <alignment horizontal="right"/>
    </xf>
    <xf numFmtId="169" fontId="7846" fillId="0" borderId="7417" xfId="0" applyNumberFormat="1" applyFont="1" applyBorder="1" applyAlignment="1">
      <alignment horizontal="right"/>
    </xf>
    <xf numFmtId="169" fontId="7847" fillId="0" borderId="7418" xfId="0" applyNumberFormat="1" applyFont="1" applyBorder="1" applyAlignment="1">
      <alignment horizontal="right"/>
    </xf>
    <xf numFmtId="169" fontId="7848" fillId="0" borderId="7419" xfId="0" applyNumberFormat="1" applyFont="1" applyBorder="1" applyAlignment="1">
      <alignment horizontal="right"/>
    </xf>
    <xf numFmtId="169" fontId="7849" fillId="0" borderId="7420" xfId="0" applyNumberFormat="1" applyFont="1" applyBorder="1" applyAlignment="1">
      <alignment horizontal="right"/>
    </xf>
    <xf numFmtId="0" fontId="7850" fillId="0" borderId="7421" xfId="0" applyFont="1" applyBorder="1"/>
    <xf numFmtId="1" fontId="7854" fillId="0" borderId="7425" xfId="0" applyNumberFormat="1" applyFont="1" applyBorder="1" applyAlignment="1">
      <alignment horizontal="center"/>
    </xf>
    <xf numFmtId="1" fontId="7855" fillId="0" borderId="7426" xfId="0" applyNumberFormat="1" applyFont="1" applyBorder="1" applyAlignment="1">
      <alignment horizontal="right"/>
    </xf>
    <xf numFmtId="1" fontId="7856" fillId="0" borderId="7427" xfId="0" applyNumberFormat="1" applyFont="1" applyBorder="1" applyAlignment="1">
      <alignment horizontal="center"/>
    </xf>
    <xf numFmtId="0" fontId="7857" fillId="0" borderId="7428" xfId="0" applyFont="1" applyBorder="1"/>
    <xf numFmtId="1" fontId="7859" fillId="0" borderId="7430" xfId="0" applyNumberFormat="1" applyFont="1" applyBorder="1" applyAlignment="1">
      <alignment horizontal="right"/>
    </xf>
    <xf numFmtId="1" fontId="7860" fillId="0" borderId="7431" xfId="0" applyNumberFormat="1" applyFont="1" applyBorder="1" applyAlignment="1">
      <alignment horizontal="right"/>
    </xf>
    <xf numFmtId="0" fontId="7861" fillId="0" borderId="7432" xfId="0" applyFont="1" applyBorder="1"/>
    <xf numFmtId="1" fontId="7863" fillId="0" borderId="7434" xfId="0" applyNumberFormat="1" applyFont="1" applyBorder="1" applyAlignment="1">
      <alignment horizontal="center"/>
    </xf>
    <xf numFmtId="0" fontId="7864" fillId="0" borderId="7435" xfId="0" applyFont="1" applyBorder="1"/>
    <xf numFmtId="1" fontId="7865" fillId="0" borderId="7436" xfId="0" applyNumberFormat="1" applyFont="1" applyBorder="1" applyAlignment="1">
      <alignment horizontal="right"/>
    </xf>
    <xf numFmtId="1" fontId="7866" fillId="0" borderId="7437" xfId="0" applyNumberFormat="1" applyFont="1" applyBorder="1" applyAlignment="1">
      <alignment horizontal="right"/>
    </xf>
    <xf numFmtId="1" fontId="7867" fillId="0" borderId="7438" xfId="0" applyNumberFormat="1" applyFont="1" applyBorder="1" applyAlignment="1">
      <alignment horizontal="right"/>
    </xf>
    <xf numFmtId="1" fontId="7868" fillId="0" borderId="7439" xfId="0" applyNumberFormat="1" applyFont="1" applyBorder="1" applyAlignment="1">
      <alignment horizontal="right"/>
    </xf>
    <xf numFmtId="0" fontId="7869" fillId="0" borderId="7440" xfId="0" applyFont="1" applyBorder="1" applyAlignment="1">
      <alignment horizontal="left"/>
    </xf>
    <xf numFmtId="1" fontId="7870" fillId="0" borderId="7441" xfId="0" applyNumberFormat="1" applyFont="1" applyBorder="1"/>
    <xf numFmtId="1" fontId="7871" fillId="0" borderId="7442" xfId="0" applyNumberFormat="1" applyFont="1" applyBorder="1"/>
    <xf numFmtId="1" fontId="7872" fillId="0" borderId="7443" xfId="0" applyNumberFormat="1" applyFont="1" applyBorder="1"/>
    <xf numFmtId="1" fontId="7873" fillId="0" borderId="7444" xfId="0" applyNumberFormat="1" applyFont="1" applyBorder="1"/>
    <xf numFmtId="1" fontId="7874" fillId="0" borderId="7445" xfId="0" applyNumberFormat="1" applyFont="1" applyBorder="1"/>
    <xf numFmtId="1" fontId="7875" fillId="0" borderId="7446" xfId="0" applyNumberFormat="1" applyFont="1" applyBorder="1"/>
    <xf numFmtId="0" fontId="7876" fillId="0" borderId="7447" xfId="0" applyFont="1" applyBorder="1" applyAlignment="1">
      <alignment horizontal="left"/>
    </xf>
    <xf numFmtId="169" fontId="7877" fillId="0" borderId="7448" xfId="0" applyNumberFormat="1" applyFont="1" applyBorder="1" applyAlignment="1">
      <alignment horizontal="right"/>
    </xf>
    <xf numFmtId="169" fontId="7878" fillId="0" borderId="7449" xfId="0" applyNumberFormat="1" applyFont="1" applyBorder="1" applyAlignment="1">
      <alignment horizontal="right"/>
    </xf>
    <xf numFmtId="169" fontId="7879" fillId="0" borderId="7450" xfId="0" applyNumberFormat="1" applyFont="1" applyBorder="1" applyAlignment="1">
      <alignment horizontal="right"/>
    </xf>
    <xf numFmtId="169" fontId="7880" fillId="0" borderId="7451" xfId="0" applyNumberFormat="1" applyFont="1" applyBorder="1" applyAlignment="1">
      <alignment horizontal="right"/>
    </xf>
    <xf numFmtId="169" fontId="7881" fillId="0" borderId="7452" xfId="0" applyNumberFormat="1" applyFont="1" applyBorder="1" applyAlignment="1">
      <alignment horizontal="right"/>
    </xf>
    <xf numFmtId="169" fontId="7882" fillId="0" borderId="7453" xfId="0" applyNumberFormat="1" applyFont="1" applyBorder="1" applyAlignment="1">
      <alignment horizontal="right"/>
    </xf>
    <xf numFmtId="0" fontId="7883" fillId="0" borderId="7454" xfId="0" applyFont="1" applyBorder="1" applyAlignment="1">
      <alignment horizontal="left"/>
    </xf>
    <xf numFmtId="169" fontId="7884" fillId="0" borderId="7455" xfId="0" applyNumberFormat="1" applyFont="1" applyBorder="1" applyAlignment="1">
      <alignment horizontal="right"/>
    </xf>
    <xf numFmtId="169" fontId="7885" fillId="0" borderId="7456" xfId="0" applyNumberFormat="1" applyFont="1" applyBorder="1" applyAlignment="1">
      <alignment horizontal="right"/>
    </xf>
    <xf numFmtId="169" fontId="7886" fillId="0" borderId="7457" xfId="0" applyNumberFormat="1" applyFont="1" applyBorder="1" applyAlignment="1">
      <alignment horizontal="right"/>
    </xf>
    <xf numFmtId="169" fontId="7887" fillId="0" borderId="7458" xfId="0" applyNumberFormat="1" applyFont="1" applyBorder="1" applyAlignment="1">
      <alignment horizontal="right"/>
    </xf>
    <xf numFmtId="169" fontId="7888" fillId="0" borderId="7459" xfId="0" applyNumberFormat="1" applyFont="1" applyBorder="1" applyAlignment="1">
      <alignment horizontal="right"/>
    </xf>
    <xf numFmtId="169" fontId="7889" fillId="0" borderId="7460" xfId="0" applyNumberFormat="1" applyFont="1" applyBorder="1" applyAlignment="1">
      <alignment horizontal="right"/>
    </xf>
    <xf numFmtId="0" fontId="7890" fillId="0" borderId="7461" xfId="0" applyFont="1" applyBorder="1" applyAlignment="1">
      <alignment horizontal="left"/>
    </xf>
    <xf numFmtId="169" fontId="7891" fillId="0" borderId="7462" xfId="0" applyNumberFormat="1" applyFont="1" applyBorder="1" applyAlignment="1">
      <alignment horizontal="right"/>
    </xf>
    <xf numFmtId="169" fontId="7892" fillId="0" borderId="7463" xfId="0" applyNumberFormat="1" applyFont="1" applyBorder="1" applyAlignment="1">
      <alignment horizontal="right"/>
    </xf>
    <xf numFmtId="169" fontId="7893" fillId="0" borderId="7464" xfId="0" applyNumberFormat="1" applyFont="1" applyBorder="1" applyAlignment="1">
      <alignment horizontal="right"/>
    </xf>
    <xf numFmtId="169" fontId="7894" fillId="0" borderId="7465" xfId="0" applyNumberFormat="1" applyFont="1" applyBorder="1" applyAlignment="1">
      <alignment horizontal="right"/>
    </xf>
    <xf numFmtId="169" fontId="7895" fillId="0" borderId="7466" xfId="0" applyNumberFormat="1" applyFont="1" applyBorder="1" applyAlignment="1">
      <alignment horizontal="right"/>
    </xf>
    <xf numFmtId="169" fontId="7896" fillId="0" borderId="7467" xfId="0" applyNumberFormat="1" applyFont="1" applyBorder="1" applyAlignment="1">
      <alignment horizontal="right"/>
    </xf>
    <xf numFmtId="0" fontId="7897" fillId="0" borderId="7468" xfId="0" applyFont="1" applyBorder="1" applyAlignment="1">
      <alignment horizontal="left"/>
    </xf>
    <xf numFmtId="169" fontId="7898" fillId="0" borderId="7469" xfId="0" applyNumberFormat="1" applyFont="1" applyBorder="1" applyAlignment="1">
      <alignment horizontal="right"/>
    </xf>
    <xf numFmtId="169" fontId="7899" fillId="0" borderId="7470" xfId="0" applyNumberFormat="1" applyFont="1" applyBorder="1" applyAlignment="1">
      <alignment horizontal="right"/>
    </xf>
    <xf numFmtId="169" fontId="7900" fillId="0" borderId="7471" xfId="0" applyNumberFormat="1" applyFont="1" applyBorder="1" applyAlignment="1">
      <alignment horizontal="right"/>
    </xf>
    <xf numFmtId="169" fontId="7901" fillId="0" borderId="7472" xfId="0" applyNumberFormat="1" applyFont="1" applyBorder="1" applyAlignment="1">
      <alignment horizontal="right"/>
    </xf>
    <xf numFmtId="169" fontId="7902" fillId="0" borderId="7473" xfId="0" applyNumberFormat="1" applyFont="1" applyBorder="1" applyAlignment="1">
      <alignment horizontal="right"/>
    </xf>
    <xf numFmtId="169" fontId="7903" fillId="0" borderId="7474" xfId="0" applyNumberFormat="1" applyFont="1" applyBorder="1" applyAlignment="1">
      <alignment horizontal="right"/>
    </xf>
    <xf numFmtId="0" fontId="7904" fillId="0" borderId="7475" xfId="0" applyFont="1" applyBorder="1" applyAlignment="1">
      <alignment horizontal="left"/>
    </xf>
    <xf numFmtId="169" fontId="7905" fillId="0" borderId="7476" xfId="0" applyNumberFormat="1" applyFont="1" applyBorder="1" applyAlignment="1">
      <alignment horizontal="right"/>
    </xf>
    <xf numFmtId="169" fontId="7906" fillId="0" borderId="7477" xfId="0" applyNumberFormat="1" applyFont="1" applyBorder="1" applyAlignment="1">
      <alignment horizontal="right"/>
    </xf>
    <xf numFmtId="169" fontId="7907" fillId="0" borderId="7478" xfId="0" applyNumberFormat="1" applyFont="1" applyBorder="1" applyAlignment="1">
      <alignment horizontal="right"/>
    </xf>
    <xf numFmtId="169" fontId="7908" fillId="0" borderId="7479" xfId="0" applyNumberFormat="1" applyFont="1" applyBorder="1" applyAlignment="1">
      <alignment horizontal="right"/>
    </xf>
    <xf numFmtId="169" fontId="7909" fillId="0" borderId="7480" xfId="0" applyNumberFormat="1" applyFont="1" applyBorder="1" applyAlignment="1">
      <alignment horizontal="right"/>
    </xf>
    <xf numFmtId="169" fontId="7910" fillId="0" borderId="7481" xfId="0" applyNumberFormat="1" applyFont="1" applyBorder="1" applyAlignment="1">
      <alignment horizontal="right"/>
    </xf>
    <xf numFmtId="0" fontId="7911" fillId="0" borderId="7482" xfId="0" applyFont="1" applyBorder="1" applyAlignment="1">
      <alignment horizontal="left"/>
    </xf>
    <xf numFmtId="169" fontId="7912" fillId="0" borderId="7483" xfId="0" applyNumberFormat="1" applyFont="1" applyBorder="1" applyAlignment="1">
      <alignment horizontal="right"/>
    </xf>
    <xf numFmtId="169" fontId="7913" fillId="0" borderId="7484" xfId="0" applyNumberFormat="1" applyFont="1" applyBorder="1" applyAlignment="1">
      <alignment horizontal="right"/>
    </xf>
    <xf numFmtId="169" fontId="7914" fillId="0" borderId="7485" xfId="0" applyNumberFormat="1" applyFont="1" applyBorder="1" applyAlignment="1">
      <alignment horizontal="right"/>
    </xf>
    <xf numFmtId="169" fontId="7915" fillId="0" borderId="7486" xfId="0" applyNumberFormat="1" applyFont="1" applyBorder="1" applyAlignment="1">
      <alignment horizontal="right"/>
    </xf>
    <xf numFmtId="169" fontId="7916" fillId="0" borderId="7487" xfId="0" applyNumberFormat="1" applyFont="1" applyBorder="1" applyAlignment="1">
      <alignment horizontal="right"/>
    </xf>
    <xf numFmtId="169" fontId="7917" fillId="0" borderId="7488" xfId="0" applyNumberFormat="1" applyFont="1" applyBorder="1" applyAlignment="1">
      <alignment horizontal="right"/>
    </xf>
    <xf numFmtId="0" fontId="7918" fillId="0" borderId="7489" xfId="0" applyFont="1" applyBorder="1" applyAlignment="1">
      <alignment horizontal="left"/>
    </xf>
    <xf numFmtId="169" fontId="7919" fillId="0" borderId="7490" xfId="0" applyNumberFormat="1" applyFont="1" applyBorder="1" applyAlignment="1">
      <alignment horizontal="right"/>
    </xf>
    <xf numFmtId="169" fontId="7920" fillId="0" borderId="7491" xfId="0" applyNumberFormat="1" applyFont="1" applyBorder="1" applyAlignment="1">
      <alignment horizontal="right"/>
    </xf>
    <xf numFmtId="169" fontId="7921" fillId="0" borderId="7492" xfId="0" applyNumberFormat="1" applyFont="1" applyBorder="1" applyAlignment="1">
      <alignment horizontal="right"/>
    </xf>
    <xf numFmtId="169" fontId="7922" fillId="0" borderId="7493" xfId="0" applyNumberFormat="1" applyFont="1" applyBorder="1" applyAlignment="1">
      <alignment horizontal="right"/>
    </xf>
    <xf numFmtId="169" fontId="7923" fillId="0" borderId="7494" xfId="0" applyNumberFormat="1" applyFont="1" applyBorder="1" applyAlignment="1">
      <alignment horizontal="right"/>
    </xf>
    <xf numFmtId="169" fontId="7924" fillId="0" borderId="7495" xfId="0" applyNumberFormat="1" applyFont="1" applyBorder="1" applyAlignment="1">
      <alignment horizontal="right"/>
    </xf>
    <xf numFmtId="0" fontId="7925" fillId="0" borderId="7496" xfId="0" applyFont="1" applyBorder="1" applyAlignment="1">
      <alignment horizontal="left"/>
    </xf>
    <xf numFmtId="169" fontId="7926" fillId="0" borderId="7497" xfId="0" applyNumberFormat="1" applyFont="1" applyBorder="1" applyAlignment="1">
      <alignment horizontal="right"/>
    </xf>
    <xf numFmtId="169" fontId="7927" fillId="0" borderId="7498" xfId="0" applyNumberFormat="1" applyFont="1" applyBorder="1" applyAlignment="1">
      <alignment horizontal="right"/>
    </xf>
    <xf numFmtId="169" fontId="7928" fillId="0" borderId="7499" xfId="0" applyNumberFormat="1" applyFont="1" applyBorder="1" applyAlignment="1">
      <alignment horizontal="right"/>
    </xf>
    <xf numFmtId="169" fontId="7929" fillId="0" borderId="7500" xfId="0" applyNumberFormat="1" applyFont="1" applyBorder="1" applyAlignment="1">
      <alignment horizontal="right"/>
    </xf>
    <xf numFmtId="169" fontId="7930" fillId="0" borderId="7501" xfId="0" applyNumberFormat="1" applyFont="1" applyBorder="1" applyAlignment="1">
      <alignment horizontal="right"/>
    </xf>
    <xf numFmtId="169" fontId="7931" fillId="0" borderId="7502" xfId="0" applyNumberFormat="1" applyFont="1" applyBorder="1" applyAlignment="1">
      <alignment horizontal="right"/>
    </xf>
    <xf numFmtId="0" fontId="7932" fillId="0" borderId="7503" xfId="0" applyFont="1" applyBorder="1" applyAlignment="1">
      <alignment horizontal="left"/>
    </xf>
    <xf numFmtId="169" fontId="7933" fillId="0" borderId="7504" xfId="0" applyNumberFormat="1" applyFont="1" applyBorder="1" applyAlignment="1">
      <alignment horizontal="right"/>
    </xf>
    <xf numFmtId="169" fontId="7934" fillId="0" borderId="7505" xfId="0" applyNumberFormat="1" applyFont="1" applyBorder="1" applyAlignment="1">
      <alignment horizontal="right"/>
    </xf>
    <xf numFmtId="169" fontId="7935" fillId="0" borderId="7506" xfId="0" applyNumberFormat="1" applyFont="1" applyBorder="1" applyAlignment="1">
      <alignment horizontal="right"/>
    </xf>
    <xf numFmtId="169" fontId="7936" fillId="0" borderId="7507" xfId="0" applyNumberFormat="1" applyFont="1" applyBorder="1" applyAlignment="1">
      <alignment horizontal="right"/>
    </xf>
    <xf numFmtId="169" fontId="7937" fillId="0" borderId="7508" xfId="0" applyNumberFormat="1" applyFont="1" applyBorder="1" applyAlignment="1">
      <alignment horizontal="right"/>
    </xf>
    <xf numFmtId="169" fontId="7938" fillId="0" borderId="7509" xfId="0" applyNumberFormat="1" applyFont="1" applyBorder="1" applyAlignment="1">
      <alignment horizontal="right"/>
    </xf>
    <xf numFmtId="0" fontId="7939" fillId="0" borderId="7510" xfId="0" applyFont="1" applyBorder="1" applyAlignment="1">
      <alignment horizontal="left"/>
    </xf>
    <xf numFmtId="169" fontId="7940" fillId="0" borderId="7511" xfId="0" applyNumberFormat="1" applyFont="1" applyBorder="1" applyAlignment="1">
      <alignment horizontal="right"/>
    </xf>
    <xf numFmtId="169" fontId="7941" fillId="0" borderId="7512" xfId="0" applyNumberFormat="1" applyFont="1" applyBorder="1" applyAlignment="1">
      <alignment horizontal="right"/>
    </xf>
    <xf numFmtId="169" fontId="7942" fillId="0" borderId="7513" xfId="0" applyNumberFormat="1" applyFont="1" applyBorder="1" applyAlignment="1">
      <alignment horizontal="right"/>
    </xf>
    <xf numFmtId="169" fontId="7943" fillId="0" borderId="7514" xfId="0" applyNumberFormat="1" applyFont="1" applyBorder="1" applyAlignment="1">
      <alignment horizontal="right"/>
    </xf>
    <xf numFmtId="169" fontId="7944" fillId="0" borderId="7515" xfId="0" applyNumberFormat="1" applyFont="1" applyBorder="1" applyAlignment="1">
      <alignment horizontal="right"/>
    </xf>
    <xf numFmtId="169" fontId="7945" fillId="0" borderId="7516" xfId="0" applyNumberFormat="1" applyFont="1" applyBorder="1" applyAlignment="1">
      <alignment horizontal="right"/>
    </xf>
    <xf numFmtId="0" fontId="7946" fillId="0" borderId="7517" xfId="0" applyFont="1" applyBorder="1" applyAlignment="1">
      <alignment horizontal="left"/>
    </xf>
    <xf numFmtId="169" fontId="7947" fillId="0" borderId="7518" xfId="0" applyNumberFormat="1" applyFont="1" applyBorder="1" applyAlignment="1">
      <alignment horizontal="right"/>
    </xf>
    <xf numFmtId="169" fontId="7948" fillId="0" borderId="7519" xfId="0" applyNumberFormat="1" applyFont="1" applyBorder="1" applyAlignment="1">
      <alignment horizontal="right"/>
    </xf>
    <xf numFmtId="169" fontId="7949" fillId="0" borderId="7520" xfId="0" applyNumberFormat="1" applyFont="1" applyBorder="1" applyAlignment="1">
      <alignment horizontal="right"/>
    </xf>
    <xf numFmtId="169" fontId="7950" fillId="0" borderId="7521" xfId="0" applyNumberFormat="1" applyFont="1" applyBorder="1" applyAlignment="1">
      <alignment horizontal="right"/>
    </xf>
    <xf numFmtId="169" fontId="7951" fillId="0" borderId="7522" xfId="0" applyNumberFormat="1" applyFont="1" applyBorder="1" applyAlignment="1">
      <alignment horizontal="right"/>
    </xf>
    <xf numFmtId="169" fontId="7952" fillId="0" borderId="7523" xfId="0" applyNumberFormat="1" applyFont="1" applyBorder="1" applyAlignment="1">
      <alignment horizontal="right"/>
    </xf>
    <xf numFmtId="0" fontId="7953" fillId="0" borderId="7524" xfId="0" applyFont="1" applyBorder="1" applyAlignment="1">
      <alignment horizontal="left"/>
    </xf>
    <xf numFmtId="169" fontId="7954" fillId="0" borderId="7525" xfId="0" applyNumberFormat="1" applyFont="1" applyBorder="1" applyAlignment="1">
      <alignment horizontal="right"/>
    </xf>
    <xf numFmtId="169" fontId="7955" fillId="0" borderId="7526" xfId="0" applyNumberFormat="1" applyFont="1" applyBorder="1" applyAlignment="1">
      <alignment horizontal="right"/>
    </xf>
    <xf numFmtId="169" fontId="7956" fillId="0" borderId="7527" xfId="0" applyNumberFormat="1" applyFont="1" applyBorder="1" applyAlignment="1">
      <alignment horizontal="right"/>
    </xf>
    <xf numFmtId="169" fontId="7957" fillId="0" borderId="7528" xfId="0" applyNumberFormat="1" applyFont="1" applyBorder="1" applyAlignment="1">
      <alignment horizontal="right"/>
    </xf>
    <xf numFmtId="169" fontId="7958" fillId="0" borderId="7529" xfId="0" applyNumberFormat="1" applyFont="1" applyBorder="1" applyAlignment="1">
      <alignment horizontal="right"/>
    </xf>
    <xf numFmtId="169" fontId="7959" fillId="0" borderId="7530" xfId="0" applyNumberFormat="1" applyFont="1" applyBorder="1" applyAlignment="1">
      <alignment horizontal="right"/>
    </xf>
    <xf numFmtId="0" fontId="7960" fillId="0" borderId="7531" xfId="0" applyFont="1" applyBorder="1" applyAlignment="1">
      <alignment horizontal="left"/>
    </xf>
    <xf numFmtId="169" fontId="7961" fillId="0" borderId="7532" xfId="0" applyNumberFormat="1" applyFont="1" applyBorder="1" applyAlignment="1">
      <alignment horizontal="right"/>
    </xf>
    <xf numFmtId="169" fontId="7962" fillId="0" borderId="7533" xfId="0" applyNumberFormat="1" applyFont="1" applyBorder="1" applyAlignment="1">
      <alignment horizontal="right"/>
    </xf>
    <xf numFmtId="169" fontId="7963" fillId="0" borderId="7534" xfId="0" applyNumberFormat="1" applyFont="1" applyBorder="1" applyAlignment="1">
      <alignment horizontal="right"/>
    </xf>
    <xf numFmtId="169" fontId="7964" fillId="0" borderId="7535" xfId="0" applyNumberFormat="1" applyFont="1" applyBorder="1" applyAlignment="1">
      <alignment horizontal="right"/>
    </xf>
    <xf numFmtId="169" fontId="7965" fillId="0" borderId="7536" xfId="0" applyNumberFormat="1" applyFont="1" applyBorder="1" applyAlignment="1">
      <alignment horizontal="right"/>
    </xf>
    <xf numFmtId="169" fontId="7966" fillId="0" borderId="7537" xfId="0" applyNumberFormat="1" applyFont="1" applyBorder="1" applyAlignment="1">
      <alignment horizontal="right"/>
    </xf>
    <xf numFmtId="0" fontId="7967" fillId="0" borderId="7538" xfId="0" applyFont="1" applyBorder="1" applyAlignment="1">
      <alignment horizontal="left"/>
    </xf>
    <xf numFmtId="169" fontId="7968" fillId="0" borderId="7539" xfId="0" applyNumberFormat="1" applyFont="1" applyBorder="1" applyAlignment="1">
      <alignment horizontal="right"/>
    </xf>
    <xf numFmtId="169" fontId="7969" fillId="0" borderId="7540" xfId="0" applyNumberFormat="1" applyFont="1" applyBorder="1" applyAlignment="1">
      <alignment horizontal="right"/>
    </xf>
    <xf numFmtId="169" fontId="7970" fillId="0" borderId="7541" xfId="0" applyNumberFormat="1" applyFont="1" applyBorder="1" applyAlignment="1">
      <alignment horizontal="right"/>
    </xf>
    <xf numFmtId="169" fontId="7971" fillId="0" borderId="7542" xfId="0" applyNumberFormat="1" applyFont="1" applyBorder="1" applyAlignment="1">
      <alignment horizontal="right"/>
    </xf>
    <xf numFmtId="169" fontId="7972" fillId="0" borderId="7543" xfId="0" applyNumberFormat="1" applyFont="1" applyBorder="1" applyAlignment="1">
      <alignment horizontal="right"/>
    </xf>
    <xf numFmtId="169" fontId="7973" fillId="0" borderId="7544" xfId="0" applyNumberFormat="1" applyFont="1" applyBorder="1" applyAlignment="1">
      <alignment horizontal="right"/>
    </xf>
    <xf numFmtId="0" fontId="7974" fillId="0" borderId="7545" xfId="0" applyFont="1" applyBorder="1" applyAlignment="1">
      <alignment horizontal="left"/>
    </xf>
    <xf numFmtId="169" fontId="7975" fillId="0" borderId="7546" xfId="0" applyNumberFormat="1" applyFont="1" applyBorder="1" applyAlignment="1">
      <alignment horizontal="right"/>
    </xf>
    <xf numFmtId="169" fontId="7976" fillId="0" borderId="7547" xfId="0" applyNumberFormat="1" applyFont="1" applyBorder="1" applyAlignment="1">
      <alignment horizontal="right"/>
    </xf>
    <xf numFmtId="169" fontId="7977" fillId="0" borderId="7548" xfId="0" applyNumberFormat="1" applyFont="1" applyBorder="1" applyAlignment="1">
      <alignment horizontal="right"/>
    </xf>
    <xf numFmtId="169" fontId="7978" fillId="0" borderId="7549" xfId="0" applyNumberFormat="1" applyFont="1" applyBorder="1" applyAlignment="1">
      <alignment horizontal="right"/>
    </xf>
    <xf numFmtId="169" fontId="7979" fillId="0" borderId="7550" xfId="0" applyNumberFormat="1" applyFont="1" applyBorder="1" applyAlignment="1">
      <alignment horizontal="right"/>
    </xf>
    <xf numFmtId="169" fontId="7980" fillId="0" borderId="7551" xfId="0" applyNumberFormat="1" applyFont="1" applyBorder="1" applyAlignment="1">
      <alignment horizontal="right"/>
    </xf>
    <xf numFmtId="0" fontId="7981" fillId="0" borderId="7552" xfId="0" applyFont="1" applyBorder="1" applyAlignment="1">
      <alignment horizontal="left"/>
    </xf>
    <xf numFmtId="169" fontId="7982" fillId="0" borderId="7553" xfId="0" applyNumberFormat="1" applyFont="1" applyBorder="1" applyAlignment="1">
      <alignment horizontal="right"/>
    </xf>
    <xf numFmtId="169" fontId="7983" fillId="0" borderId="7554" xfId="0" applyNumberFormat="1" applyFont="1" applyBorder="1" applyAlignment="1">
      <alignment horizontal="right"/>
    </xf>
    <xf numFmtId="169" fontId="7984" fillId="0" borderId="7555" xfId="0" applyNumberFormat="1" applyFont="1" applyBorder="1" applyAlignment="1">
      <alignment horizontal="right"/>
    </xf>
    <xf numFmtId="169" fontId="7985" fillId="0" borderId="7556" xfId="0" applyNumberFormat="1" applyFont="1" applyBorder="1" applyAlignment="1">
      <alignment horizontal="right"/>
    </xf>
    <xf numFmtId="169" fontId="7986" fillId="0" borderId="7557" xfId="0" applyNumberFormat="1" applyFont="1" applyBorder="1" applyAlignment="1">
      <alignment horizontal="right"/>
    </xf>
    <xf numFmtId="169" fontId="7987" fillId="0" borderId="7558" xfId="0" applyNumberFormat="1" applyFont="1" applyBorder="1" applyAlignment="1">
      <alignment horizontal="right"/>
    </xf>
    <xf numFmtId="0" fontId="7988" fillId="0" borderId="7559" xfId="0" applyFont="1" applyBorder="1"/>
    <xf numFmtId="1" fontId="7992" fillId="0" borderId="7563" xfId="0" applyNumberFormat="1" applyFont="1" applyBorder="1" applyAlignment="1">
      <alignment horizontal="center"/>
    </xf>
    <xf numFmtId="1" fontId="7993" fillId="0" borderId="7564" xfId="0" applyNumberFormat="1" applyFont="1" applyBorder="1" applyAlignment="1">
      <alignment horizontal="right"/>
    </xf>
    <xf numFmtId="1" fontId="7994" fillId="0" borderId="7565" xfId="0" applyNumberFormat="1" applyFont="1" applyBorder="1" applyAlignment="1">
      <alignment horizontal="center"/>
    </xf>
    <xf numFmtId="0" fontId="7995" fillId="0" borderId="7566" xfId="0" applyFont="1" applyBorder="1"/>
    <xf numFmtId="1" fontId="7997" fillId="0" borderId="7568" xfId="0" applyNumberFormat="1" applyFont="1" applyBorder="1" applyAlignment="1">
      <alignment horizontal="right"/>
    </xf>
    <xf numFmtId="1" fontId="7998" fillId="0" borderId="7569" xfId="0" applyNumberFormat="1" applyFont="1" applyBorder="1" applyAlignment="1">
      <alignment horizontal="right"/>
    </xf>
    <xf numFmtId="0" fontId="7999" fillId="0" borderId="7570" xfId="0" applyFont="1" applyBorder="1"/>
    <xf numFmtId="1" fontId="8001" fillId="0" borderId="7572" xfId="0" applyNumberFormat="1" applyFont="1" applyBorder="1" applyAlignment="1">
      <alignment horizontal="center"/>
    </xf>
    <xf numFmtId="0" fontId="8002" fillId="0" borderId="7573" xfId="0" applyFont="1" applyBorder="1"/>
    <xf numFmtId="1" fontId="8003" fillId="0" borderId="7574" xfId="0" applyNumberFormat="1" applyFont="1" applyBorder="1" applyAlignment="1">
      <alignment horizontal="right"/>
    </xf>
    <xf numFmtId="1" fontId="8004" fillId="0" borderId="7575" xfId="0" applyNumberFormat="1" applyFont="1" applyBorder="1" applyAlignment="1">
      <alignment horizontal="right"/>
    </xf>
    <xf numFmtId="1" fontId="8005" fillId="0" borderId="7576" xfId="0" applyNumberFormat="1" applyFont="1" applyBorder="1" applyAlignment="1">
      <alignment horizontal="right"/>
    </xf>
    <xf numFmtId="1" fontId="8006" fillId="0" borderId="7577" xfId="0" applyNumberFormat="1" applyFont="1" applyBorder="1" applyAlignment="1">
      <alignment horizontal="right"/>
    </xf>
    <xf numFmtId="0" fontId="8007" fillId="0" borderId="7578" xfId="0" applyFont="1" applyBorder="1" applyAlignment="1">
      <alignment horizontal="left"/>
    </xf>
    <xf numFmtId="1" fontId="8008" fillId="0" borderId="7579" xfId="0" applyNumberFormat="1" applyFont="1" applyBorder="1"/>
    <xf numFmtId="1" fontId="8009" fillId="0" borderId="7580" xfId="0" applyNumberFormat="1" applyFont="1" applyBorder="1"/>
    <xf numFmtId="1" fontId="8010" fillId="0" borderId="7581" xfId="0" applyNumberFormat="1" applyFont="1" applyBorder="1"/>
    <xf numFmtId="1" fontId="8011" fillId="0" borderId="7582" xfId="0" applyNumberFormat="1" applyFont="1" applyBorder="1"/>
    <xf numFmtId="1" fontId="8012" fillId="0" borderId="7583" xfId="0" applyNumberFormat="1" applyFont="1" applyBorder="1"/>
    <xf numFmtId="1" fontId="8013" fillId="0" borderId="7584" xfId="0" applyNumberFormat="1" applyFont="1" applyBorder="1"/>
    <xf numFmtId="0" fontId="8014" fillId="0" borderId="7585" xfId="0" applyFont="1" applyBorder="1" applyAlignment="1">
      <alignment horizontal="left"/>
    </xf>
    <xf numFmtId="169" fontId="8015" fillId="0" borderId="7586" xfId="0" applyNumberFormat="1" applyFont="1" applyBorder="1" applyAlignment="1">
      <alignment horizontal="right"/>
    </xf>
    <xf numFmtId="169" fontId="8016" fillId="0" borderId="7587" xfId="0" applyNumberFormat="1" applyFont="1" applyBorder="1" applyAlignment="1">
      <alignment horizontal="right"/>
    </xf>
    <xf numFmtId="169" fontId="8017" fillId="0" borderId="7588" xfId="0" applyNumberFormat="1" applyFont="1" applyBorder="1" applyAlignment="1">
      <alignment horizontal="right"/>
    </xf>
    <xf numFmtId="169" fontId="8018" fillId="0" borderId="7589" xfId="0" applyNumberFormat="1" applyFont="1" applyBorder="1" applyAlignment="1">
      <alignment horizontal="right"/>
    </xf>
    <xf numFmtId="169" fontId="8019" fillId="0" borderId="7590" xfId="0" applyNumberFormat="1" applyFont="1" applyBorder="1" applyAlignment="1">
      <alignment horizontal="right"/>
    </xf>
    <xf numFmtId="169" fontId="8020" fillId="0" borderId="7591" xfId="0" applyNumberFormat="1" applyFont="1" applyBorder="1" applyAlignment="1">
      <alignment horizontal="right"/>
    </xf>
    <xf numFmtId="0" fontId="8021" fillId="0" borderId="7592" xfId="0" applyFont="1" applyBorder="1" applyAlignment="1">
      <alignment horizontal="left"/>
    </xf>
    <xf numFmtId="169" fontId="8022" fillId="0" borderId="7593" xfId="0" applyNumberFormat="1" applyFont="1" applyBorder="1" applyAlignment="1">
      <alignment horizontal="right"/>
    </xf>
    <xf numFmtId="169" fontId="8023" fillId="0" borderId="7594" xfId="0" applyNumberFormat="1" applyFont="1" applyBorder="1" applyAlignment="1">
      <alignment horizontal="right"/>
    </xf>
    <xf numFmtId="169" fontId="8024" fillId="0" borderId="7595" xfId="0" applyNumberFormat="1" applyFont="1" applyBorder="1" applyAlignment="1">
      <alignment horizontal="right"/>
    </xf>
    <xf numFmtId="169" fontId="8025" fillId="0" borderId="7596" xfId="0" applyNumberFormat="1" applyFont="1" applyBorder="1" applyAlignment="1">
      <alignment horizontal="right"/>
    </xf>
    <xf numFmtId="169" fontId="8026" fillId="0" borderId="7597" xfId="0" applyNumberFormat="1" applyFont="1" applyBorder="1" applyAlignment="1">
      <alignment horizontal="right"/>
    </xf>
    <xf numFmtId="169" fontId="8027" fillId="0" borderId="7598" xfId="0" applyNumberFormat="1" applyFont="1" applyBorder="1" applyAlignment="1">
      <alignment horizontal="right"/>
    </xf>
    <xf numFmtId="0" fontId="8028" fillId="0" borderId="7599" xfId="0" applyFont="1" applyBorder="1" applyAlignment="1">
      <alignment horizontal="left"/>
    </xf>
    <xf numFmtId="169" fontId="8029" fillId="0" borderId="7600" xfId="0" applyNumberFormat="1" applyFont="1" applyBorder="1" applyAlignment="1">
      <alignment horizontal="right"/>
    </xf>
    <xf numFmtId="169" fontId="8030" fillId="0" borderId="7601" xfId="0" applyNumberFormat="1" applyFont="1" applyBorder="1" applyAlignment="1">
      <alignment horizontal="right"/>
    </xf>
    <xf numFmtId="169" fontId="8031" fillId="0" borderId="7602" xfId="0" applyNumberFormat="1" applyFont="1" applyBorder="1" applyAlignment="1">
      <alignment horizontal="right"/>
    </xf>
    <xf numFmtId="169" fontId="8032" fillId="0" borderId="7603" xfId="0" applyNumberFormat="1" applyFont="1" applyBorder="1" applyAlignment="1">
      <alignment horizontal="right"/>
    </xf>
    <xf numFmtId="169" fontId="8033" fillId="0" borderId="7604" xfId="0" applyNumberFormat="1" applyFont="1" applyBorder="1" applyAlignment="1">
      <alignment horizontal="right"/>
    </xf>
    <xf numFmtId="169" fontId="8034" fillId="0" borderId="7605" xfId="0" applyNumberFormat="1" applyFont="1" applyBorder="1" applyAlignment="1">
      <alignment horizontal="right"/>
    </xf>
    <xf numFmtId="0" fontId="8035" fillId="0" borderId="7606" xfId="0" applyFont="1" applyBorder="1" applyAlignment="1">
      <alignment horizontal="left"/>
    </xf>
    <xf numFmtId="169" fontId="8036" fillId="0" borderId="7607" xfId="0" applyNumberFormat="1" applyFont="1" applyBorder="1" applyAlignment="1">
      <alignment horizontal="right"/>
    </xf>
    <xf numFmtId="169" fontId="8037" fillId="0" borderId="7608" xfId="0" applyNumberFormat="1" applyFont="1" applyBorder="1" applyAlignment="1">
      <alignment horizontal="right"/>
    </xf>
    <xf numFmtId="169" fontId="8038" fillId="0" borderId="7609" xfId="0" applyNumberFormat="1" applyFont="1" applyBorder="1" applyAlignment="1">
      <alignment horizontal="right"/>
    </xf>
    <xf numFmtId="169" fontId="8039" fillId="0" borderId="7610" xfId="0" applyNumberFormat="1" applyFont="1" applyBorder="1" applyAlignment="1">
      <alignment horizontal="right"/>
    </xf>
    <xf numFmtId="169" fontId="8040" fillId="0" borderId="7611" xfId="0" applyNumberFormat="1" applyFont="1" applyBorder="1" applyAlignment="1">
      <alignment horizontal="right"/>
    </xf>
    <xf numFmtId="169" fontId="8041" fillId="0" borderId="7612" xfId="0" applyNumberFormat="1" applyFont="1" applyBorder="1" applyAlignment="1">
      <alignment horizontal="right"/>
    </xf>
    <xf numFmtId="0" fontId="8042" fillId="0" borderId="7613" xfId="0" applyFont="1" applyBorder="1" applyAlignment="1">
      <alignment horizontal="left"/>
    </xf>
    <xf numFmtId="169" fontId="8043" fillId="0" borderId="7614" xfId="0" applyNumberFormat="1" applyFont="1" applyBorder="1" applyAlignment="1">
      <alignment horizontal="right"/>
    </xf>
    <xf numFmtId="169" fontId="8044" fillId="0" borderId="7615" xfId="0" applyNumberFormat="1" applyFont="1" applyBorder="1" applyAlignment="1">
      <alignment horizontal="right"/>
    </xf>
    <xf numFmtId="169" fontId="8045" fillId="0" borderId="7616" xfId="0" applyNumberFormat="1" applyFont="1" applyBorder="1" applyAlignment="1">
      <alignment horizontal="right"/>
    </xf>
    <xf numFmtId="169" fontId="8046" fillId="0" borderId="7617" xfId="0" applyNumberFormat="1" applyFont="1" applyBorder="1" applyAlignment="1">
      <alignment horizontal="right"/>
    </xf>
    <xf numFmtId="169" fontId="8047" fillId="0" borderId="7618" xfId="0" applyNumberFormat="1" applyFont="1" applyBorder="1" applyAlignment="1">
      <alignment horizontal="right"/>
    </xf>
    <xf numFmtId="169" fontId="8048" fillId="0" borderId="7619" xfId="0" applyNumberFormat="1" applyFont="1" applyBorder="1" applyAlignment="1">
      <alignment horizontal="right"/>
    </xf>
    <xf numFmtId="0" fontId="8049" fillId="0" borderId="7620" xfId="0" applyFont="1" applyBorder="1" applyAlignment="1">
      <alignment horizontal="left"/>
    </xf>
    <xf numFmtId="169" fontId="8050" fillId="0" borderId="7621" xfId="0" applyNumberFormat="1" applyFont="1" applyBorder="1" applyAlignment="1">
      <alignment horizontal="right"/>
    </xf>
    <xf numFmtId="169" fontId="8051" fillId="0" borderId="7622" xfId="0" applyNumberFormat="1" applyFont="1" applyBorder="1" applyAlignment="1">
      <alignment horizontal="right"/>
    </xf>
    <xf numFmtId="169" fontId="8052" fillId="0" borderId="7623" xfId="0" applyNumberFormat="1" applyFont="1" applyBorder="1" applyAlignment="1">
      <alignment horizontal="right"/>
    </xf>
    <xf numFmtId="169" fontId="8053" fillId="0" borderId="7624" xfId="0" applyNumberFormat="1" applyFont="1" applyBorder="1" applyAlignment="1">
      <alignment horizontal="right"/>
    </xf>
    <xf numFmtId="169" fontId="8054" fillId="0" borderId="7625" xfId="0" applyNumberFormat="1" applyFont="1" applyBorder="1" applyAlignment="1">
      <alignment horizontal="right"/>
    </xf>
    <xf numFmtId="169" fontId="8055" fillId="0" borderId="7626" xfId="0" applyNumberFormat="1" applyFont="1" applyBorder="1" applyAlignment="1">
      <alignment horizontal="right"/>
    </xf>
    <xf numFmtId="0" fontId="8056" fillId="0" borderId="7627" xfId="0" applyFont="1" applyBorder="1" applyAlignment="1">
      <alignment horizontal="left"/>
    </xf>
    <xf numFmtId="169" fontId="8057" fillId="0" borderId="7628" xfId="0" applyNumberFormat="1" applyFont="1" applyBorder="1" applyAlignment="1">
      <alignment horizontal="right"/>
    </xf>
    <xf numFmtId="169" fontId="8058" fillId="0" borderId="7629" xfId="0" applyNumberFormat="1" applyFont="1" applyBorder="1" applyAlignment="1">
      <alignment horizontal="right"/>
    </xf>
    <xf numFmtId="169" fontId="8059" fillId="0" borderId="7630" xfId="0" applyNumberFormat="1" applyFont="1" applyBorder="1" applyAlignment="1">
      <alignment horizontal="right"/>
    </xf>
    <xf numFmtId="169" fontId="8060" fillId="0" borderId="7631" xfId="0" applyNumberFormat="1" applyFont="1" applyBorder="1" applyAlignment="1">
      <alignment horizontal="right"/>
    </xf>
    <xf numFmtId="169" fontId="8061" fillId="0" borderId="7632" xfId="0" applyNumberFormat="1" applyFont="1" applyBorder="1" applyAlignment="1">
      <alignment horizontal="right"/>
    </xf>
    <xf numFmtId="169" fontId="8062" fillId="0" borderId="7633" xfId="0" applyNumberFormat="1" applyFont="1" applyBorder="1" applyAlignment="1">
      <alignment horizontal="right"/>
    </xf>
    <xf numFmtId="0" fontId="8063" fillId="0" borderId="7634" xfId="0" applyFont="1" applyBorder="1" applyAlignment="1">
      <alignment horizontal="left"/>
    </xf>
    <xf numFmtId="169" fontId="8064" fillId="0" borderId="7635" xfId="0" applyNumberFormat="1" applyFont="1" applyBorder="1" applyAlignment="1">
      <alignment horizontal="right"/>
    </xf>
    <xf numFmtId="169" fontId="8065" fillId="0" borderId="7636" xfId="0" applyNumberFormat="1" applyFont="1" applyBorder="1" applyAlignment="1">
      <alignment horizontal="right"/>
    </xf>
    <xf numFmtId="169" fontId="8066" fillId="0" borderId="7637" xfId="0" applyNumberFormat="1" applyFont="1" applyBorder="1" applyAlignment="1">
      <alignment horizontal="right"/>
    </xf>
    <xf numFmtId="169" fontId="8067" fillId="0" borderId="7638" xfId="0" applyNumberFormat="1" applyFont="1" applyBorder="1" applyAlignment="1">
      <alignment horizontal="right"/>
    </xf>
    <xf numFmtId="169" fontId="8068" fillId="0" borderId="7639" xfId="0" applyNumberFormat="1" applyFont="1" applyBorder="1" applyAlignment="1">
      <alignment horizontal="right"/>
    </xf>
    <xf numFmtId="169" fontId="8069" fillId="0" borderId="7640" xfId="0" applyNumberFormat="1" applyFont="1" applyBorder="1" applyAlignment="1">
      <alignment horizontal="right"/>
    </xf>
    <xf numFmtId="0" fontId="8070" fillId="0" borderId="7641" xfId="0" applyFont="1" applyBorder="1" applyAlignment="1">
      <alignment horizontal="left"/>
    </xf>
    <xf numFmtId="169" fontId="8071" fillId="0" borderId="7642" xfId="0" applyNumberFormat="1" applyFont="1" applyBorder="1" applyAlignment="1">
      <alignment horizontal="right"/>
    </xf>
    <xf numFmtId="169" fontId="8072" fillId="0" borderId="7643" xfId="0" applyNumberFormat="1" applyFont="1" applyBorder="1" applyAlignment="1">
      <alignment horizontal="right"/>
    </xf>
    <xf numFmtId="169" fontId="8073" fillId="0" borderId="7644" xfId="0" applyNumberFormat="1" applyFont="1" applyBorder="1" applyAlignment="1">
      <alignment horizontal="right"/>
    </xf>
    <xf numFmtId="169" fontId="8074" fillId="0" borderId="7645" xfId="0" applyNumberFormat="1" applyFont="1" applyBorder="1" applyAlignment="1">
      <alignment horizontal="right"/>
    </xf>
    <xf numFmtId="169" fontId="8075" fillId="0" borderId="7646" xfId="0" applyNumberFormat="1" applyFont="1" applyBorder="1" applyAlignment="1">
      <alignment horizontal="right"/>
    </xf>
    <xf numFmtId="169" fontId="8076" fillId="0" borderId="7647" xfId="0" applyNumberFormat="1" applyFont="1" applyBorder="1" applyAlignment="1">
      <alignment horizontal="right"/>
    </xf>
    <xf numFmtId="0" fontId="8077" fillId="0" borderId="7648" xfId="0" applyFont="1" applyBorder="1" applyAlignment="1">
      <alignment horizontal="left"/>
    </xf>
    <xf numFmtId="169" fontId="8078" fillId="0" borderId="7649" xfId="0" applyNumberFormat="1" applyFont="1" applyBorder="1" applyAlignment="1">
      <alignment horizontal="right"/>
    </xf>
    <xf numFmtId="169" fontId="8079" fillId="0" borderId="7650" xfId="0" applyNumberFormat="1" applyFont="1" applyBorder="1" applyAlignment="1">
      <alignment horizontal="right"/>
    </xf>
    <xf numFmtId="169" fontId="8080" fillId="0" borderId="7651" xfId="0" applyNumberFormat="1" applyFont="1" applyBorder="1" applyAlignment="1">
      <alignment horizontal="right"/>
    </xf>
    <xf numFmtId="169" fontId="8081" fillId="0" borderId="7652" xfId="0" applyNumberFormat="1" applyFont="1" applyBorder="1" applyAlignment="1">
      <alignment horizontal="right"/>
    </xf>
    <xf numFmtId="169" fontId="8082" fillId="0" borderId="7653" xfId="0" applyNumberFormat="1" applyFont="1" applyBorder="1" applyAlignment="1">
      <alignment horizontal="right"/>
    </xf>
    <xf numFmtId="169" fontId="8083" fillId="0" borderId="7654" xfId="0" applyNumberFormat="1" applyFont="1" applyBorder="1" applyAlignment="1">
      <alignment horizontal="right"/>
    </xf>
    <xf numFmtId="0" fontId="8084" fillId="0" borderId="7655" xfId="0" applyFont="1" applyBorder="1" applyAlignment="1">
      <alignment horizontal="left"/>
    </xf>
    <xf numFmtId="169" fontId="8085" fillId="0" borderId="7656" xfId="0" applyNumberFormat="1" applyFont="1" applyBorder="1" applyAlignment="1">
      <alignment horizontal="right"/>
    </xf>
    <xf numFmtId="169" fontId="8086" fillId="0" borderId="7657" xfId="0" applyNumberFormat="1" applyFont="1" applyBorder="1" applyAlignment="1">
      <alignment horizontal="right"/>
    </xf>
    <xf numFmtId="169" fontId="8087" fillId="0" borderId="7658" xfId="0" applyNumberFormat="1" applyFont="1" applyBorder="1" applyAlignment="1">
      <alignment horizontal="right"/>
    </xf>
    <xf numFmtId="169" fontId="8088" fillId="0" borderId="7659" xfId="0" applyNumberFormat="1" applyFont="1" applyBorder="1" applyAlignment="1">
      <alignment horizontal="right"/>
    </xf>
    <xf numFmtId="169" fontId="8089" fillId="0" borderId="7660" xfId="0" applyNumberFormat="1" applyFont="1" applyBorder="1" applyAlignment="1">
      <alignment horizontal="right"/>
    </xf>
    <xf numFmtId="169" fontId="8090" fillId="0" borderId="7661" xfId="0" applyNumberFormat="1" applyFont="1" applyBorder="1" applyAlignment="1">
      <alignment horizontal="right"/>
    </xf>
    <xf numFmtId="0" fontId="8091" fillId="0" borderId="7662" xfId="0" applyFont="1" applyBorder="1" applyAlignment="1">
      <alignment horizontal="left"/>
    </xf>
    <xf numFmtId="169" fontId="8092" fillId="0" borderId="7663" xfId="0" applyNumberFormat="1" applyFont="1" applyBorder="1" applyAlignment="1">
      <alignment horizontal="right"/>
    </xf>
    <xf numFmtId="169" fontId="8093" fillId="0" borderId="7664" xfId="0" applyNumberFormat="1" applyFont="1" applyBorder="1" applyAlignment="1">
      <alignment horizontal="right"/>
    </xf>
    <xf numFmtId="169" fontId="8094" fillId="0" borderId="7665" xfId="0" applyNumberFormat="1" applyFont="1" applyBorder="1" applyAlignment="1">
      <alignment horizontal="right"/>
    </xf>
    <xf numFmtId="169" fontId="8095" fillId="0" borderId="7666" xfId="0" applyNumberFormat="1" applyFont="1" applyBorder="1" applyAlignment="1">
      <alignment horizontal="right"/>
    </xf>
    <xf numFmtId="169" fontId="8096" fillId="0" borderId="7667" xfId="0" applyNumberFormat="1" applyFont="1" applyBorder="1" applyAlignment="1">
      <alignment horizontal="right"/>
    </xf>
    <xf numFmtId="169" fontId="8097" fillId="0" borderId="7668" xfId="0" applyNumberFormat="1" applyFont="1" applyBorder="1" applyAlignment="1">
      <alignment horizontal="right"/>
    </xf>
    <xf numFmtId="0" fontId="8098" fillId="0" borderId="7669" xfId="0" applyFont="1" applyBorder="1" applyAlignment="1">
      <alignment horizontal="left"/>
    </xf>
    <xf numFmtId="169" fontId="8099" fillId="0" borderId="7670" xfId="0" applyNumberFormat="1" applyFont="1" applyBorder="1" applyAlignment="1">
      <alignment horizontal="right"/>
    </xf>
    <xf numFmtId="169" fontId="8100" fillId="0" borderId="7671" xfId="0" applyNumberFormat="1" applyFont="1" applyBorder="1" applyAlignment="1">
      <alignment horizontal="right"/>
    </xf>
    <xf numFmtId="169" fontId="8101" fillId="0" borderId="7672" xfId="0" applyNumberFormat="1" applyFont="1" applyBorder="1" applyAlignment="1">
      <alignment horizontal="right"/>
    </xf>
    <xf numFmtId="169" fontId="8102" fillId="0" borderId="7673" xfId="0" applyNumberFormat="1" applyFont="1" applyBorder="1" applyAlignment="1">
      <alignment horizontal="right"/>
    </xf>
    <xf numFmtId="169" fontId="8103" fillId="0" borderId="7674" xfId="0" applyNumberFormat="1" applyFont="1" applyBorder="1" applyAlignment="1">
      <alignment horizontal="right"/>
    </xf>
    <xf numFmtId="169" fontId="8104" fillId="0" borderId="7675" xfId="0" applyNumberFormat="1" applyFont="1" applyBorder="1" applyAlignment="1">
      <alignment horizontal="right"/>
    </xf>
    <xf numFmtId="0" fontId="8105" fillId="0" borderId="7676" xfId="0" applyFont="1" applyBorder="1" applyAlignment="1">
      <alignment horizontal="left"/>
    </xf>
    <xf numFmtId="169" fontId="8106" fillId="0" borderId="7677" xfId="0" applyNumberFormat="1" applyFont="1" applyBorder="1" applyAlignment="1">
      <alignment horizontal="right"/>
    </xf>
    <xf numFmtId="169" fontId="8107" fillId="0" borderId="7678" xfId="0" applyNumberFormat="1" applyFont="1" applyBorder="1" applyAlignment="1">
      <alignment horizontal="right"/>
    </xf>
    <xf numFmtId="169" fontId="8108" fillId="0" borderId="7679" xfId="0" applyNumberFormat="1" applyFont="1" applyBorder="1" applyAlignment="1">
      <alignment horizontal="right"/>
    </xf>
    <xf numFmtId="169" fontId="8109" fillId="0" borderId="7680" xfId="0" applyNumberFormat="1" applyFont="1" applyBorder="1" applyAlignment="1">
      <alignment horizontal="right"/>
    </xf>
    <xf numFmtId="169" fontId="8110" fillId="0" borderId="7681" xfId="0" applyNumberFormat="1" applyFont="1" applyBorder="1" applyAlignment="1">
      <alignment horizontal="right"/>
    </xf>
    <xf numFmtId="169" fontId="8111" fillId="0" borderId="7682" xfId="0" applyNumberFormat="1" applyFont="1" applyBorder="1" applyAlignment="1">
      <alignment horizontal="right"/>
    </xf>
    <xf numFmtId="0" fontId="8112" fillId="0" borderId="7683" xfId="0" applyFont="1" applyBorder="1" applyAlignment="1">
      <alignment horizontal="left"/>
    </xf>
    <xf numFmtId="169" fontId="8113" fillId="0" borderId="7684" xfId="0" applyNumberFormat="1" applyFont="1" applyBorder="1" applyAlignment="1">
      <alignment horizontal="right"/>
    </xf>
    <xf numFmtId="169" fontId="8114" fillId="0" borderId="7685" xfId="0" applyNumberFormat="1" applyFont="1" applyBorder="1" applyAlignment="1">
      <alignment horizontal="right"/>
    </xf>
    <xf numFmtId="169" fontId="8115" fillId="0" borderId="7686" xfId="0" applyNumberFormat="1" applyFont="1" applyBorder="1" applyAlignment="1">
      <alignment horizontal="right"/>
    </xf>
    <xf numFmtId="169" fontId="8116" fillId="0" borderId="7687" xfId="0" applyNumberFormat="1" applyFont="1" applyBorder="1" applyAlignment="1">
      <alignment horizontal="right"/>
    </xf>
    <xf numFmtId="169" fontId="8117" fillId="0" borderId="7688" xfId="0" applyNumberFormat="1" applyFont="1" applyBorder="1" applyAlignment="1">
      <alignment horizontal="right"/>
    </xf>
    <xf numFmtId="169" fontId="8118" fillId="0" borderId="7689" xfId="0" applyNumberFormat="1" applyFont="1" applyBorder="1" applyAlignment="1">
      <alignment horizontal="right"/>
    </xf>
    <xf numFmtId="0" fontId="8119" fillId="0" borderId="7690" xfId="0" applyFont="1" applyBorder="1" applyAlignment="1">
      <alignment horizontal="left"/>
    </xf>
    <xf numFmtId="169" fontId="8120" fillId="0" borderId="7691" xfId="0" applyNumberFormat="1" applyFont="1" applyBorder="1" applyAlignment="1">
      <alignment horizontal="right"/>
    </xf>
    <xf numFmtId="169" fontId="8121" fillId="0" borderId="7692" xfId="0" applyNumberFormat="1" applyFont="1" applyBorder="1" applyAlignment="1">
      <alignment horizontal="right"/>
    </xf>
    <xf numFmtId="169" fontId="8122" fillId="0" borderId="7693" xfId="0" applyNumberFormat="1" applyFont="1" applyBorder="1" applyAlignment="1">
      <alignment horizontal="right"/>
    </xf>
    <xf numFmtId="169" fontId="8123" fillId="0" borderId="7694" xfId="0" applyNumberFormat="1" applyFont="1" applyBorder="1" applyAlignment="1">
      <alignment horizontal="right"/>
    </xf>
    <xf numFmtId="169" fontId="8124" fillId="0" borderId="7695" xfId="0" applyNumberFormat="1" applyFont="1" applyBorder="1" applyAlignment="1">
      <alignment horizontal="right"/>
    </xf>
    <xf numFmtId="169" fontId="8125" fillId="0" borderId="7696" xfId="0" applyNumberFormat="1" applyFont="1" applyBorder="1" applyAlignment="1">
      <alignment horizontal="right"/>
    </xf>
    <xf numFmtId="0" fontId="8126" fillId="0" borderId="7697" xfId="0" applyFont="1" applyBorder="1" applyAlignment="1">
      <alignment horizontal="left"/>
    </xf>
    <xf numFmtId="169" fontId="8127" fillId="0" borderId="7698" xfId="0" applyNumberFormat="1" applyFont="1" applyBorder="1" applyAlignment="1">
      <alignment horizontal="right"/>
    </xf>
    <xf numFmtId="169" fontId="8128" fillId="0" borderId="7699" xfId="0" applyNumberFormat="1" applyFont="1" applyBorder="1" applyAlignment="1">
      <alignment horizontal="right"/>
    </xf>
    <xf numFmtId="169" fontId="8129" fillId="0" borderId="7700" xfId="0" applyNumberFormat="1" applyFont="1" applyBorder="1" applyAlignment="1">
      <alignment horizontal="right"/>
    </xf>
    <xf numFmtId="169" fontId="8130" fillId="0" borderId="7701" xfId="0" applyNumberFormat="1" applyFont="1" applyBorder="1" applyAlignment="1">
      <alignment horizontal="right"/>
    </xf>
    <xf numFmtId="169" fontId="8131" fillId="0" borderId="7702" xfId="0" applyNumberFormat="1" applyFont="1" applyBorder="1" applyAlignment="1">
      <alignment horizontal="right"/>
    </xf>
    <xf numFmtId="169" fontId="8132" fillId="0" borderId="7703" xfId="0" applyNumberFormat="1" applyFont="1" applyBorder="1" applyAlignment="1">
      <alignment horizontal="right"/>
    </xf>
    <xf numFmtId="0" fontId="8133" fillId="0" borderId="7704" xfId="0" applyFont="1" applyBorder="1"/>
    <xf numFmtId="1" fontId="8137" fillId="0" borderId="7708" xfId="0" applyNumberFormat="1" applyFont="1" applyBorder="1" applyAlignment="1">
      <alignment horizontal="center"/>
    </xf>
    <xf numFmtId="1" fontId="8138" fillId="0" borderId="7709" xfId="0" applyNumberFormat="1" applyFont="1" applyBorder="1" applyAlignment="1">
      <alignment horizontal="right"/>
    </xf>
    <xf numFmtId="1" fontId="8139" fillId="0" borderId="7710" xfId="0" applyNumberFormat="1" applyFont="1" applyBorder="1" applyAlignment="1">
      <alignment horizontal="center"/>
    </xf>
    <xf numFmtId="0" fontId="8140" fillId="0" borderId="7711" xfId="0" applyFont="1" applyBorder="1"/>
    <xf numFmtId="1" fontId="8142" fillId="0" borderId="7713" xfId="0" applyNumberFormat="1" applyFont="1" applyBorder="1" applyAlignment="1">
      <alignment horizontal="right"/>
    </xf>
    <xf numFmtId="1" fontId="8143" fillId="0" borderId="7714" xfId="0" applyNumberFormat="1" applyFont="1" applyBorder="1" applyAlignment="1">
      <alignment horizontal="right"/>
    </xf>
    <xf numFmtId="0" fontId="8144" fillId="0" borderId="7715" xfId="0" applyFont="1" applyBorder="1"/>
    <xf numFmtId="1" fontId="8146" fillId="0" borderId="7717" xfId="0" applyNumberFormat="1" applyFont="1" applyBorder="1" applyAlignment="1">
      <alignment horizontal="center"/>
    </xf>
    <xf numFmtId="0" fontId="8147" fillId="0" borderId="7718" xfId="0" applyFont="1" applyBorder="1"/>
    <xf numFmtId="1" fontId="8148" fillId="0" borderId="7719" xfId="0" applyNumberFormat="1" applyFont="1" applyBorder="1" applyAlignment="1">
      <alignment horizontal="right"/>
    </xf>
    <xf numFmtId="1" fontId="8149" fillId="0" borderId="7720" xfId="0" applyNumberFormat="1" applyFont="1" applyBorder="1" applyAlignment="1">
      <alignment horizontal="right"/>
    </xf>
    <xf numFmtId="1" fontId="8150" fillId="0" borderId="7721" xfId="0" applyNumberFormat="1" applyFont="1" applyBorder="1" applyAlignment="1">
      <alignment horizontal="right"/>
    </xf>
    <xf numFmtId="1" fontId="8151" fillId="0" borderId="7722" xfId="0" applyNumberFormat="1" applyFont="1" applyBorder="1" applyAlignment="1">
      <alignment horizontal="right"/>
    </xf>
    <xf numFmtId="0" fontId="8152" fillId="0" borderId="7723" xfId="0" applyFont="1" applyBorder="1" applyAlignment="1">
      <alignment horizontal="left"/>
    </xf>
    <xf numFmtId="1" fontId="8153" fillId="0" borderId="7724" xfId="0" applyNumberFormat="1" applyFont="1" applyBorder="1"/>
    <xf numFmtId="1" fontId="8154" fillId="0" borderId="7725" xfId="0" applyNumberFormat="1" applyFont="1" applyBorder="1"/>
    <xf numFmtId="1" fontId="8155" fillId="0" borderId="7726" xfId="0" applyNumberFormat="1" applyFont="1" applyBorder="1"/>
    <xf numFmtId="1" fontId="8156" fillId="0" borderId="7727" xfId="0" applyNumberFormat="1" applyFont="1" applyBorder="1"/>
    <xf numFmtId="1" fontId="8157" fillId="0" borderId="7728" xfId="0" applyNumberFormat="1" applyFont="1" applyBorder="1"/>
    <xf numFmtId="1" fontId="8158" fillId="0" borderId="7729" xfId="0" applyNumberFormat="1" applyFont="1" applyBorder="1"/>
    <xf numFmtId="0" fontId="8159" fillId="0" borderId="7730" xfId="0" applyFont="1" applyBorder="1" applyAlignment="1">
      <alignment horizontal="left"/>
    </xf>
    <xf numFmtId="169" fontId="8160" fillId="0" borderId="7731" xfId="0" applyNumberFormat="1" applyFont="1" applyBorder="1" applyAlignment="1">
      <alignment horizontal="right"/>
    </xf>
    <xf numFmtId="169" fontId="8161" fillId="0" borderId="7732" xfId="0" applyNumberFormat="1" applyFont="1" applyBorder="1" applyAlignment="1">
      <alignment horizontal="right"/>
    </xf>
    <xf numFmtId="169" fontId="8162" fillId="0" borderId="7733" xfId="0" applyNumberFormat="1" applyFont="1" applyBorder="1" applyAlignment="1">
      <alignment horizontal="right"/>
    </xf>
    <xf numFmtId="169" fontId="8163" fillId="0" borderId="7734" xfId="0" applyNumberFormat="1" applyFont="1" applyBorder="1" applyAlignment="1">
      <alignment horizontal="right"/>
    </xf>
    <xf numFmtId="169" fontId="8164" fillId="0" borderId="7735" xfId="0" applyNumberFormat="1" applyFont="1" applyBorder="1" applyAlignment="1">
      <alignment horizontal="right"/>
    </xf>
    <xf numFmtId="169" fontId="8165" fillId="0" borderId="7736" xfId="0" applyNumberFormat="1" applyFont="1" applyBorder="1" applyAlignment="1">
      <alignment horizontal="right"/>
    </xf>
    <xf numFmtId="0" fontId="8166" fillId="0" borderId="7737" xfId="0" applyFont="1" applyBorder="1" applyAlignment="1">
      <alignment horizontal="left"/>
    </xf>
    <xf numFmtId="169" fontId="8167" fillId="0" borderId="7738" xfId="0" applyNumberFormat="1" applyFont="1" applyBorder="1" applyAlignment="1">
      <alignment horizontal="right"/>
    </xf>
    <xf numFmtId="169" fontId="8168" fillId="0" borderId="7739" xfId="0" applyNumberFormat="1" applyFont="1" applyBorder="1" applyAlignment="1">
      <alignment horizontal="right"/>
    </xf>
    <xf numFmtId="169" fontId="8169" fillId="0" borderId="7740" xfId="0" applyNumberFormat="1" applyFont="1" applyBorder="1" applyAlignment="1">
      <alignment horizontal="right"/>
    </xf>
    <xf numFmtId="169" fontId="8170" fillId="0" borderId="7741" xfId="0" applyNumberFormat="1" applyFont="1" applyBorder="1" applyAlignment="1">
      <alignment horizontal="right"/>
    </xf>
    <xf numFmtId="169" fontId="8171" fillId="0" borderId="7742" xfId="0" applyNumberFormat="1" applyFont="1" applyBorder="1" applyAlignment="1">
      <alignment horizontal="right"/>
    </xf>
    <xf numFmtId="169" fontId="8172" fillId="0" borderId="7743" xfId="0" applyNumberFormat="1" applyFont="1" applyBorder="1" applyAlignment="1">
      <alignment horizontal="right"/>
    </xf>
    <xf numFmtId="0" fontId="8173" fillId="0" borderId="7744" xfId="0" applyFont="1" applyBorder="1" applyAlignment="1">
      <alignment horizontal="left"/>
    </xf>
    <xf numFmtId="169" fontId="8174" fillId="0" borderId="7745" xfId="0" applyNumberFormat="1" applyFont="1" applyBorder="1" applyAlignment="1">
      <alignment horizontal="right"/>
    </xf>
    <xf numFmtId="169" fontId="8175" fillId="0" borderId="7746" xfId="0" applyNumberFormat="1" applyFont="1" applyBorder="1" applyAlignment="1">
      <alignment horizontal="right"/>
    </xf>
    <xf numFmtId="169" fontId="8176" fillId="0" borderId="7747" xfId="0" applyNumberFormat="1" applyFont="1" applyBorder="1" applyAlignment="1">
      <alignment horizontal="right"/>
    </xf>
    <xf numFmtId="169" fontId="8177" fillId="0" borderId="7748" xfId="0" applyNumberFormat="1" applyFont="1" applyBorder="1" applyAlignment="1">
      <alignment horizontal="right"/>
    </xf>
    <xf numFmtId="169" fontId="8178" fillId="0" borderId="7749" xfId="0" applyNumberFormat="1" applyFont="1" applyBorder="1" applyAlignment="1">
      <alignment horizontal="right"/>
    </xf>
    <xf numFmtId="169" fontId="8179" fillId="0" borderId="7750" xfId="0" applyNumberFormat="1" applyFont="1" applyBorder="1" applyAlignment="1">
      <alignment horizontal="right"/>
    </xf>
    <xf numFmtId="0" fontId="8180" fillId="0" borderId="7751" xfId="0" applyFont="1" applyBorder="1" applyAlignment="1">
      <alignment horizontal="left"/>
    </xf>
    <xf numFmtId="169" fontId="8181" fillId="0" borderId="7752" xfId="0" applyNumberFormat="1" applyFont="1" applyBorder="1" applyAlignment="1">
      <alignment horizontal="right"/>
    </xf>
    <xf numFmtId="169" fontId="8182" fillId="0" borderId="7753" xfId="0" applyNumberFormat="1" applyFont="1" applyBorder="1" applyAlignment="1">
      <alignment horizontal="right"/>
    </xf>
    <xf numFmtId="169" fontId="8183" fillId="0" borderId="7754" xfId="0" applyNumberFormat="1" applyFont="1" applyBorder="1" applyAlignment="1">
      <alignment horizontal="right"/>
    </xf>
    <xf numFmtId="169" fontId="8184" fillId="0" borderId="7755" xfId="0" applyNumberFormat="1" applyFont="1" applyBorder="1" applyAlignment="1">
      <alignment horizontal="right"/>
    </xf>
    <xf numFmtId="169" fontId="8185" fillId="0" borderId="7756" xfId="0" applyNumberFormat="1" applyFont="1" applyBorder="1" applyAlignment="1">
      <alignment horizontal="right"/>
    </xf>
    <xf numFmtId="169" fontId="8186" fillId="0" borderId="7757" xfId="0" applyNumberFormat="1" applyFont="1" applyBorder="1" applyAlignment="1">
      <alignment horizontal="right"/>
    </xf>
    <xf numFmtId="0" fontId="8187" fillId="0" borderId="7758" xfId="0" applyFont="1" applyBorder="1" applyAlignment="1">
      <alignment horizontal="left"/>
    </xf>
    <xf numFmtId="169" fontId="8188" fillId="0" borderId="7759" xfId="0" applyNumberFormat="1" applyFont="1" applyBorder="1" applyAlignment="1">
      <alignment horizontal="right"/>
    </xf>
    <xf numFmtId="169" fontId="8189" fillId="0" borderId="7760" xfId="0" applyNumberFormat="1" applyFont="1" applyBorder="1" applyAlignment="1">
      <alignment horizontal="right"/>
    </xf>
    <xf numFmtId="169" fontId="8190" fillId="0" borderId="7761" xfId="0" applyNumberFormat="1" applyFont="1" applyBorder="1" applyAlignment="1">
      <alignment horizontal="right"/>
    </xf>
    <xf numFmtId="169" fontId="8191" fillId="0" borderId="7762" xfId="0" applyNumberFormat="1" applyFont="1" applyBorder="1" applyAlignment="1">
      <alignment horizontal="right"/>
    </xf>
    <xf numFmtId="169" fontId="8192" fillId="0" borderId="7763" xfId="0" applyNumberFormat="1" applyFont="1" applyBorder="1" applyAlignment="1">
      <alignment horizontal="right"/>
    </xf>
    <xf numFmtId="169" fontId="8193" fillId="0" borderId="7764" xfId="0" applyNumberFormat="1" applyFont="1" applyBorder="1" applyAlignment="1">
      <alignment horizontal="right"/>
    </xf>
    <xf numFmtId="0" fontId="8194" fillId="0" borderId="7765" xfId="0" applyFont="1" applyBorder="1" applyAlignment="1">
      <alignment horizontal="left"/>
    </xf>
    <xf numFmtId="169" fontId="8195" fillId="0" borderId="7766" xfId="0" applyNumberFormat="1" applyFont="1" applyBorder="1" applyAlignment="1">
      <alignment horizontal="right"/>
    </xf>
    <xf numFmtId="169" fontId="8196" fillId="0" borderId="7767" xfId="0" applyNumberFormat="1" applyFont="1" applyBorder="1" applyAlignment="1">
      <alignment horizontal="right"/>
    </xf>
    <xf numFmtId="169" fontId="8197" fillId="0" borderId="7768" xfId="0" applyNumberFormat="1" applyFont="1" applyBorder="1" applyAlignment="1">
      <alignment horizontal="right"/>
    </xf>
    <xf numFmtId="169" fontId="8198" fillId="0" borderId="7769" xfId="0" applyNumberFormat="1" applyFont="1" applyBorder="1" applyAlignment="1">
      <alignment horizontal="right"/>
    </xf>
    <xf numFmtId="169" fontId="8199" fillId="0" borderId="7770" xfId="0" applyNumberFormat="1" applyFont="1" applyBorder="1" applyAlignment="1">
      <alignment horizontal="right"/>
    </xf>
    <xf numFmtId="169" fontId="8200" fillId="0" borderId="7771" xfId="0" applyNumberFormat="1" applyFont="1" applyBorder="1" applyAlignment="1">
      <alignment horizontal="right"/>
    </xf>
    <xf numFmtId="0" fontId="8201" fillId="0" borderId="7772" xfId="0" applyFont="1" applyBorder="1" applyAlignment="1">
      <alignment horizontal="left"/>
    </xf>
    <xf numFmtId="169" fontId="8202" fillId="0" borderId="7773" xfId="0" applyNumberFormat="1" applyFont="1" applyBorder="1" applyAlignment="1">
      <alignment horizontal="right"/>
    </xf>
    <xf numFmtId="169" fontId="8203" fillId="0" borderId="7774" xfId="0" applyNumberFormat="1" applyFont="1" applyBorder="1" applyAlignment="1">
      <alignment horizontal="right"/>
    </xf>
    <xf numFmtId="169" fontId="8204" fillId="0" borderId="7775" xfId="0" applyNumberFormat="1" applyFont="1" applyBorder="1" applyAlignment="1">
      <alignment horizontal="right"/>
    </xf>
    <xf numFmtId="169" fontId="8205" fillId="0" borderId="7776" xfId="0" applyNumberFormat="1" applyFont="1" applyBorder="1" applyAlignment="1">
      <alignment horizontal="right"/>
    </xf>
    <xf numFmtId="169" fontId="8206" fillId="0" borderId="7777" xfId="0" applyNumberFormat="1" applyFont="1" applyBorder="1" applyAlignment="1">
      <alignment horizontal="right"/>
    </xf>
    <xf numFmtId="169" fontId="8207" fillId="0" borderId="7778" xfId="0" applyNumberFormat="1" applyFont="1" applyBorder="1" applyAlignment="1">
      <alignment horizontal="right"/>
    </xf>
    <xf numFmtId="0" fontId="8208" fillId="0" borderId="7779" xfId="0" applyFont="1" applyBorder="1" applyAlignment="1">
      <alignment horizontal="left"/>
    </xf>
    <xf numFmtId="169" fontId="8209" fillId="0" borderId="7780" xfId="0" applyNumberFormat="1" applyFont="1" applyBorder="1" applyAlignment="1">
      <alignment horizontal="right"/>
    </xf>
    <xf numFmtId="169" fontId="8210" fillId="0" borderId="7781" xfId="0" applyNumberFormat="1" applyFont="1" applyBorder="1" applyAlignment="1">
      <alignment horizontal="right"/>
    </xf>
    <xf numFmtId="169" fontId="8211" fillId="0" borderId="7782" xfId="0" applyNumberFormat="1" applyFont="1" applyBorder="1" applyAlignment="1">
      <alignment horizontal="right"/>
    </xf>
    <xf numFmtId="169" fontId="8212" fillId="0" borderId="7783" xfId="0" applyNumberFormat="1" applyFont="1" applyBorder="1" applyAlignment="1">
      <alignment horizontal="right"/>
    </xf>
    <xf numFmtId="169" fontId="8213" fillId="0" borderId="7784" xfId="0" applyNumberFormat="1" applyFont="1" applyBorder="1" applyAlignment="1">
      <alignment horizontal="right"/>
    </xf>
    <xf numFmtId="169" fontId="8214" fillId="0" borderId="7785" xfId="0" applyNumberFormat="1" applyFont="1" applyBorder="1" applyAlignment="1">
      <alignment horizontal="right"/>
    </xf>
    <xf numFmtId="0" fontId="8215" fillId="0" borderId="7786" xfId="0" applyFont="1" applyBorder="1" applyAlignment="1">
      <alignment horizontal="left"/>
    </xf>
    <xf numFmtId="169" fontId="8216" fillId="0" borderId="7787" xfId="0" applyNumberFormat="1" applyFont="1" applyBorder="1" applyAlignment="1">
      <alignment horizontal="right"/>
    </xf>
    <xf numFmtId="169" fontId="8217" fillId="0" borderId="7788" xfId="0" applyNumberFormat="1" applyFont="1" applyBorder="1" applyAlignment="1">
      <alignment horizontal="right"/>
    </xf>
    <xf numFmtId="169" fontId="8218" fillId="0" borderId="7789" xfId="0" applyNumberFormat="1" applyFont="1" applyBorder="1" applyAlignment="1">
      <alignment horizontal="right"/>
    </xf>
    <xf numFmtId="169" fontId="8219" fillId="0" borderId="7790" xfId="0" applyNumberFormat="1" applyFont="1" applyBorder="1" applyAlignment="1">
      <alignment horizontal="right"/>
    </xf>
    <xf numFmtId="169" fontId="8220" fillId="0" borderId="7791" xfId="0" applyNumberFormat="1" applyFont="1" applyBorder="1" applyAlignment="1">
      <alignment horizontal="right"/>
    </xf>
    <xf numFmtId="169" fontId="8221" fillId="0" borderId="7792" xfId="0" applyNumberFormat="1" applyFont="1" applyBorder="1" applyAlignment="1">
      <alignment horizontal="right"/>
    </xf>
    <xf numFmtId="0" fontId="8222" fillId="0" borderId="7793" xfId="0" applyFont="1" applyBorder="1" applyAlignment="1">
      <alignment horizontal="left"/>
    </xf>
    <xf numFmtId="169" fontId="8223" fillId="0" borderId="7794" xfId="0" applyNumberFormat="1" applyFont="1" applyBorder="1" applyAlignment="1">
      <alignment horizontal="right"/>
    </xf>
    <xf numFmtId="169" fontId="8224" fillId="0" borderId="7795" xfId="0" applyNumberFormat="1" applyFont="1" applyBorder="1" applyAlignment="1">
      <alignment horizontal="right"/>
    </xf>
    <xf numFmtId="169" fontId="8225" fillId="0" borderId="7796" xfId="0" applyNumberFormat="1" applyFont="1" applyBorder="1" applyAlignment="1">
      <alignment horizontal="right"/>
    </xf>
    <xf numFmtId="169" fontId="8226" fillId="0" borderId="7797" xfId="0" applyNumberFormat="1" applyFont="1" applyBorder="1" applyAlignment="1">
      <alignment horizontal="right"/>
    </xf>
    <xf numFmtId="169" fontId="8227" fillId="0" borderId="7798" xfId="0" applyNumberFormat="1" applyFont="1" applyBorder="1" applyAlignment="1">
      <alignment horizontal="right"/>
    </xf>
    <xf numFmtId="169" fontId="8228" fillId="0" borderId="7799" xfId="0" applyNumberFormat="1" applyFont="1" applyBorder="1" applyAlignment="1">
      <alignment horizontal="right"/>
    </xf>
    <xf numFmtId="0" fontId="8229" fillId="0" borderId="7800" xfId="0" applyFont="1" applyBorder="1" applyAlignment="1">
      <alignment horizontal="left"/>
    </xf>
    <xf numFmtId="169" fontId="8230" fillId="0" borderId="7801" xfId="0" applyNumberFormat="1" applyFont="1" applyBorder="1" applyAlignment="1">
      <alignment horizontal="right"/>
    </xf>
    <xf numFmtId="169" fontId="8231" fillId="0" borderId="7802" xfId="0" applyNumberFormat="1" applyFont="1" applyBorder="1" applyAlignment="1">
      <alignment horizontal="right"/>
    </xf>
    <xf numFmtId="169" fontId="8232" fillId="0" borderId="7803" xfId="0" applyNumberFormat="1" applyFont="1" applyBorder="1" applyAlignment="1">
      <alignment horizontal="right"/>
    </xf>
    <xf numFmtId="169" fontId="8233" fillId="0" borderId="7804" xfId="0" applyNumberFormat="1" applyFont="1" applyBorder="1" applyAlignment="1">
      <alignment horizontal="right"/>
    </xf>
    <xf numFmtId="169" fontId="8234" fillId="0" borderId="7805" xfId="0" applyNumberFormat="1" applyFont="1" applyBorder="1" applyAlignment="1">
      <alignment horizontal="right"/>
    </xf>
    <xf numFmtId="169" fontId="8235" fillId="0" borderId="7806" xfId="0" applyNumberFormat="1" applyFont="1" applyBorder="1" applyAlignment="1">
      <alignment horizontal="right"/>
    </xf>
    <xf numFmtId="0" fontId="8236" fillId="0" borderId="7807" xfId="0" applyFont="1" applyBorder="1" applyAlignment="1">
      <alignment horizontal="left"/>
    </xf>
    <xf numFmtId="169" fontId="8237" fillId="0" borderId="7808" xfId="0" applyNumberFormat="1" applyFont="1" applyBorder="1" applyAlignment="1">
      <alignment horizontal="right"/>
    </xf>
    <xf numFmtId="169" fontId="8238" fillId="0" borderId="7809" xfId="0" applyNumberFormat="1" applyFont="1" applyBorder="1" applyAlignment="1">
      <alignment horizontal="right"/>
    </xf>
    <xf numFmtId="169" fontId="8239" fillId="0" borderId="7810" xfId="0" applyNumberFormat="1" applyFont="1" applyBorder="1" applyAlignment="1">
      <alignment horizontal="right"/>
    </xf>
    <xf numFmtId="169" fontId="8240" fillId="0" borderId="7811" xfId="0" applyNumberFormat="1" applyFont="1" applyBorder="1" applyAlignment="1">
      <alignment horizontal="right"/>
    </xf>
    <xf numFmtId="169" fontId="8241" fillId="0" borderId="7812" xfId="0" applyNumberFormat="1" applyFont="1" applyBorder="1" applyAlignment="1">
      <alignment horizontal="right"/>
    </xf>
    <xf numFmtId="169" fontId="8242" fillId="0" borderId="7813" xfId="0" applyNumberFormat="1" applyFont="1" applyBorder="1" applyAlignment="1">
      <alignment horizontal="right"/>
    </xf>
    <xf numFmtId="0" fontId="8243" fillId="0" borderId="7814" xfId="0" applyFont="1" applyBorder="1" applyAlignment="1">
      <alignment horizontal="left"/>
    </xf>
    <xf numFmtId="169" fontId="8244" fillId="0" borderId="7815" xfId="0" applyNumberFormat="1" applyFont="1" applyBorder="1" applyAlignment="1">
      <alignment horizontal="right"/>
    </xf>
    <xf numFmtId="169" fontId="8245" fillId="0" borderId="7816" xfId="0" applyNumberFormat="1" applyFont="1" applyBorder="1" applyAlignment="1">
      <alignment horizontal="right"/>
    </xf>
    <xf numFmtId="169" fontId="8246" fillId="0" borderId="7817" xfId="0" applyNumberFormat="1" applyFont="1" applyBorder="1" applyAlignment="1">
      <alignment horizontal="right"/>
    </xf>
    <xf numFmtId="169" fontId="8247" fillId="0" borderId="7818" xfId="0" applyNumberFormat="1" applyFont="1" applyBorder="1" applyAlignment="1">
      <alignment horizontal="right"/>
    </xf>
    <xf numFmtId="169" fontId="8248" fillId="0" borderId="7819" xfId="0" applyNumberFormat="1" applyFont="1" applyBorder="1" applyAlignment="1">
      <alignment horizontal="right"/>
    </xf>
    <xf numFmtId="169" fontId="8249" fillId="0" borderId="7820" xfId="0" applyNumberFormat="1" applyFont="1" applyBorder="1" applyAlignment="1">
      <alignment horizontal="right"/>
    </xf>
    <xf numFmtId="0" fontId="8250" fillId="0" borderId="7821" xfId="0" applyFont="1" applyBorder="1" applyAlignment="1">
      <alignment horizontal="left"/>
    </xf>
    <xf numFmtId="169" fontId="8251" fillId="0" borderId="7822" xfId="0" applyNumberFormat="1" applyFont="1" applyBorder="1" applyAlignment="1">
      <alignment horizontal="right"/>
    </xf>
    <xf numFmtId="169" fontId="8252" fillId="0" borderId="7823" xfId="0" applyNumberFormat="1" applyFont="1" applyBorder="1" applyAlignment="1">
      <alignment horizontal="right"/>
    </xf>
    <xf numFmtId="169" fontId="8253" fillId="0" borderId="7824" xfId="0" applyNumberFormat="1" applyFont="1" applyBorder="1" applyAlignment="1">
      <alignment horizontal="right"/>
    </xf>
    <xf numFmtId="169" fontId="8254" fillId="0" borderId="7825" xfId="0" applyNumberFormat="1" applyFont="1" applyBorder="1" applyAlignment="1">
      <alignment horizontal="right"/>
    </xf>
    <xf numFmtId="169" fontId="8255" fillId="0" borderId="7826" xfId="0" applyNumberFormat="1" applyFont="1" applyBorder="1" applyAlignment="1">
      <alignment horizontal="right"/>
    </xf>
    <xf numFmtId="169" fontId="8256" fillId="0" borderId="7827" xfId="0" applyNumberFormat="1" applyFont="1" applyBorder="1" applyAlignment="1">
      <alignment horizontal="right"/>
    </xf>
    <xf numFmtId="0" fontId="8257" fillId="0" borderId="7828" xfId="0" applyFont="1" applyBorder="1" applyAlignment="1">
      <alignment horizontal="left"/>
    </xf>
    <xf numFmtId="169" fontId="8258" fillId="0" borderId="7829" xfId="0" applyNumberFormat="1" applyFont="1" applyBorder="1" applyAlignment="1">
      <alignment horizontal="right"/>
    </xf>
    <xf numFmtId="169" fontId="8259" fillId="0" borderId="7830" xfId="0" applyNumberFormat="1" applyFont="1" applyBorder="1" applyAlignment="1">
      <alignment horizontal="right"/>
    </xf>
    <xf numFmtId="169" fontId="8260" fillId="0" borderId="7831" xfId="0" applyNumberFormat="1" applyFont="1" applyBorder="1" applyAlignment="1">
      <alignment horizontal="right"/>
    </xf>
    <xf numFmtId="169" fontId="8261" fillId="0" borderId="7832" xfId="0" applyNumberFormat="1" applyFont="1" applyBorder="1" applyAlignment="1">
      <alignment horizontal="right"/>
    </xf>
    <xf numFmtId="169" fontId="8262" fillId="0" borderId="7833" xfId="0" applyNumberFormat="1" applyFont="1" applyBorder="1" applyAlignment="1">
      <alignment horizontal="right"/>
    </xf>
    <xf numFmtId="169" fontId="8263" fillId="0" borderId="7834" xfId="0" applyNumberFormat="1" applyFont="1" applyBorder="1" applyAlignment="1">
      <alignment horizontal="right"/>
    </xf>
    <xf numFmtId="0" fontId="8264" fillId="0" borderId="7835" xfId="0" applyFont="1" applyBorder="1" applyAlignment="1">
      <alignment horizontal="left"/>
    </xf>
    <xf numFmtId="169" fontId="8265" fillId="0" borderId="7836" xfId="0" applyNumberFormat="1" applyFont="1" applyBorder="1" applyAlignment="1">
      <alignment horizontal="right"/>
    </xf>
    <xf numFmtId="169" fontId="8266" fillId="0" borderId="7837" xfId="0" applyNumberFormat="1" applyFont="1" applyBorder="1" applyAlignment="1">
      <alignment horizontal="right"/>
    </xf>
    <xf numFmtId="169" fontId="8267" fillId="0" borderId="7838" xfId="0" applyNumberFormat="1" applyFont="1" applyBorder="1" applyAlignment="1">
      <alignment horizontal="right"/>
    </xf>
    <xf numFmtId="169" fontId="8268" fillId="0" borderId="7839" xfId="0" applyNumberFormat="1" applyFont="1" applyBorder="1" applyAlignment="1">
      <alignment horizontal="right"/>
    </xf>
    <xf numFmtId="169" fontId="8269" fillId="0" borderId="7840" xfId="0" applyNumberFormat="1" applyFont="1" applyBorder="1" applyAlignment="1">
      <alignment horizontal="right"/>
    </xf>
    <xf numFmtId="169" fontId="8270" fillId="0" borderId="7841" xfId="0" applyNumberFormat="1" applyFont="1" applyBorder="1" applyAlignment="1">
      <alignment horizontal="right"/>
    </xf>
    <xf numFmtId="0" fontId="8271" fillId="0" borderId="7842" xfId="0" applyFont="1" applyBorder="1" applyAlignment="1">
      <alignment horizontal="left"/>
    </xf>
    <xf numFmtId="169" fontId="8272" fillId="0" borderId="7843" xfId="0" applyNumberFormat="1" applyFont="1" applyBorder="1" applyAlignment="1">
      <alignment horizontal="right"/>
    </xf>
    <xf numFmtId="169" fontId="8273" fillId="0" borderId="7844" xfId="0" applyNumberFormat="1" applyFont="1" applyBorder="1" applyAlignment="1">
      <alignment horizontal="right"/>
    </xf>
    <xf numFmtId="169" fontId="8274" fillId="0" borderId="7845" xfId="0" applyNumberFormat="1" applyFont="1" applyBorder="1" applyAlignment="1">
      <alignment horizontal="right"/>
    </xf>
    <xf numFmtId="169" fontId="8275" fillId="0" borderId="7846" xfId="0" applyNumberFormat="1" applyFont="1" applyBorder="1" applyAlignment="1">
      <alignment horizontal="right"/>
    </xf>
    <xf numFmtId="169" fontId="8276" fillId="0" borderId="7847" xfId="0" applyNumberFormat="1" applyFont="1" applyBorder="1" applyAlignment="1">
      <alignment horizontal="right"/>
    </xf>
    <xf numFmtId="169" fontId="8277" fillId="0" borderId="7848" xfId="0" applyNumberFormat="1" applyFont="1" applyBorder="1" applyAlignment="1">
      <alignment horizontal="right"/>
    </xf>
    <xf numFmtId="0" fontId="8278" fillId="0" borderId="7849" xfId="0" applyFont="1" applyBorder="1"/>
    <xf numFmtId="1" fontId="8282" fillId="0" borderId="7853" xfId="0" applyNumberFormat="1" applyFont="1" applyBorder="1" applyAlignment="1">
      <alignment horizontal="center"/>
    </xf>
    <xf numFmtId="1" fontId="8283" fillId="0" borderId="7854" xfId="0" applyNumberFormat="1" applyFont="1" applyBorder="1" applyAlignment="1">
      <alignment horizontal="right"/>
    </xf>
    <xf numFmtId="1" fontId="8284" fillId="0" borderId="7855" xfId="0" applyNumberFormat="1" applyFont="1" applyBorder="1" applyAlignment="1">
      <alignment horizontal="center"/>
    </xf>
    <xf numFmtId="0" fontId="8285" fillId="0" borderId="7856" xfId="0" applyFont="1" applyBorder="1"/>
    <xf numFmtId="1" fontId="8287" fillId="0" borderId="7858" xfId="0" applyNumberFormat="1" applyFont="1" applyBorder="1" applyAlignment="1">
      <alignment horizontal="right"/>
    </xf>
    <xf numFmtId="1" fontId="8288" fillId="0" borderId="7859" xfId="0" applyNumberFormat="1" applyFont="1" applyBorder="1" applyAlignment="1">
      <alignment horizontal="right"/>
    </xf>
    <xf numFmtId="0" fontId="8289" fillId="0" borderId="7860" xfId="0" applyFont="1" applyBorder="1"/>
    <xf numFmtId="1" fontId="8291" fillId="0" borderId="7862" xfId="0" applyNumberFormat="1" applyFont="1" applyBorder="1" applyAlignment="1">
      <alignment horizontal="center"/>
    </xf>
    <xf numFmtId="0" fontId="8292" fillId="0" borderId="7863" xfId="0" applyFont="1" applyBorder="1"/>
    <xf numFmtId="1" fontId="8293" fillId="0" borderId="7864" xfId="0" applyNumberFormat="1" applyFont="1" applyBorder="1" applyAlignment="1">
      <alignment horizontal="right"/>
    </xf>
    <xf numFmtId="1" fontId="8294" fillId="0" borderId="7865" xfId="0" applyNumberFormat="1" applyFont="1" applyBorder="1" applyAlignment="1">
      <alignment horizontal="right"/>
    </xf>
    <xf numFmtId="1" fontId="8295" fillId="0" borderId="7866" xfId="0" applyNumberFormat="1" applyFont="1" applyBorder="1" applyAlignment="1">
      <alignment horizontal="right"/>
    </xf>
    <xf numFmtId="1" fontId="8296" fillId="0" borderId="7867" xfId="0" applyNumberFormat="1" applyFont="1" applyBorder="1" applyAlignment="1">
      <alignment horizontal="right"/>
    </xf>
    <xf numFmtId="0" fontId="8297" fillId="0" borderId="7868" xfId="0" applyFont="1" applyBorder="1" applyAlignment="1">
      <alignment horizontal="left"/>
    </xf>
    <xf numFmtId="1" fontId="8298" fillId="0" borderId="7869" xfId="0" applyNumberFormat="1" applyFont="1" applyBorder="1"/>
    <xf numFmtId="1" fontId="8299" fillId="0" borderId="7870" xfId="0" applyNumberFormat="1" applyFont="1" applyBorder="1"/>
    <xf numFmtId="1" fontId="8300" fillId="0" borderId="7871" xfId="0" applyNumberFormat="1" applyFont="1" applyBorder="1"/>
    <xf numFmtId="1" fontId="8301" fillId="0" borderId="7872" xfId="0" applyNumberFormat="1" applyFont="1" applyBorder="1"/>
    <xf numFmtId="1" fontId="8302" fillId="0" borderId="7873" xfId="0" applyNumberFormat="1" applyFont="1" applyBorder="1"/>
    <xf numFmtId="1" fontId="8303" fillId="0" borderId="7874" xfId="0" applyNumberFormat="1" applyFont="1" applyBorder="1"/>
    <xf numFmtId="0" fontId="8304" fillId="0" borderId="7875" xfId="0" applyFont="1" applyBorder="1" applyAlignment="1">
      <alignment horizontal="left"/>
    </xf>
    <xf numFmtId="169" fontId="8305" fillId="0" borderId="7876" xfId="0" applyNumberFormat="1" applyFont="1" applyBorder="1" applyAlignment="1">
      <alignment horizontal="right"/>
    </xf>
    <xf numFmtId="169" fontId="8306" fillId="0" borderId="7877" xfId="0" applyNumberFormat="1" applyFont="1" applyBorder="1" applyAlignment="1">
      <alignment horizontal="right"/>
    </xf>
    <xf numFmtId="169" fontId="8307" fillId="0" borderId="7878" xfId="0" applyNumberFormat="1" applyFont="1" applyBorder="1" applyAlignment="1">
      <alignment horizontal="right"/>
    </xf>
    <xf numFmtId="169" fontId="8308" fillId="0" borderId="7879" xfId="0" applyNumberFormat="1" applyFont="1" applyBorder="1" applyAlignment="1">
      <alignment horizontal="right"/>
    </xf>
    <xf numFmtId="169" fontId="8309" fillId="0" borderId="7880" xfId="0" applyNumberFormat="1" applyFont="1" applyBorder="1" applyAlignment="1">
      <alignment horizontal="right"/>
    </xf>
    <xf numFmtId="169" fontId="8310" fillId="0" borderId="7881" xfId="0" applyNumberFormat="1" applyFont="1" applyBorder="1" applyAlignment="1">
      <alignment horizontal="right"/>
    </xf>
    <xf numFmtId="0" fontId="8311" fillId="0" borderId="7882" xfId="0" applyFont="1" applyBorder="1" applyAlignment="1">
      <alignment horizontal="left"/>
    </xf>
    <xf numFmtId="169" fontId="8312" fillId="0" borderId="7883" xfId="0" applyNumberFormat="1" applyFont="1" applyBorder="1" applyAlignment="1">
      <alignment horizontal="right"/>
    </xf>
    <xf numFmtId="169" fontId="8313" fillId="0" borderId="7884" xfId="0" applyNumberFormat="1" applyFont="1" applyBorder="1" applyAlignment="1">
      <alignment horizontal="right"/>
    </xf>
    <xf numFmtId="169" fontId="8314" fillId="0" borderId="7885" xfId="0" applyNumberFormat="1" applyFont="1" applyBorder="1" applyAlignment="1">
      <alignment horizontal="right"/>
    </xf>
    <xf numFmtId="169" fontId="8315" fillId="0" borderId="7886" xfId="0" applyNumberFormat="1" applyFont="1" applyBorder="1" applyAlignment="1">
      <alignment horizontal="right"/>
    </xf>
    <xf numFmtId="169" fontId="8316" fillId="0" borderId="7887" xfId="0" applyNumberFormat="1" applyFont="1" applyBorder="1" applyAlignment="1">
      <alignment horizontal="right"/>
    </xf>
    <xf numFmtId="169" fontId="8317" fillId="0" borderId="7888" xfId="0" applyNumberFormat="1" applyFont="1" applyBorder="1" applyAlignment="1">
      <alignment horizontal="right"/>
    </xf>
    <xf numFmtId="0" fontId="8318" fillId="0" borderId="7889" xfId="0" applyFont="1" applyBorder="1" applyAlignment="1">
      <alignment horizontal="left"/>
    </xf>
    <xf numFmtId="169" fontId="8319" fillId="0" borderId="7890" xfId="0" applyNumberFormat="1" applyFont="1" applyBorder="1" applyAlignment="1">
      <alignment horizontal="right"/>
    </xf>
    <xf numFmtId="169" fontId="8320" fillId="0" borderId="7891" xfId="0" applyNumberFormat="1" applyFont="1" applyBorder="1" applyAlignment="1">
      <alignment horizontal="right"/>
    </xf>
    <xf numFmtId="169" fontId="8321" fillId="0" borderId="7892" xfId="0" applyNumberFormat="1" applyFont="1" applyBorder="1" applyAlignment="1">
      <alignment horizontal="right"/>
    </xf>
    <xf numFmtId="169" fontId="8322" fillId="0" borderId="7893" xfId="0" applyNumberFormat="1" applyFont="1" applyBorder="1" applyAlignment="1">
      <alignment horizontal="right"/>
    </xf>
    <xf numFmtId="169" fontId="8323" fillId="0" borderId="7894" xfId="0" applyNumberFormat="1" applyFont="1" applyBorder="1" applyAlignment="1">
      <alignment horizontal="right"/>
    </xf>
    <xf numFmtId="169" fontId="8324" fillId="0" borderId="7895" xfId="0" applyNumberFormat="1" applyFont="1" applyBorder="1" applyAlignment="1">
      <alignment horizontal="right"/>
    </xf>
    <xf numFmtId="0" fontId="8325" fillId="0" borderId="7896" xfId="0" applyFont="1" applyBorder="1" applyAlignment="1">
      <alignment horizontal="left"/>
    </xf>
    <xf numFmtId="169" fontId="8326" fillId="0" borderId="7897" xfId="0" applyNumberFormat="1" applyFont="1" applyBorder="1" applyAlignment="1">
      <alignment horizontal="right"/>
    </xf>
    <xf numFmtId="169" fontId="8327" fillId="0" borderId="7898" xfId="0" applyNumberFormat="1" applyFont="1" applyBorder="1" applyAlignment="1">
      <alignment horizontal="right"/>
    </xf>
    <xf numFmtId="169" fontId="8328" fillId="0" borderId="7899" xfId="0" applyNumberFormat="1" applyFont="1" applyBorder="1" applyAlignment="1">
      <alignment horizontal="right"/>
    </xf>
    <xf numFmtId="169" fontId="8329" fillId="0" borderId="7900" xfId="0" applyNumberFormat="1" applyFont="1" applyBorder="1" applyAlignment="1">
      <alignment horizontal="right"/>
    </xf>
    <xf numFmtId="169" fontId="8330" fillId="0" borderId="7901" xfId="0" applyNumberFormat="1" applyFont="1" applyBorder="1" applyAlignment="1">
      <alignment horizontal="right"/>
    </xf>
    <xf numFmtId="169" fontId="8331" fillId="0" borderId="7902" xfId="0" applyNumberFormat="1" applyFont="1" applyBorder="1" applyAlignment="1">
      <alignment horizontal="right"/>
    </xf>
    <xf numFmtId="0" fontId="8332" fillId="0" borderId="7903" xfId="0" applyFont="1" applyBorder="1" applyAlignment="1">
      <alignment horizontal="left"/>
    </xf>
    <xf numFmtId="169" fontId="8333" fillId="0" borderId="7904" xfId="0" applyNumberFormat="1" applyFont="1" applyBorder="1" applyAlignment="1">
      <alignment horizontal="right"/>
    </xf>
    <xf numFmtId="169" fontId="8334" fillId="0" borderId="7905" xfId="0" applyNumberFormat="1" applyFont="1" applyBorder="1" applyAlignment="1">
      <alignment horizontal="right"/>
    </xf>
    <xf numFmtId="169" fontId="8335" fillId="0" borderId="7906" xfId="0" applyNumberFormat="1" applyFont="1" applyBorder="1" applyAlignment="1">
      <alignment horizontal="right"/>
    </xf>
    <xf numFmtId="169" fontId="8336" fillId="0" borderId="7907" xfId="0" applyNumberFormat="1" applyFont="1" applyBorder="1" applyAlignment="1">
      <alignment horizontal="right"/>
    </xf>
    <xf numFmtId="169" fontId="8337" fillId="0" borderId="7908" xfId="0" applyNumberFormat="1" applyFont="1" applyBorder="1" applyAlignment="1">
      <alignment horizontal="right"/>
    </xf>
    <xf numFmtId="169" fontId="8338" fillId="0" borderId="7909" xfId="0" applyNumberFormat="1" applyFont="1" applyBorder="1" applyAlignment="1">
      <alignment horizontal="right"/>
    </xf>
    <xf numFmtId="0" fontId="8339" fillId="0" borderId="7910" xfId="0" applyFont="1" applyBorder="1" applyAlignment="1">
      <alignment horizontal="left"/>
    </xf>
    <xf numFmtId="169" fontId="8340" fillId="0" borderId="7911" xfId="0" applyNumberFormat="1" applyFont="1" applyBorder="1" applyAlignment="1">
      <alignment horizontal="right"/>
    </xf>
    <xf numFmtId="169" fontId="8341" fillId="0" borderId="7912" xfId="0" applyNumberFormat="1" applyFont="1" applyBorder="1" applyAlignment="1">
      <alignment horizontal="right"/>
    </xf>
    <xf numFmtId="169" fontId="8342" fillId="0" borderId="7913" xfId="0" applyNumberFormat="1" applyFont="1" applyBorder="1" applyAlignment="1">
      <alignment horizontal="right"/>
    </xf>
    <xf numFmtId="169" fontId="8343" fillId="0" borderId="7914" xfId="0" applyNumberFormat="1" applyFont="1" applyBorder="1" applyAlignment="1">
      <alignment horizontal="right"/>
    </xf>
    <xf numFmtId="169" fontId="8344" fillId="0" borderId="7915" xfId="0" applyNumberFormat="1" applyFont="1" applyBorder="1" applyAlignment="1">
      <alignment horizontal="right"/>
    </xf>
    <xf numFmtId="169" fontId="8345" fillId="0" borderId="7916" xfId="0" applyNumberFormat="1" applyFont="1" applyBorder="1" applyAlignment="1">
      <alignment horizontal="right"/>
    </xf>
    <xf numFmtId="0" fontId="8346" fillId="0" borderId="7917" xfId="0" applyFont="1" applyBorder="1" applyAlignment="1">
      <alignment horizontal="left"/>
    </xf>
    <xf numFmtId="169" fontId="8347" fillId="0" borderId="7918" xfId="0" applyNumberFormat="1" applyFont="1" applyBorder="1" applyAlignment="1">
      <alignment horizontal="right"/>
    </xf>
    <xf numFmtId="169" fontId="8348" fillId="0" borderId="7919" xfId="0" applyNumberFormat="1" applyFont="1" applyBorder="1" applyAlignment="1">
      <alignment horizontal="right"/>
    </xf>
    <xf numFmtId="169" fontId="8349" fillId="0" borderId="7920" xfId="0" applyNumberFormat="1" applyFont="1" applyBorder="1" applyAlignment="1">
      <alignment horizontal="right"/>
    </xf>
    <xf numFmtId="169" fontId="8350" fillId="0" borderId="7921" xfId="0" applyNumberFormat="1" applyFont="1" applyBorder="1" applyAlignment="1">
      <alignment horizontal="right"/>
    </xf>
    <xf numFmtId="169" fontId="8351" fillId="0" borderId="7922" xfId="0" applyNumberFormat="1" applyFont="1" applyBorder="1" applyAlignment="1">
      <alignment horizontal="right"/>
    </xf>
    <xf numFmtId="169" fontId="8352" fillId="0" borderId="7923" xfId="0" applyNumberFormat="1" applyFont="1" applyBorder="1" applyAlignment="1">
      <alignment horizontal="right"/>
    </xf>
    <xf numFmtId="0" fontId="8353" fillId="0" borderId="7924" xfId="0" applyFont="1" applyBorder="1" applyAlignment="1">
      <alignment horizontal="left"/>
    </xf>
    <xf numFmtId="169" fontId="8354" fillId="0" borderId="7925" xfId="0" applyNumberFormat="1" applyFont="1" applyBorder="1" applyAlignment="1">
      <alignment horizontal="right"/>
    </xf>
    <xf numFmtId="169" fontId="8355" fillId="0" borderId="7926" xfId="0" applyNumberFormat="1" applyFont="1" applyBorder="1" applyAlignment="1">
      <alignment horizontal="right"/>
    </xf>
    <xf numFmtId="169" fontId="8356" fillId="0" borderId="7927" xfId="0" applyNumberFormat="1" applyFont="1" applyBorder="1" applyAlignment="1">
      <alignment horizontal="right"/>
    </xf>
    <xf numFmtId="169" fontId="8357" fillId="0" borderId="7928" xfId="0" applyNumberFormat="1" applyFont="1" applyBorder="1" applyAlignment="1">
      <alignment horizontal="right"/>
    </xf>
    <xf numFmtId="169" fontId="8358" fillId="0" borderId="7929" xfId="0" applyNumberFormat="1" applyFont="1" applyBorder="1" applyAlignment="1">
      <alignment horizontal="right"/>
    </xf>
    <xf numFmtId="169" fontId="8359" fillId="0" borderId="7930" xfId="0" applyNumberFormat="1" applyFont="1" applyBorder="1" applyAlignment="1">
      <alignment horizontal="right"/>
    </xf>
    <xf numFmtId="0" fontId="8360" fillId="0" borderId="7931" xfId="0" applyFont="1" applyBorder="1" applyAlignment="1">
      <alignment horizontal="left"/>
    </xf>
    <xf numFmtId="169" fontId="8361" fillId="0" borderId="7932" xfId="0" applyNumberFormat="1" applyFont="1" applyBorder="1" applyAlignment="1">
      <alignment horizontal="right"/>
    </xf>
    <xf numFmtId="169" fontId="8362" fillId="0" borderId="7933" xfId="0" applyNumberFormat="1" applyFont="1" applyBorder="1" applyAlignment="1">
      <alignment horizontal="right"/>
    </xf>
    <xf numFmtId="169" fontId="8363" fillId="0" borderId="7934" xfId="0" applyNumberFormat="1" applyFont="1" applyBorder="1" applyAlignment="1">
      <alignment horizontal="right"/>
    </xf>
    <xf numFmtId="169" fontId="8364" fillId="0" borderId="7935" xfId="0" applyNumberFormat="1" applyFont="1" applyBorder="1" applyAlignment="1">
      <alignment horizontal="right"/>
    </xf>
    <xf numFmtId="169" fontId="8365" fillId="0" borderId="7936" xfId="0" applyNumberFormat="1" applyFont="1" applyBorder="1" applyAlignment="1">
      <alignment horizontal="right"/>
    </xf>
    <xf numFmtId="169" fontId="8366" fillId="0" borderId="7937" xfId="0" applyNumberFormat="1" applyFont="1" applyBorder="1" applyAlignment="1">
      <alignment horizontal="right"/>
    </xf>
    <xf numFmtId="0" fontId="8367" fillId="0" borderId="7938" xfId="0" applyFont="1" applyBorder="1" applyAlignment="1">
      <alignment horizontal="left"/>
    </xf>
    <xf numFmtId="169" fontId="8368" fillId="0" borderId="7939" xfId="0" applyNumberFormat="1" applyFont="1" applyBorder="1" applyAlignment="1">
      <alignment horizontal="right"/>
    </xf>
    <xf numFmtId="169" fontId="8369" fillId="0" borderId="7940" xfId="0" applyNumberFormat="1" applyFont="1" applyBorder="1" applyAlignment="1">
      <alignment horizontal="right"/>
    </xf>
    <xf numFmtId="169" fontId="8370" fillId="0" borderId="7941" xfId="0" applyNumberFormat="1" applyFont="1" applyBorder="1" applyAlignment="1">
      <alignment horizontal="right"/>
    </xf>
    <xf numFmtId="169" fontId="8371" fillId="0" borderId="7942" xfId="0" applyNumberFormat="1" applyFont="1" applyBorder="1" applyAlignment="1">
      <alignment horizontal="right"/>
    </xf>
    <xf numFmtId="169" fontId="8372" fillId="0" borderId="7943" xfId="0" applyNumberFormat="1" applyFont="1" applyBorder="1" applyAlignment="1">
      <alignment horizontal="right"/>
    </xf>
    <xf numFmtId="169" fontId="8373" fillId="0" borderId="7944" xfId="0" applyNumberFormat="1" applyFont="1" applyBorder="1" applyAlignment="1">
      <alignment horizontal="right"/>
    </xf>
    <xf numFmtId="0" fontId="8374" fillId="0" borderId="7945" xfId="0" applyFont="1" applyBorder="1" applyAlignment="1">
      <alignment horizontal="left"/>
    </xf>
    <xf numFmtId="169" fontId="8375" fillId="0" borderId="7946" xfId="0" applyNumberFormat="1" applyFont="1" applyBorder="1" applyAlignment="1">
      <alignment horizontal="right"/>
    </xf>
    <xf numFmtId="169" fontId="8376" fillId="0" borderId="7947" xfId="0" applyNumberFormat="1" applyFont="1" applyBorder="1" applyAlignment="1">
      <alignment horizontal="right"/>
    </xf>
    <xf numFmtId="169" fontId="8377" fillId="0" borderId="7948" xfId="0" applyNumberFormat="1" applyFont="1" applyBorder="1" applyAlignment="1">
      <alignment horizontal="right"/>
    </xf>
    <xf numFmtId="169" fontId="8378" fillId="0" borderId="7949" xfId="0" applyNumberFormat="1" applyFont="1" applyBorder="1" applyAlignment="1">
      <alignment horizontal="right"/>
    </xf>
    <xf numFmtId="169" fontId="8379" fillId="0" borderId="7950" xfId="0" applyNumberFormat="1" applyFont="1" applyBorder="1" applyAlignment="1">
      <alignment horizontal="right"/>
    </xf>
    <xf numFmtId="169" fontId="8380" fillId="0" borderId="7951" xfId="0" applyNumberFormat="1" applyFont="1" applyBorder="1" applyAlignment="1">
      <alignment horizontal="right"/>
    </xf>
    <xf numFmtId="0" fontId="8381" fillId="0" borderId="7952" xfId="0" applyFont="1" applyBorder="1"/>
    <xf numFmtId="1" fontId="8385" fillId="0" borderId="7956" xfId="0" applyNumberFormat="1" applyFont="1" applyBorder="1" applyAlignment="1">
      <alignment horizontal="center"/>
    </xf>
    <xf numFmtId="1" fontId="8386" fillId="0" borderId="7957" xfId="0" applyNumberFormat="1" applyFont="1" applyBorder="1" applyAlignment="1">
      <alignment horizontal="right"/>
    </xf>
    <xf numFmtId="1" fontId="8387" fillId="0" borderId="7958" xfId="0" applyNumberFormat="1" applyFont="1" applyBorder="1" applyAlignment="1">
      <alignment horizontal="center"/>
    </xf>
    <xf numFmtId="0" fontId="8388" fillId="0" borderId="7959" xfId="0" applyFont="1" applyBorder="1"/>
    <xf numFmtId="1" fontId="8390" fillId="0" borderId="7961" xfId="0" applyNumberFormat="1" applyFont="1" applyBorder="1" applyAlignment="1">
      <alignment horizontal="right"/>
    </xf>
    <xf numFmtId="1" fontId="8391" fillId="0" borderId="7962" xfId="0" applyNumberFormat="1" applyFont="1" applyBorder="1" applyAlignment="1">
      <alignment horizontal="right"/>
    </xf>
    <xf numFmtId="0" fontId="8392" fillId="0" borderId="7963" xfId="0" applyFont="1" applyBorder="1"/>
    <xf numFmtId="1" fontId="8394" fillId="0" borderId="7965" xfId="0" applyNumberFormat="1" applyFont="1" applyBorder="1" applyAlignment="1">
      <alignment horizontal="center"/>
    </xf>
    <xf numFmtId="0" fontId="8395" fillId="0" borderId="7966" xfId="0" applyFont="1" applyBorder="1"/>
    <xf numFmtId="1" fontId="8396" fillId="0" borderId="7967" xfId="0" applyNumberFormat="1" applyFont="1" applyBorder="1" applyAlignment="1">
      <alignment horizontal="right"/>
    </xf>
    <xf numFmtId="1" fontId="8397" fillId="0" borderId="7968" xfId="0" applyNumberFormat="1" applyFont="1" applyBorder="1" applyAlignment="1">
      <alignment horizontal="right"/>
    </xf>
    <xf numFmtId="1" fontId="8398" fillId="0" borderId="7969" xfId="0" applyNumberFormat="1" applyFont="1" applyBorder="1" applyAlignment="1">
      <alignment horizontal="right"/>
    </xf>
    <xf numFmtId="1" fontId="8399" fillId="0" borderId="7970" xfId="0" applyNumberFormat="1" applyFont="1" applyBorder="1" applyAlignment="1">
      <alignment horizontal="right"/>
    </xf>
    <xf numFmtId="0" fontId="8400" fillId="0" borderId="7971" xfId="0" applyFont="1" applyBorder="1" applyAlignment="1">
      <alignment horizontal="left"/>
    </xf>
    <xf numFmtId="1" fontId="8401" fillId="0" borderId="7972" xfId="0" applyNumberFormat="1" applyFont="1" applyBorder="1"/>
    <xf numFmtId="1" fontId="8402" fillId="0" borderId="7973" xfId="0" applyNumberFormat="1" applyFont="1" applyBorder="1"/>
    <xf numFmtId="1" fontId="8403" fillId="0" borderId="7974" xfId="0" applyNumberFormat="1" applyFont="1" applyBorder="1"/>
    <xf numFmtId="1" fontId="8404" fillId="0" borderId="7975" xfId="0" applyNumberFormat="1" applyFont="1" applyBorder="1"/>
    <xf numFmtId="1" fontId="8405" fillId="0" borderId="7976" xfId="0" applyNumberFormat="1" applyFont="1" applyBorder="1"/>
    <xf numFmtId="1" fontId="8406" fillId="0" borderId="7977" xfId="0" applyNumberFormat="1" applyFont="1" applyBorder="1"/>
    <xf numFmtId="0" fontId="8407" fillId="0" borderId="7978" xfId="0" applyFont="1" applyBorder="1" applyAlignment="1">
      <alignment horizontal="left"/>
    </xf>
    <xf numFmtId="169" fontId="8408" fillId="0" borderId="7979" xfId="0" applyNumberFormat="1" applyFont="1" applyBorder="1" applyAlignment="1">
      <alignment horizontal="right"/>
    </xf>
    <xf numFmtId="169" fontId="8409" fillId="0" borderId="7980" xfId="0" applyNumberFormat="1" applyFont="1" applyBorder="1" applyAlignment="1">
      <alignment horizontal="right"/>
    </xf>
    <xf numFmtId="169" fontId="8410" fillId="0" borderId="7981" xfId="0" applyNumberFormat="1" applyFont="1" applyBorder="1" applyAlignment="1">
      <alignment horizontal="right"/>
    </xf>
    <xf numFmtId="169" fontId="8411" fillId="0" borderId="7982" xfId="0" applyNumberFormat="1" applyFont="1" applyBorder="1" applyAlignment="1">
      <alignment horizontal="right"/>
    </xf>
    <xf numFmtId="169" fontId="8412" fillId="0" borderId="7983" xfId="0" applyNumberFormat="1" applyFont="1" applyBorder="1" applyAlignment="1">
      <alignment horizontal="right"/>
    </xf>
    <xf numFmtId="169" fontId="8413" fillId="0" borderId="7984" xfId="0" applyNumberFormat="1" applyFont="1" applyBorder="1" applyAlignment="1">
      <alignment horizontal="right"/>
    </xf>
    <xf numFmtId="0" fontId="8414" fillId="0" borderId="7985" xfId="0" applyFont="1" applyBorder="1" applyAlignment="1">
      <alignment horizontal="left"/>
    </xf>
    <xf numFmtId="169" fontId="8415" fillId="0" borderId="7986" xfId="0" applyNumberFormat="1" applyFont="1" applyBorder="1" applyAlignment="1">
      <alignment horizontal="right"/>
    </xf>
    <xf numFmtId="169" fontId="8416" fillId="0" borderId="7987" xfId="0" applyNumberFormat="1" applyFont="1" applyBorder="1" applyAlignment="1">
      <alignment horizontal="right"/>
    </xf>
    <xf numFmtId="169" fontId="8417" fillId="0" borderId="7988" xfId="0" applyNumberFormat="1" applyFont="1" applyBorder="1" applyAlignment="1">
      <alignment horizontal="right"/>
    </xf>
    <xf numFmtId="169" fontId="8418" fillId="0" borderId="7989" xfId="0" applyNumberFormat="1" applyFont="1" applyBorder="1" applyAlignment="1">
      <alignment horizontal="right"/>
    </xf>
    <xf numFmtId="169" fontId="8419" fillId="0" borderId="7990" xfId="0" applyNumberFormat="1" applyFont="1" applyBorder="1" applyAlignment="1">
      <alignment horizontal="right"/>
    </xf>
    <xf numFmtId="169" fontId="8420" fillId="0" borderId="7991" xfId="0" applyNumberFormat="1" applyFont="1" applyBorder="1" applyAlignment="1">
      <alignment horizontal="right"/>
    </xf>
    <xf numFmtId="0" fontId="8421" fillId="0" borderId="7992" xfId="0" applyFont="1" applyBorder="1" applyAlignment="1">
      <alignment horizontal="left"/>
    </xf>
    <xf numFmtId="169" fontId="8422" fillId="0" borderId="7993" xfId="0" applyNumberFormat="1" applyFont="1" applyBorder="1" applyAlignment="1">
      <alignment horizontal="right"/>
    </xf>
    <xf numFmtId="169" fontId="8423" fillId="0" borderId="7994" xfId="0" applyNumberFormat="1" applyFont="1" applyBorder="1" applyAlignment="1">
      <alignment horizontal="right"/>
    </xf>
    <xf numFmtId="169" fontId="8424" fillId="0" borderId="7995" xfId="0" applyNumberFormat="1" applyFont="1" applyBorder="1" applyAlignment="1">
      <alignment horizontal="right"/>
    </xf>
    <xf numFmtId="169" fontId="8425" fillId="0" borderId="7996" xfId="0" applyNumberFormat="1" applyFont="1" applyBorder="1" applyAlignment="1">
      <alignment horizontal="right"/>
    </xf>
    <xf numFmtId="169" fontId="8426" fillId="0" borderId="7997" xfId="0" applyNumberFormat="1" applyFont="1" applyBorder="1" applyAlignment="1">
      <alignment horizontal="right"/>
    </xf>
    <xf numFmtId="169" fontId="8427" fillId="0" borderId="7998" xfId="0" applyNumberFormat="1" applyFont="1" applyBorder="1" applyAlignment="1">
      <alignment horizontal="right"/>
    </xf>
    <xf numFmtId="0" fontId="8428" fillId="0" borderId="7999" xfId="0" applyFont="1" applyBorder="1" applyAlignment="1">
      <alignment horizontal="left"/>
    </xf>
    <xf numFmtId="169" fontId="8429" fillId="0" borderId="8000" xfId="0" applyNumberFormat="1" applyFont="1" applyBorder="1" applyAlignment="1">
      <alignment horizontal="right"/>
    </xf>
    <xf numFmtId="169" fontId="8430" fillId="0" borderId="8001" xfId="0" applyNumberFormat="1" applyFont="1" applyBorder="1" applyAlignment="1">
      <alignment horizontal="right"/>
    </xf>
    <xf numFmtId="169" fontId="8431" fillId="0" borderId="8002" xfId="0" applyNumberFormat="1" applyFont="1" applyBorder="1" applyAlignment="1">
      <alignment horizontal="right"/>
    </xf>
    <xf numFmtId="169" fontId="8432" fillId="0" borderId="8003" xfId="0" applyNumberFormat="1" applyFont="1" applyBorder="1" applyAlignment="1">
      <alignment horizontal="right"/>
    </xf>
    <xf numFmtId="169" fontId="8433" fillId="0" borderId="8004" xfId="0" applyNumberFormat="1" applyFont="1" applyBorder="1" applyAlignment="1">
      <alignment horizontal="right"/>
    </xf>
    <xf numFmtId="169" fontId="8434" fillId="0" borderId="8005" xfId="0" applyNumberFormat="1" applyFont="1" applyBorder="1" applyAlignment="1">
      <alignment horizontal="right"/>
    </xf>
    <xf numFmtId="0" fontId="8435" fillId="0" borderId="8006" xfId="0" applyFont="1" applyBorder="1" applyAlignment="1">
      <alignment horizontal="left"/>
    </xf>
    <xf numFmtId="169" fontId="8436" fillId="0" borderId="8007" xfId="0" applyNumberFormat="1" applyFont="1" applyBorder="1" applyAlignment="1">
      <alignment horizontal="right"/>
    </xf>
    <xf numFmtId="169" fontId="8437" fillId="0" borderId="8008" xfId="0" applyNumberFormat="1" applyFont="1" applyBorder="1" applyAlignment="1">
      <alignment horizontal="right"/>
    </xf>
    <xf numFmtId="169" fontId="8438" fillId="0" borderId="8009" xfId="0" applyNumberFormat="1" applyFont="1" applyBorder="1" applyAlignment="1">
      <alignment horizontal="right"/>
    </xf>
    <xf numFmtId="169" fontId="8439" fillId="0" borderId="8010" xfId="0" applyNumberFormat="1" applyFont="1" applyBorder="1" applyAlignment="1">
      <alignment horizontal="right"/>
    </xf>
    <xf numFmtId="169" fontId="8440" fillId="0" borderId="8011" xfId="0" applyNumberFormat="1" applyFont="1" applyBorder="1" applyAlignment="1">
      <alignment horizontal="right"/>
    </xf>
    <xf numFmtId="169" fontId="8441" fillId="0" borderId="8012" xfId="0" applyNumberFormat="1" applyFont="1" applyBorder="1" applyAlignment="1">
      <alignment horizontal="right"/>
    </xf>
    <xf numFmtId="0" fontId="8442" fillId="0" borderId="8013" xfId="0" applyFont="1" applyBorder="1" applyAlignment="1">
      <alignment horizontal="left"/>
    </xf>
    <xf numFmtId="169" fontId="8443" fillId="0" borderId="8014" xfId="0" applyNumberFormat="1" applyFont="1" applyBorder="1" applyAlignment="1">
      <alignment horizontal="right"/>
    </xf>
    <xf numFmtId="169" fontId="8444" fillId="0" borderId="8015" xfId="0" applyNumberFormat="1" applyFont="1" applyBorder="1" applyAlignment="1">
      <alignment horizontal="right"/>
    </xf>
    <xf numFmtId="169" fontId="8445" fillId="0" borderId="8016" xfId="0" applyNumberFormat="1" applyFont="1" applyBorder="1" applyAlignment="1">
      <alignment horizontal="right"/>
    </xf>
    <xf numFmtId="169" fontId="8446" fillId="0" borderId="8017" xfId="0" applyNumberFormat="1" applyFont="1" applyBorder="1" applyAlignment="1">
      <alignment horizontal="right"/>
    </xf>
    <xf numFmtId="169" fontId="8447" fillId="0" borderId="8018" xfId="0" applyNumberFormat="1" applyFont="1" applyBorder="1" applyAlignment="1">
      <alignment horizontal="right"/>
    </xf>
    <xf numFmtId="169" fontId="8448" fillId="0" borderId="8019" xfId="0" applyNumberFormat="1" applyFont="1" applyBorder="1" applyAlignment="1">
      <alignment horizontal="right"/>
    </xf>
    <xf numFmtId="0" fontId="8449" fillId="0" borderId="8020" xfId="0" applyFont="1" applyBorder="1" applyAlignment="1">
      <alignment horizontal="left"/>
    </xf>
    <xf numFmtId="169" fontId="8450" fillId="0" borderId="8021" xfId="0" applyNumberFormat="1" applyFont="1" applyBorder="1" applyAlignment="1">
      <alignment horizontal="right"/>
    </xf>
    <xf numFmtId="169" fontId="8451" fillId="0" borderId="8022" xfId="0" applyNumberFormat="1" applyFont="1" applyBorder="1" applyAlignment="1">
      <alignment horizontal="right"/>
    </xf>
    <xf numFmtId="169" fontId="8452" fillId="0" borderId="8023" xfId="0" applyNumberFormat="1" applyFont="1" applyBorder="1" applyAlignment="1">
      <alignment horizontal="right"/>
    </xf>
    <xf numFmtId="169" fontId="8453" fillId="0" borderId="8024" xfId="0" applyNumberFormat="1" applyFont="1" applyBorder="1" applyAlignment="1">
      <alignment horizontal="right"/>
    </xf>
    <xf numFmtId="169" fontId="8454" fillId="0" borderId="8025" xfId="0" applyNumberFormat="1" applyFont="1" applyBorder="1" applyAlignment="1">
      <alignment horizontal="right"/>
    </xf>
    <xf numFmtId="169" fontId="8455" fillId="0" borderId="8026" xfId="0" applyNumberFormat="1" applyFont="1" applyBorder="1" applyAlignment="1">
      <alignment horizontal="right"/>
    </xf>
    <xf numFmtId="0" fontId="8456" fillId="0" borderId="8027" xfId="0" applyFont="1" applyBorder="1" applyAlignment="1">
      <alignment horizontal="left"/>
    </xf>
    <xf numFmtId="169" fontId="8457" fillId="0" borderId="8028" xfId="0" applyNumberFormat="1" applyFont="1" applyBorder="1" applyAlignment="1">
      <alignment horizontal="right"/>
    </xf>
    <xf numFmtId="169" fontId="8458" fillId="0" borderId="8029" xfId="0" applyNumberFormat="1" applyFont="1" applyBorder="1" applyAlignment="1">
      <alignment horizontal="right"/>
    </xf>
    <xf numFmtId="169" fontId="8459" fillId="0" borderId="8030" xfId="0" applyNumberFormat="1" applyFont="1" applyBorder="1" applyAlignment="1">
      <alignment horizontal="right"/>
    </xf>
    <xf numFmtId="169" fontId="8460" fillId="0" borderId="8031" xfId="0" applyNumberFormat="1" applyFont="1" applyBorder="1" applyAlignment="1">
      <alignment horizontal="right"/>
    </xf>
    <xf numFmtId="169" fontId="8461" fillId="0" borderId="8032" xfId="0" applyNumberFormat="1" applyFont="1" applyBorder="1" applyAlignment="1">
      <alignment horizontal="right"/>
    </xf>
    <xf numFmtId="169" fontId="8462" fillId="0" borderId="8033" xfId="0" applyNumberFormat="1" applyFont="1" applyBorder="1" applyAlignment="1">
      <alignment horizontal="right"/>
    </xf>
    <xf numFmtId="0" fontId="8463" fillId="0" borderId="8034" xfId="0" applyFont="1" applyBorder="1" applyAlignment="1">
      <alignment horizontal="left"/>
    </xf>
    <xf numFmtId="169" fontId="8464" fillId="0" borderId="8035" xfId="0" applyNumberFormat="1" applyFont="1" applyBorder="1" applyAlignment="1">
      <alignment horizontal="right"/>
    </xf>
    <xf numFmtId="169" fontId="8465" fillId="0" borderId="8036" xfId="0" applyNumberFormat="1" applyFont="1" applyBorder="1" applyAlignment="1">
      <alignment horizontal="right"/>
    </xf>
    <xf numFmtId="169" fontId="8466" fillId="0" borderId="8037" xfId="0" applyNumberFormat="1" applyFont="1" applyBorder="1" applyAlignment="1">
      <alignment horizontal="right"/>
    </xf>
    <xf numFmtId="169" fontId="8467" fillId="0" borderId="8038" xfId="0" applyNumberFormat="1" applyFont="1" applyBorder="1" applyAlignment="1">
      <alignment horizontal="right"/>
    </xf>
    <xf numFmtId="169" fontId="8468" fillId="0" borderId="8039" xfId="0" applyNumberFormat="1" applyFont="1" applyBorder="1" applyAlignment="1">
      <alignment horizontal="right"/>
    </xf>
    <xf numFmtId="169" fontId="8469" fillId="0" borderId="8040" xfId="0" applyNumberFormat="1" applyFont="1" applyBorder="1" applyAlignment="1">
      <alignment horizontal="right"/>
    </xf>
    <xf numFmtId="0" fontId="8470" fillId="0" borderId="8041" xfId="0" applyFont="1" applyBorder="1" applyAlignment="1">
      <alignment horizontal="left"/>
    </xf>
    <xf numFmtId="169" fontId="8471" fillId="0" borderId="8042" xfId="0" applyNumberFormat="1" applyFont="1" applyBorder="1" applyAlignment="1">
      <alignment horizontal="right"/>
    </xf>
    <xf numFmtId="169" fontId="8472" fillId="0" borderId="8043" xfId="0" applyNumberFormat="1" applyFont="1" applyBorder="1" applyAlignment="1">
      <alignment horizontal="right"/>
    </xf>
    <xf numFmtId="169" fontId="8473" fillId="0" borderId="8044" xfId="0" applyNumberFormat="1" applyFont="1" applyBorder="1" applyAlignment="1">
      <alignment horizontal="right"/>
    </xf>
    <xf numFmtId="169" fontId="8474" fillId="0" borderId="8045" xfId="0" applyNumberFormat="1" applyFont="1" applyBorder="1" applyAlignment="1">
      <alignment horizontal="right"/>
    </xf>
    <xf numFmtId="169" fontId="8475" fillId="0" borderId="8046" xfId="0" applyNumberFormat="1" applyFont="1" applyBorder="1" applyAlignment="1">
      <alignment horizontal="right"/>
    </xf>
    <xf numFmtId="169" fontId="8476" fillId="0" borderId="8047" xfId="0" applyNumberFormat="1" applyFont="1" applyBorder="1" applyAlignment="1">
      <alignment horizontal="right"/>
    </xf>
    <xf numFmtId="0" fontId="8477" fillId="0" borderId="8048" xfId="0" applyFont="1" applyBorder="1" applyAlignment="1">
      <alignment horizontal="left"/>
    </xf>
    <xf numFmtId="169" fontId="8478" fillId="0" borderId="8049" xfId="0" applyNumberFormat="1" applyFont="1" applyBorder="1" applyAlignment="1">
      <alignment horizontal="right"/>
    </xf>
    <xf numFmtId="169" fontId="8479" fillId="0" borderId="8050" xfId="0" applyNumberFormat="1" applyFont="1" applyBorder="1" applyAlignment="1">
      <alignment horizontal="right"/>
    </xf>
    <xf numFmtId="169" fontId="8480" fillId="0" borderId="8051" xfId="0" applyNumberFormat="1" applyFont="1" applyBorder="1" applyAlignment="1">
      <alignment horizontal="right"/>
    </xf>
    <xf numFmtId="169" fontId="8481" fillId="0" borderId="8052" xfId="0" applyNumberFormat="1" applyFont="1" applyBorder="1" applyAlignment="1">
      <alignment horizontal="right"/>
    </xf>
    <xf numFmtId="169" fontId="8482" fillId="0" borderId="8053" xfId="0" applyNumberFormat="1" applyFont="1" applyBorder="1" applyAlignment="1">
      <alignment horizontal="right"/>
    </xf>
    <xf numFmtId="169" fontId="8483" fillId="0" borderId="8054" xfId="0" applyNumberFormat="1" applyFont="1" applyBorder="1" applyAlignment="1">
      <alignment horizontal="right"/>
    </xf>
    <xf numFmtId="0" fontId="8484" fillId="0" borderId="8055" xfId="0" applyFont="1" applyBorder="1" applyAlignment="1">
      <alignment horizontal="left"/>
    </xf>
    <xf numFmtId="169" fontId="8485" fillId="0" borderId="8056" xfId="0" applyNumberFormat="1" applyFont="1" applyBorder="1" applyAlignment="1">
      <alignment horizontal="right"/>
    </xf>
    <xf numFmtId="169" fontId="8486" fillId="0" borderId="8057" xfId="0" applyNumberFormat="1" applyFont="1" applyBorder="1" applyAlignment="1">
      <alignment horizontal="right"/>
    </xf>
    <xf numFmtId="169" fontId="8487" fillId="0" borderId="8058" xfId="0" applyNumberFormat="1" applyFont="1" applyBorder="1" applyAlignment="1">
      <alignment horizontal="right"/>
    </xf>
    <xf numFmtId="169" fontId="8488" fillId="0" borderId="8059" xfId="0" applyNumberFormat="1" applyFont="1" applyBorder="1" applyAlignment="1">
      <alignment horizontal="right"/>
    </xf>
    <xf numFmtId="169" fontId="8489" fillId="0" borderId="8060" xfId="0" applyNumberFormat="1" applyFont="1" applyBorder="1" applyAlignment="1">
      <alignment horizontal="right"/>
    </xf>
    <xf numFmtId="169" fontId="8490" fillId="0" borderId="8061" xfId="0" applyNumberFormat="1" applyFont="1" applyBorder="1" applyAlignment="1">
      <alignment horizontal="right"/>
    </xf>
    <xf numFmtId="0" fontId="8491" fillId="0" borderId="8062" xfId="0" applyFont="1" applyBorder="1" applyAlignment="1">
      <alignment horizontal="left"/>
    </xf>
    <xf numFmtId="169" fontId="8492" fillId="0" borderId="8063" xfId="0" applyNumberFormat="1" applyFont="1" applyBorder="1" applyAlignment="1">
      <alignment horizontal="right"/>
    </xf>
    <xf numFmtId="169" fontId="8493" fillId="0" borderId="8064" xfId="0" applyNumberFormat="1" applyFont="1" applyBorder="1" applyAlignment="1">
      <alignment horizontal="right"/>
    </xf>
    <xf numFmtId="169" fontId="8494" fillId="0" borderId="8065" xfId="0" applyNumberFormat="1" applyFont="1" applyBorder="1" applyAlignment="1">
      <alignment horizontal="right"/>
    </xf>
    <xf numFmtId="169" fontId="8495" fillId="0" borderId="8066" xfId="0" applyNumberFormat="1" applyFont="1" applyBorder="1" applyAlignment="1">
      <alignment horizontal="right"/>
    </xf>
    <xf numFmtId="169" fontId="8496" fillId="0" borderId="8067" xfId="0" applyNumberFormat="1" applyFont="1" applyBorder="1" applyAlignment="1">
      <alignment horizontal="right"/>
    </xf>
    <xf numFmtId="169" fontId="8497" fillId="0" borderId="8068" xfId="0" applyNumberFormat="1" applyFont="1" applyBorder="1" applyAlignment="1">
      <alignment horizontal="right"/>
    </xf>
    <xf numFmtId="0" fontId="8498" fillId="0" borderId="8069" xfId="0" applyFont="1" applyBorder="1" applyAlignment="1">
      <alignment horizontal="left"/>
    </xf>
    <xf numFmtId="169" fontId="8499" fillId="0" borderId="8070" xfId="0" applyNumberFormat="1" applyFont="1" applyBorder="1" applyAlignment="1">
      <alignment horizontal="right"/>
    </xf>
    <xf numFmtId="169" fontId="8500" fillId="0" borderId="8071" xfId="0" applyNumberFormat="1" applyFont="1" applyBorder="1" applyAlignment="1">
      <alignment horizontal="right"/>
    </xf>
    <xf numFmtId="169" fontId="8501" fillId="0" borderId="8072" xfId="0" applyNumberFormat="1" applyFont="1" applyBorder="1" applyAlignment="1">
      <alignment horizontal="right"/>
    </xf>
    <xf numFmtId="169" fontId="8502" fillId="0" borderId="8073" xfId="0" applyNumberFormat="1" applyFont="1" applyBorder="1" applyAlignment="1">
      <alignment horizontal="right"/>
    </xf>
    <xf numFmtId="169" fontId="8503" fillId="0" borderId="8074" xfId="0" applyNumberFormat="1" applyFont="1" applyBorder="1" applyAlignment="1">
      <alignment horizontal="right"/>
    </xf>
    <xf numFmtId="169" fontId="8504" fillId="0" borderId="8075" xfId="0" applyNumberFormat="1" applyFont="1" applyBorder="1" applyAlignment="1">
      <alignment horizontal="right"/>
    </xf>
    <xf numFmtId="0" fontId="8505" fillId="0" borderId="8076" xfId="0" applyFont="1" applyBorder="1" applyAlignment="1">
      <alignment horizontal="left"/>
    </xf>
    <xf numFmtId="169" fontId="8506" fillId="0" borderId="8077" xfId="0" applyNumberFormat="1" applyFont="1" applyBorder="1" applyAlignment="1">
      <alignment horizontal="right"/>
    </xf>
    <xf numFmtId="169" fontId="8507" fillId="0" borderId="8078" xfId="0" applyNumberFormat="1" applyFont="1" applyBorder="1" applyAlignment="1">
      <alignment horizontal="right"/>
    </xf>
    <xf numFmtId="169" fontId="8508" fillId="0" borderId="8079" xfId="0" applyNumberFormat="1" applyFont="1" applyBorder="1" applyAlignment="1">
      <alignment horizontal="right"/>
    </xf>
    <xf numFmtId="169" fontId="8509" fillId="0" borderId="8080" xfId="0" applyNumberFormat="1" applyFont="1" applyBorder="1" applyAlignment="1">
      <alignment horizontal="right"/>
    </xf>
    <xf numFmtId="169" fontId="8510" fillId="0" borderId="8081" xfId="0" applyNumberFormat="1" applyFont="1" applyBorder="1" applyAlignment="1">
      <alignment horizontal="right"/>
    </xf>
    <xf numFmtId="169" fontId="8511" fillId="0" borderId="8082" xfId="0" applyNumberFormat="1" applyFont="1" applyBorder="1" applyAlignment="1">
      <alignment horizontal="right"/>
    </xf>
    <xf numFmtId="0" fontId="8512" fillId="0" borderId="8083" xfId="0" applyFont="1" applyBorder="1" applyAlignment="1">
      <alignment horizontal="left"/>
    </xf>
    <xf numFmtId="169" fontId="8513" fillId="0" borderId="8084" xfId="0" applyNumberFormat="1" applyFont="1" applyBorder="1" applyAlignment="1">
      <alignment horizontal="right"/>
    </xf>
    <xf numFmtId="169" fontId="8514" fillId="0" borderId="8085" xfId="0" applyNumberFormat="1" applyFont="1" applyBorder="1" applyAlignment="1">
      <alignment horizontal="right"/>
    </xf>
    <xf numFmtId="169" fontId="8515" fillId="0" borderId="8086" xfId="0" applyNumberFormat="1" applyFont="1" applyBorder="1" applyAlignment="1">
      <alignment horizontal="right"/>
    </xf>
    <xf numFmtId="169" fontId="8516" fillId="0" borderId="8087" xfId="0" applyNumberFormat="1" applyFont="1" applyBorder="1" applyAlignment="1">
      <alignment horizontal="right"/>
    </xf>
    <xf numFmtId="169" fontId="8517" fillId="0" borderId="8088" xfId="0" applyNumberFormat="1" applyFont="1" applyBorder="1" applyAlignment="1">
      <alignment horizontal="right"/>
    </xf>
    <xf numFmtId="169" fontId="8518" fillId="0" borderId="8089" xfId="0" applyNumberFormat="1" applyFont="1" applyBorder="1" applyAlignment="1">
      <alignment horizontal="right"/>
    </xf>
    <xf numFmtId="0" fontId="8519" fillId="0" borderId="8090" xfId="0" applyFont="1" applyBorder="1" applyAlignment="1">
      <alignment horizontal="left"/>
    </xf>
    <xf numFmtId="169" fontId="8520" fillId="0" borderId="8091" xfId="0" applyNumberFormat="1" applyFont="1" applyBorder="1" applyAlignment="1">
      <alignment horizontal="right"/>
    </xf>
    <xf numFmtId="169" fontId="8521" fillId="0" borderId="8092" xfId="0" applyNumberFormat="1" applyFont="1" applyBorder="1" applyAlignment="1">
      <alignment horizontal="right"/>
    </xf>
    <xf numFmtId="169" fontId="8522" fillId="0" borderId="8093" xfId="0" applyNumberFormat="1" applyFont="1" applyBorder="1" applyAlignment="1">
      <alignment horizontal="right"/>
    </xf>
    <xf numFmtId="169" fontId="8523" fillId="0" borderId="8094" xfId="0" applyNumberFormat="1" applyFont="1" applyBorder="1" applyAlignment="1">
      <alignment horizontal="right"/>
    </xf>
    <xf numFmtId="169" fontId="8524" fillId="0" borderId="8095" xfId="0" applyNumberFormat="1" applyFont="1" applyBorder="1" applyAlignment="1">
      <alignment horizontal="right"/>
    </xf>
    <xf numFmtId="169" fontId="8525" fillId="0" borderId="8096" xfId="0" applyNumberFormat="1" applyFont="1" applyBorder="1" applyAlignment="1">
      <alignment horizontal="right"/>
    </xf>
    <xf numFmtId="0" fontId="8526" fillId="0" borderId="8097" xfId="0" applyFont="1" applyBorder="1"/>
    <xf numFmtId="1" fontId="8530" fillId="0" borderId="8101" xfId="0" applyNumberFormat="1" applyFont="1" applyBorder="1" applyAlignment="1">
      <alignment horizontal="center"/>
    </xf>
    <xf numFmtId="1" fontId="8531" fillId="0" borderId="8102" xfId="0" applyNumberFormat="1" applyFont="1" applyBorder="1" applyAlignment="1">
      <alignment horizontal="right"/>
    </xf>
    <xf numFmtId="1" fontId="8532" fillId="0" borderId="8103" xfId="0" applyNumberFormat="1" applyFont="1" applyBorder="1" applyAlignment="1">
      <alignment horizontal="center"/>
    </xf>
    <xf numFmtId="0" fontId="8533" fillId="0" borderId="8104" xfId="0" applyFont="1" applyBorder="1"/>
    <xf numFmtId="1" fontId="8535" fillId="0" borderId="8106" xfId="0" applyNumberFormat="1" applyFont="1" applyBorder="1" applyAlignment="1">
      <alignment horizontal="right"/>
    </xf>
    <xf numFmtId="1" fontId="8536" fillId="0" borderId="8107" xfId="0" applyNumberFormat="1" applyFont="1" applyBorder="1" applyAlignment="1">
      <alignment horizontal="right"/>
    </xf>
    <xf numFmtId="0" fontId="8537" fillId="0" borderId="8108" xfId="0" applyFont="1" applyBorder="1"/>
    <xf numFmtId="1" fontId="8539" fillId="0" borderId="8110" xfId="0" applyNumberFormat="1" applyFont="1" applyBorder="1" applyAlignment="1">
      <alignment horizontal="center"/>
    </xf>
    <xf numFmtId="0" fontId="8540" fillId="0" borderId="8111" xfId="0" applyFont="1" applyBorder="1"/>
    <xf numFmtId="1" fontId="8541" fillId="0" borderId="8112" xfId="0" applyNumberFormat="1" applyFont="1" applyBorder="1" applyAlignment="1">
      <alignment horizontal="right"/>
    </xf>
    <xf numFmtId="1" fontId="8542" fillId="0" borderId="8113" xfId="0" applyNumberFormat="1" applyFont="1" applyBorder="1" applyAlignment="1">
      <alignment horizontal="right"/>
    </xf>
    <xf numFmtId="1" fontId="8543" fillId="0" borderId="8114" xfId="0" applyNumberFormat="1" applyFont="1" applyBorder="1" applyAlignment="1">
      <alignment horizontal="right"/>
    </xf>
    <xf numFmtId="1" fontId="8544" fillId="0" borderId="8115" xfId="0" applyNumberFormat="1" applyFont="1" applyBorder="1" applyAlignment="1">
      <alignment horizontal="right"/>
    </xf>
    <xf numFmtId="0" fontId="8545" fillId="0" borderId="8116" xfId="0" applyFont="1" applyBorder="1" applyAlignment="1">
      <alignment horizontal="left"/>
    </xf>
    <xf numFmtId="1" fontId="8546" fillId="0" borderId="8117" xfId="0" applyNumberFormat="1" applyFont="1" applyBorder="1"/>
    <xf numFmtId="1" fontId="8547" fillId="0" borderId="8118" xfId="0" applyNumberFormat="1" applyFont="1" applyBorder="1"/>
    <xf numFmtId="1" fontId="8548" fillId="0" borderId="8119" xfId="0" applyNumberFormat="1" applyFont="1" applyBorder="1"/>
    <xf numFmtId="1" fontId="8549" fillId="0" borderId="8120" xfId="0" applyNumberFormat="1" applyFont="1" applyBorder="1"/>
    <xf numFmtId="1" fontId="8550" fillId="0" borderId="8121" xfId="0" applyNumberFormat="1" applyFont="1" applyBorder="1"/>
    <xf numFmtId="1" fontId="8551" fillId="0" borderId="8122" xfId="0" applyNumberFormat="1" applyFont="1" applyBorder="1"/>
    <xf numFmtId="0" fontId="8552" fillId="0" borderId="8123" xfId="0" applyFont="1" applyBorder="1" applyAlignment="1">
      <alignment horizontal="left"/>
    </xf>
    <xf numFmtId="169" fontId="8553" fillId="0" borderId="8124" xfId="0" applyNumberFormat="1" applyFont="1" applyBorder="1" applyAlignment="1">
      <alignment horizontal="right"/>
    </xf>
    <xf numFmtId="169" fontId="8554" fillId="0" borderId="8125" xfId="0" applyNumberFormat="1" applyFont="1" applyBorder="1" applyAlignment="1">
      <alignment horizontal="right"/>
    </xf>
    <xf numFmtId="169" fontId="8555" fillId="0" borderId="8126" xfId="0" applyNumberFormat="1" applyFont="1" applyBorder="1" applyAlignment="1">
      <alignment horizontal="right"/>
    </xf>
    <xf numFmtId="169" fontId="8556" fillId="0" borderId="8127" xfId="0" applyNumberFormat="1" applyFont="1" applyBorder="1" applyAlignment="1">
      <alignment horizontal="right"/>
    </xf>
    <xf numFmtId="169" fontId="8557" fillId="0" borderId="8128" xfId="0" applyNumberFormat="1" applyFont="1" applyBorder="1" applyAlignment="1">
      <alignment horizontal="right"/>
    </xf>
    <xf numFmtId="169" fontId="8558" fillId="0" borderId="8129" xfId="0" applyNumberFormat="1" applyFont="1" applyBorder="1" applyAlignment="1">
      <alignment horizontal="right"/>
    </xf>
    <xf numFmtId="0" fontId="8559" fillId="0" borderId="8130" xfId="0" applyFont="1" applyBorder="1" applyAlignment="1">
      <alignment horizontal="left"/>
    </xf>
    <xf numFmtId="169" fontId="8560" fillId="0" borderId="8131" xfId="0" applyNumberFormat="1" applyFont="1" applyBorder="1" applyAlignment="1">
      <alignment horizontal="right"/>
    </xf>
    <xf numFmtId="169" fontId="8561" fillId="0" borderId="8132" xfId="0" applyNumberFormat="1" applyFont="1" applyBorder="1" applyAlignment="1">
      <alignment horizontal="right"/>
    </xf>
    <xf numFmtId="169" fontId="8562" fillId="0" borderId="8133" xfId="0" applyNumberFormat="1" applyFont="1" applyBorder="1" applyAlignment="1">
      <alignment horizontal="right"/>
    </xf>
    <xf numFmtId="169" fontId="8563" fillId="0" borderId="8134" xfId="0" applyNumberFormat="1" applyFont="1" applyBorder="1" applyAlignment="1">
      <alignment horizontal="right"/>
    </xf>
    <xf numFmtId="169" fontId="8564" fillId="0" borderId="8135" xfId="0" applyNumberFormat="1" applyFont="1" applyBorder="1" applyAlignment="1">
      <alignment horizontal="right"/>
    </xf>
    <xf numFmtId="169" fontId="8565" fillId="0" borderId="8136" xfId="0" applyNumberFormat="1" applyFont="1" applyBorder="1" applyAlignment="1">
      <alignment horizontal="right"/>
    </xf>
    <xf numFmtId="0" fontId="8566" fillId="0" borderId="8137" xfId="0" applyFont="1" applyBorder="1" applyAlignment="1">
      <alignment horizontal="left"/>
    </xf>
    <xf numFmtId="169" fontId="8567" fillId="0" borderId="8138" xfId="0" applyNumberFormat="1" applyFont="1" applyBorder="1" applyAlignment="1">
      <alignment horizontal="right"/>
    </xf>
    <xf numFmtId="169" fontId="8568" fillId="0" borderId="8139" xfId="0" applyNumberFormat="1" applyFont="1" applyBorder="1" applyAlignment="1">
      <alignment horizontal="right"/>
    </xf>
    <xf numFmtId="169" fontId="8569" fillId="0" borderId="8140" xfId="0" applyNumberFormat="1" applyFont="1" applyBorder="1" applyAlignment="1">
      <alignment horizontal="right"/>
    </xf>
    <xf numFmtId="169" fontId="8570" fillId="0" borderId="8141" xfId="0" applyNumberFormat="1" applyFont="1" applyBorder="1" applyAlignment="1">
      <alignment horizontal="right"/>
    </xf>
    <xf numFmtId="169" fontId="8571" fillId="0" borderId="8142" xfId="0" applyNumberFormat="1" applyFont="1" applyBorder="1" applyAlignment="1">
      <alignment horizontal="right"/>
    </xf>
    <xf numFmtId="169" fontId="8572" fillId="0" borderId="8143" xfId="0" applyNumberFormat="1" applyFont="1" applyBorder="1" applyAlignment="1">
      <alignment horizontal="right"/>
    </xf>
    <xf numFmtId="0" fontId="8573" fillId="0" borderId="8144" xfId="0" applyFont="1" applyBorder="1" applyAlignment="1">
      <alignment horizontal="left"/>
    </xf>
    <xf numFmtId="169" fontId="8574" fillId="0" borderId="8145" xfId="0" applyNumberFormat="1" applyFont="1" applyBorder="1" applyAlignment="1">
      <alignment horizontal="right"/>
    </xf>
    <xf numFmtId="169" fontId="8575" fillId="0" borderId="8146" xfId="0" applyNumberFormat="1" applyFont="1" applyBorder="1" applyAlignment="1">
      <alignment horizontal="right"/>
    </xf>
    <xf numFmtId="169" fontId="8576" fillId="0" borderId="8147" xfId="0" applyNumberFormat="1" applyFont="1" applyBorder="1" applyAlignment="1">
      <alignment horizontal="right"/>
    </xf>
    <xf numFmtId="169" fontId="8577" fillId="0" borderId="8148" xfId="0" applyNumberFormat="1" applyFont="1" applyBorder="1" applyAlignment="1">
      <alignment horizontal="right"/>
    </xf>
    <xf numFmtId="169" fontId="8578" fillId="0" borderId="8149" xfId="0" applyNumberFormat="1" applyFont="1" applyBorder="1" applyAlignment="1">
      <alignment horizontal="right"/>
    </xf>
    <xf numFmtId="169" fontId="8579" fillId="0" borderId="8150" xfId="0" applyNumberFormat="1" applyFont="1" applyBorder="1" applyAlignment="1">
      <alignment horizontal="right"/>
    </xf>
    <xf numFmtId="0" fontId="8580" fillId="0" borderId="8151" xfId="0" applyFont="1" applyBorder="1" applyAlignment="1">
      <alignment horizontal="left"/>
    </xf>
    <xf numFmtId="169" fontId="8581" fillId="0" borderId="8152" xfId="0" applyNumberFormat="1" applyFont="1" applyBorder="1" applyAlignment="1">
      <alignment horizontal="right"/>
    </xf>
    <xf numFmtId="169" fontId="8582" fillId="0" borderId="8153" xfId="0" applyNumberFormat="1" applyFont="1" applyBorder="1" applyAlignment="1">
      <alignment horizontal="right"/>
    </xf>
    <xf numFmtId="169" fontId="8583" fillId="0" borderId="8154" xfId="0" applyNumberFormat="1" applyFont="1" applyBorder="1" applyAlignment="1">
      <alignment horizontal="right"/>
    </xf>
    <xf numFmtId="169" fontId="8584" fillId="0" borderId="8155" xfId="0" applyNumberFormat="1" applyFont="1" applyBorder="1" applyAlignment="1">
      <alignment horizontal="right"/>
    </xf>
    <xf numFmtId="169" fontId="8585" fillId="0" borderId="8156" xfId="0" applyNumberFormat="1" applyFont="1" applyBorder="1" applyAlignment="1">
      <alignment horizontal="right"/>
    </xf>
    <xf numFmtId="169" fontId="8586" fillId="0" borderId="8157" xfId="0" applyNumberFormat="1" applyFont="1" applyBorder="1" applyAlignment="1">
      <alignment horizontal="right"/>
    </xf>
    <xf numFmtId="0" fontId="8587" fillId="0" borderId="8158" xfId="0" applyFont="1" applyBorder="1" applyAlignment="1">
      <alignment horizontal="left"/>
    </xf>
    <xf numFmtId="169" fontId="8588" fillId="0" borderId="8159" xfId="0" applyNumberFormat="1" applyFont="1" applyBorder="1" applyAlignment="1">
      <alignment horizontal="right"/>
    </xf>
    <xf numFmtId="169" fontId="8589" fillId="0" borderId="8160" xfId="0" applyNumberFormat="1" applyFont="1" applyBorder="1" applyAlignment="1">
      <alignment horizontal="right"/>
    </xf>
    <xf numFmtId="169" fontId="8590" fillId="0" borderId="8161" xfId="0" applyNumberFormat="1" applyFont="1" applyBorder="1" applyAlignment="1">
      <alignment horizontal="right"/>
    </xf>
    <xf numFmtId="169" fontId="8591" fillId="0" borderId="8162" xfId="0" applyNumberFormat="1" applyFont="1" applyBorder="1" applyAlignment="1">
      <alignment horizontal="right"/>
    </xf>
    <xf numFmtId="169" fontId="8592" fillId="0" borderId="8163" xfId="0" applyNumberFormat="1" applyFont="1" applyBorder="1" applyAlignment="1">
      <alignment horizontal="right"/>
    </xf>
    <xf numFmtId="169" fontId="8593" fillId="0" borderId="8164" xfId="0" applyNumberFormat="1" applyFont="1" applyBorder="1" applyAlignment="1">
      <alignment horizontal="right"/>
    </xf>
    <xf numFmtId="0" fontId="8594" fillId="0" borderId="8165" xfId="0" applyFont="1" applyBorder="1" applyAlignment="1">
      <alignment horizontal="left"/>
    </xf>
    <xf numFmtId="169" fontId="8595" fillId="0" borderId="8166" xfId="0" applyNumberFormat="1" applyFont="1" applyBorder="1" applyAlignment="1">
      <alignment horizontal="right"/>
    </xf>
    <xf numFmtId="169" fontId="8596" fillId="0" borderId="8167" xfId="0" applyNumberFormat="1" applyFont="1" applyBorder="1" applyAlignment="1">
      <alignment horizontal="right"/>
    </xf>
    <xf numFmtId="169" fontId="8597" fillId="0" borderId="8168" xfId="0" applyNumberFormat="1" applyFont="1" applyBorder="1" applyAlignment="1">
      <alignment horizontal="right"/>
    </xf>
    <xf numFmtId="169" fontId="8598" fillId="0" borderId="8169" xfId="0" applyNumberFormat="1" applyFont="1" applyBorder="1" applyAlignment="1">
      <alignment horizontal="right"/>
    </xf>
    <xf numFmtId="169" fontId="8599" fillId="0" borderId="8170" xfId="0" applyNumberFormat="1" applyFont="1" applyBorder="1" applyAlignment="1">
      <alignment horizontal="right"/>
    </xf>
    <xf numFmtId="169" fontId="8600" fillId="0" borderId="8171" xfId="0" applyNumberFormat="1" applyFont="1" applyBorder="1" applyAlignment="1">
      <alignment horizontal="right"/>
    </xf>
    <xf numFmtId="0" fontId="8601" fillId="0" borderId="8172" xfId="0" applyFont="1" applyBorder="1" applyAlignment="1">
      <alignment horizontal="left"/>
    </xf>
    <xf numFmtId="169" fontId="8602" fillId="0" borderId="8173" xfId="0" applyNumberFormat="1" applyFont="1" applyBorder="1" applyAlignment="1">
      <alignment horizontal="right"/>
    </xf>
    <xf numFmtId="169" fontId="8603" fillId="0" borderId="8174" xfId="0" applyNumberFormat="1" applyFont="1" applyBorder="1" applyAlignment="1">
      <alignment horizontal="right"/>
    </xf>
    <xf numFmtId="169" fontId="8604" fillId="0" borderId="8175" xfId="0" applyNumberFormat="1" applyFont="1" applyBorder="1" applyAlignment="1">
      <alignment horizontal="right"/>
    </xf>
    <xf numFmtId="169" fontId="8605" fillId="0" borderId="8176" xfId="0" applyNumberFormat="1" applyFont="1" applyBorder="1" applyAlignment="1">
      <alignment horizontal="right"/>
    </xf>
    <xf numFmtId="169" fontId="8606" fillId="0" borderId="8177" xfId="0" applyNumberFormat="1" applyFont="1" applyBorder="1" applyAlignment="1">
      <alignment horizontal="right"/>
    </xf>
    <xf numFmtId="169" fontId="8607" fillId="0" borderId="8178" xfId="0" applyNumberFormat="1" applyFont="1" applyBorder="1" applyAlignment="1">
      <alignment horizontal="right"/>
    </xf>
    <xf numFmtId="0" fontId="8608" fillId="0" borderId="8179" xfId="0" applyFont="1" applyBorder="1" applyAlignment="1">
      <alignment horizontal="left"/>
    </xf>
    <xf numFmtId="169" fontId="8609" fillId="0" borderId="8180" xfId="0" applyNumberFormat="1" applyFont="1" applyBorder="1" applyAlignment="1">
      <alignment horizontal="right"/>
    </xf>
    <xf numFmtId="169" fontId="8610" fillId="0" borderId="8181" xfId="0" applyNumberFormat="1" applyFont="1" applyBorder="1" applyAlignment="1">
      <alignment horizontal="right"/>
    </xf>
    <xf numFmtId="169" fontId="8611" fillId="0" borderId="8182" xfId="0" applyNumberFormat="1" applyFont="1" applyBorder="1" applyAlignment="1">
      <alignment horizontal="right"/>
    </xf>
    <xf numFmtId="169" fontId="8612" fillId="0" borderId="8183" xfId="0" applyNumberFormat="1" applyFont="1" applyBorder="1" applyAlignment="1">
      <alignment horizontal="right"/>
    </xf>
    <xf numFmtId="169" fontId="8613" fillId="0" borderId="8184" xfId="0" applyNumberFormat="1" applyFont="1" applyBorder="1" applyAlignment="1">
      <alignment horizontal="right"/>
    </xf>
    <xf numFmtId="169" fontId="8614" fillId="0" borderId="8185" xfId="0" applyNumberFormat="1" applyFont="1" applyBorder="1" applyAlignment="1">
      <alignment horizontal="right"/>
    </xf>
    <xf numFmtId="0" fontId="8615" fillId="0" borderId="8186" xfId="0" applyFont="1" applyBorder="1" applyAlignment="1">
      <alignment horizontal="left"/>
    </xf>
    <xf numFmtId="169" fontId="8616" fillId="0" borderId="8187" xfId="0" applyNumberFormat="1" applyFont="1" applyBorder="1" applyAlignment="1">
      <alignment horizontal="right"/>
    </xf>
    <xf numFmtId="169" fontId="8617" fillId="0" borderId="8188" xfId="0" applyNumberFormat="1" applyFont="1" applyBorder="1" applyAlignment="1">
      <alignment horizontal="right"/>
    </xf>
    <xf numFmtId="169" fontId="8618" fillId="0" borderId="8189" xfId="0" applyNumberFormat="1" applyFont="1" applyBorder="1" applyAlignment="1">
      <alignment horizontal="right"/>
    </xf>
    <xf numFmtId="169" fontId="8619" fillId="0" borderId="8190" xfId="0" applyNumberFormat="1" applyFont="1" applyBorder="1" applyAlignment="1">
      <alignment horizontal="right"/>
    </xf>
    <xf numFmtId="169" fontId="8620" fillId="0" borderId="8191" xfId="0" applyNumberFormat="1" applyFont="1" applyBorder="1" applyAlignment="1">
      <alignment horizontal="right"/>
    </xf>
    <xf numFmtId="169" fontId="8621" fillId="0" borderId="8192" xfId="0" applyNumberFormat="1" applyFont="1" applyBorder="1" applyAlignment="1">
      <alignment horizontal="right"/>
    </xf>
    <xf numFmtId="0" fontId="8622" fillId="0" borderId="8193" xfId="0" applyFont="1" applyBorder="1" applyAlignment="1">
      <alignment horizontal="left"/>
    </xf>
    <xf numFmtId="169" fontId="8623" fillId="0" borderId="8194" xfId="0" applyNumberFormat="1" applyFont="1" applyBorder="1" applyAlignment="1">
      <alignment horizontal="right"/>
    </xf>
    <xf numFmtId="169" fontId="8624" fillId="0" borderId="8195" xfId="0" applyNumberFormat="1" applyFont="1" applyBorder="1" applyAlignment="1">
      <alignment horizontal="right"/>
    </xf>
    <xf numFmtId="169" fontId="8625" fillId="0" borderId="8196" xfId="0" applyNumberFormat="1" applyFont="1" applyBorder="1" applyAlignment="1">
      <alignment horizontal="right"/>
    </xf>
    <xf numFmtId="169" fontId="8626" fillId="0" borderId="8197" xfId="0" applyNumberFormat="1" applyFont="1" applyBorder="1" applyAlignment="1">
      <alignment horizontal="right"/>
    </xf>
    <xf numFmtId="169" fontId="8627" fillId="0" borderId="8198" xfId="0" applyNumberFormat="1" applyFont="1" applyBorder="1" applyAlignment="1">
      <alignment horizontal="right"/>
    </xf>
    <xf numFmtId="169" fontId="8628" fillId="0" borderId="8199" xfId="0" applyNumberFormat="1" applyFont="1" applyBorder="1" applyAlignment="1">
      <alignment horizontal="right"/>
    </xf>
    <xf numFmtId="0" fontId="8629" fillId="0" borderId="8200" xfId="0" applyFont="1" applyBorder="1" applyAlignment="1">
      <alignment horizontal="left"/>
    </xf>
    <xf numFmtId="169" fontId="8630" fillId="0" borderId="8201" xfId="0" applyNumberFormat="1" applyFont="1" applyBorder="1" applyAlignment="1">
      <alignment horizontal="right"/>
    </xf>
    <xf numFmtId="169" fontId="8631" fillId="0" borderId="8202" xfId="0" applyNumberFormat="1" applyFont="1" applyBorder="1" applyAlignment="1">
      <alignment horizontal="right"/>
    </xf>
    <xf numFmtId="169" fontId="8632" fillId="0" borderId="8203" xfId="0" applyNumberFormat="1" applyFont="1" applyBorder="1" applyAlignment="1">
      <alignment horizontal="right"/>
    </xf>
    <xf numFmtId="169" fontId="8633" fillId="0" borderId="8204" xfId="0" applyNumberFormat="1" applyFont="1" applyBorder="1" applyAlignment="1">
      <alignment horizontal="right"/>
    </xf>
    <xf numFmtId="169" fontId="8634" fillId="0" borderId="8205" xfId="0" applyNumberFormat="1" applyFont="1" applyBorder="1" applyAlignment="1">
      <alignment horizontal="right"/>
    </xf>
    <xf numFmtId="169" fontId="8635" fillId="0" borderId="8206" xfId="0" applyNumberFormat="1" applyFont="1" applyBorder="1" applyAlignment="1">
      <alignment horizontal="right"/>
    </xf>
    <xf numFmtId="0" fontId="8636" fillId="0" borderId="8207" xfId="0" applyFont="1" applyBorder="1" applyAlignment="1">
      <alignment horizontal="left"/>
    </xf>
    <xf numFmtId="169" fontId="8637" fillId="0" borderId="8208" xfId="0" applyNumberFormat="1" applyFont="1" applyBorder="1" applyAlignment="1">
      <alignment horizontal="right"/>
    </xf>
    <xf numFmtId="169" fontId="8638" fillId="0" borderId="8209" xfId="0" applyNumberFormat="1" applyFont="1" applyBorder="1" applyAlignment="1">
      <alignment horizontal="right"/>
    </xf>
    <xf numFmtId="169" fontId="8639" fillId="0" borderId="8210" xfId="0" applyNumberFormat="1" applyFont="1" applyBorder="1" applyAlignment="1">
      <alignment horizontal="right"/>
    </xf>
    <xf numFmtId="169" fontId="8640" fillId="0" borderId="8211" xfId="0" applyNumberFormat="1" applyFont="1" applyBorder="1" applyAlignment="1">
      <alignment horizontal="right"/>
    </xf>
    <xf numFmtId="169" fontId="8641" fillId="0" borderId="8212" xfId="0" applyNumberFormat="1" applyFont="1" applyBorder="1" applyAlignment="1">
      <alignment horizontal="right"/>
    </xf>
    <xf numFmtId="169" fontId="8642" fillId="0" borderId="8213" xfId="0" applyNumberFormat="1" applyFont="1" applyBorder="1" applyAlignment="1">
      <alignment horizontal="right"/>
    </xf>
    <xf numFmtId="0" fontId="8643" fillId="0" borderId="8214" xfId="0" applyFont="1" applyBorder="1" applyAlignment="1">
      <alignment horizontal="left"/>
    </xf>
    <xf numFmtId="169" fontId="8644" fillId="0" borderId="8215" xfId="0" applyNumberFormat="1" applyFont="1" applyBorder="1" applyAlignment="1">
      <alignment horizontal="right"/>
    </xf>
    <xf numFmtId="169" fontId="8645" fillId="0" borderId="8216" xfId="0" applyNumberFormat="1" applyFont="1" applyBorder="1" applyAlignment="1">
      <alignment horizontal="right"/>
    </xf>
    <xf numFmtId="169" fontId="8646" fillId="0" borderId="8217" xfId="0" applyNumberFormat="1" applyFont="1" applyBorder="1" applyAlignment="1">
      <alignment horizontal="right"/>
    </xf>
    <xf numFmtId="169" fontId="8647" fillId="0" borderId="8218" xfId="0" applyNumberFormat="1" applyFont="1" applyBorder="1" applyAlignment="1">
      <alignment horizontal="right"/>
    </xf>
    <xf numFmtId="169" fontId="8648" fillId="0" borderId="8219" xfId="0" applyNumberFormat="1" applyFont="1" applyBorder="1" applyAlignment="1">
      <alignment horizontal="right"/>
    </xf>
    <xf numFmtId="169" fontId="8649" fillId="0" borderId="8220" xfId="0" applyNumberFormat="1" applyFont="1" applyBorder="1" applyAlignment="1">
      <alignment horizontal="right"/>
    </xf>
    <xf numFmtId="0" fontId="8650" fillId="0" borderId="8221" xfId="0" applyFont="1" applyBorder="1" applyAlignment="1">
      <alignment horizontal="left"/>
    </xf>
    <xf numFmtId="169" fontId="8651" fillId="0" borderId="8222" xfId="0" applyNumberFormat="1" applyFont="1" applyBorder="1" applyAlignment="1">
      <alignment horizontal="right"/>
    </xf>
    <xf numFmtId="169" fontId="8652" fillId="0" borderId="8223" xfId="0" applyNumberFormat="1" applyFont="1" applyBorder="1" applyAlignment="1">
      <alignment horizontal="right"/>
    </xf>
    <xf numFmtId="169" fontId="8653" fillId="0" borderId="8224" xfId="0" applyNumberFormat="1" applyFont="1" applyBorder="1" applyAlignment="1">
      <alignment horizontal="right"/>
    </xf>
    <xf numFmtId="169" fontId="8654" fillId="0" borderId="8225" xfId="0" applyNumberFormat="1" applyFont="1" applyBorder="1" applyAlignment="1">
      <alignment horizontal="right"/>
    </xf>
    <xf numFmtId="169" fontId="8655" fillId="0" borderId="8226" xfId="0" applyNumberFormat="1" applyFont="1" applyBorder="1" applyAlignment="1">
      <alignment horizontal="right"/>
    </xf>
    <xf numFmtId="169" fontId="8656" fillId="0" borderId="8227" xfId="0" applyNumberFormat="1" applyFont="1" applyBorder="1" applyAlignment="1">
      <alignment horizontal="right"/>
    </xf>
    <xf numFmtId="0" fontId="8657" fillId="0" borderId="8228" xfId="0" applyFont="1" applyBorder="1" applyAlignment="1">
      <alignment horizontal="left"/>
    </xf>
    <xf numFmtId="169" fontId="8658" fillId="0" borderId="8229" xfId="0" applyNumberFormat="1" applyFont="1" applyBorder="1" applyAlignment="1">
      <alignment horizontal="right"/>
    </xf>
    <xf numFmtId="169" fontId="8659" fillId="0" borderId="8230" xfId="0" applyNumberFormat="1" applyFont="1" applyBorder="1" applyAlignment="1">
      <alignment horizontal="right"/>
    </xf>
    <xf numFmtId="169" fontId="8660" fillId="0" borderId="8231" xfId="0" applyNumberFormat="1" applyFont="1" applyBorder="1" applyAlignment="1">
      <alignment horizontal="right"/>
    </xf>
    <xf numFmtId="169" fontId="8661" fillId="0" borderId="8232" xfId="0" applyNumberFormat="1" applyFont="1" applyBorder="1" applyAlignment="1">
      <alignment horizontal="right"/>
    </xf>
    <xf numFmtId="169" fontId="8662" fillId="0" borderId="8233" xfId="0" applyNumberFormat="1" applyFont="1" applyBorder="1" applyAlignment="1">
      <alignment horizontal="right"/>
    </xf>
    <xf numFmtId="169" fontId="8663" fillId="0" borderId="8234" xfId="0" applyNumberFormat="1" applyFont="1" applyBorder="1" applyAlignment="1">
      <alignment horizontal="right"/>
    </xf>
    <xf numFmtId="1" fontId="8527" fillId="0" borderId="8098" xfId="0" applyNumberFormat="1" applyFont="1" applyBorder="1"/>
    <xf numFmtId="1" fontId="8528" fillId="0" borderId="8099" xfId="0" applyNumberFormat="1" applyFont="1" applyBorder="1"/>
    <xf numFmtId="1" fontId="8529" fillId="0" borderId="8100" xfId="0" applyNumberFormat="1" applyFont="1" applyBorder="1"/>
    <xf numFmtId="1" fontId="8534" fillId="0" borderId="8105" xfId="0" applyNumberFormat="1" applyFont="1" applyBorder="1"/>
    <xf numFmtId="1" fontId="8538" fillId="0" borderId="8109" xfId="0" applyNumberFormat="1" applyFont="1" applyBorder="1"/>
    <xf numFmtId="1" fontId="8286" fillId="0" borderId="7857" xfId="0" applyNumberFormat="1" applyFont="1" applyBorder="1"/>
    <xf numFmtId="1" fontId="8290" fillId="0" borderId="7861" xfId="0" applyNumberFormat="1" applyFont="1" applyBorder="1"/>
    <xf numFmtId="1" fontId="8382" fillId="0" borderId="7953" xfId="0" applyNumberFormat="1" applyFont="1" applyBorder="1"/>
    <xf numFmtId="1" fontId="8383" fillId="0" borderId="7954" xfId="0" applyNumberFormat="1" applyFont="1" applyBorder="1"/>
    <xf numFmtId="1" fontId="8384" fillId="0" borderId="7955" xfId="0" applyNumberFormat="1" applyFont="1" applyBorder="1"/>
    <xf numFmtId="1" fontId="8389" fillId="0" borderId="7960" xfId="0" applyNumberFormat="1" applyFont="1" applyBorder="1"/>
    <xf numFmtId="1" fontId="8393" fillId="0" borderId="7964" xfId="0" applyNumberFormat="1" applyFont="1" applyBorder="1"/>
    <xf numFmtId="1" fontId="8000" fillId="0" borderId="7571" xfId="0" applyNumberFormat="1" applyFont="1" applyBorder="1"/>
    <xf numFmtId="1" fontId="8134" fillId="0" borderId="7705" xfId="0" applyNumberFormat="1" applyFont="1" applyBorder="1"/>
    <xf numFmtId="1" fontId="8135" fillId="0" borderId="7706" xfId="0" applyNumberFormat="1" applyFont="1" applyBorder="1"/>
    <xf numFmtId="1" fontId="8136" fillId="0" borderId="7707" xfId="0" applyNumberFormat="1" applyFont="1" applyBorder="1"/>
    <xf numFmtId="1" fontId="8141" fillId="0" borderId="7712" xfId="0" applyNumberFormat="1" applyFont="1" applyBorder="1"/>
    <xf numFmtId="1" fontId="8145" fillId="0" borderId="7716" xfId="0" applyNumberFormat="1" applyFont="1" applyBorder="1"/>
    <xf numFmtId="1" fontId="8279" fillId="0" borderId="7850" xfId="0" applyNumberFormat="1" applyFont="1" applyBorder="1"/>
    <xf numFmtId="1" fontId="8280" fillId="0" borderId="7851" xfId="0" applyNumberFormat="1" applyFont="1" applyBorder="1"/>
    <xf numFmtId="1" fontId="8281" fillId="0" borderId="7852" xfId="0" applyNumberFormat="1" applyFont="1" applyBorder="1"/>
    <xf numFmtId="1" fontId="7851" fillId="0" borderId="7422" xfId="0" applyNumberFormat="1" applyFont="1" applyBorder="1"/>
    <xf numFmtId="1" fontId="7852" fillId="0" borderId="7423" xfId="0" applyNumberFormat="1" applyFont="1" applyBorder="1"/>
    <xf numFmtId="1" fontId="7853" fillId="0" borderId="7424" xfId="0" applyNumberFormat="1" applyFont="1" applyBorder="1"/>
    <xf numFmtId="1" fontId="7858" fillId="0" borderId="7429" xfId="0" applyNumberFormat="1" applyFont="1" applyBorder="1"/>
    <xf numFmtId="1" fontId="7862" fillId="0" borderId="7433" xfId="0" applyNumberFormat="1" applyFont="1" applyBorder="1"/>
    <xf numFmtId="1" fontId="7989" fillId="0" borderId="7560" xfId="0" applyNumberFormat="1" applyFont="1" applyBorder="1"/>
    <xf numFmtId="1" fontId="7990" fillId="0" borderId="7561" xfId="0" applyNumberFormat="1" applyFont="1" applyBorder="1"/>
    <xf numFmtId="1" fontId="7991" fillId="0" borderId="7562" xfId="0" applyNumberFormat="1" applyFont="1" applyBorder="1"/>
    <xf numFmtId="1" fontId="7996" fillId="0" borderId="7567" xfId="0" applyNumberFormat="1" applyFont="1" applyBorder="1"/>
    <xf numFmtId="1" fontId="7582" fillId="0" borderId="7153" xfId="0" applyNumberFormat="1" applyFont="1" applyBorder="1"/>
    <xf numFmtId="1" fontId="7586" fillId="0" borderId="7157" xfId="0" applyNumberFormat="1" applyFont="1" applyBorder="1"/>
    <xf numFmtId="1" fontId="7713" fillId="0" borderId="7284" xfId="0" applyNumberFormat="1" applyFont="1" applyBorder="1"/>
    <xf numFmtId="1" fontId="7714" fillId="0" borderId="7285" xfId="0" applyNumberFormat="1" applyFont="1" applyBorder="1"/>
    <xf numFmtId="1" fontId="7715" fillId="0" borderId="7286" xfId="0" applyNumberFormat="1" applyFont="1" applyBorder="1"/>
    <xf numFmtId="1" fontId="7720" fillId="0" borderId="7291" xfId="0" applyNumberFormat="1" applyFont="1" applyBorder="1"/>
    <xf numFmtId="1" fontId="7724" fillId="0" borderId="7295" xfId="0" applyNumberFormat="1" applyFont="1" applyBorder="1"/>
    <xf numFmtId="1" fontId="7317" fillId="0" borderId="6888" xfId="0" applyNumberFormat="1" applyFont="1" applyBorder="1"/>
    <xf numFmtId="1" fontId="7437" fillId="0" borderId="7008" xfId="0" applyNumberFormat="1" applyFont="1" applyBorder="1"/>
    <xf numFmtId="1" fontId="7438" fillId="0" borderId="7009" xfId="0" applyNumberFormat="1" applyFont="1" applyBorder="1"/>
    <xf numFmtId="1" fontId="7439" fillId="0" borderId="7010" xfId="0" applyNumberFormat="1" applyFont="1" applyBorder="1"/>
    <xf numFmtId="1" fontId="7444" fillId="0" borderId="7015" xfId="0" applyNumberFormat="1" applyFont="1" applyBorder="1"/>
    <xf numFmtId="1" fontId="7448" fillId="0" borderId="7019" xfId="0" applyNumberFormat="1" applyFont="1" applyBorder="1"/>
    <xf numFmtId="1" fontId="7575" fillId="0" borderId="7146" xfId="0" applyNumberFormat="1" applyFont="1" applyBorder="1"/>
    <xf numFmtId="1" fontId="7576" fillId="0" borderId="7147" xfId="0" applyNumberFormat="1" applyFont="1" applyBorder="1"/>
    <xf numFmtId="1" fontId="7577" fillId="0" borderId="7148" xfId="0" applyNumberFormat="1" applyFont="1" applyBorder="1"/>
    <xf numFmtId="1" fontId="7175" fillId="0" borderId="6746" xfId="0" applyNumberFormat="1" applyFont="1" applyBorder="1"/>
    <xf numFmtId="1" fontId="7176" fillId="0" borderId="6747" xfId="0" applyNumberFormat="1" applyFont="1" applyBorder="1"/>
    <xf numFmtId="1" fontId="7177" fillId="0" borderId="6748" xfId="0" applyNumberFormat="1" applyFont="1" applyBorder="1"/>
    <xf numFmtId="1" fontId="7182" fillId="0" borderId="6753" xfId="0" applyNumberFormat="1" applyFont="1" applyBorder="1"/>
    <xf numFmtId="1" fontId="7186" fillId="0" borderId="6757" xfId="0" applyNumberFormat="1" applyFont="1" applyBorder="1"/>
    <xf numFmtId="1" fontId="7306" fillId="0" borderId="6877" xfId="0" applyNumberFormat="1" applyFont="1" applyBorder="1"/>
    <xf numFmtId="1" fontId="7307" fillId="0" borderId="6878" xfId="0" applyNumberFormat="1" applyFont="1" applyBorder="1"/>
    <xf numFmtId="1" fontId="7308" fillId="0" borderId="6879" xfId="0" applyNumberFormat="1" applyFont="1" applyBorder="1"/>
    <xf numFmtId="1" fontId="7313" fillId="0" borderId="6884" xfId="0" applyNumberFormat="1" applyFont="1" applyBorder="1"/>
    <xf numFmtId="0" fontId="0" fillId="0" borderId="5931" xfId="0" applyBorder="1" applyAlignment="1">
      <alignment horizontal="left"/>
    </xf>
    <xf numFmtId="0" fontId="14" fillId="48" borderId="0" xfId="0" applyFont="1" applyFill="1"/>
    <xf numFmtId="0" fontId="3" fillId="48" borderId="1" xfId="2" applyFont="1" applyFill="1"/>
    <xf numFmtId="0" fontId="2" fillId="47" borderId="8227" xfId="0" applyFont="1" applyFill="1" applyBorder="1"/>
    <xf numFmtId="0" fontId="0" fillId="24" borderId="8227" xfId="0" applyFill="1" applyBorder="1"/>
    <xf numFmtId="1" fontId="6344" fillId="24" borderId="8227" xfId="0" applyNumberFormat="1" applyFont="1" applyFill="1" applyBorder="1" applyAlignment="1">
      <alignment horizontal="right"/>
    </xf>
    <xf numFmtId="1" fontId="6430" fillId="24" borderId="8227" xfId="0" applyNumberFormat="1" applyFont="1" applyFill="1" applyBorder="1" applyAlignment="1">
      <alignment horizontal="right"/>
    </xf>
    <xf numFmtId="1" fontId="6538" fillId="24" borderId="8227" xfId="0" applyNumberFormat="1" applyFont="1" applyFill="1" applyBorder="1" applyAlignment="1">
      <alignment horizontal="right"/>
    </xf>
    <xf numFmtId="1" fontId="6646" fillId="24" borderId="8227" xfId="0" applyNumberFormat="1" applyFont="1" applyFill="1" applyBorder="1" applyAlignment="1">
      <alignment horizontal="right"/>
    </xf>
    <xf numFmtId="1" fontId="6754" fillId="24" borderId="8227" xfId="0" applyNumberFormat="1" applyFont="1" applyFill="1" applyBorder="1" applyAlignment="1">
      <alignment horizontal="right"/>
    </xf>
    <xf numFmtId="1" fontId="6815" fillId="24" borderId="8227" xfId="0" applyNumberFormat="1" applyFont="1" applyFill="1" applyBorder="1" applyAlignment="1">
      <alignment horizontal="right"/>
    </xf>
    <xf numFmtId="1" fontId="6868" fillId="24" borderId="8227" xfId="0" applyNumberFormat="1" applyFont="1" applyFill="1" applyBorder="1" applyAlignment="1">
      <alignment horizontal="right"/>
    </xf>
    <xf numFmtId="1" fontId="0" fillId="24" borderId="8227" xfId="0" applyNumberFormat="1" applyFill="1" applyBorder="1"/>
    <xf numFmtId="0" fontId="2" fillId="24" borderId="8227" xfId="0" applyFont="1" applyFill="1" applyBorder="1"/>
    <xf numFmtId="2" fontId="6344" fillId="24" borderId="8227" xfId="0" applyNumberFormat="1" applyFont="1" applyFill="1" applyBorder="1" applyAlignment="1">
      <alignment horizontal="right"/>
    </xf>
    <xf numFmtId="0" fontId="6430" fillId="24" borderId="8227" xfId="0" applyFont="1" applyFill="1" applyBorder="1" applyAlignment="1">
      <alignment horizontal="right"/>
    </xf>
    <xf numFmtId="0" fontId="6538" fillId="24" borderId="8227" xfId="0" applyFont="1" applyFill="1" applyBorder="1" applyAlignment="1">
      <alignment horizontal="right"/>
    </xf>
    <xf numFmtId="0" fontId="6646" fillId="24" borderId="8227" xfId="0" applyFont="1" applyFill="1" applyBorder="1" applyAlignment="1">
      <alignment horizontal="right"/>
    </xf>
    <xf numFmtId="0" fontId="6754" fillId="24" borderId="8227" xfId="0" applyFont="1" applyFill="1" applyBorder="1" applyAlignment="1">
      <alignment horizontal="right"/>
    </xf>
    <xf numFmtId="0" fontId="6815" fillId="24" borderId="8227" xfId="0" applyFont="1" applyFill="1" applyBorder="1" applyAlignment="1">
      <alignment horizontal="right"/>
    </xf>
    <xf numFmtId="0" fontId="6868" fillId="24" borderId="8227" xfId="0" applyFont="1" applyFill="1" applyBorder="1" applyAlignment="1">
      <alignment horizontal="right"/>
    </xf>
    <xf numFmtId="2" fontId="0" fillId="24" borderId="8227" xfId="0" applyNumberFormat="1" applyFill="1" applyBorder="1"/>
    <xf numFmtId="0" fontId="0" fillId="49" borderId="0" xfId="0" applyFill="1"/>
    <xf numFmtId="1" fontId="0" fillId="49" borderId="0" xfId="0" applyNumberFormat="1" applyFill="1"/>
    <xf numFmtId="0" fontId="2" fillId="49" borderId="0" xfId="0" applyFont="1" applyFill="1"/>
    <xf numFmtId="0" fontId="0" fillId="0" borderId="8227" xfId="0" applyBorder="1"/>
    <xf numFmtId="0" fontId="2" fillId="0" borderId="8227" xfId="0" applyFont="1" applyBorder="1"/>
    <xf numFmtId="0" fontId="0" fillId="0" borderId="8234" xfId="0" applyBorder="1"/>
    <xf numFmtId="0" fontId="2" fillId="0" borderId="8234" xfId="0" applyFont="1" applyBorder="1"/>
    <xf numFmtId="1" fontId="0" fillId="0" borderId="8234" xfId="0" applyNumberFormat="1" applyBorder="1"/>
    <xf numFmtId="0" fontId="14" fillId="0" borderId="8234" xfId="0" applyFont="1" applyBorder="1"/>
    <xf numFmtId="0" fontId="3" fillId="0" borderId="8234" xfId="2" applyFont="1" applyBorder="1"/>
    <xf numFmtId="0" fontId="3" fillId="0" borderId="8234" xfId="0" applyFont="1" applyBorder="1"/>
    <xf numFmtId="0" fontId="10" fillId="0" borderId="6742" xfId="23" applyBorder="1"/>
    <xf numFmtId="1" fontId="3" fillId="47" borderId="0" xfId="0" applyNumberFormat="1" applyFont="1" applyFill="1"/>
    <xf numFmtId="0" fontId="16" fillId="0" borderId="6744" xfId="0" applyFont="1" applyBorder="1" applyAlignment="1">
      <alignment horizontal="center"/>
    </xf>
    <xf numFmtId="0" fontId="16" fillId="0" borderId="6710" xfId="0" applyFont="1" applyBorder="1" applyAlignment="1">
      <alignment horizontal="center" vertical="center" wrapText="1"/>
    </xf>
    <xf numFmtId="0" fontId="16" fillId="0" borderId="6744" xfId="0" applyFont="1" applyBorder="1" applyAlignment="1">
      <alignment horizontal="center" vertical="center" wrapText="1"/>
    </xf>
    <xf numFmtId="0" fontId="16" fillId="0" borderId="6512" xfId="0" applyFont="1" applyBorder="1" applyAlignment="1">
      <alignment horizontal="center"/>
    </xf>
    <xf numFmtId="0" fontId="16" fillId="0" borderId="5729" xfId="0" applyFont="1" applyBorder="1" applyAlignment="1">
      <alignment horizontal="center"/>
    </xf>
    <xf numFmtId="0" fontId="16" fillId="0" borderId="6455" xfId="0" applyFont="1" applyBorder="1" applyAlignment="1">
      <alignment horizontal="center" vertical="center"/>
    </xf>
    <xf numFmtId="0" fontId="16" fillId="0" borderId="6512" xfId="0" applyFont="1" applyBorder="1" applyAlignment="1">
      <alignment horizontal="center" vertical="center"/>
    </xf>
    <xf numFmtId="0" fontId="16" fillId="0" borderId="6742" xfId="0" applyFont="1" applyBorder="1" applyAlignment="1">
      <alignment horizontal="center" vertical="center"/>
    </xf>
    <xf numFmtId="0" fontId="3" fillId="0" borderId="4" xfId="0" applyFont="1" applyBorder="1" applyAlignment="1">
      <alignment horizontal="center" vertical="center" wrapText="1"/>
    </xf>
    <xf numFmtId="0" fontId="3" fillId="0" borderId="2" xfId="0" applyFont="1" applyBorder="1" applyAlignment="1">
      <alignment horizontal="center" vertical="center" wrapText="1"/>
    </xf>
    <xf numFmtId="0" fontId="3" fillId="0" borderId="20" xfId="0" applyFont="1" applyBorder="1" applyAlignment="1">
      <alignment horizontal="center" vertical="center" wrapText="1"/>
    </xf>
    <xf numFmtId="0" fontId="3" fillId="0" borderId="2" xfId="0" applyFont="1" applyBorder="1" applyAlignment="1">
      <alignment horizontal="center"/>
    </xf>
    <xf numFmtId="0" fontId="3" fillId="0" borderId="5" xfId="0" applyFont="1" applyBorder="1" applyAlignment="1">
      <alignment horizontal="center" vertical="center" wrapText="1"/>
    </xf>
    <xf numFmtId="0" fontId="3" fillId="0" borderId="4" xfId="0" applyFont="1" applyBorder="1" applyAlignment="1">
      <alignment horizontal="left" vertical="center" wrapText="1"/>
    </xf>
    <xf numFmtId="0" fontId="3" fillId="0" borderId="2" xfId="0" applyFont="1" applyBorder="1" applyAlignment="1">
      <alignment horizontal="left" vertical="center" wrapText="1"/>
    </xf>
    <xf numFmtId="0" fontId="3" fillId="0" borderId="4" xfId="0" applyFont="1" applyBorder="1" applyAlignment="1">
      <alignment horizontal="left" vertical="center"/>
    </xf>
    <xf numFmtId="0" fontId="3" fillId="0" borderId="2" xfId="0" applyFont="1" applyBorder="1" applyAlignment="1">
      <alignment horizontal="left" vertical="center"/>
    </xf>
    <xf numFmtId="0" fontId="3" fillId="0" borderId="4" xfId="0" applyFont="1" applyBorder="1" applyAlignment="1">
      <alignment horizontal="center" vertical="center"/>
    </xf>
    <xf numFmtId="0" fontId="3" fillId="0" borderId="2" xfId="0" applyFont="1" applyBorder="1" applyAlignment="1">
      <alignment horizontal="center" vertical="center"/>
    </xf>
    <xf numFmtId="0" fontId="2" fillId="0" borderId="0" xfId="0" applyFont="1" applyAlignment="1">
      <alignment horizontal="center"/>
    </xf>
    <xf numFmtId="0" fontId="0" fillId="0" borderId="0" xfId="0" applyAlignment="1">
      <alignment horizontal="center"/>
    </xf>
    <xf numFmtId="0" fontId="0" fillId="0" borderId="0" xfId="0" applyAlignment="1">
      <alignment horizontal="center" vertical="center"/>
    </xf>
    <xf numFmtId="0" fontId="3" fillId="0" borderId="20" xfId="0" applyFont="1" applyBorder="1" applyAlignment="1">
      <alignment horizontal="center"/>
    </xf>
  </cellXfs>
  <cellStyles count="26">
    <cellStyle name="Comma 2" xfId="15" xr:uid="{00000000-0005-0000-0000-000000000000}"/>
    <cellStyle name="Hyperlink" xfId="23" builtinId="8"/>
    <cellStyle name="Normal" xfId="0" builtinId="0"/>
    <cellStyle name="Normal 10" xfId="19" xr:uid="{00000000-0005-0000-0000-000003000000}"/>
    <cellStyle name="Normal 15" xfId="17" xr:uid="{00000000-0005-0000-0000-000004000000}"/>
    <cellStyle name="Normal 17 2" xfId="8" xr:uid="{00000000-0005-0000-0000-000005000000}"/>
    <cellStyle name="Normal 18" xfId="9" xr:uid="{00000000-0005-0000-0000-000006000000}"/>
    <cellStyle name="Normal 19 2" xfId="4" xr:uid="{00000000-0005-0000-0000-000007000000}"/>
    <cellStyle name="Normal 2" xfId="2" xr:uid="{00000000-0005-0000-0000-000008000000}"/>
    <cellStyle name="Normal 2 2" xfId="22" xr:uid="{00000000-0005-0000-0000-000009000000}"/>
    <cellStyle name="Normal 2 2 2" xfId="21" xr:uid="{00000000-0005-0000-0000-00000A000000}"/>
    <cellStyle name="Normal 2 4" xfId="10" xr:uid="{00000000-0005-0000-0000-00000B000000}"/>
    <cellStyle name="Normal 2 5" xfId="7" xr:uid="{00000000-0005-0000-0000-00000C000000}"/>
    <cellStyle name="Normal 20" xfId="20" xr:uid="{00000000-0005-0000-0000-00000D000000}"/>
    <cellStyle name="Normal 23" xfId="6" xr:uid="{00000000-0005-0000-0000-00000E000000}"/>
    <cellStyle name="Normal 3" xfId="3" xr:uid="{00000000-0005-0000-0000-00000F000000}"/>
    <cellStyle name="Normal 4" xfId="24" xr:uid="{00000000-0005-0000-0000-000010000000}"/>
    <cellStyle name="Normal 5" xfId="5" xr:uid="{00000000-0005-0000-0000-000011000000}"/>
    <cellStyle name="Normal 6" xfId="12" xr:uid="{00000000-0005-0000-0000-000012000000}"/>
    <cellStyle name="Normal 8" xfId="14" xr:uid="{00000000-0005-0000-0000-000013000000}"/>
    <cellStyle name="Normal 9" xfId="18" xr:uid="{00000000-0005-0000-0000-000014000000}"/>
    <cellStyle name="Percent" xfId="1" builtinId="5"/>
    <cellStyle name="Percent 2" xfId="11" xr:uid="{00000000-0005-0000-0000-000016000000}"/>
    <cellStyle name="Percent 3" xfId="25" xr:uid="{00000000-0005-0000-0000-000017000000}"/>
    <cellStyle name="Percent 4" xfId="13" xr:uid="{00000000-0005-0000-0000-000018000000}"/>
    <cellStyle name="Percent 8" xfId="16" xr:uid="{00000000-0005-0000-0000-000019000000}"/>
  </cellStyles>
  <dxfs count="187">
    <dxf>
      <numFmt numFmtId="13" formatCode="0%"/>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13" formatCode="0%"/>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fill>
        <patternFill patternType="solid">
          <bgColor theme="6" tint="0.79995117038483843"/>
        </patternFill>
      </fill>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fill>
        <patternFill>
          <bgColor theme="7" tint="0.79995117038483843"/>
        </patternFill>
      </fill>
    </dxf>
    <dxf>
      <fill>
        <patternFill>
          <bgColor theme="0" tint="-0.14999847407452621"/>
        </patternFill>
      </fill>
    </dxf>
    <dxf>
      <fill>
        <patternFill>
          <fgColor theme="6" tint="0.79995117038483843"/>
        </patternFill>
      </fill>
    </dxf>
    <dxf>
      <numFmt numFmtId="13" formatCode="0%"/>
    </dxf>
    <dxf>
      <fill>
        <patternFill>
          <bgColor theme="0" tint="-0.14999847407452621"/>
        </patternFill>
      </fill>
    </dxf>
    <dxf>
      <fill>
        <patternFill>
          <bgColor theme="6" tint="0.79995117038483843"/>
        </patternFill>
      </fill>
    </dxf>
    <dxf>
      <fill>
        <patternFill>
          <bgColor theme="6" tint="0.79995117038483843"/>
        </patternFill>
      </fill>
    </dxf>
    <dxf>
      <fill>
        <patternFill>
          <bgColor theme="6" tint="0.79995117038483843"/>
        </patternFill>
      </fill>
    </dxf>
    <dxf>
      <fill>
        <patternFill>
          <bgColor theme="6" tint="0.79995117038483843"/>
        </patternFill>
      </fill>
    </dxf>
    <dxf>
      <fill>
        <patternFill>
          <bgColor theme="6" tint="0.79995117038483843"/>
        </patternFill>
      </fill>
    </dxf>
    <dxf>
      <numFmt numFmtId="164" formatCode="0.0"/>
    </dxf>
    <dxf>
      <fill>
        <patternFill patternType="solid">
          <bgColor theme="0" tint="-0.14999847407452621"/>
        </patternFill>
      </fill>
    </dxf>
    <dxf>
      <numFmt numFmtId="3" formatCode="#,##0"/>
    </dxf>
  </dxfs>
  <tableStyles count="0" defaultTableStyle="TableStyleMedium2" defaultPivotStyle="PivotStyleLight16"/>
  <colors>
    <mruColors>
      <color rgb="FFCC66FF"/>
      <color rgb="FF8FC5ED"/>
      <color rgb="FF023E80"/>
      <color rgb="FF72B5E8"/>
      <color rgb="FFD9D9D9"/>
      <color rgb="FF004E70"/>
      <color rgb="FFEAEAEA"/>
      <color rgb="FFE4D3F1"/>
      <color rgb="FF3F6C7C"/>
      <color rgb="FF3494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3.xml"/><Relationship Id="rId47" Type="http://schemas.openxmlformats.org/officeDocument/2006/relationships/sheetMetadata" Target="metadata.xml"/><Relationship Id="rId50"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pivotCacheDefinition" Target="pivotCache/pivotCacheDefinition1.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pivotCacheDefinition" Target="pivotCache/pivotCacheDefinition4.xml"/><Relationship Id="rId48"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image" Target="../media/image1.png"/></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5.xml.rels><?xml version="1.0" encoding="UTF-8" standalone="yes"?>
<Relationships xmlns="http://schemas.openxmlformats.org/package/2006/relationships"><Relationship Id="rId2" Type="http://schemas.openxmlformats.org/officeDocument/2006/relationships/chartUserShapes" Target="../drawings/drawing4.xml"/><Relationship Id="rId1" Type="http://schemas.openxmlformats.org/officeDocument/2006/relationships/image" Target="../media/image1.png"/></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9.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chartUserShapes" Target="../drawings/drawing8.xml"/><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1" Type="http://schemas.openxmlformats.org/officeDocument/2006/relationships/image" Target="../media/image1.png"/></Relationships>
</file>

<file path=xl/charts/_rels/chart1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3.xml"/><Relationship Id="rId1" Type="http://schemas.microsoft.com/office/2011/relationships/chartStyle" Target="style13.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4.xml"/><Relationship Id="rId1" Type="http://schemas.microsoft.com/office/2011/relationships/chartStyle" Target="style14.xml"/></Relationships>
</file>

<file path=xl/charts/_rels/chart2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9.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35.xml"/><Relationship Id="rId1" Type="http://schemas.microsoft.com/office/2011/relationships/chartStyle" Target="style35.xml"/></Relationships>
</file>

<file path=xl/charts/_rels/chart41.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7.xml"/><Relationship Id="rId1" Type="http://schemas.microsoft.com/office/2011/relationships/chartStyle" Target="style37.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8.xml"/><Relationship Id="rId1" Type="http://schemas.microsoft.com/office/2011/relationships/chartStyle" Target="style38.xml"/><Relationship Id="rId4" Type="http://schemas.openxmlformats.org/officeDocument/2006/relationships/chartUserShapes" Target="../drawings/drawing18.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39.xml"/><Relationship Id="rId1" Type="http://schemas.microsoft.com/office/2011/relationships/chartStyle" Target="style39.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40.xml"/><Relationship Id="rId1" Type="http://schemas.microsoft.com/office/2011/relationships/chartStyle" Target="style40.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41.xml"/><Relationship Id="rId1" Type="http://schemas.microsoft.com/office/2011/relationships/chartStyle" Target="style41.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42.xml"/><Relationship Id="rId1" Type="http://schemas.microsoft.com/office/2011/relationships/chartStyle" Target="style42.xml"/></Relationships>
</file>

<file path=xl/charts/_rels/chart48.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44.xml"/><Relationship Id="rId1" Type="http://schemas.microsoft.com/office/2011/relationships/chartStyle" Target="style44.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45.xml"/><Relationship Id="rId1" Type="http://schemas.microsoft.com/office/2011/relationships/chartStyle" Target="style45.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46.xml"/><Relationship Id="rId1" Type="http://schemas.microsoft.com/office/2011/relationships/chartStyle" Target="style46.xml"/></Relationships>
</file>

<file path=xl/charts/_rels/chart52.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3.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28.xml"/><Relationship Id="rId2" Type="http://schemas.microsoft.com/office/2011/relationships/chartColorStyle" Target="colors49.xml"/><Relationship Id="rId1" Type="http://schemas.microsoft.com/office/2011/relationships/chartStyle" Target="style49.xml"/></Relationships>
</file>

<file path=xl/charts/_rels/chart55.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6.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7.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8.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9.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0.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61.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62.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63.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Extreme Poverty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WB_poverty!$L$15</c:f>
              <c:strCache>
                <c:ptCount val="1"/>
                <c:pt idx="0">
                  <c:v>IDB (a)</c:v>
                </c:pt>
              </c:strCache>
            </c:strRef>
          </c:tx>
          <c:spPr>
            <a:ln w="28575" cap="rnd">
              <a:solidFill>
                <a:schemeClr val="accent1"/>
              </a:solidFill>
              <a:round/>
            </a:ln>
            <a:effectLst/>
          </c:spPr>
          <c:marker>
            <c:symbol val="circle"/>
            <c:size val="6"/>
            <c:spPr>
              <a:solidFill>
                <a:schemeClr val="bg1"/>
              </a:solidFill>
              <a:ln w="19050">
                <a:solidFill>
                  <a:schemeClr val="accent1"/>
                </a:solidFill>
              </a:ln>
              <a:effectLst/>
            </c:spPr>
          </c:marker>
          <c:cat>
            <c:strRef>
              <c:f>WB_poverty!$D$16:$D$33</c:f>
              <c:strCache>
                <c:ptCount val="18"/>
                <c:pt idx="0">
                  <c:v>VEN</c:v>
                </c:pt>
                <c:pt idx="1">
                  <c:v>HND</c:v>
                </c:pt>
                <c:pt idx="2">
                  <c:v>GTM</c:v>
                </c:pt>
                <c:pt idx="3">
                  <c:v>GUY</c:v>
                </c:pt>
                <c:pt idx="4">
                  <c:v>BRA</c:v>
                </c:pt>
                <c:pt idx="5">
                  <c:v>COL</c:v>
                </c:pt>
                <c:pt idx="6">
                  <c:v>ECU</c:v>
                </c:pt>
                <c:pt idx="7">
                  <c:v>SLV</c:v>
                </c:pt>
                <c:pt idx="8">
                  <c:v>PRY</c:v>
                </c:pt>
                <c:pt idx="9">
                  <c:v>BOL</c:v>
                </c:pt>
                <c:pt idx="10">
                  <c:v>PAN</c:v>
                </c:pt>
                <c:pt idx="11">
                  <c:v>MEX</c:v>
                </c:pt>
                <c:pt idx="12">
                  <c:v>PER</c:v>
                </c:pt>
                <c:pt idx="13">
                  <c:v>DOM</c:v>
                </c:pt>
                <c:pt idx="14">
                  <c:v>CRI</c:v>
                </c:pt>
                <c:pt idx="15">
                  <c:v>ARG</c:v>
                </c:pt>
                <c:pt idx="16">
                  <c:v>URY</c:v>
                </c:pt>
                <c:pt idx="17">
                  <c:v>CHL</c:v>
                </c:pt>
              </c:strCache>
            </c:strRef>
          </c:cat>
          <c:val>
            <c:numRef>
              <c:f>WB_poverty!$L$16:$L$33</c:f>
              <c:numCache>
                <c:formatCode>0</c:formatCode>
                <c:ptCount val="18"/>
                <c:pt idx="0">
                  <c:v>53.867767333984375</c:v>
                </c:pt>
                <c:pt idx="1">
                  <c:v>35.109729766845703</c:v>
                </c:pt>
                <c:pt idx="2">
                  <c:v>31.91087532043457</c:v>
                </c:pt>
                <c:pt idx="3">
                  <c:v>31.99846076965332</c:v>
                </c:pt>
                <c:pt idx="4">
                  <c:v>10.865315437316895</c:v>
                </c:pt>
                <c:pt idx="5">
                  <c:v>19.512697219848633</c:v>
                </c:pt>
                <c:pt idx="6">
                  <c:v>15.846808433532715</c:v>
                </c:pt>
                <c:pt idx="7">
                  <c:v>15.566752433776855</c:v>
                </c:pt>
                <c:pt idx="8">
                  <c:v>12.367045402526855</c:v>
                </c:pt>
                <c:pt idx="9">
                  <c:v>9.1588373184204102</c:v>
                </c:pt>
                <c:pt idx="10">
                  <c:v>8.9458808898925781</c:v>
                </c:pt>
                <c:pt idx="11">
                  <c:v>10.268985748291016</c:v>
                </c:pt>
                <c:pt idx="12">
                  <c:v>12.462396621704102</c:v>
                </c:pt>
                <c:pt idx="13">
                  <c:v>9.0519723892211914</c:v>
                </c:pt>
                <c:pt idx="14">
                  <c:v>6.5896177291870117</c:v>
                </c:pt>
                <c:pt idx="15">
                  <c:v>8.1207027435302734</c:v>
                </c:pt>
                <c:pt idx="16">
                  <c:v>3.9979178905487061</c:v>
                </c:pt>
                <c:pt idx="17">
                  <c:v>3.2169833183288574</c:v>
                </c:pt>
              </c:numCache>
            </c:numRef>
          </c:val>
          <c:smooth val="0"/>
          <c:extLst>
            <c:ext xmlns:c16="http://schemas.microsoft.com/office/drawing/2014/chart" uri="{C3380CC4-5D6E-409C-BE32-E72D297353CC}">
              <c16:uniqueId val="{00000000-C91F-45FE-BB41-99EB7D27BAFE}"/>
            </c:ext>
          </c:extLst>
        </c:ser>
        <c:ser>
          <c:idx val="1"/>
          <c:order val="1"/>
          <c:tx>
            <c:strRef>
              <c:f>WB_poverty!$M$15</c:f>
              <c:strCache>
                <c:ptCount val="1"/>
                <c:pt idx="0">
                  <c:v>WB (b)</c:v>
                </c:pt>
              </c:strCache>
            </c:strRef>
          </c:tx>
          <c:spPr>
            <a:ln w="28575" cap="rnd">
              <a:solidFill>
                <a:srgbClr val="CC66FF"/>
              </a:solidFill>
              <a:round/>
            </a:ln>
            <a:effectLst/>
          </c:spPr>
          <c:marker>
            <c:symbol val="circle"/>
            <c:size val="5"/>
            <c:spPr>
              <a:solidFill>
                <a:srgbClr val="BD92DE"/>
              </a:solidFill>
              <a:ln w="28575">
                <a:solidFill>
                  <a:srgbClr val="CC66FF"/>
                </a:solidFill>
              </a:ln>
              <a:effectLst/>
            </c:spPr>
          </c:marker>
          <c:cat>
            <c:strRef>
              <c:f>WB_poverty!$D$16:$D$33</c:f>
              <c:strCache>
                <c:ptCount val="18"/>
                <c:pt idx="0">
                  <c:v>VEN</c:v>
                </c:pt>
                <c:pt idx="1">
                  <c:v>HND</c:v>
                </c:pt>
                <c:pt idx="2">
                  <c:v>GTM</c:v>
                </c:pt>
                <c:pt idx="3">
                  <c:v>GUY</c:v>
                </c:pt>
                <c:pt idx="4">
                  <c:v>BRA</c:v>
                </c:pt>
                <c:pt idx="5">
                  <c:v>COL</c:v>
                </c:pt>
                <c:pt idx="6">
                  <c:v>ECU</c:v>
                </c:pt>
                <c:pt idx="7">
                  <c:v>SLV</c:v>
                </c:pt>
                <c:pt idx="8">
                  <c:v>PRY</c:v>
                </c:pt>
                <c:pt idx="9">
                  <c:v>BOL</c:v>
                </c:pt>
                <c:pt idx="10">
                  <c:v>PAN</c:v>
                </c:pt>
                <c:pt idx="11">
                  <c:v>MEX</c:v>
                </c:pt>
                <c:pt idx="12">
                  <c:v>PER</c:v>
                </c:pt>
                <c:pt idx="13">
                  <c:v>DOM</c:v>
                </c:pt>
                <c:pt idx="14">
                  <c:v>CRI</c:v>
                </c:pt>
                <c:pt idx="15">
                  <c:v>ARG</c:v>
                </c:pt>
                <c:pt idx="16">
                  <c:v>URY</c:v>
                </c:pt>
                <c:pt idx="17">
                  <c:v>CHL</c:v>
                </c:pt>
              </c:strCache>
            </c:strRef>
          </c:cat>
          <c:val>
            <c:numRef>
              <c:f>WB_poverty!$M$16:$M$33</c:f>
              <c:numCache>
                <c:formatCode>0</c:formatCode>
                <c:ptCount val="18"/>
                <c:pt idx="0">
                  <c:v>15.481729507446291</c:v>
                </c:pt>
                <c:pt idx="1">
                  <c:v>26.427959442138668</c:v>
                </c:pt>
                <c:pt idx="2">
                  <c:v>25.860233306884769</c:v>
                </c:pt>
                <c:pt idx="3">
                  <c:v>24.88643646240234</c:v>
                </c:pt>
                <c:pt idx="4">
                  <c:v>8.415013313293457</c:v>
                </c:pt>
                <c:pt idx="5">
                  <c:v>14.04505443572998</c:v>
                </c:pt>
                <c:pt idx="6">
                  <c:v>9.4800472259521484</c:v>
                </c:pt>
                <c:pt idx="7">
                  <c:v>8.6418218612670898</c:v>
                </c:pt>
                <c:pt idx="8">
                  <c:v>5.6085600852966309</c:v>
                </c:pt>
                <c:pt idx="9">
                  <c:v>5.4037213325500488</c:v>
                </c:pt>
                <c:pt idx="10">
                  <c:v>4.4063611030578613</c:v>
                </c:pt>
                <c:pt idx="11">
                  <c:v>4.691251277923584</c:v>
                </c:pt>
                <c:pt idx="12">
                  <c:v>9.4852790832519531</c:v>
                </c:pt>
                <c:pt idx="13">
                  <c:v>4.3445672988891602</c:v>
                </c:pt>
                <c:pt idx="14">
                  <c:v>3.323236227035522</c:v>
                </c:pt>
                <c:pt idx="15">
                  <c:v>2.5446944236755371</c:v>
                </c:pt>
                <c:pt idx="16">
                  <c:v>0.76119136810302734</c:v>
                </c:pt>
                <c:pt idx="17">
                  <c:v>0.87062406539916992</c:v>
                </c:pt>
              </c:numCache>
            </c:numRef>
          </c:val>
          <c:smooth val="0"/>
          <c:extLst>
            <c:ext xmlns:c16="http://schemas.microsoft.com/office/drawing/2014/chart" uri="{C3380CC4-5D6E-409C-BE32-E72D297353CC}">
              <c16:uniqueId val="{00000001-C91F-45FE-BB41-99EB7D27BAFE}"/>
            </c:ext>
          </c:extLst>
        </c:ser>
        <c:ser>
          <c:idx val="2"/>
          <c:order val="2"/>
          <c:tx>
            <c:strRef>
              <c:f>WB_poverty!$AE$15</c:f>
              <c:strCache>
                <c:ptCount val="1"/>
                <c:pt idx="0">
                  <c:v>ECLAC (b)</c:v>
                </c:pt>
              </c:strCache>
            </c:strRef>
          </c:tx>
          <c:spPr>
            <a:ln w="28575" cap="rnd">
              <a:solidFill>
                <a:schemeClr val="accent3"/>
              </a:solidFill>
              <a:round/>
            </a:ln>
            <a:effectLst/>
          </c:spPr>
          <c:marker>
            <c:symbol val="circle"/>
            <c:size val="5"/>
            <c:spPr>
              <a:solidFill>
                <a:schemeClr val="tx1"/>
              </a:solidFill>
              <a:ln w="9525">
                <a:noFill/>
              </a:ln>
              <a:effectLst/>
            </c:spPr>
          </c:marker>
          <c:val>
            <c:numRef>
              <c:f>WB_poverty!$AD$16:$AD$33</c:f>
              <c:numCache>
                <c:formatCode>0</c:formatCode>
                <c:ptCount val="18"/>
                <c:pt idx="0">
                  <c:v>53.867767333984375</c:v>
                </c:pt>
                <c:pt idx="1">
                  <c:v>35.109729766845703</c:v>
                </c:pt>
                <c:pt idx="2">
                  <c:v>31.91087532043457</c:v>
                </c:pt>
                <c:pt idx="3">
                  <c:v>31.99846076965332</c:v>
                </c:pt>
                <c:pt idx="4">
                  <c:v>10.865315437316895</c:v>
                </c:pt>
                <c:pt idx="5">
                  <c:v>19.512697219848633</c:v>
                </c:pt>
                <c:pt idx="6">
                  <c:v>15.846808433532715</c:v>
                </c:pt>
                <c:pt idx="7">
                  <c:v>15.566752433776855</c:v>
                </c:pt>
                <c:pt idx="8">
                  <c:v>12.367045402526855</c:v>
                </c:pt>
                <c:pt idx="9">
                  <c:v>9.1588373184204102</c:v>
                </c:pt>
                <c:pt idx="10">
                  <c:v>8.9458808898925781</c:v>
                </c:pt>
                <c:pt idx="11">
                  <c:v>10.268985748291016</c:v>
                </c:pt>
                <c:pt idx="12">
                  <c:v>12.462396621704102</c:v>
                </c:pt>
                <c:pt idx="13">
                  <c:v>9.0519723892211914</c:v>
                </c:pt>
                <c:pt idx="14">
                  <c:v>6.5896177291870117</c:v>
                </c:pt>
                <c:pt idx="15">
                  <c:v>8.1207027435302734</c:v>
                </c:pt>
                <c:pt idx="16">
                  <c:v>3.9979178905487061</c:v>
                </c:pt>
                <c:pt idx="17">
                  <c:v>3.2169833183288574</c:v>
                </c:pt>
              </c:numCache>
            </c:numRef>
          </c:val>
          <c:smooth val="0"/>
          <c:extLst>
            <c:ext xmlns:c16="http://schemas.microsoft.com/office/drawing/2014/chart" uri="{C3380CC4-5D6E-409C-BE32-E72D297353CC}">
              <c16:uniqueId val="{00000000-6326-46CA-BA96-51A5D86C3117}"/>
            </c:ext>
          </c:extLst>
        </c:ser>
        <c:dLbls>
          <c:showLegendKey val="0"/>
          <c:showVal val="0"/>
          <c:showCatName val="0"/>
          <c:showSerName val="0"/>
          <c:showPercent val="0"/>
          <c:showBubbleSize val="0"/>
        </c:dLbls>
        <c:marker val="1"/>
        <c:smooth val="0"/>
        <c:axId val="475913968"/>
        <c:axId val="475915888"/>
      </c:lineChart>
      <c:catAx>
        <c:axId val="47591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915888"/>
        <c:crosses val="autoZero"/>
        <c:auto val="1"/>
        <c:lblAlgn val="ctr"/>
        <c:lblOffset val="100"/>
        <c:noMultiLvlLbl val="0"/>
      </c:catAx>
      <c:valAx>
        <c:axId val="475915888"/>
        <c:scaling>
          <c:orientation val="minMax"/>
          <c:max val="100"/>
        </c:scaling>
        <c:delete val="0"/>
        <c:axPos val="l"/>
        <c:majorGridlines>
          <c:spPr>
            <a:ln w="9525" cap="flat" cmpd="sng" algn="ctr">
              <a:solidFill>
                <a:schemeClr val="tx1">
                  <a:lumMod val="15000"/>
                  <a:lumOff val="85000"/>
                </a:schemeClr>
              </a:solidFill>
              <a:prstDash val="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913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Poverty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WB_poverty!$P$15</c:f>
              <c:strCache>
                <c:ptCount val="1"/>
                <c:pt idx="0">
                  <c:v>IDB (a)</c:v>
                </c:pt>
              </c:strCache>
            </c:strRef>
          </c:tx>
          <c:spPr>
            <a:ln w="28575" cap="rnd">
              <a:solidFill>
                <a:schemeClr val="accent1"/>
              </a:solidFill>
              <a:round/>
            </a:ln>
            <a:effectLst/>
          </c:spPr>
          <c:marker>
            <c:symbol val="circle"/>
            <c:size val="6"/>
            <c:spPr>
              <a:solidFill>
                <a:schemeClr val="bg1"/>
              </a:solidFill>
              <a:ln w="19050">
                <a:solidFill>
                  <a:schemeClr val="accent1"/>
                </a:solidFill>
              </a:ln>
              <a:effectLst/>
            </c:spPr>
          </c:marker>
          <c:cat>
            <c:strRef>
              <c:f>WB_poverty!$A$16:$A$36</c:f>
              <c:strCache>
                <c:ptCount val="18"/>
                <c:pt idx="0">
                  <c:v>*VEN</c:v>
                </c:pt>
                <c:pt idx="1">
                  <c:v>* HND</c:v>
                </c:pt>
                <c:pt idx="2">
                  <c:v>* GTM</c:v>
                </c:pt>
                <c:pt idx="3">
                  <c:v>GUY</c:v>
                </c:pt>
                <c:pt idx="4">
                  <c:v>* BRA</c:v>
                </c:pt>
                <c:pt idx="5">
                  <c:v>* COL</c:v>
                </c:pt>
                <c:pt idx="6">
                  <c:v>* ECU</c:v>
                </c:pt>
                <c:pt idx="7">
                  <c:v>* SLV</c:v>
                </c:pt>
                <c:pt idx="8">
                  <c:v>* PRY</c:v>
                </c:pt>
                <c:pt idx="9">
                  <c:v>* BOL</c:v>
                </c:pt>
                <c:pt idx="10">
                  <c:v>* PAN</c:v>
                </c:pt>
                <c:pt idx="11">
                  <c:v>* MEX</c:v>
                </c:pt>
                <c:pt idx="12">
                  <c:v>* PER</c:v>
                </c:pt>
                <c:pt idx="13">
                  <c:v>* DOM</c:v>
                </c:pt>
                <c:pt idx="14">
                  <c:v>* CRI</c:v>
                </c:pt>
                <c:pt idx="15">
                  <c:v>* ARG</c:v>
                </c:pt>
                <c:pt idx="16">
                  <c:v>* URY</c:v>
                </c:pt>
                <c:pt idx="17">
                  <c:v>* CHL</c:v>
                </c:pt>
              </c:strCache>
            </c:strRef>
          </c:cat>
          <c:val>
            <c:numRef>
              <c:f>WB_poverty!$P$16:$P$33</c:f>
              <c:numCache>
                <c:formatCode>0</c:formatCode>
                <c:ptCount val="18"/>
                <c:pt idx="0">
                  <c:v>71.004470825195313</c:v>
                </c:pt>
                <c:pt idx="1">
                  <c:v>60.174953460693359</c:v>
                </c:pt>
                <c:pt idx="2">
                  <c:v>55.366111755371094</c:v>
                </c:pt>
                <c:pt idx="3">
                  <c:v>57.939888000488281</c:v>
                </c:pt>
                <c:pt idx="4">
                  <c:v>29.435735702514648</c:v>
                </c:pt>
                <c:pt idx="5">
                  <c:v>41.222324371337891</c:v>
                </c:pt>
                <c:pt idx="6">
                  <c:v>40.369815826416016</c:v>
                </c:pt>
                <c:pt idx="7">
                  <c:v>38.657855987548828</c:v>
                </c:pt>
                <c:pt idx="8">
                  <c:v>31.323837280273438</c:v>
                </c:pt>
                <c:pt idx="9">
                  <c:v>21.749509811401367</c:v>
                </c:pt>
                <c:pt idx="10">
                  <c:v>19.437280654907227</c:v>
                </c:pt>
                <c:pt idx="11">
                  <c:v>31.975204467773438</c:v>
                </c:pt>
                <c:pt idx="12">
                  <c:v>37.667442321777344</c:v>
                </c:pt>
                <c:pt idx="13">
                  <c:v>29.323764801025391</c:v>
                </c:pt>
                <c:pt idx="14">
                  <c:v>20.874841690063477</c:v>
                </c:pt>
                <c:pt idx="15">
                  <c:v>20.98236083984375</c:v>
                </c:pt>
                <c:pt idx="16">
                  <c:v>14.31268310546875</c:v>
                </c:pt>
                <c:pt idx="17">
                  <c:v>11.219173431396484</c:v>
                </c:pt>
              </c:numCache>
            </c:numRef>
          </c:val>
          <c:smooth val="0"/>
          <c:extLst>
            <c:ext xmlns:c16="http://schemas.microsoft.com/office/drawing/2014/chart" uri="{C3380CC4-5D6E-409C-BE32-E72D297353CC}">
              <c16:uniqueId val="{00000000-C91F-45FE-BB41-99EB7D27BAFE}"/>
            </c:ext>
          </c:extLst>
        </c:ser>
        <c:ser>
          <c:idx val="1"/>
          <c:order val="1"/>
          <c:tx>
            <c:strRef>
              <c:f>WB_poverty!$Q$15</c:f>
              <c:strCache>
                <c:ptCount val="1"/>
                <c:pt idx="0">
                  <c:v>WB (b)</c:v>
                </c:pt>
              </c:strCache>
            </c:strRef>
          </c:tx>
          <c:spPr>
            <a:ln w="28575" cap="rnd">
              <a:solidFill>
                <a:srgbClr val="CC66FF"/>
              </a:solidFill>
              <a:round/>
            </a:ln>
            <a:effectLst/>
          </c:spPr>
          <c:marker>
            <c:symbol val="circle"/>
            <c:size val="5"/>
            <c:spPr>
              <a:solidFill>
                <a:sysClr val="window" lastClr="FFFFFF"/>
              </a:solidFill>
              <a:ln w="28575">
                <a:solidFill>
                  <a:srgbClr val="CC66FF"/>
                </a:solidFill>
              </a:ln>
              <a:effectLst/>
            </c:spPr>
          </c:marker>
          <c:cat>
            <c:strRef>
              <c:f>WB_poverty!$A$16:$A$36</c:f>
              <c:strCache>
                <c:ptCount val="18"/>
                <c:pt idx="0">
                  <c:v>*VEN</c:v>
                </c:pt>
                <c:pt idx="1">
                  <c:v>* HND</c:v>
                </c:pt>
                <c:pt idx="2">
                  <c:v>* GTM</c:v>
                </c:pt>
                <c:pt idx="3">
                  <c:v>GUY</c:v>
                </c:pt>
                <c:pt idx="4">
                  <c:v>* BRA</c:v>
                </c:pt>
                <c:pt idx="5">
                  <c:v>* COL</c:v>
                </c:pt>
                <c:pt idx="6">
                  <c:v>* ECU</c:v>
                </c:pt>
                <c:pt idx="7">
                  <c:v>* SLV</c:v>
                </c:pt>
                <c:pt idx="8">
                  <c:v>* PRY</c:v>
                </c:pt>
                <c:pt idx="9">
                  <c:v>* BOL</c:v>
                </c:pt>
                <c:pt idx="10">
                  <c:v>* PAN</c:v>
                </c:pt>
                <c:pt idx="11">
                  <c:v>* MEX</c:v>
                </c:pt>
                <c:pt idx="12">
                  <c:v>* PER</c:v>
                </c:pt>
                <c:pt idx="13">
                  <c:v>* DOM</c:v>
                </c:pt>
                <c:pt idx="14">
                  <c:v>* CRI</c:v>
                </c:pt>
                <c:pt idx="15">
                  <c:v>* ARG</c:v>
                </c:pt>
                <c:pt idx="16">
                  <c:v>* URY</c:v>
                </c:pt>
                <c:pt idx="17">
                  <c:v>* CHL</c:v>
                </c:pt>
              </c:strCache>
            </c:strRef>
          </c:cat>
          <c:val>
            <c:numRef>
              <c:f>WB_poverty!$Q$16:$Q$33</c:f>
              <c:numCache>
                <c:formatCode>0</c:formatCode>
                <c:ptCount val="18"/>
                <c:pt idx="0">
                  <c:v>38.818126678466797</c:v>
                </c:pt>
                <c:pt idx="1">
                  <c:v>49.544521331787109</c:v>
                </c:pt>
                <c:pt idx="2">
                  <c:v>55.400352478027337</c:v>
                </c:pt>
                <c:pt idx="3">
                  <c:v>56.56500244140625</c:v>
                </c:pt>
                <c:pt idx="4">
                  <c:v>23.458377838134769</c:v>
                </c:pt>
                <c:pt idx="5">
                  <c:v>34.785388946533203</c:v>
                </c:pt>
                <c:pt idx="6">
                  <c:v>29.931489944458011</c:v>
                </c:pt>
                <c:pt idx="7">
                  <c:v>27.488307952880859</c:v>
                </c:pt>
                <c:pt idx="8">
                  <c:v>19.904827117919918</c:v>
                </c:pt>
                <c:pt idx="9">
                  <c:v>15.183597564697269</c:v>
                </c:pt>
                <c:pt idx="10">
                  <c:v>12.941328048706049</c:v>
                </c:pt>
                <c:pt idx="11">
                  <c:v>21.77182579040527</c:v>
                </c:pt>
                <c:pt idx="12">
                  <c:v>32.223312377929688</c:v>
                </c:pt>
                <c:pt idx="13">
                  <c:v>23.22365570068359</c:v>
                </c:pt>
                <c:pt idx="14">
                  <c:v>14.052096366882321</c:v>
                </c:pt>
                <c:pt idx="15">
                  <c:v>10.907662391662599</c:v>
                </c:pt>
                <c:pt idx="16">
                  <c:v>6.4274005889892578</c:v>
                </c:pt>
                <c:pt idx="17">
                  <c:v>4.7181735038757324</c:v>
                </c:pt>
              </c:numCache>
            </c:numRef>
          </c:val>
          <c:smooth val="0"/>
          <c:extLst>
            <c:ext xmlns:c16="http://schemas.microsoft.com/office/drawing/2014/chart" uri="{C3380CC4-5D6E-409C-BE32-E72D297353CC}">
              <c16:uniqueId val="{00000001-C91F-45FE-BB41-99EB7D27BAFE}"/>
            </c:ext>
          </c:extLst>
        </c:ser>
        <c:dLbls>
          <c:showLegendKey val="0"/>
          <c:showVal val="0"/>
          <c:showCatName val="0"/>
          <c:showSerName val="0"/>
          <c:showPercent val="0"/>
          <c:showBubbleSize val="0"/>
        </c:dLbls>
        <c:marker val="1"/>
        <c:smooth val="0"/>
        <c:axId val="475913968"/>
        <c:axId val="475915888"/>
      </c:lineChart>
      <c:catAx>
        <c:axId val="47591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915888"/>
        <c:crosses val="autoZero"/>
        <c:auto val="1"/>
        <c:lblAlgn val="ctr"/>
        <c:lblOffset val="100"/>
        <c:noMultiLvlLbl val="0"/>
      </c:catAx>
      <c:valAx>
        <c:axId val="475915888"/>
        <c:scaling>
          <c:orientation val="minMax"/>
          <c:max val="100"/>
        </c:scaling>
        <c:delete val="0"/>
        <c:axPos val="l"/>
        <c:majorGridlines>
          <c:spPr>
            <a:ln w="9525" cap="flat" cmpd="sng" algn="ctr">
              <a:solidFill>
                <a:schemeClr val="tx1">
                  <a:lumMod val="15000"/>
                  <a:lumOff val="85000"/>
                </a:schemeClr>
              </a:solidFill>
              <a:prstDash val="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913968"/>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7A5DF"/>
            </a:solidFill>
            <a:ln>
              <a:noFill/>
            </a:ln>
            <a:effectLst/>
          </c:spPr>
          <c:invertIfNegative val="0"/>
          <c:cat>
            <c:strRef>
              <c:f>Fact1_2!$D$88:$D$109</c:f>
              <c:strCache>
                <c:ptCount val="21"/>
                <c:pt idx="0">
                  <c:v>VEN</c:v>
                </c:pt>
                <c:pt idx="1">
                  <c:v>HND</c:v>
                </c:pt>
                <c:pt idx="2">
                  <c:v>GUY</c:v>
                </c:pt>
                <c:pt idx="3">
                  <c:v>GTM</c:v>
                </c:pt>
                <c:pt idx="4">
                  <c:v>COL</c:v>
                </c:pt>
                <c:pt idx="5">
                  <c:v>ECU</c:v>
                </c:pt>
                <c:pt idx="6">
                  <c:v>SLV</c:v>
                </c:pt>
                <c:pt idx="7">
                  <c:v>PER</c:v>
                </c:pt>
                <c:pt idx="8">
                  <c:v>PRY</c:v>
                </c:pt>
                <c:pt idx="9">
                  <c:v>BRA</c:v>
                </c:pt>
                <c:pt idx="10">
                  <c:v>MEX</c:v>
                </c:pt>
                <c:pt idx="11">
                  <c:v>BOL</c:v>
                </c:pt>
                <c:pt idx="12">
                  <c:v>DOM</c:v>
                </c:pt>
                <c:pt idx="13">
                  <c:v>PAN</c:v>
                </c:pt>
                <c:pt idx="14">
                  <c:v>ARG</c:v>
                </c:pt>
                <c:pt idx="15">
                  <c:v>CRI</c:v>
                </c:pt>
                <c:pt idx="16">
                  <c:v>URY</c:v>
                </c:pt>
                <c:pt idx="17">
                  <c:v>CHL</c:v>
                </c:pt>
                <c:pt idx="19">
                  <c:v>LAC</c:v>
                </c:pt>
                <c:pt idx="20">
                  <c:v>OECD</c:v>
                </c:pt>
              </c:strCache>
            </c:strRef>
          </c:cat>
          <c:val>
            <c:numRef>
              <c:f>Fact1_2!$E$88:$E$109</c:f>
              <c:numCache>
                <c:formatCode>0</c:formatCode>
                <c:ptCount val="22"/>
                <c:pt idx="0">
                  <c:v>53.867767333984375</c:v>
                </c:pt>
                <c:pt idx="1">
                  <c:v>35.109729766845703</c:v>
                </c:pt>
                <c:pt idx="2">
                  <c:v>31.99846076965332</c:v>
                </c:pt>
                <c:pt idx="3">
                  <c:v>31.91087532043457</c:v>
                </c:pt>
                <c:pt idx="4">
                  <c:v>19.512697219848633</c:v>
                </c:pt>
                <c:pt idx="5">
                  <c:v>15.846808433532715</c:v>
                </c:pt>
                <c:pt idx="6">
                  <c:v>15.566752433776855</c:v>
                </c:pt>
                <c:pt idx="7">
                  <c:v>12.462396621704102</c:v>
                </c:pt>
                <c:pt idx="8">
                  <c:v>12.367045402526855</c:v>
                </c:pt>
                <c:pt idx="9">
                  <c:v>10.865315437316895</c:v>
                </c:pt>
                <c:pt idx="10">
                  <c:v>10.268985748291016</c:v>
                </c:pt>
                <c:pt idx="11">
                  <c:v>9.1588373184204102</c:v>
                </c:pt>
                <c:pt idx="12">
                  <c:v>9.0519723892211914</c:v>
                </c:pt>
                <c:pt idx="13">
                  <c:v>8.9458808898925781</c:v>
                </c:pt>
                <c:pt idx="14">
                  <c:v>8.1207027435302734</c:v>
                </c:pt>
                <c:pt idx="15">
                  <c:v>6.5896177291870117</c:v>
                </c:pt>
                <c:pt idx="16">
                  <c:v>3.9979178905487061</c:v>
                </c:pt>
                <c:pt idx="17">
                  <c:v>3.2169833183288574</c:v>
                </c:pt>
                <c:pt idx="19">
                  <c:v>14.206571375766352</c:v>
                </c:pt>
                <c:pt idx="20">
                  <c:v>1.504975490560732</c:v>
                </c:pt>
              </c:numCache>
            </c:numRef>
          </c:val>
          <c:extLst>
            <c:ext xmlns:c16="http://schemas.microsoft.com/office/drawing/2014/chart" uri="{C3380CC4-5D6E-409C-BE32-E72D297353CC}">
              <c16:uniqueId val="{00000000-9CC9-4074-8946-7863B2F28A82}"/>
            </c:ext>
          </c:extLst>
        </c:ser>
        <c:dLbls>
          <c:showLegendKey val="0"/>
          <c:showVal val="0"/>
          <c:showCatName val="0"/>
          <c:showSerName val="0"/>
          <c:showPercent val="0"/>
          <c:showBubbleSize val="0"/>
        </c:dLbls>
        <c:gapWidth val="54"/>
        <c:overlap val="100"/>
        <c:axId val="626367008"/>
        <c:axId val="625661520"/>
      </c:barChart>
      <c:lineChart>
        <c:grouping val="standard"/>
        <c:varyColors val="0"/>
        <c:ser>
          <c:idx val="1"/>
          <c:order val="1"/>
          <c:tx>
            <c:strRef>
              <c:f>Fact1_2!$C$88:$C$109</c:f>
              <c:strCache>
                <c:ptCount val="22"/>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9">
                  <c:v>-6</c:v>
                </c:pt>
                <c:pt idx="20">
                  <c:v>-6</c:v>
                </c:pt>
              </c:strCache>
            </c:strRef>
          </c:tx>
          <c:spPr>
            <a:ln w="28575" cap="rnd">
              <a:noFill/>
              <a:round/>
            </a:ln>
            <a:effectLst/>
          </c:spPr>
          <c:marker>
            <c:symbol val="picture"/>
            <c:spPr>
              <a:blipFill>
                <a:blip xmlns:r="http://schemas.openxmlformats.org/officeDocument/2006/relationships" r:embed="rId1"/>
                <a:stretch>
                  <a:fillRect/>
                </a:stretch>
              </a:blipFill>
              <a:ln w="25400">
                <a:noFill/>
              </a:ln>
              <a:effectLst/>
            </c:spPr>
          </c:marker>
          <c:cat>
            <c:strRef>
              <c:f>'1bAnexo'!$P$5:$P$28</c:f>
              <c:strCache>
                <c:ptCount val="24"/>
                <c:pt idx="0">
                  <c:v>BRA</c:v>
                </c:pt>
                <c:pt idx="1">
                  <c:v>VEN</c:v>
                </c:pt>
                <c:pt idx="2">
                  <c:v>MEX</c:v>
                </c:pt>
                <c:pt idx="3">
                  <c:v>COL</c:v>
                </c:pt>
                <c:pt idx="4">
                  <c:v>GTM</c:v>
                </c:pt>
                <c:pt idx="5">
                  <c:v>HND</c:v>
                </c:pt>
                <c:pt idx="6">
                  <c:v>PER</c:v>
                </c:pt>
                <c:pt idx="7">
                  <c:v>ECU</c:v>
                </c:pt>
                <c:pt idx="8">
                  <c:v>ARG</c:v>
                </c:pt>
                <c:pt idx="9">
                  <c:v>NIC</c:v>
                </c:pt>
                <c:pt idx="10">
                  <c:v>JAM</c:v>
                </c:pt>
                <c:pt idx="11">
                  <c:v>BOL</c:v>
                </c:pt>
                <c:pt idx="12">
                  <c:v>DOM</c:v>
                </c:pt>
                <c:pt idx="13">
                  <c:v>SLV</c:v>
                </c:pt>
                <c:pt idx="14">
                  <c:v>PRY</c:v>
                </c:pt>
                <c:pt idx="15">
                  <c:v>CHL</c:v>
                </c:pt>
                <c:pt idx="16">
                  <c:v>PAN</c:v>
                </c:pt>
                <c:pt idx="17">
                  <c:v>CRI</c:v>
                </c:pt>
                <c:pt idx="18">
                  <c:v>GUY</c:v>
                </c:pt>
                <c:pt idx="19">
                  <c:v>URY</c:v>
                </c:pt>
                <c:pt idx="20">
                  <c:v>TTO</c:v>
                </c:pt>
                <c:pt idx="21">
                  <c:v>BLZ</c:v>
                </c:pt>
                <c:pt idx="22">
                  <c:v>BHS</c:v>
                </c:pt>
                <c:pt idx="23">
                  <c:v>BRB</c:v>
                </c:pt>
              </c:strCache>
            </c:strRef>
          </c:cat>
          <c:val>
            <c:numRef>
              <c:f>Fact1_2!$C$88:$C$109</c:f>
              <c:numCache>
                <c:formatCode>General</c:formatCode>
                <c:ptCount val="22"/>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9">
                  <c:v>-6</c:v>
                </c:pt>
                <c:pt idx="20">
                  <c:v>-6</c:v>
                </c:pt>
              </c:numCache>
            </c:numRef>
          </c:val>
          <c:smooth val="0"/>
          <c:extLst>
            <c:ext xmlns:c16="http://schemas.microsoft.com/office/drawing/2014/chart" uri="{C3380CC4-5D6E-409C-BE32-E72D297353CC}">
              <c16:uniqueId val="{00000001-9CC9-4074-8946-7863B2F28A82}"/>
            </c:ext>
          </c:extLst>
        </c:ser>
        <c:ser>
          <c:idx val="2"/>
          <c:order val="2"/>
          <c:tx>
            <c:v>Lac</c:v>
          </c:tx>
          <c:spPr>
            <a:ln w="38100">
              <a:noFill/>
            </a:ln>
          </c:spPr>
          <c:marker>
            <c:symbol val="none"/>
          </c:marker>
          <c:val>
            <c:numRef>
              <c:f>Fact1_2!$F$88:$F$109</c:f>
              <c:numCache>
                <c:formatCode>0</c:formatCode>
                <c:ptCount val="22"/>
              </c:numCache>
            </c:numRef>
          </c:val>
          <c:smooth val="0"/>
          <c:extLst>
            <c:ext xmlns:c16="http://schemas.microsoft.com/office/drawing/2014/chart" uri="{C3380CC4-5D6E-409C-BE32-E72D297353CC}">
              <c16:uniqueId val="{00000002-9CC9-4074-8946-7863B2F28A82}"/>
            </c:ext>
          </c:extLst>
        </c:ser>
        <c:dLbls>
          <c:showLegendKey val="0"/>
          <c:showVal val="0"/>
          <c:showCatName val="0"/>
          <c:showSerName val="0"/>
          <c:showPercent val="0"/>
          <c:showBubbleSize val="0"/>
        </c:dLbls>
        <c:marker val="1"/>
        <c:smooth val="0"/>
        <c:axId val="626367008"/>
        <c:axId val="625661520"/>
      </c:lineChart>
      <c:catAx>
        <c:axId val="62636700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661520"/>
        <c:crosses val="autoZero"/>
        <c:auto val="1"/>
        <c:lblAlgn val="ctr"/>
        <c:lblOffset val="100"/>
        <c:noMultiLvlLbl val="0"/>
      </c:catAx>
      <c:valAx>
        <c:axId val="625661520"/>
        <c:scaling>
          <c:orientation val="minMax"/>
          <c:max val="100"/>
          <c:min val="-1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36700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4835842543408E-2"/>
          <c:y val="5.6338791271490676E-2"/>
          <c:w val="0.90983288601258305"/>
          <c:h val="0.778313607950326"/>
        </c:manualLayout>
      </c:layout>
      <c:barChart>
        <c:barDir val="col"/>
        <c:grouping val="clustered"/>
        <c:varyColors val="0"/>
        <c:ser>
          <c:idx val="2"/>
          <c:order val="0"/>
          <c:tx>
            <c:strRef>
              <c:f>Fact1_2!$J$87</c:f>
              <c:strCache>
                <c:ptCount val="1"/>
                <c:pt idx="0">
                  <c:v>Total Poverty</c:v>
                </c:pt>
              </c:strCache>
            </c:strRef>
          </c:tx>
          <c:spPr>
            <a:solidFill>
              <a:schemeClr val="bg1">
                <a:lumMod val="85000"/>
              </a:schemeClr>
            </a:solidFill>
            <a:ln w="25400">
              <a:noFill/>
            </a:ln>
            <a:effectLst/>
          </c:spPr>
          <c:invertIfNegative val="0"/>
          <c:dLbls>
            <c:dLbl>
              <c:idx val="21"/>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6="http://schemas.microsoft.com/office/drawing/2014/chart" uri="{C3380CC4-5D6E-409C-BE32-E72D297353CC}">
                  <c16:uniqueId val="{00000017-8FFD-47BF-9488-6CAD76AD92B5}"/>
                </c:ext>
              </c:extLst>
            </c:dLbl>
            <c:dLbl>
              <c:idx val="22"/>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6="http://schemas.microsoft.com/office/drawing/2014/chart" uri="{C3380CC4-5D6E-409C-BE32-E72D297353CC}">
                  <c16:uniqueId val="{00000018-8FFD-47BF-9488-6CAD76AD92B5}"/>
                </c:ext>
              </c:extLst>
            </c:dLbl>
            <c:dLbl>
              <c:idx val="25"/>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6="http://schemas.microsoft.com/office/drawing/2014/chart" uri="{C3380CC4-5D6E-409C-BE32-E72D297353CC}">
                  <c16:uniqueId val="{00000005-C35D-4162-9E9E-74605C759F69}"/>
                </c:ext>
              </c:extLst>
            </c:dLbl>
            <c:dLbl>
              <c:idx val="26"/>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6="http://schemas.microsoft.com/office/drawing/2014/chart" uri="{C3380CC4-5D6E-409C-BE32-E72D297353CC}">
                  <c16:uniqueId val="{00000006-C35D-4162-9E9E-74605C759F69}"/>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lumMod val="6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Fact1_2!$D$88:$D$108</c:f>
              <c:strCache>
                <c:ptCount val="21"/>
                <c:pt idx="0">
                  <c:v>VEN</c:v>
                </c:pt>
                <c:pt idx="1">
                  <c:v>HND</c:v>
                </c:pt>
                <c:pt idx="2">
                  <c:v>GUY</c:v>
                </c:pt>
                <c:pt idx="3">
                  <c:v>GTM</c:v>
                </c:pt>
                <c:pt idx="4">
                  <c:v>COL</c:v>
                </c:pt>
                <c:pt idx="5">
                  <c:v>ECU</c:v>
                </c:pt>
                <c:pt idx="6">
                  <c:v>SLV</c:v>
                </c:pt>
                <c:pt idx="7">
                  <c:v>PER</c:v>
                </c:pt>
                <c:pt idx="8">
                  <c:v>PRY</c:v>
                </c:pt>
                <c:pt idx="9">
                  <c:v>BRA</c:v>
                </c:pt>
                <c:pt idx="10">
                  <c:v>MEX</c:v>
                </c:pt>
                <c:pt idx="11">
                  <c:v>BOL</c:v>
                </c:pt>
                <c:pt idx="12">
                  <c:v>DOM</c:v>
                </c:pt>
                <c:pt idx="13">
                  <c:v>PAN</c:v>
                </c:pt>
                <c:pt idx="14">
                  <c:v>ARG</c:v>
                </c:pt>
                <c:pt idx="15">
                  <c:v>CRI</c:v>
                </c:pt>
                <c:pt idx="16">
                  <c:v>URY</c:v>
                </c:pt>
                <c:pt idx="17">
                  <c:v>CHL</c:v>
                </c:pt>
                <c:pt idx="19">
                  <c:v>LAC</c:v>
                </c:pt>
                <c:pt idx="20">
                  <c:v>OECD</c:v>
                </c:pt>
              </c:strCache>
            </c:strRef>
          </c:cat>
          <c:val>
            <c:numRef>
              <c:f>Fact1_2!$J$88:$J$108</c:f>
              <c:numCache>
                <c:formatCode>0</c:formatCode>
                <c:ptCount val="21"/>
                <c:pt idx="0">
                  <c:v>71.004472732543945</c:v>
                </c:pt>
                <c:pt idx="1">
                  <c:v>60.174951553344727</c:v>
                </c:pt>
                <c:pt idx="2">
                  <c:v>57.939886093139648</c:v>
                </c:pt>
                <c:pt idx="3">
                  <c:v>55.366113662719727</c:v>
                </c:pt>
                <c:pt idx="4">
                  <c:v>41.222322463989258</c:v>
                </c:pt>
                <c:pt idx="5">
                  <c:v>40.369818687438965</c:v>
                </c:pt>
                <c:pt idx="6">
                  <c:v>38.657856941223145</c:v>
                </c:pt>
                <c:pt idx="7">
                  <c:v>37.667442321777344</c:v>
                </c:pt>
                <c:pt idx="8">
                  <c:v>31.323840141296387</c:v>
                </c:pt>
                <c:pt idx="9">
                  <c:v>29.435736656188965</c:v>
                </c:pt>
                <c:pt idx="10">
                  <c:v>31.975202560424805</c:v>
                </c:pt>
                <c:pt idx="11">
                  <c:v>21.749509811401367</c:v>
                </c:pt>
                <c:pt idx="12">
                  <c:v>29.323765754699707</c:v>
                </c:pt>
                <c:pt idx="13">
                  <c:v>19.437280654907227</c:v>
                </c:pt>
                <c:pt idx="14">
                  <c:v>20.982361793518066</c:v>
                </c:pt>
                <c:pt idx="15">
                  <c:v>20.874842643737793</c:v>
                </c:pt>
                <c:pt idx="16">
                  <c:v>14.312683820724487</c:v>
                </c:pt>
                <c:pt idx="17">
                  <c:v>11.219173908233643</c:v>
                </c:pt>
                <c:pt idx="19">
                  <c:v>33.491767060435791</c:v>
                </c:pt>
                <c:pt idx="20">
                  <c:v>4.7540456678994136</c:v>
                </c:pt>
              </c:numCache>
            </c:numRef>
          </c:val>
          <c:extLst>
            <c:ext xmlns:c16="http://schemas.microsoft.com/office/drawing/2014/chart" uri="{C3380CC4-5D6E-409C-BE32-E72D297353CC}">
              <c16:uniqueId val="{00000004-C35D-4162-9E9E-74605C759F69}"/>
            </c:ext>
          </c:extLst>
        </c:ser>
        <c:ser>
          <c:idx val="0"/>
          <c:order val="1"/>
          <c:tx>
            <c:strRef>
              <c:f>Fact1_2!$E$87</c:f>
              <c:strCache>
                <c:ptCount val="1"/>
                <c:pt idx="0">
                  <c:v>Extreme Poverty</c:v>
                </c:pt>
              </c:strCache>
            </c:strRef>
          </c:tx>
          <c:spPr>
            <a:solidFill>
              <a:srgbClr val="8FC5ED"/>
            </a:solidFill>
            <a:ln>
              <a:noFill/>
            </a:ln>
            <a:effectLst/>
          </c:spPr>
          <c:invertIfNegative val="0"/>
          <c:dLbls>
            <c:dLbl>
              <c:idx val="0"/>
              <c:layout>
                <c:manualLayout>
                  <c:x val="3.325233785317845E-3"/>
                  <c:y val="-2.626606573217382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35D-4162-9E9E-74605C759F69}"/>
                </c:ext>
              </c:extLst>
            </c:dLbl>
            <c:dLbl>
              <c:idx val="1"/>
              <c:layout>
                <c:manualLayout>
                  <c:x val="2.21682252354523E-3"/>
                  <c:y val="5.253213146434716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35D-4162-9E9E-74605C759F69}"/>
                </c:ext>
              </c:extLst>
            </c:dLbl>
            <c:dLbl>
              <c:idx val="21"/>
              <c:layout>
                <c:manualLayout>
                  <c:x val="8.3569331700330037E-3"/>
                  <c:y val="0"/>
                </c:manualLayout>
              </c:layout>
              <c:spPr>
                <a:solidFill>
                  <a:srgbClr val="8FC5ED"/>
                </a:solid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8FFD-47BF-9488-6CAD76AD92B5}"/>
                </c:ext>
              </c:extLst>
            </c:dLbl>
            <c:dLbl>
              <c:idx val="22"/>
              <c:layout>
                <c:manualLayout>
                  <c:x val="7.3123165237790116E-3"/>
                  <c:y val="-6.3589502224381984E-3"/>
                </c:manualLayout>
              </c:layout>
              <c:spPr>
                <a:solidFill>
                  <a:srgbClr val="8FC5ED"/>
                </a:solidFill>
                <a:ln>
                  <a:noFill/>
                </a:ln>
                <a:effectLst/>
              </c:spPr>
              <c:txPr>
                <a:bodyPr rot="0" spcFirstLastPara="1" vertOverflow="ellipsis" vert="horz" wrap="square" anchor="ctr" anchorCtr="1"/>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8FFD-47BF-9488-6CAD76AD92B5}"/>
                </c:ext>
              </c:extLst>
            </c:dLbl>
            <c:dLbl>
              <c:idx val="25"/>
              <c:layout>
                <c:manualLayout>
                  <c:x val="6.952025730888556E-3"/>
                  <c:y val="0"/>
                </c:manualLayout>
              </c:layout>
              <c:spPr>
                <a:solidFill>
                  <a:srgbClr val="8FC5ED"/>
                </a:solidFill>
                <a:ln>
                  <a:noFill/>
                </a:ln>
                <a:effectLst/>
              </c:spPr>
              <c:txPr>
                <a:bodyPr rot="0" spcFirstLastPara="1" vertOverflow="ellipsis" vert="horz" wrap="square" anchor="ctr" anchorCtr="1"/>
                <a:lstStyle/>
                <a:p>
                  <a:pPr>
                    <a:defRPr sz="105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35D-4162-9E9E-74605C759F69}"/>
                </c:ext>
              </c:extLst>
            </c:dLbl>
            <c:dLbl>
              <c:idx val="26"/>
              <c:spPr>
                <a:solidFill>
                  <a:srgbClr val="8FC5ED"/>
                </a:solidFill>
                <a:ln>
                  <a:noFill/>
                </a:ln>
                <a:effectLst/>
              </c:spPr>
              <c:txPr>
                <a:bodyPr rot="0" spcFirstLastPara="1" vertOverflow="ellipsis" vert="horz" wrap="square" anchor="ctr" anchorCtr="1"/>
                <a:lstStyle/>
                <a:p>
                  <a:pPr>
                    <a:defRPr sz="105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C35D-4162-9E9E-74605C759F69}"/>
                </c:ext>
              </c:extLst>
            </c:dLbl>
            <c:spPr>
              <a:noFill/>
              <a:ln>
                <a:noFill/>
              </a:ln>
              <a:effectLst/>
            </c:spPr>
            <c:txPr>
              <a:bodyPr rot="0" spcFirstLastPara="1" vertOverflow="ellipsis" vert="horz" wrap="square" anchor="ctr" anchorCtr="1"/>
              <a:lstStyle/>
              <a:p>
                <a:pPr>
                  <a:defRPr sz="800" b="1" i="0" u="none" strike="noStrike" kern="1200" baseline="0">
                    <a:solidFill>
                      <a:srgbClr val="8FC5ED"/>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Fact1_2!$D$88:$D$108</c:f>
              <c:strCache>
                <c:ptCount val="21"/>
                <c:pt idx="0">
                  <c:v>VEN</c:v>
                </c:pt>
                <c:pt idx="1">
                  <c:v>HND</c:v>
                </c:pt>
                <c:pt idx="2">
                  <c:v>GUY</c:v>
                </c:pt>
                <c:pt idx="3">
                  <c:v>GTM</c:v>
                </c:pt>
                <c:pt idx="4">
                  <c:v>COL</c:v>
                </c:pt>
                <c:pt idx="5">
                  <c:v>ECU</c:v>
                </c:pt>
                <c:pt idx="6">
                  <c:v>SLV</c:v>
                </c:pt>
                <c:pt idx="7">
                  <c:v>PER</c:v>
                </c:pt>
                <c:pt idx="8">
                  <c:v>PRY</c:v>
                </c:pt>
                <c:pt idx="9">
                  <c:v>BRA</c:v>
                </c:pt>
                <c:pt idx="10">
                  <c:v>MEX</c:v>
                </c:pt>
                <c:pt idx="11">
                  <c:v>BOL</c:v>
                </c:pt>
                <c:pt idx="12">
                  <c:v>DOM</c:v>
                </c:pt>
                <c:pt idx="13">
                  <c:v>PAN</c:v>
                </c:pt>
                <c:pt idx="14">
                  <c:v>ARG</c:v>
                </c:pt>
                <c:pt idx="15">
                  <c:v>CRI</c:v>
                </c:pt>
                <c:pt idx="16">
                  <c:v>URY</c:v>
                </c:pt>
                <c:pt idx="17">
                  <c:v>CHL</c:v>
                </c:pt>
                <c:pt idx="19">
                  <c:v>LAC</c:v>
                </c:pt>
                <c:pt idx="20">
                  <c:v>OECD</c:v>
                </c:pt>
              </c:strCache>
            </c:strRef>
          </c:cat>
          <c:val>
            <c:numRef>
              <c:f>Fact1_2!$E$88:$E$108</c:f>
              <c:numCache>
                <c:formatCode>0</c:formatCode>
                <c:ptCount val="21"/>
                <c:pt idx="0">
                  <c:v>53.867767333984375</c:v>
                </c:pt>
                <c:pt idx="1">
                  <c:v>35.109729766845703</c:v>
                </c:pt>
                <c:pt idx="2">
                  <c:v>31.99846076965332</c:v>
                </c:pt>
                <c:pt idx="3">
                  <c:v>31.91087532043457</c:v>
                </c:pt>
                <c:pt idx="4">
                  <c:v>19.512697219848633</c:v>
                </c:pt>
                <c:pt idx="5">
                  <c:v>15.846808433532715</c:v>
                </c:pt>
                <c:pt idx="6">
                  <c:v>15.566752433776855</c:v>
                </c:pt>
                <c:pt idx="7">
                  <c:v>12.462396621704102</c:v>
                </c:pt>
                <c:pt idx="8">
                  <c:v>12.367045402526855</c:v>
                </c:pt>
                <c:pt idx="9">
                  <c:v>10.865315437316895</c:v>
                </c:pt>
                <c:pt idx="10">
                  <c:v>10.268985748291016</c:v>
                </c:pt>
                <c:pt idx="11">
                  <c:v>9.1588373184204102</c:v>
                </c:pt>
                <c:pt idx="12">
                  <c:v>9.0519723892211914</c:v>
                </c:pt>
                <c:pt idx="13">
                  <c:v>8.9458808898925781</c:v>
                </c:pt>
                <c:pt idx="14">
                  <c:v>8.1207027435302734</c:v>
                </c:pt>
                <c:pt idx="15">
                  <c:v>6.5896177291870117</c:v>
                </c:pt>
                <c:pt idx="16">
                  <c:v>3.9979178905487061</c:v>
                </c:pt>
                <c:pt idx="17">
                  <c:v>3.2169833183288574</c:v>
                </c:pt>
                <c:pt idx="19">
                  <c:v>14.206571375766352</c:v>
                </c:pt>
                <c:pt idx="20">
                  <c:v>1.504975490560732</c:v>
                </c:pt>
              </c:numCache>
            </c:numRef>
          </c:val>
          <c:extLst>
            <c:ext xmlns:c16="http://schemas.microsoft.com/office/drawing/2014/chart" uri="{C3380CC4-5D6E-409C-BE32-E72D297353CC}">
              <c16:uniqueId val="{00000002-C35D-4162-9E9E-74605C759F69}"/>
            </c:ext>
          </c:extLst>
        </c:ser>
        <c:dLbls>
          <c:showLegendKey val="0"/>
          <c:showVal val="0"/>
          <c:showCatName val="0"/>
          <c:showSerName val="0"/>
          <c:showPercent val="0"/>
          <c:showBubbleSize val="0"/>
        </c:dLbls>
        <c:gapWidth val="56"/>
        <c:axId val="626367008"/>
        <c:axId val="625661520"/>
      </c:barChart>
      <c:catAx>
        <c:axId val="62636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ontserrat" pitchFamily="2" charset="0"/>
                <a:ea typeface="+mn-ea"/>
                <a:cs typeface="+mn-cs"/>
              </a:defRPr>
            </a:pPr>
            <a:endParaRPr lang="en-US"/>
          </a:p>
        </c:txPr>
        <c:crossAx val="625661520"/>
        <c:crosses val="autoZero"/>
        <c:auto val="1"/>
        <c:lblAlgn val="ctr"/>
        <c:lblOffset val="100"/>
        <c:noMultiLvlLbl val="0"/>
      </c:catAx>
      <c:valAx>
        <c:axId val="625661520"/>
        <c:scaling>
          <c:orientation val="minMax"/>
          <c:max val="100"/>
          <c:min val="-1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ontserrat" pitchFamily="2" charset="0"/>
                    <a:ea typeface="+mn-ea"/>
                    <a:cs typeface="+mn-cs"/>
                  </a:defRPr>
                </a:pPr>
                <a:r>
                  <a:rPr lang="en-US"/>
                  <a:t>% of the population</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ontserrat" pitchFamily="2" charset="0"/>
                <a:ea typeface="+mn-ea"/>
                <a:cs typeface="+mn-cs"/>
              </a:defRPr>
            </a:pPr>
            <a:endParaRPr lang="en-US"/>
          </a:p>
        </c:txPr>
        <c:crossAx val="626367008"/>
        <c:crosses val="autoZero"/>
        <c:crossBetween val="between"/>
        <c:majorUnit val="10"/>
      </c:valAx>
      <c:spPr>
        <a:noFill/>
        <a:ln>
          <a:noFill/>
        </a:ln>
        <a:effectLst/>
      </c:spPr>
    </c:plotArea>
    <c:legend>
      <c:legendPos val="b"/>
      <c:layout>
        <c:manualLayout>
          <c:xMode val="edge"/>
          <c:yMode val="edge"/>
          <c:x val="0.37003869786004429"/>
          <c:y val="0.84696300019764204"/>
          <c:w val="0.25992260427991148"/>
          <c:h val="5.3105086807460039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ontserrat"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Montserrat" pitchFamily="2" charset="0"/>
        </a:defRPr>
      </a:pPr>
      <a:endParaRPr lang="en-US"/>
    </a:p>
  </c:txPr>
  <c:printSettings>
    <c:headerFooter/>
    <c:pageMargins b="0.75" l="0.7" r="0.7" t="0.75" header="0.3" footer="0.3"/>
    <c:pageSetup orientation="portrait"/>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4E70"/>
            </a:solidFill>
            <a:ln>
              <a:noFill/>
            </a:ln>
            <a:effectLst/>
          </c:spPr>
          <c:invertIfNegative val="0"/>
          <c:dLbls>
            <c:dLbl>
              <c:idx val="25"/>
              <c:spPr>
                <a:solidFill>
                  <a:srgbClr val="004E70"/>
                </a:solidFill>
                <a:ln>
                  <a:noFill/>
                </a:ln>
                <a:effectLst/>
              </c:spPr>
              <c:txPr>
                <a:bodyPr rot="0" spcFirstLastPara="1" vertOverflow="ellipsis" vert="horz" wrap="square" anchor="ctr" anchorCtr="1"/>
                <a:lstStyle/>
                <a:p>
                  <a:pPr>
                    <a:defRPr sz="1200" b="1" i="0" u="none" strike="noStrike" kern="1200" baseline="0">
                      <a:solidFill>
                        <a:schemeClr val="bg1"/>
                      </a:solidFill>
                      <a:latin typeface="Montserrat" pitchFamily="2" charset="0"/>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0-45B8-4FD1-BAAB-19BF76923DAE}"/>
                </c:ext>
              </c:extLst>
            </c:dLbl>
            <c:dLbl>
              <c:idx val="26"/>
              <c:spPr>
                <a:solidFill>
                  <a:srgbClr val="004E70"/>
                </a:solidFill>
                <a:ln>
                  <a:noFill/>
                </a:ln>
                <a:effectLst/>
              </c:spPr>
              <c:txPr>
                <a:bodyPr rot="0" spcFirstLastPara="1" vertOverflow="ellipsis" vert="horz" wrap="square" anchor="ctr" anchorCtr="1"/>
                <a:lstStyle/>
                <a:p>
                  <a:pPr>
                    <a:defRPr sz="1050" b="1" i="0" u="none" strike="noStrike" kern="1200" baseline="0">
                      <a:solidFill>
                        <a:schemeClr val="bg1"/>
                      </a:solidFill>
                      <a:latin typeface="Montserrat" pitchFamily="2" charset="0"/>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1-45B8-4FD1-BAAB-19BF76923DAE}"/>
                </c:ext>
              </c:extLst>
            </c:dLbl>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ontserrat" pitchFamily="2"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Fact1_2!$D$88:$D$112</c:f>
              <c:strCache>
                <c:ptCount val="21"/>
                <c:pt idx="0">
                  <c:v>VEN</c:v>
                </c:pt>
                <c:pt idx="1">
                  <c:v>HND</c:v>
                </c:pt>
                <c:pt idx="2">
                  <c:v>GUY</c:v>
                </c:pt>
                <c:pt idx="3">
                  <c:v>GTM</c:v>
                </c:pt>
                <c:pt idx="4">
                  <c:v>COL</c:v>
                </c:pt>
                <c:pt idx="5">
                  <c:v>ECU</c:v>
                </c:pt>
                <c:pt idx="6">
                  <c:v>SLV</c:v>
                </c:pt>
                <c:pt idx="7">
                  <c:v>PER</c:v>
                </c:pt>
                <c:pt idx="8">
                  <c:v>PRY</c:v>
                </c:pt>
                <c:pt idx="9">
                  <c:v>BRA</c:v>
                </c:pt>
                <c:pt idx="10">
                  <c:v>MEX</c:v>
                </c:pt>
                <c:pt idx="11">
                  <c:v>BOL</c:v>
                </c:pt>
                <c:pt idx="12">
                  <c:v>DOM</c:v>
                </c:pt>
                <c:pt idx="13">
                  <c:v>PAN</c:v>
                </c:pt>
                <c:pt idx="14">
                  <c:v>ARG</c:v>
                </c:pt>
                <c:pt idx="15">
                  <c:v>CRI</c:v>
                </c:pt>
                <c:pt idx="16">
                  <c:v>URY</c:v>
                </c:pt>
                <c:pt idx="17">
                  <c:v>CHL</c:v>
                </c:pt>
                <c:pt idx="19">
                  <c:v>LAC</c:v>
                </c:pt>
                <c:pt idx="20">
                  <c:v>OECD</c:v>
                </c:pt>
              </c:strCache>
            </c:strRef>
          </c:cat>
          <c:val>
            <c:numRef>
              <c:f>Fact1_2!$E$88:$E$110</c:f>
              <c:numCache>
                <c:formatCode>0</c:formatCode>
                <c:ptCount val="23"/>
                <c:pt idx="0">
                  <c:v>53.867767333984375</c:v>
                </c:pt>
                <c:pt idx="1">
                  <c:v>35.109729766845703</c:v>
                </c:pt>
                <c:pt idx="2">
                  <c:v>31.99846076965332</c:v>
                </c:pt>
                <c:pt idx="3">
                  <c:v>31.91087532043457</c:v>
                </c:pt>
                <c:pt idx="4">
                  <c:v>19.512697219848633</c:v>
                </c:pt>
                <c:pt idx="5">
                  <c:v>15.846808433532715</c:v>
                </c:pt>
                <c:pt idx="6">
                  <c:v>15.566752433776855</c:v>
                </c:pt>
                <c:pt idx="7">
                  <c:v>12.462396621704102</c:v>
                </c:pt>
                <c:pt idx="8">
                  <c:v>12.367045402526855</c:v>
                </c:pt>
                <c:pt idx="9">
                  <c:v>10.865315437316895</c:v>
                </c:pt>
                <c:pt idx="10">
                  <c:v>10.268985748291016</c:v>
                </c:pt>
                <c:pt idx="11">
                  <c:v>9.1588373184204102</c:v>
                </c:pt>
                <c:pt idx="12">
                  <c:v>9.0519723892211914</c:v>
                </c:pt>
                <c:pt idx="13">
                  <c:v>8.9458808898925781</c:v>
                </c:pt>
                <c:pt idx="14">
                  <c:v>8.1207027435302734</c:v>
                </c:pt>
                <c:pt idx="15">
                  <c:v>6.5896177291870117</c:v>
                </c:pt>
                <c:pt idx="16">
                  <c:v>3.9979178905487061</c:v>
                </c:pt>
                <c:pt idx="17">
                  <c:v>3.2169833183288574</c:v>
                </c:pt>
                <c:pt idx="19">
                  <c:v>14.206571375766352</c:v>
                </c:pt>
                <c:pt idx="20">
                  <c:v>1.504975490560732</c:v>
                </c:pt>
              </c:numCache>
            </c:numRef>
          </c:val>
          <c:extLst>
            <c:ext xmlns:c16="http://schemas.microsoft.com/office/drawing/2014/chart" uri="{C3380CC4-5D6E-409C-BE32-E72D297353CC}">
              <c16:uniqueId val="{00000002-45B8-4FD1-BAAB-19BF76923DAE}"/>
            </c:ext>
          </c:extLst>
        </c:ser>
        <c:dLbls>
          <c:showLegendKey val="0"/>
          <c:showVal val="0"/>
          <c:showCatName val="0"/>
          <c:showSerName val="0"/>
          <c:showPercent val="0"/>
          <c:showBubbleSize val="0"/>
        </c:dLbls>
        <c:gapWidth val="54"/>
        <c:overlap val="100"/>
        <c:axId val="626367008"/>
        <c:axId val="625661520"/>
      </c:barChart>
      <c:lineChart>
        <c:grouping val="standard"/>
        <c:varyColors val="0"/>
        <c:ser>
          <c:idx val="1"/>
          <c:order val="1"/>
          <c:tx>
            <c:strRef>
              <c:f>Fact1_2!$C$88:$C$109</c:f>
              <c:strCache>
                <c:ptCount val="22"/>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9">
                  <c:v>-6</c:v>
                </c:pt>
                <c:pt idx="20">
                  <c:v>-6</c:v>
                </c:pt>
              </c:strCache>
            </c:strRef>
          </c:tx>
          <c:spPr>
            <a:ln w="28575" cap="rnd">
              <a:noFill/>
              <a:round/>
            </a:ln>
            <a:effectLst/>
          </c:spPr>
          <c:marker>
            <c:symbol val="picture"/>
            <c:spPr>
              <a:blipFill>
                <a:blip xmlns:r="http://schemas.openxmlformats.org/officeDocument/2006/relationships" r:embed="rId1"/>
                <a:stretch>
                  <a:fillRect/>
                </a:stretch>
              </a:blipFill>
              <a:ln w="25400">
                <a:noFill/>
              </a:ln>
              <a:effectLst/>
            </c:spPr>
          </c:marker>
          <c:cat>
            <c:strRef>
              <c:f>'1bAnexo'!$P$5:$P$28</c:f>
              <c:strCache>
                <c:ptCount val="24"/>
                <c:pt idx="0">
                  <c:v>BRA</c:v>
                </c:pt>
                <c:pt idx="1">
                  <c:v>VEN</c:v>
                </c:pt>
                <c:pt idx="2">
                  <c:v>MEX</c:v>
                </c:pt>
                <c:pt idx="3">
                  <c:v>COL</c:v>
                </c:pt>
                <c:pt idx="4">
                  <c:v>GTM</c:v>
                </c:pt>
                <c:pt idx="5">
                  <c:v>HND</c:v>
                </c:pt>
                <c:pt idx="6">
                  <c:v>PER</c:v>
                </c:pt>
                <c:pt idx="7">
                  <c:v>ECU</c:v>
                </c:pt>
                <c:pt idx="8">
                  <c:v>ARG</c:v>
                </c:pt>
                <c:pt idx="9">
                  <c:v>NIC</c:v>
                </c:pt>
                <c:pt idx="10">
                  <c:v>JAM</c:v>
                </c:pt>
                <c:pt idx="11">
                  <c:v>BOL</c:v>
                </c:pt>
                <c:pt idx="12">
                  <c:v>DOM</c:v>
                </c:pt>
                <c:pt idx="13">
                  <c:v>SLV</c:v>
                </c:pt>
                <c:pt idx="14">
                  <c:v>PRY</c:v>
                </c:pt>
                <c:pt idx="15">
                  <c:v>CHL</c:v>
                </c:pt>
                <c:pt idx="16">
                  <c:v>PAN</c:v>
                </c:pt>
                <c:pt idx="17">
                  <c:v>CRI</c:v>
                </c:pt>
                <c:pt idx="18">
                  <c:v>GUY</c:v>
                </c:pt>
                <c:pt idx="19">
                  <c:v>URY</c:v>
                </c:pt>
                <c:pt idx="20">
                  <c:v>TTO</c:v>
                </c:pt>
                <c:pt idx="21">
                  <c:v>BLZ</c:v>
                </c:pt>
                <c:pt idx="22">
                  <c:v>BHS</c:v>
                </c:pt>
                <c:pt idx="23">
                  <c:v>BRB</c:v>
                </c:pt>
              </c:strCache>
            </c:strRef>
          </c:cat>
          <c:val>
            <c:numRef>
              <c:f>Fact1_2!$C$88:$C$109</c:f>
              <c:numCache>
                <c:formatCode>General</c:formatCode>
                <c:ptCount val="22"/>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9">
                  <c:v>-6</c:v>
                </c:pt>
                <c:pt idx="20">
                  <c:v>-6</c:v>
                </c:pt>
              </c:numCache>
            </c:numRef>
          </c:val>
          <c:smooth val="0"/>
          <c:extLst>
            <c:ext xmlns:c16="http://schemas.microsoft.com/office/drawing/2014/chart" uri="{C3380CC4-5D6E-409C-BE32-E72D297353CC}">
              <c16:uniqueId val="{00000003-45B8-4FD1-BAAB-19BF76923DAE}"/>
            </c:ext>
          </c:extLst>
        </c:ser>
        <c:dLbls>
          <c:showLegendKey val="0"/>
          <c:showVal val="0"/>
          <c:showCatName val="0"/>
          <c:showSerName val="0"/>
          <c:showPercent val="0"/>
          <c:showBubbleSize val="0"/>
        </c:dLbls>
        <c:marker val="1"/>
        <c:smooth val="0"/>
        <c:axId val="626367008"/>
        <c:axId val="625661520"/>
      </c:lineChart>
      <c:catAx>
        <c:axId val="62636700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ontserrat" pitchFamily="2" charset="0"/>
                <a:ea typeface="+mn-ea"/>
                <a:cs typeface="+mn-cs"/>
              </a:defRPr>
            </a:pPr>
            <a:endParaRPr lang="en-US"/>
          </a:p>
        </c:txPr>
        <c:crossAx val="625661520"/>
        <c:crosses val="autoZero"/>
        <c:auto val="1"/>
        <c:lblAlgn val="ctr"/>
        <c:lblOffset val="100"/>
        <c:noMultiLvlLbl val="0"/>
      </c:catAx>
      <c:valAx>
        <c:axId val="625661520"/>
        <c:scaling>
          <c:orientation val="minMax"/>
          <c:max val="100"/>
          <c:min val="-1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ontserrat" pitchFamily="2" charset="0"/>
                    <a:ea typeface="+mn-ea"/>
                    <a:cs typeface="+mn-cs"/>
                  </a:defRPr>
                </a:pPr>
                <a:r>
                  <a:rPr lang="en-US"/>
                  <a:t>% of the population</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ontserrat" pitchFamily="2" charset="0"/>
                <a:ea typeface="+mn-ea"/>
                <a:cs typeface="+mn-cs"/>
              </a:defRPr>
            </a:pPr>
            <a:endParaRPr lang="en-US"/>
          </a:p>
        </c:txPr>
        <c:crossAx val="62636700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Montserrat" pitchFamily="2" charset="0"/>
        </a:defRPr>
      </a:pPr>
      <a:endParaRPr lang="en-US"/>
    </a:p>
  </c:txPr>
  <c:printSettings>
    <c:headerFooter/>
    <c:pageMargins b="0.75" l="0.7" r="0.7" t="0.75" header="0.3" footer="0.3"/>
    <c:pageSetup/>
  </c:printSettings>
  <c:userShapes r:id="rId2"/>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599683401802598"/>
          <c:y val="0.10747654797553326"/>
          <c:w val="0.49425350668203727"/>
          <c:h val="0.84063030715883991"/>
        </c:manualLayout>
      </c:layout>
      <c:barChart>
        <c:barDir val="bar"/>
        <c:grouping val="clustered"/>
        <c:varyColors val="0"/>
        <c:ser>
          <c:idx val="0"/>
          <c:order val="0"/>
          <c:spPr>
            <a:solidFill>
              <a:schemeClr val="bg1">
                <a:lumMod val="65000"/>
              </a:schemeClr>
            </a:solidFill>
            <a:ln>
              <a:noFill/>
            </a:ln>
            <a:effectLst/>
          </c:spPr>
          <c:invertIfNegative val="0"/>
          <c:dPt>
            <c:idx val="19"/>
            <c:invertIfNegative val="0"/>
            <c:bubble3D val="0"/>
            <c:extLst>
              <c:ext xmlns:c16="http://schemas.microsoft.com/office/drawing/2014/chart" uri="{C3380CC4-5D6E-409C-BE32-E72D297353CC}">
                <c16:uniqueId val="{00000000-3C21-4B56-95A1-B1AB58B32E89}"/>
              </c:ext>
            </c:extLst>
          </c:dPt>
          <c:dLbls>
            <c:dLbl>
              <c:idx val="23"/>
              <c:tx>
                <c:rich>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50000"/>
                            <a:lumOff val="50000"/>
                          </a:schemeClr>
                        </a:solidFill>
                        <a:latin typeface="Montserrat" pitchFamily="2" charset="0"/>
                        <a:ea typeface="+mn-ea"/>
                        <a:cs typeface="+mn-cs"/>
                      </a:defRPr>
                    </a:pPr>
                    <a:fld id="{AC98F210-1DFF-4DBA-9061-4075998DE658}" type="VALUE">
                      <a:rPr lang="en-US" sz="900" b="0" i="0" u="none" strike="noStrike" kern="1200" baseline="0">
                        <a:solidFill>
                          <a:schemeClr val="tx1">
                            <a:lumMod val="50000"/>
                            <a:lumOff val="50000"/>
                          </a:schemeClr>
                        </a:solidFill>
                        <a:latin typeface="Montserrat" pitchFamily="2" charset="0"/>
                        <a:ea typeface="+mn-ea"/>
                        <a:cs typeface="+mn-cs"/>
                      </a:rPr>
                      <a:pPr algn="ctr">
                        <a:defRPr lang="en-US" sz="900" b="0" i="0" u="none" strike="noStrike" kern="1200" baseline="0">
                          <a:solidFill>
                            <a:schemeClr val="tx1">
                              <a:lumMod val="50000"/>
                              <a:lumOff val="50000"/>
                            </a:schemeClr>
                          </a:solidFill>
                          <a:latin typeface="Montserrat" pitchFamily="2" charset="0"/>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C21-4B56-95A1-B1AB58B32E8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ontserrat" pitchFamily="2"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Fact1_2!$BP$24:$BP$41</c:f>
              <c:strCache>
                <c:ptCount val="18"/>
                <c:pt idx="0">
                  <c:v>GUY         18</c:v>
                </c:pt>
                <c:pt idx="1">
                  <c:v>URY         17</c:v>
                </c:pt>
                <c:pt idx="2">
                  <c:v>PAN         16</c:v>
                </c:pt>
                <c:pt idx="3">
                  <c:v>CRI         15</c:v>
                </c:pt>
                <c:pt idx="4">
                  <c:v>PRY         14</c:v>
                </c:pt>
                <c:pt idx="5">
                  <c:v>CHL         13</c:v>
                </c:pt>
                <c:pt idx="6">
                  <c:v>BOL         12</c:v>
                </c:pt>
                <c:pt idx="7">
                  <c:v>DOM         11</c:v>
                </c:pt>
                <c:pt idx="8">
                  <c:v>SLV         10</c:v>
                </c:pt>
                <c:pt idx="9">
                  <c:v>HND         9</c:v>
                </c:pt>
                <c:pt idx="10">
                  <c:v>ECU         8</c:v>
                </c:pt>
                <c:pt idx="11">
                  <c:v>ARG         7</c:v>
                </c:pt>
                <c:pt idx="12">
                  <c:v>GTM         6</c:v>
                </c:pt>
                <c:pt idx="13">
                  <c:v>PER         5</c:v>
                </c:pt>
                <c:pt idx="14">
                  <c:v>VEN         4</c:v>
                </c:pt>
                <c:pt idx="15">
                  <c:v>COL         3</c:v>
                </c:pt>
                <c:pt idx="16">
                  <c:v>MEX         2</c:v>
                </c:pt>
                <c:pt idx="17">
                  <c:v>BRA         1</c:v>
                </c:pt>
              </c:strCache>
            </c:strRef>
          </c:cat>
          <c:val>
            <c:numRef>
              <c:f>Fact1_2!$BO$24:$BO$41</c:f>
              <c:numCache>
                <c:formatCode>#,##0.0</c:formatCode>
                <c:ptCount val="18"/>
                <c:pt idx="0">
                  <c:v>0.47153450810989378</c:v>
                </c:pt>
                <c:pt idx="1">
                  <c:v>0.48993874352478023</c:v>
                </c:pt>
                <c:pt idx="2">
                  <c:v>0.86847461009542459</c:v>
                </c:pt>
                <c:pt idx="3">
                  <c:v>1.0880328623622322</c:v>
                </c:pt>
                <c:pt idx="4">
                  <c:v>2.1492926127069092</c:v>
                </c:pt>
                <c:pt idx="5">
                  <c:v>2.2022777459720611</c:v>
                </c:pt>
                <c:pt idx="6">
                  <c:v>2.6944534651374248</c:v>
                </c:pt>
                <c:pt idx="7">
                  <c:v>3.3232543474837115</c:v>
                </c:pt>
                <c:pt idx="8">
                  <c:v>2.4605504986295701</c:v>
                </c:pt>
                <c:pt idx="9">
                  <c:v>6.3748130162198633</c:v>
                </c:pt>
                <c:pt idx="10">
                  <c:v>7.3434648887336742</c:v>
                </c:pt>
                <c:pt idx="11">
                  <c:v>9.6044415112915047</c:v>
                </c:pt>
                <c:pt idx="12">
                  <c:v>10.016851333970795</c:v>
                </c:pt>
                <c:pt idx="13">
                  <c:v>12.939790615287247</c:v>
                </c:pt>
                <c:pt idx="14">
                  <c:v>20.47662360887924</c:v>
                </c:pt>
                <c:pt idx="15">
                  <c:v>21.470716902316287</c:v>
                </c:pt>
                <c:pt idx="16">
                  <c:v>41.073930198487702</c:v>
                </c:pt>
                <c:pt idx="17">
                  <c:v>63.705539205477486</c:v>
                </c:pt>
              </c:numCache>
            </c:numRef>
          </c:val>
          <c:extLst>
            <c:ext xmlns:c16="http://schemas.microsoft.com/office/drawing/2014/chart" uri="{C3380CC4-5D6E-409C-BE32-E72D297353CC}">
              <c16:uniqueId val="{00000002-3C21-4B56-95A1-B1AB58B32E89}"/>
            </c:ext>
          </c:extLst>
        </c:ser>
        <c:dLbls>
          <c:showLegendKey val="0"/>
          <c:showVal val="0"/>
          <c:showCatName val="0"/>
          <c:showSerName val="0"/>
          <c:showPercent val="0"/>
          <c:showBubbleSize val="0"/>
        </c:dLbls>
        <c:gapWidth val="60"/>
        <c:overlap val="100"/>
        <c:axId val="888414320"/>
        <c:axId val="888419600"/>
      </c:barChart>
      <c:scatterChart>
        <c:scatterStyle val="lineMarker"/>
        <c:varyColors val="0"/>
        <c:ser>
          <c:idx val="2"/>
          <c:order val="1"/>
          <c:spPr>
            <a:ln w="25400" cap="rnd">
              <a:noFill/>
              <a:round/>
            </a:ln>
            <a:effectLst/>
          </c:spPr>
          <c:marker>
            <c:symbol val="circle"/>
            <c:size val="5"/>
            <c:spPr>
              <a:solidFill>
                <a:schemeClr val="bg1"/>
              </a:solidFill>
              <a:ln w="9525">
                <a:solidFill>
                  <a:schemeClr val="bg1"/>
                </a:solidFill>
              </a:ln>
              <a:effectLst/>
            </c:spPr>
          </c:marker>
          <c:xVal>
            <c:strRef>
              <c:f>[2]Fact2!#REF!</c:f>
              <c:strCache>
                <c:ptCount val="1"/>
                <c:pt idx="0">
                  <c:v>#REF!</c:v>
                </c:pt>
              </c:strCache>
            </c:strRef>
          </c:xVal>
          <c:yVal>
            <c:numRef>
              <c:f>[3]Sheet8!#REF!</c:f>
              <c:numCache>
                <c:formatCode>General</c:formatCode>
                <c:ptCount val="1"/>
                <c:pt idx="0">
                  <c:v>1</c:v>
                </c:pt>
              </c:numCache>
            </c:numRef>
          </c:yVal>
          <c:smooth val="0"/>
          <c:extLst>
            <c:ext xmlns:c16="http://schemas.microsoft.com/office/drawing/2014/chart" uri="{C3380CC4-5D6E-409C-BE32-E72D297353CC}">
              <c16:uniqueId val="{00000003-3C21-4B56-95A1-B1AB58B32E89}"/>
            </c:ext>
          </c:extLst>
        </c:ser>
        <c:dLbls>
          <c:showLegendKey val="0"/>
          <c:showVal val="0"/>
          <c:showCatName val="0"/>
          <c:showSerName val="0"/>
          <c:showPercent val="0"/>
          <c:showBubbleSize val="0"/>
        </c:dLbls>
        <c:axId val="31164032"/>
        <c:axId val="31150592"/>
      </c:scatterChart>
      <c:catAx>
        <c:axId val="88841432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ontserrat" pitchFamily="2" charset="0"/>
                <a:ea typeface="+mn-ea"/>
                <a:cs typeface="+mn-cs"/>
              </a:defRPr>
            </a:pPr>
            <a:endParaRPr lang="en-US"/>
          </a:p>
        </c:txPr>
        <c:crossAx val="888419600"/>
        <c:crossesAt val="0"/>
        <c:auto val="0"/>
        <c:lblAlgn val="ctr"/>
        <c:lblOffset val="100"/>
        <c:noMultiLvlLbl val="0"/>
      </c:catAx>
      <c:valAx>
        <c:axId val="888419600"/>
        <c:scaling>
          <c:orientation val="minMax"/>
          <c:min val="-10"/>
        </c:scaling>
        <c:delete val="0"/>
        <c:axPos val="b"/>
        <c:title>
          <c:tx>
            <c:rich>
              <a:bodyPr/>
              <a:lstStyle/>
              <a:p>
                <a:pPr>
                  <a:defRPr/>
                </a:pPr>
                <a:r>
                  <a:rPr lang="en-US" sz="1000" b="0" i="0" u="none" strike="noStrike" kern="1200" baseline="0">
                    <a:solidFill>
                      <a:schemeClr val="bg1">
                        <a:lumMod val="65000"/>
                      </a:schemeClr>
                    </a:solidFill>
                    <a:latin typeface="Montserrat" pitchFamily="2" charset="0"/>
                  </a:rPr>
                  <a:t>Number of people (millions)</a:t>
                </a:r>
              </a:p>
            </c:rich>
          </c:tx>
          <c:layout>
            <c:manualLayout>
              <c:xMode val="edge"/>
              <c:yMode val="edge"/>
              <c:x val="0.36559793063983709"/>
              <c:y val="0.94477337143555373"/>
            </c:manualLayout>
          </c:layout>
          <c:overlay val="0"/>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ontserrat" pitchFamily="2" charset="0"/>
                <a:ea typeface="+mn-ea"/>
                <a:cs typeface="+mn-cs"/>
              </a:defRPr>
            </a:pPr>
            <a:endParaRPr lang="en-US"/>
          </a:p>
        </c:txPr>
        <c:crossAx val="888414320"/>
        <c:crossesAt val="1"/>
        <c:crossBetween val="between"/>
      </c:valAx>
      <c:valAx>
        <c:axId val="31150592"/>
        <c:scaling>
          <c:orientation val="minMax"/>
          <c:max val="25"/>
          <c:min val="0"/>
        </c:scaling>
        <c:delete val="1"/>
        <c:axPos val="r"/>
        <c:numFmt formatCode="General" sourceLinked="1"/>
        <c:majorTickMark val="out"/>
        <c:minorTickMark val="none"/>
        <c:tickLblPos val="nextTo"/>
        <c:crossAx val="31164032"/>
        <c:crosses val="max"/>
        <c:crossBetween val="midCat"/>
        <c:minorUnit val="0.5"/>
      </c:valAx>
      <c:valAx>
        <c:axId val="31164032"/>
        <c:scaling>
          <c:orientation val="minMax"/>
        </c:scaling>
        <c:delete val="1"/>
        <c:axPos val="b"/>
        <c:numFmt formatCode="0" sourceLinked="1"/>
        <c:majorTickMark val="out"/>
        <c:minorTickMark val="none"/>
        <c:tickLblPos val="nextTo"/>
        <c:crossAx val="31150592"/>
        <c:crossesAt val="1"/>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Montserrat" pitchFamily="2" charset="0"/>
        </a:defRPr>
      </a:pPr>
      <a:endParaRPr lang="en-US"/>
    </a:p>
  </c:tx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53972076891542498"/>
          <c:y val="7.0059989357643557E-2"/>
          <c:w val="0.22954020272976428"/>
          <c:h val="0.79494066831428334"/>
        </c:manualLayout>
      </c:layout>
      <c:barChart>
        <c:barDir val="bar"/>
        <c:grouping val="clustered"/>
        <c:varyColors val="0"/>
        <c:ser>
          <c:idx val="0"/>
          <c:order val="0"/>
          <c:spPr>
            <a:solidFill>
              <a:srgbClr val="72B5E8"/>
            </a:solidFill>
            <a:ln>
              <a:noFill/>
            </a:ln>
            <a:effectLst/>
          </c:spPr>
          <c:invertIfNegative val="0"/>
          <c:dPt>
            <c:idx val="19"/>
            <c:invertIfNegative val="0"/>
            <c:bubble3D val="0"/>
            <c:extLst>
              <c:ext xmlns:c16="http://schemas.microsoft.com/office/drawing/2014/chart" uri="{C3380CC4-5D6E-409C-BE32-E72D297353CC}">
                <c16:uniqueId val="{00000000-0671-4A49-9BB0-415B4816DF49}"/>
              </c:ext>
            </c:extLst>
          </c:dPt>
          <c:dLbls>
            <c:dLbl>
              <c:idx val="22"/>
              <c:layout>
                <c:manualLayout>
                  <c:x val="0"/>
                  <c:y val="6.1672320232470657E-3"/>
                </c:manualLayout>
              </c:layout>
              <c:spPr>
                <a:noFill/>
                <a:ln>
                  <a:noFill/>
                </a:ln>
                <a:effectLst/>
              </c:spPr>
              <c:txPr>
                <a:bodyPr rot="0" vert="horz"/>
                <a:lstStyle/>
                <a:p>
                  <a:pPr algn="ctr" rtl="0">
                    <a:defRPr b="1">
                      <a:solidFill>
                        <a:srgbClr val="57A5DF"/>
                      </a:solidFill>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671-4A49-9BB0-415B4816DF49}"/>
                </c:ext>
              </c:extLst>
            </c:dLbl>
            <c:dLbl>
              <c:idx val="23"/>
              <c:tx>
                <c:rich>
                  <a:bodyPr rot="0" vert="horz"/>
                  <a:lstStyle/>
                  <a:p>
                    <a:pPr algn="ctr" rtl="0">
                      <a:defRPr b="1">
                        <a:solidFill>
                          <a:srgbClr val="57A5DF"/>
                        </a:solidFill>
                      </a:defRPr>
                    </a:pPr>
                    <a:fld id="{AC98F210-1DFF-4DBA-9061-4075998DE658}" type="VALUE">
                      <a:rPr lang="en-US" b="1">
                        <a:solidFill>
                          <a:srgbClr val="57A5DF"/>
                        </a:solidFill>
                      </a:rPr>
                      <a:pPr algn="ctr" rtl="0">
                        <a:defRPr b="1">
                          <a:solidFill>
                            <a:srgbClr val="57A5DF"/>
                          </a:solidFill>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671-4A49-9BB0-415B4816DF49}"/>
                </c:ext>
              </c:extLst>
            </c:dLbl>
            <c:spPr>
              <a:noFill/>
              <a:ln>
                <a:noFill/>
              </a:ln>
              <a:effectLst/>
            </c:spPr>
            <c:txPr>
              <a:bodyPr rot="0" vert="horz"/>
              <a:lstStyle/>
              <a:p>
                <a:pPr>
                  <a:defRPr b="1">
                    <a:solidFill>
                      <a:srgbClr val="57A5D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Fact1_2!$BJ$24:$BJ$41</c:f>
              <c:strCache>
                <c:ptCount val="18"/>
                <c:pt idx="0">
                  <c:v>URY    18</c:v>
                </c:pt>
                <c:pt idx="1">
                  <c:v>GUY    17</c:v>
                </c:pt>
                <c:pt idx="2">
                  <c:v>CRI    16</c:v>
                </c:pt>
                <c:pt idx="3">
                  <c:v>PAN    15</c:v>
                </c:pt>
                <c:pt idx="4">
                  <c:v>CHL    14</c:v>
                </c:pt>
                <c:pt idx="5">
                  <c:v>PRY    13</c:v>
                </c:pt>
                <c:pt idx="6">
                  <c:v>DOM    12</c:v>
                </c:pt>
                <c:pt idx="7">
                  <c:v>BOL    11</c:v>
                </c:pt>
                <c:pt idx="8">
                  <c:v>ECU    10</c:v>
                </c:pt>
                <c:pt idx="9">
                  <c:v>ARG      9</c:v>
                </c:pt>
                <c:pt idx="10">
                  <c:v>HND      8</c:v>
                </c:pt>
                <c:pt idx="11">
                  <c:v>PER      7</c:v>
                </c:pt>
                <c:pt idx="12">
                  <c:v>GTM      6</c:v>
                </c:pt>
                <c:pt idx="13">
                  <c:v>SLV      5</c:v>
                </c:pt>
                <c:pt idx="14">
                  <c:v>COL      4</c:v>
                </c:pt>
                <c:pt idx="15">
                  <c:v>MEX      3</c:v>
                </c:pt>
                <c:pt idx="16">
                  <c:v>VEN      2</c:v>
                </c:pt>
                <c:pt idx="17">
                  <c:v>BRA      1</c:v>
                </c:pt>
              </c:strCache>
            </c:strRef>
          </c:cat>
          <c:val>
            <c:numRef>
              <c:f>Fact1_2!$BI$24:$BI$41</c:f>
              <c:numCache>
                <c:formatCode>#,##0.0</c:formatCode>
                <c:ptCount val="18"/>
                <c:pt idx="0">
                  <c:v>0.13685308712398289</c:v>
                </c:pt>
                <c:pt idx="1">
                  <c:v>0.26041435322010037</c:v>
                </c:pt>
                <c:pt idx="2">
                  <c:v>0.34346227608389851</c:v>
                </c:pt>
                <c:pt idx="3">
                  <c:v>0.39970974107677459</c:v>
                </c:pt>
                <c:pt idx="4">
                  <c:v>0.63148063575634961</c:v>
                </c:pt>
                <c:pt idx="5">
                  <c:v>0.8485677883852768</c:v>
                </c:pt>
                <c:pt idx="6">
                  <c:v>1.0258575868378925</c:v>
                </c:pt>
                <c:pt idx="7">
                  <c:v>1.1346490639670086</c:v>
                </c:pt>
                <c:pt idx="8">
                  <c:v>2.882611152612419</c:v>
                </c:pt>
                <c:pt idx="9">
                  <c:v>3.7171610538083653</c:v>
                </c:pt>
                <c:pt idx="10">
                  <c:v>3.7194538498455048</c:v>
                </c:pt>
                <c:pt idx="11">
                  <c:v>4.2811720921195029</c:v>
                </c:pt>
                <c:pt idx="12">
                  <c:v>5.7733238598006063</c:v>
                </c:pt>
                <c:pt idx="13">
                  <c:v>0.99081491936100974</c:v>
                </c:pt>
                <c:pt idx="14">
                  <c:v>10.163221128289489</c:v>
                </c:pt>
                <c:pt idx="15">
                  <c:v>13.191083868116417</c:v>
                </c:pt>
                <c:pt idx="16">
                  <c:v>15.534655543933409</c:v>
                </c:pt>
                <c:pt idx="17">
                  <c:v>23.514981435056821</c:v>
                </c:pt>
              </c:numCache>
            </c:numRef>
          </c:val>
          <c:extLst>
            <c:ext xmlns:c16="http://schemas.microsoft.com/office/drawing/2014/chart" uri="{C3380CC4-5D6E-409C-BE32-E72D297353CC}">
              <c16:uniqueId val="{00000004-0671-4A49-9BB0-415B4816DF49}"/>
            </c:ext>
          </c:extLst>
        </c:ser>
        <c:dLbls>
          <c:showLegendKey val="0"/>
          <c:showVal val="0"/>
          <c:showCatName val="0"/>
          <c:showSerName val="0"/>
          <c:showPercent val="0"/>
          <c:showBubbleSize val="0"/>
        </c:dLbls>
        <c:gapWidth val="60"/>
        <c:overlap val="100"/>
        <c:axId val="888414320"/>
        <c:axId val="888419600"/>
      </c:barChart>
      <c:scatterChart>
        <c:scatterStyle val="lineMarker"/>
        <c:varyColors val="0"/>
        <c:ser>
          <c:idx val="2"/>
          <c:order val="1"/>
          <c:spPr>
            <a:ln w="25400" cap="rnd">
              <a:noFill/>
              <a:round/>
            </a:ln>
            <a:effectLst/>
          </c:spPr>
          <c:marker>
            <c:symbol val="circle"/>
            <c:size val="5"/>
            <c:spPr>
              <a:solidFill>
                <a:schemeClr val="bg1"/>
              </a:solidFill>
              <a:ln w="9525">
                <a:solidFill>
                  <a:schemeClr val="bg1"/>
                </a:solidFill>
              </a:ln>
              <a:effectLst/>
            </c:spPr>
          </c:marker>
          <c:xVal>
            <c:strRef>
              <c:f>[2]Fact2!#REF!</c:f>
              <c:strCache>
                <c:ptCount val="1"/>
                <c:pt idx="0">
                  <c:v>#REF!</c:v>
                </c:pt>
              </c:strCache>
            </c:strRef>
          </c:xVal>
          <c:yVal>
            <c:numRef>
              <c:f>[3]Sheet8!#REF!</c:f>
              <c:numCache>
                <c:formatCode>General</c:formatCode>
                <c:ptCount val="1"/>
                <c:pt idx="0">
                  <c:v>1</c:v>
                </c:pt>
              </c:numCache>
            </c:numRef>
          </c:yVal>
          <c:smooth val="0"/>
          <c:extLst>
            <c:ext xmlns:c16="http://schemas.microsoft.com/office/drawing/2014/chart" uri="{C3380CC4-5D6E-409C-BE32-E72D297353CC}">
              <c16:uniqueId val="{00000005-0671-4A49-9BB0-415B4816DF49}"/>
            </c:ext>
          </c:extLst>
        </c:ser>
        <c:dLbls>
          <c:showLegendKey val="0"/>
          <c:showVal val="0"/>
          <c:showCatName val="0"/>
          <c:showSerName val="0"/>
          <c:showPercent val="0"/>
          <c:showBubbleSize val="0"/>
        </c:dLbls>
        <c:axId val="31164032"/>
        <c:axId val="31150592"/>
      </c:scatterChart>
      <c:catAx>
        <c:axId val="88841432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vert="horz"/>
          <a:lstStyle/>
          <a:p>
            <a:pPr>
              <a:defRPr/>
            </a:pPr>
            <a:endParaRPr lang="en-US"/>
          </a:p>
        </c:txPr>
        <c:crossAx val="888419600"/>
        <c:crossesAt val="0"/>
        <c:auto val="0"/>
        <c:lblAlgn val="ctr"/>
        <c:lblOffset val="100"/>
        <c:noMultiLvlLbl val="0"/>
      </c:catAx>
      <c:valAx>
        <c:axId val="888419600"/>
        <c:scaling>
          <c:orientation val="minMax"/>
          <c:min val="-10"/>
        </c:scaling>
        <c:delete val="0"/>
        <c:axPos val="b"/>
        <c:numFmt formatCode="#,##0.0" sourceLinked="1"/>
        <c:majorTickMark val="none"/>
        <c:minorTickMark val="none"/>
        <c:tickLblPos val="nextTo"/>
        <c:spPr>
          <a:noFill/>
          <a:ln>
            <a:noFill/>
          </a:ln>
          <a:effectLst/>
        </c:spPr>
        <c:txPr>
          <a:bodyPr rot="-60000000" vert="horz"/>
          <a:lstStyle/>
          <a:p>
            <a:pPr>
              <a:defRPr>
                <a:solidFill>
                  <a:schemeClr val="bg1"/>
                </a:solidFill>
              </a:defRPr>
            </a:pPr>
            <a:endParaRPr lang="en-US"/>
          </a:p>
        </c:txPr>
        <c:crossAx val="888414320"/>
        <c:crossesAt val="1"/>
        <c:crossBetween val="between"/>
      </c:valAx>
      <c:valAx>
        <c:axId val="31150592"/>
        <c:scaling>
          <c:orientation val="minMax"/>
          <c:max val="25"/>
          <c:min val="0"/>
        </c:scaling>
        <c:delete val="0"/>
        <c:axPos val="r"/>
        <c:numFmt formatCode="General" sourceLinked="1"/>
        <c:majorTickMark val="out"/>
        <c:minorTickMark val="none"/>
        <c:tickLblPos val="nextTo"/>
        <c:spPr>
          <a:noFill/>
          <a:ln>
            <a:noFill/>
          </a:ln>
          <a:effectLst/>
        </c:spPr>
        <c:txPr>
          <a:bodyPr rot="-60000000" vert="horz"/>
          <a:lstStyle/>
          <a:p>
            <a:pPr>
              <a:defRPr>
                <a:solidFill>
                  <a:schemeClr val="bg1"/>
                </a:solidFill>
              </a:defRPr>
            </a:pPr>
            <a:endParaRPr lang="en-US"/>
          </a:p>
        </c:txPr>
        <c:crossAx val="31164032"/>
        <c:crosses val="max"/>
        <c:crossBetween val="midCat"/>
        <c:minorUnit val="0.5"/>
      </c:valAx>
      <c:valAx>
        <c:axId val="31164032"/>
        <c:scaling>
          <c:orientation val="minMax"/>
        </c:scaling>
        <c:delete val="1"/>
        <c:axPos val="b"/>
        <c:numFmt formatCode="0" sourceLinked="1"/>
        <c:majorTickMark val="out"/>
        <c:minorTickMark val="none"/>
        <c:tickLblPos val="nextTo"/>
        <c:crossAx val="31150592"/>
        <c:crossesAt val="1"/>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583941928022932"/>
          <c:y val="0.10494002407684169"/>
          <c:w val="0.30278486571750257"/>
          <c:h val="0.85317795918234784"/>
        </c:manualLayout>
      </c:layout>
      <c:barChart>
        <c:barDir val="bar"/>
        <c:grouping val="clustered"/>
        <c:varyColors val="0"/>
        <c:ser>
          <c:idx val="0"/>
          <c:order val="0"/>
          <c:spPr>
            <a:solidFill>
              <a:srgbClr val="004E70"/>
            </a:solidFill>
            <a:ln>
              <a:noFill/>
            </a:ln>
            <a:effectLst/>
          </c:spPr>
          <c:invertIfNegative val="0"/>
          <c:dPt>
            <c:idx val="19"/>
            <c:invertIfNegative val="0"/>
            <c:bubble3D val="0"/>
            <c:extLst>
              <c:ext xmlns:c16="http://schemas.microsoft.com/office/drawing/2014/chart" uri="{C3380CC4-5D6E-409C-BE32-E72D297353CC}">
                <c16:uniqueId val="{00000000-DD0E-4402-A460-67996CD0441B}"/>
              </c:ext>
            </c:extLst>
          </c:dPt>
          <c:dLbls>
            <c:dLbl>
              <c:idx val="23"/>
              <c:tx>
                <c:rich>
                  <a:bodyPr rot="0" spcFirstLastPara="1" vertOverflow="ellipsis" vert="horz" wrap="square" lIns="38100" tIns="19050" rIns="38100" bIns="19050" anchor="ctr" anchorCtr="0">
                    <a:spAutoFit/>
                  </a:bodyPr>
                  <a:lstStyle/>
                  <a:p>
                    <a:pPr algn="ctr">
                      <a:defRPr lang="en-US" sz="900" b="0" i="0" u="none" strike="noStrike" kern="1200" baseline="0">
                        <a:solidFill>
                          <a:srgbClr val="004E70"/>
                        </a:solidFill>
                        <a:latin typeface="Montserrat" pitchFamily="2" charset="0"/>
                        <a:ea typeface="+mn-ea"/>
                        <a:cs typeface="+mn-cs"/>
                      </a:defRPr>
                    </a:pPr>
                    <a:fld id="{AC98F210-1DFF-4DBA-9061-4075998DE658}" type="VALUE">
                      <a:rPr lang="en-US" sz="900" b="0" i="0" u="none" strike="noStrike" kern="1200" baseline="0">
                        <a:solidFill>
                          <a:srgbClr val="004E70"/>
                        </a:solidFill>
                        <a:latin typeface="Montserrat" pitchFamily="2" charset="0"/>
                        <a:ea typeface="+mn-ea"/>
                        <a:cs typeface="+mn-cs"/>
                      </a:rPr>
                      <a:pPr algn="ctr">
                        <a:defRPr lang="en-US" sz="900" b="0" i="0" u="none" strike="noStrike" kern="1200" baseline="0">
                          <a:solidFill>
                            <a:srgbClr val="004E70"/>
                          </a:solidFill>
                          <a:latin typeface="Montserrat" pitchFamily="2" charset="0"/>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D0E-4402-A460-67996CD0441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4E70"/>
                    </a:solidFill>
                    <a:latin typeface="Montserrat" pitchFamily="2"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Fact1_2!$BM$24:$BM$41</c:f>
              <c:strCache>
                <c:ptCount val="18"/>
                <c:pt idx="0">
                  <c:v>SLV       18</c:v>
                </c:pt>
                <c:pt idx="1">
                  <c:v>GUY       17</c:v>
                </c:pt>
                <c:pt idx="2">
                  <c:v>URY       16</c:v>
                </c:pt>
                <c:pt idx="3">
                  <c:v>PAN       15</c:v>
                </c:pt>
                <c:pt idx="4">
                  <c:v>CRI       14</c:v>
                </c:pt>
                <c:pt idx="5">
                  <c:v>PRY       13</c:v>
                </c:pt>
                <c:pt idx="6">
                  <c:v>BOL       12</c:v>
                </c:pt>
                <c:pt idx="7">
                  <c:v>CHL       11</c:v>
                </c:pt>
                <c:pt idx="8">
                  <c:v>DOM       10</c:v>
                </c:pt>
                <c:pt idx="9">
                  <c:v>HND       9</c:v>
                </c:pt>
                <c:pt idx="10">
                  <c:v>GTM       8</c:v>
                </c:pt>
                <c:pt idx="11">
                  <c:v>ECU       7</c:v>
                </c:pt>
                <c:pt idx="12">
                  <c:v>VEN       6</c:v>
                </c:pt>
                <c:pt idx="13">
                  <c:v>ARG       5</c:v>
                </c:pt>
                <c:pt idx="14">
                  <c:v>PER       4</c:v>
                </c:pt>
                <c:pt idx="15">
                  <c:v>COL       3</c:v>
                </c:pt>
                <c:pt idx="16">
                  <c:v>MEX       2</c:v>
                </c:pt>
                <c:pt idx="17">
                  <c:v>BRA       1</c:v>
                </c:pt>
              </c:strCache>
            </c:strRef>
          </c:cat>
          <c:val>
            <c:numRef>
              <c:f>Fact1_2!$BL$24:$BL$41</c:f>
              <c:numCache>
                <c:formatCode>#,##0.0</c:formatCode>
                <c:ptCount val="18"/>
                <c:pt idx="0">
                  <c:v>1.4697356399693871</c:v>
                </c:pt>
                <c:pt idx="1">
                  <c:v>0.21112013936714172</c:v>
                </c:pt>
                <c:pt idx="2">
                  <c:v>0.35308568088478093</c:v>
                </c:pt>
                <c:pt idx="3">
                  <c:v>0.46876486901865005</c:v>
                </c:pt>
                <c:pt idx="4">
                  <c:v>0.74457063598548889</c:v>
                </c:pt>
                <c:pt idx="5">
                  <c:v>1.3007250206314087</c:v>
                </c:pt>
                <c:pt idx="6">
                  <c:v>1.5598044011704157</c:v>
                </c:pt>
                <c:pt idx="7">
                  <c:v>1.5707972038168907</c:v>
                </c:pt>
                <c:pt idx="8">
                  <c:v>2.2973968687254716</c:v>
                </c:pt>
                <c:pt idx="9">
                  <c:v>2.6553589643136979</c:v>
                </c:pt>
                <c:pt idx="10">
                  <c:v>4.2435278192481993</c:v>
                </c:pt>
                <c:pt idx="11">
                  <c:v>4.4608542565551756</c:v>
                </c:pt>
                <c:pt idx="12">
                  <c:v>4.941968614996548</c:v>
                </c:pt>
                <c:pt idx="13">
                  <c:v>5.8872808940169143</c:v>
                </c:pt>
                <c:pt idx="14">
                  <c:v>8.6586185231677444</c:v>
                </c:pt>
                <c:pt idx="15">
                  <c:v>11.307494780581056</c:v>
                </c:pt>
                <c:pt idx="16">
                  <c:v>27.882843880275782</c:v>
                </c:pt>
                <c:pt idx="17">
                  <c:v>40.190559834385951</c:v>
                </c:pt>
              </c:numCache>
            </c:numRef>
          </c:val>
          <c:extLst>
            <c:ext xmlns:c16="http://schemas.microsoft.com/office/drawing/2014/chart" uri="{C3380CC4-5D6E-409C-BE32-E72D297353CC}">
              <c16:uniqueId val="{00000002-DD0E-4402-A460-67996CD0441B}"/>
            </c:ext>
          </c:extLst>
        </c:ser>
        <c:dLbls>
          <c:showLegendKey val="0"/>
          <c:showVal val="0"/>
          <c:showCatName val="0"/>
          <c:showSerName val="0"/>
          <c:showPercent val="0"/>
          <c:showBubbleSize val="0"/>
        </c:dLbls>
        <c:gapWidth val="60"/>
        <c:overlap val="100"/>
        <c:axId val="888414320"/>
        <c:axId val="888419600"/>
      </c:barChart>
      <c:scatterChart>
        <c:scatterStyle val="lineMarker"/>
        <c:varyColors val="0"/>
        <c:ser>
          <c:idx val="2"/>
          <c:order val="1"/>
          <c:spPr>
            <a:ln w="25400" cap="rnd">
              <a:noFill/>
              <a:round/>
            </a:ln>
            <a:effectLst/>
          </c:spPr>
          <c:marker>
            <c:symbol val="circle"/>
            <c:size val="5"/>
            <c:spPr>
              <a:solidFill>
                <a:schemeClr val="bg1"/>
              </a:solidFill>
              <a:ln w="9525">
                <a:solidFill>
                  <a:schemeClr val="bg1"/>
                </a:solidFill>
              </a:ln>
              <a:effectLst/>
            </c:spPr>
          </c:marker>
          <c:xVal>
            <c:strRef>
              <c:f>[2]Fact2!#REF!</c:f>
              <c:strCache>
                <c:ptCount val="1"/>
                <c:pt idx="0">
                  <c:v>#REF!</c:v>
                </c:pt>
              </c:strCache>
            </c:strRef>
          </c:xVal>
          <c:yVal>
            <c:numRef>
              <c:f>[3]Sheet8!#REF!</c:f>
              <c:numCache>
                <c:formatCode>General</c:formatCode>
                <c:ptCount val="1"/>
                <c:pt idx="0">
                  <c:v>1</c:v>
                </c:pt>
              </c:numCache>
            </c:numRef>
          </c:yVal>
          <c:smooth val="0"/>
          <c:extLst>
            <c:ext xmlns:c16="http://schemas.microsoft.com/office/drawing/2014/chart" uri="{C3380CC4-5D6E-409C-BE32-E72D297353CC}">
              <c16:uniqueId val="{00000003-DD0E-4402-A460-67996CD0441B}"/>
            </c:ext>
          </c:extLst>
        </c:ser>
        <c:dLbls>
          <c:showLegendKey val="0"/>
          <c:showVal val="0"/>
          <c:showCatName val="0"/>
          <c:showSerName val="0"/>
          <c:showPercent val="0"/>
          <c:showBubbleSize val="0"/>
        </c:dLbls>
        <c:axId val="31164032"/>
        <c:axId val="31150592"/>
      </c:scatterChart>
      <c:catAx>
        <c:axId val="88841432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ontserrat" pitchFamily="2" charset="0"/>
                <a:ea typeface="+mn-ea"/>
                <a:cs typeface="+mn-cs"/>
              </a:defRPr>
            </a:pPr>
            <a:endParaRPr lang="en-US"/>
          </a:p>
        </c:txPr>
        <c:crossAx val="888419600"/>
        <c:crossesAt val="0"/>
        <c:auto val="0"/>
        <c:lblAlgn val="ctr"/>
        <c:lblOffset val="100"/>
        <c:noMultiLvlLbl val="0"/>
      </c:catAx>
      <c:valAx>
        <c:axId val="888419600"/>
        <c:scaling>
          <c:orientation val="minMax"/>
          <c:min val="-10"/>
        </c:scaling>
        <c:delete val="0"/>
        <c:axPos val="b"/>
        <c:title>
          <c:tx>
            <c:rich>
              <a:bodyPr/>
              <a:lstStyle/>
              <a:p>
                <a:pPr>
                  <a:defRPr>
                    <a:solidFill>
                      <a:srgbClr val="004E70"/>
                    </a:solidFill>
                  </a:defRPr>
                </a:pPr>
                <a:r>
                  <a:rPr lang="en-US" sz="1000" b="0" i="0" u="none" strike="noStrike" kern="1200" baseline="0">
                    <a:solidFill>
                      <a:srgbClr val="004E70"/>
                    </a:solidFill>
                    <a:latin typeface="Montserrat" pitchFamily="2" charset="0"/>
                  </a:rPr>
                  <a:t>Number of people (millions)</a:t>
                </a:r>
              </a:p>
            </c:rich>
          </c:tx>
          <c:layout>
            <c:manualLayout>
              <c:xMode val="edge"/>
              <c:yMode val="edge"/>
              <c:x val="0.30672554789661532"/>
              <c:y val="0.95526468942045217"/>
            </c:manualLayout>
          </c:layout>
          <c:overlay val="0"/>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ontserrat" pitchFamily="2" charset="0"/>
                <a:ea typeface="+mn-ea"/>
                <a:cs typeface="+mn-cs"/>
              </a:defRPr>
            </a:pPr>
            <a:endParaRPr lang="en-US"/>
          </a:p>
        </c:txPr>
        <c:crossAx val="888414320"/>
        <c:crossesAt val="1"/>
        <c:crossBetween val="between"/>
      </c:valAx>
      <c:valAx>
        <c:axId val="31150592"/>
        <c:scaling>
          <c:orientation val="minMax"/>
          <c:max val="25"/>
          <c:min val="0"/>
        </c:scaling>
        <c:delete val="1"/>
        <c:axPos val="r"/>
        <c:numFmt formatCode="General" sourceLinked="1"/>
        <c:majorTickMark val="out"/>
        <c:minorTickMark val="none"/>
        <c:tickLblPos val="nextTo"/>
        <c:crossAx val="31164032"/>
        <c:crosses val="max"/>
        <c:crossBetween val="midCat"/>
        <c:minorUnit val="0.5"/>
      </c:valAx>
      <c:valAx>
        <c:axId val="31164032"/>
        <c:scaling>
          <c:orientation val="minMax"/>
        </c:scaling>
        <c:delete val="1"/>
        <c:axPos val="b"/>
        <c:numFmt formatCode="0" sourceLinked="1"/>
        <c:majorTickMark val="out"/>
        <c:minorTickMark val="none"/>
        <c:tickLblPos val="nextTo"/>
        <c:crossAx val="31150592"/>
        <c:crossesAt val="1"/>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Montserrat" pitchFamily="2" charset="0"/>
        </a:defRPr>
      </a:pPr>
      <a:endParaRPr lang="en-US"/>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4835842543408E-2"/>
          <c:y val="5.6338791271490676E-2"/>
          <c:w val="0.90983288601258305"/>
          <c:h val="0.778313607950326"/>
        </c:manualLayout>
      </c:layout>
      <c:barChart>
        <c:barDir val="col"/>
        <c:grouping val="clustered"/>
        <c:varyColors val="0"/>
        <c:ser>
          <c:idx val="0"/>
          <c:order val="0"/>
          <c:tx>
            <c:v>Extreme Poverty</c:v>
          </c:tx>
          <c:spPr>
            <a:solidFill>
              <a:srgbClr val="8FC5ED"/>
            </a:solidFill>
            <a:ln>
              <a:noFill/>
            </a:ln>
            <a:effectLst/>
          </c:spPr>
          <c:invertIfNegative val="0"/>
          <c:dLbls>
            <c:dLbl>
              <c:idx val="0"/>
              <c:layout>
                <c:manualLayout>
                  <c:x val="3.325233785317845E-3"/>
                  <c:y val="-2.626606573217382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453-4D04-82D2-312F575051BC}"/>
                </c:ext>
              </c:extLst>
            </c:dLbl>
            <c:dLbl>
              <c:idx val="1"/>
              <c:layout>
                <c:manualLayout>
                  <c:x val="2.21682252354523E-3"/>
                  <c:y val="5.253213146434716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453-4D04-82D2-312F575051BC}"/>
                </c:ext>
              </c:extLst>
            </c:dLbl>
            <c:dLbl>
              <c:idx val="21"/>
              <c:layout>
                <c:manualLayout>
                  <c:x val="8.3569331700330037E-3"/>
                  <c:y val="0"/>
                </c:manualLayout>
              </c:layout>
              <c:spPr>
                <a:solidFill>
                  <a:srgbClr val="8FC5ED"/>
                </a:solidFill>
                <a:ln>
                  <a:noFill/>
                </a:ln>
                <a:effectLst/>
              </c:spPr>
              <c:txPr>
                <a:bodyPr rot="0" spcFirstLastPara="1" vertOverflow="ellipsis" vert="horz" wrap="square" anchor="ctr" anchorCtr="1"/>
                <a:lstStyle/>
                <a:p>
                  <a:pPr>
                    <a:defRPr sz="900" b="1" i="0" u="none" strike="noStrike" kern="1200" baseline="0">
                      <a:solidFill>
                        <a:schemeClr val="bg1"/>
                      </a:solidFill>
                      <a:latin typeface="Montserrat"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453-4D04-82D2-312F575051BC}"/>
                </c:ext>
              </c:extLst>
            </c:dLbl>
            <c:dLbl>
              <c:idx val="22"/>
              <c:layout>
                <c:manualLayout>
                  <c:x val="7.3123165237790116E-3"/>
                  <c:y val="-6.3589502224381984E-3"/>
                </c:manualLayout>
              </c:layout>
              <c:spPr>
                <a:solidFill>
                  <a:srgbClr val="8FC5ED"/>
                </a:solidFill>
                <a:ln>
                  <a:noFill/>
                </a:ln>
                <a:effectLst/>
              </c:spPr>
              <c:txPr>
                <a:bodyPr rot="0" spcFirstLastPara="1" vertOverflow="ellipsis" vert="horz" wrap="square" anchor="ctr" anchorCtr="1"/>
                <a:lstStyle/>
                <a:p>
                  <a:pPr>
                    <a:defRPr sz="800" b="1" i="0" u="none" strike="noStrike" kern="1200" baseline="0">
                      <a:solidFill>
                        <a:schemeClr val="bg1"/>
                      </a:solidFill>
                      <a:latin typeface="Montserrat"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453-4D04-82D2-312F575051BC}"/>
                </c:ext>
              </c:extLst>
            </c:dLbl>
            <c:dLbl>
              <c:idx val="25"/>
              <c:layout>
                <c:manualLayout>
                  <c:x val="6.952025730888556E-3"/>
                  <c:y val="0"/>
                </c:manualLayout>
              </c:layout>
              <c:spPr>
                <a:solidFill>
                  <a:srgbClr val="8FC5ED"/>
                </a:solidFill>
                <a:ln>
                  <a:noFill/>
                </a:ln>
                <a:effectLst/>
              </c:spPr>
              <c:txPr>
                <a:bodyPr rot="0" spcFirstLastPara="1" vertOverflow="ellipsis" vert="horz" wrap="square" anchor="ctr" anchorCtr="1"/>
                <a:lstStyle/>
                <a:p>
                  <a:pPr>
                    <a:defRPr sz="1050" b="1" i="0" u="none" strike="noStrike" kern="1200" baseline="0">
                      <a:solidFill>
                        <a:schemeClr val="bg1"/>
                      </a:solidFill>
                      <a:latin typeface="Montserrat"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453-4D04-82D2-312F575051BC}"/>
                </c:ext>
              </c:extLst>
            </c:dLbl>
            <c:dLbl>
              <c:idx val="26"/>
              <c:spPr>
                <a:solidFill>
                  <a:srgbClr val="8FC5ED"/>
                </a:solidFill>
                <a:ln>
                  <a:noFill/>
                </a:ln>
                <a:effectLst/>
              </c:spPr>
              <c:txPr>
                <a:bodyPr rot="0" spcFirstLastPara="1" vertOverflow="ellipsis" vert="horz" wrap="square" anchor="ctr" anchorCtr="1"/>
                <a:lstStyle/>
                <a:p>
                  <a:pPr>
                    <a:defRPr sz="1050" b="1" i="0" u="none" strike="noStrike" kern="1200" baseline="0">
                      <a:solidFill>
                        <a:schemeClr val="bg1"/>
                      </a:solidFill>
                      <a:latin typeface="Montserrat" pitchFamily="2" charset="0"/>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A-4453-4D04-82D2-312F575051BC}"/>
                </c:ext>
              </c:extLst>
            </c:dLbl>
            <c:spPr>
              <a:noFill/>
              <a:ln>
                <a:noFill/>
              </a:ln>
              <a:effectLst/>
            </c:spPr>
            <c:txPr>
              <a:bodyPr rot="0" spcFirstLastPara="1" vertOverflow="ellipsis" vert="horz" wrap="square" anchor="ctr" anchorCtr="1"/>
              <a:lstStyle/>
              <a:p>
                <a:pPr>
                  <a:defRPr sz="800" b="1" i="0" u="none" strike="noStrike" kern="1200" baseline="0">
                    <a:solidFill>
                      <a:srgbClr val="8FC5ED"/>
                    </a:solidFill>
                    <a:latin typeface="Montserrat"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Fact1_2!$D$88:$D$112</c:f>
              <c:strCache>
                <c:ptCount val="21"/>
                <c:pt idx="0">
                  <c:v>VEN</c:v>
                </c:pt>
                <c:pt idx="1">
                  <c:v>HND</c:v>
                </c:pt>
                <c:pt idx="2">
                  <c:v>GUY</c:v>
                </c:pt>
                <c:pt idx="3">
                  <c:v>GTM</c:v>
                </c:pt>
                <c:pt idx="4">
                  <c:v>COL</c:v>
                </c:pt>
                <c:pt idx="5">
                  <c:v>ECU</c:v>
                </c:pt>
                <c:pt idx="6">
                  <c:v>SLV</c:v>
                </c:pt>
                <c:pt idx="7">
                  <c:v>PER</c:v>
                </c:pt>
                <c:pt idx="8">
                  <c:v>PRY</c:v>
                </c:pt>
                <c:pt idx="9">
                  <c:v>BRA</c:v>
                </c:pt>
                <c:pt idx="10">
                  <c:v>MEX</c:v>
                </c:pt>
                <c:pt idx="11">
                  <c:v>BOL</c:v>
                </c:pt>
                <c:pt idx="12">
                  <c:v>DOM</c:v>
                </c:pt>
                <c:pt idx="13">
                  <c:v>PAN</c:v>
                </c:pt>
                <c:pt idx="14">
                  <c:v>ARG</c:v>
                </c:pt>
                <c:pt idx="15">
                  <c:v>CRI</c:v>
                </c:pt>
                <c:pt idx="16">
                  <c:v>URY</c:v>
                </c:pt>
                <c:pt idx="17">
                  <c:v>CHL</c:v>
                </c:pt>
                <c:pt idx="19">
                  <c:v>LAC</c:v>
                </c:pt>
                <c:pt idx="20">
                  <c:v>OECD</c:v>
                </c:pt>
              </c:strCache>
            </c:strRef>
          </c:cat>
          <c:val>
            <c:numRef>
              <c:f>Fact1_2!$E$88:$E$110</c:f>
              <c:numCache>
                <c:formatCode>0</c:formatCode>
                <c:ptCount val="23"/>
                <c:pt idx="0">
                  <c:v>53.867767333984375</c:v>
                </c:pt>
                <c:pt idx="1">
                  <c:v>35.109729766845703</c:v>
                </c:pt>
                <c:pt idx="2">
                  <c:v>31.99846076965332</c:v>
                </c:pt>
                <c:pt idx="3">
                  <c:v>31.91087532043457</c:v>
                </c:pt>
                <c:pt idx="4">
                  <c:v>19.512697219848633</c:v>
                </c:pt>
                <c:pt idx="5">
                  <c:v>15.846808433532715</c:v>
                </c:pt>
                <c:pt idx="6">
                  <c:v>15.566752433776855</c:v>
                </c:pt>
                <c:pt idx="7">
                  <c:v>12.462396621704102</c:v>
                </c:pt>
                <c:pt idx="8">
                  <c:v>12.367045402526855</c:v>
                </c:pt>
                <c:pt idx="9">
                  <c:v>10.865315437316895</c:v>
                </c:pt>
                <c:pt idx="10">
                  <c:v>10.268985748291016</c:v>
                </c:pt>
                <c:pt idx="11">
                  <c:v>9.1588373184204102</c:v>
                </c:pt>
                <c:pt idx="12">
                  <c:v>9.0519723892211914</c:v>
                </c:pt>
                <c:pt idx="13">
                  <c:v>8.9458808898925781</c:v>
                </c:pt>
                <c:pt idx="14">
                  <c:v>8.1207027435302734</c:v>
                </c:pt>
                <c:pt idx="15">
                  <c:v>6.5896177291870117</c:v>
                </c:pt>
                <c:pt idx="16">
                  <c:v>3.9979178905487061</c:v>
                </c:pt>
                <c:pt idx="17">
                  <c:v>3.2169833183288574</c:v>
                </c:pt>
                <c:pt idx="19">
                  <c:v>14.206571375766352</c:v>
                </c:pt>
                <c:pt idx="20">
                  <c:v>1.504975490560732</c:v>
                </c:pt>
              </c:numCache>
            </c:numRef>
          </c:val>
          <c:extLst>
            <c:ext xmlns:c16="http://schemas.microsoft.com/office/drawing/2014/chart" uri="{C3380CC4-5D6E-409C-BE32-E72D297353CC}">
              <c16:uniqueId val="{0000000B-4453-4D04-82D2-312F575051BC}"/>
            </c:ext>
          </c:extLst>
        </c:ser>
        <c:ser>
          <c:idx val="2"/>
          <c:order val="1"/>
          <c:tx>
            <c:strRef>
              <c:f>Fact1_2!$I$87</c:f>
              <c:strCache>
                <c:ptCount val="1"/>
                <c:pt idx="0">
                  <c:v>Moderate Poverty</c:v>
                </c:pt>
              </c:strCache>
            </c:strRef>
          </c:tx>
          <c:spPr>
            <a:solidFill>
              <a:srgbClr val="3F6C7C"/>
            </a:solidFill>
            <a:ln w="25400">
              <a:noFill/>
            </a:ln>
            <a:effectLst/>
          </c:spPr>
          <c:invertIfNegative val="0"/>
          <c:dLbls>
            <c:dLbl>
              <c:idx val="21"/>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3F6C7C"/>
                      </a:solidFill>
                      <a:latin typeface="Montserrat" pitchFamily="2" charset="0"/>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0-4453-4D04-82D2-312F575051BC}"/>
                </c:ext>
              </c:extLst>
            </c:dLbl>
            <c:dLbl>
              <c:idx val="22"/>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3F6C7C"/>
                      </a:solidFill>
                      <a:latin typeface="Montserrat" pitchFamily="2" charset="0"/>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1-4453-4D04-82D2-312F575051BC}"/>
                </c:ext>
              </c:extLst>
            </c:dLbl>
            <c:dLbl>
              <c:idx val="25"/>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3F6C7C"/>
                      </a:solidFill>
                      <a:latin typeface="Montserrat" pitchFamily="2" charset="0"/>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2-4453-4D04-82D2-312F575051BC}"/>
                </c:ext>
              </c:extLst>
            </c:dLbl>
            <c:dLbl>
              <c:idx val="26"/>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3F6C7C"/>
                      </a:solidFill>
                      <a:latin typeface="Montserrat" pitchFamily="2" charset="0"/>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3-4453-4D04-82D2-312F575051BC}"/>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3F6C7C"/>
                    </a:solidFill>
                    <a:latin typeface="Montserrat" pitchFamily="2"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Fact1_2!$I$88:$I$110</c:f>
              <c:numCache>
                <c:formatCode>0</c:formatCode>
                <c:ptCount val="23"/>
                <c:pt idx="0">
                  <c:v>17.13670539855957</c:v>
                </c:pt>
                <c:pt idx="1">
                  <c:v>25.065221786499023</c:v>
                </c:pt>
                <c:pt idx="2">
                  <c:v>25.941425323486328</c:v>
                </c:pt>
                <c:pt idx="3">
                  <c:v>23.455238342285156</c:v>
                </c:pt>
                <c:pt idx="4">
                  <c:v>21.709625244140625</c:v>
                </c:pt>
                <c:pt idx="5">
                  <c:v>24.52301025390625</c:v>
                </c:pt>
                <c:pt idx="6">
                  <c:v>23.091104507446289</c:v>
                </c:pt>
                <c:pt idx="7">
                  <c:v>25.205045700073242</c:v>
                </c:pt>
                <c:pt idx="8">
                  <c:v>18.956794738769531</c:v>
                </c:pt>
                <c:pt idx="9">
                  <c:v>18.57042121887207</c:v>
                </c:pt>
                <c:pt idx="10">
                  <c:v>21.706216812133789</c:v>
                </c:pt>
                <c:pt idx="11">
                  <c:v>12.590672492980957</c:v>
                </c:pt>
                <c:pt idx="12">
                  <c:v>20.271793365478516</c:v>
                </c:pt>
                <c:pt idx="13">
                  <c:v>10.491399765014648</c:v>
                </c:pt>
                <c:pt idx="14">
                  <c:v>12.861659049987793</c:v>
                </c:pt>
                <c:pt idx="15">
                  <c:v>14.285224914550781</c:v>
                </c:pt>
                <c:pt idx="16">
                  <c:v>10.314765930175781</c:v>
                </c:pt>
                <c:pt idx="17">
                  <c:v>8.0021905899047852</c:v>
                </c:pt>
                <c:pt idx="19">
                  <c:v>19.285195684669443</c:v>
                </c:pt>
                <c:pt idx="20">
                  <c:v>3.2490701773386816</c:v>
                </c:pt>
              </c:numCache>
            </c:numRef>
          </c:val>
          <c:extLst>
            <c:ext xmlns:c16="http://schemas.microsoft.com/office/drawing/2014/chart" uri="{C3380CC4-5D6E-409C-BE32-E72D297353CC}">
              <c16:uniqueId val="{00000004-4453-4D04-82D2-312F575051BC}"/>
            </c:ext>
          </c:extLst>
        </c:ser>
        <c:ser>
          <c:idx val="3"/>
          <c:order val="3"/>
          <c:tx>
            <c:strRef>
              <c:f>Fact1_2!$J$87</c:f>
              <c:strCache>
                <c:ptCount val="1"/>
                <c:pt idx="0">
                  <c:v>Total Poverty</c:v>
                </c:pt>
              </c:strCache>
            </c:strRef>
          </c:tx>
          <c:spPr>
            <a:solidFill>
              <a:schemeClr val="accent4">
                <a:lumMod val="40000"/>
                <a:lumOff val="60000"/>
              </a:schemeClr>
            </a:solidFill>
            <a:ln w="38100">
              <a:noFill/>
            </a:ln>
          </c:spPr>
          <c:invertIfNegative val="0"/>
          <c:dLbls>
            <c:spPr>
              <a:noFill/>
              <a:ln>
                <a:noFill/>
              </a:ln>
              <a:effectLst/>
            </c:spPr>
            <c:txPr>
              <a:bodyPr wrap="square" lIns="38100" tIns="19050" rIns="38100" bIns="19050" anchor="ctr">
                <a:spAutoFit/>
              </a:bodyPr>
              <a:lstStyle/>
              <a:p>
                <a:pPr>
                  <a:defRPr sz="800">
                    <a:solidFill>
                      <a:schemeClr val="accent4">
                        <a:lumMod val="50000"/>
                      </a:schemeClr>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val>
            <c:numRef>
              <c:f>Fact1_2!$J$88:$J$108</c:f>
              <c:numCache>
                <c:formatCode>0</c:formatCode>
                <c:ptCount val="21"/>
                <c:pt idx="0">
                  <c:v>71.004472732543945</c:v>
                </c:pt>
                <c:pt idx="1">
                  <c:v>60.174951553344727</c:v>
                </c:pt>
                <c:pt idx="2">
                  <c:v>57.939886093139648</c:v>
                </c:pt>
                <c:pt idx="3">
                  <c:v>55.366113662719727</c:v>
                </c:pt>
                <c:pt idx="4">
                  <c:v>41.222322463989258</c:v>
                </c:pt>
                <c:pt idx="5">
                  <c:v>40.369818687438965</c:v>
                </c:pt>
                <c:pt idx="6">
                  <c:v>38.657856941223145</c:v>
                </c:pt>
                <c:pt idx="7">
                  <c:v>37.667442321777344</c:v>
                </c:pt>
                <c:pt idx="8">
                  <c:v>31.323840141296387</c:v>
                </c:pt>
                <c:pt idx="9">
                  <c:v>29.435736656188965</c:v>
                </c:pt>
                <c:pt idx="10">
                  <c:v>31.975202560424805</c:v>
                </c:pt>
                <c:pt idx="11">
                  <c:v>21.749509811401367</c:v>
                </c:pt>
                <c:pt idx="12">
                  <c:v>29.323765754699707</c:v>
                </c:pt>
                <c:pt idx="13">
                  <c:v>19.437280654907227</c:v>
                </c:pt>
                <c:pt idx="14">
                  <c:v>20.982361793518066</c:v>
                </c:pt>
                <c:pt idx="15">
                  <c:v>20.874842643737793</c:v>
                </c:pt>
                <c:pt idx="16">
                  <c:v>14.312683820724487</c:v>
                </c:pt>
                <c:pt idx="17">
                  <c:v>11.219173908233643</c:v>
                </c:pt>
                <c:pt idx="19">
                  <c:v>33.491767060435791</c:v>
                </c:pt>
                <c:pt idx="20">
                  <c:v>4.7540456678994136</c:v>
                </c:pt>
              </c:numCache>
            </c:numRef>
          </c:val>
          <c:extLst>
            <c:ext xmlns:c16="http://schemas.microsoft.com/office/drawing/2014/chart" uri="{C3380CC4-5D6E-409C-BE32-E72D297353CC}">
              <c16:uniqueId val="{00000017-C9BF-44F6-BD49-20B101F72C72}"/>
            </c:ext>
          </c:extLst>
        </c:ser>
        <c:dLbls>
          <c:showLegendKey val="0"/>
          <c:showVal val="0"/>
          <c:showCatName val="0"/>
          <c:showSerName val="0"/>
          <c:showPercent val="0"/>
          <c:showBubbleSize val="0"/>
        </c:dLbls>
        <c:gapWidth val="80"/>
        <c:axId val="626367008"/>
        <c:axId val="625661520"/>
      </c:barChart>
      <c:lineChart>
        <c:grouping val="standard"/>
        <c:varyColors val="0"/>
        <c:ser>
          <c:idx val="1"/>
          <c:order val="2"/>
          <c:tx>
            <c:strRef>
              <c:f>Fact1_2!$C$88:$C$109</c:f>
              <c:strCache>
                <c:ptCount val="22"/>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9">
                  <c:v>-6</c:v>
                </c:pt>
                <c:pt idx="20">
                  <c:v>-6</c:v>
                </c:pt>
              </c:strCache>
            </c:strRef>
          </c:tx>
          <c:spPr>
            <a:ln w="28575" cap="rnd">
              <a:noFill/>
              <a:round/>
            </a:ln>
            <a:effectLst/>
          </c:spPr>
          <c:marker>
            <c:symbol val="picture"/>
            <c:spPr>
              <a:blipFill>
                <a:blip xmlns:r="http://schemas.openxmlformats.org/officeDocument/2006/relationships" r:embed="rId1"/>
                <a:stretch>
                  <a:fillRect/>
                </a:stretch>
              </a:blipFill>
              <a:ln w="25400">
                <a:noFill/>
              </a:ln>
              <a:effectLst/>
            </c:spPr>
          </c:marker>
          <c:dPt>
            <c:idx val="0"/>
            <c:marker>
              <c:spPr>
                <a:blipFill>
                  <a:blip xmlns:r="http://schemas.openxmlformats.org/officeDocument/2006/relationships" r:embed="rId2"/>
                  <a:stretch>
                    <a:fillRect/>
                  </a:stretch>
                </a:blipFill>
                <a:ln w="25400">
                  <a:noFill/>
                </a:ln>
                <a:effectLst/>
              </c:spPr>
            </c:marker>
            <c:bubble3D val="0"/>
            <c:extLst>
              <c:ext xmlns:c16="http://schemas.microsoft.com/office/drawing/2014/chart" uri="{C3380CC4-5D6E-409C-BE32-E72D297353CC}">
                <c16:uniqueId val="{0000000C-4453-4D04-82D2-312F575051BC}"/>
              </c:ext>
            </c:extLst>
          </c:dPt>
          <c:dPt>
            <c:idx val="1"/>
            <c:marker>
              <c:spPr>
                <a:blipFill>
                  <a:blip xmlns:r="http://schemas.openxmlformats.org/officeDocument/2006/relationships" r:embed="rId3"/>
                  <a:stretch>
                    <a:fillRect/>
                  </a:stretch>
                </a:blipFill>
                <a:ln w="25400">
                  <a:noFill/>
                </a:ln>
                <a:effectLst/>
              </c:spPr>
            </c:marker>
            <c:bubble3D val="0"/>
            <c:extLst>
              <c:ext xmlns:c16="http://schemas.microsoft.com/office/drawing/2014/chart" uri="{C3380CC4-5D6E-409C-BE32-E72D297353CC}">
                <c16:uniqueId val="{0000000D-4453-4D04-82D2-312F575051BC}"/>
              </c:ext>
            </c:extLst>
          </c:dPt>
          <c:dPt>
            <c:idx val="2"/>
            <c:marker>
              <c:spPr>
                <a:blipFill>
                  <a:blip xmlns:r="http://schemas.openxmlformats.org/officeDocument/2006/relationships" r:embed="rId4"/>
                  <a:stretch>
                    <a:fillRect/>
                  </a:stretch>
                </a:blipFill>
                <a:ln w="25400">
                  <a:noFill/>
                </a:ln>
                <a:effectLst/>
              </c:spPr>
            </c:marker>
            <c:bubble3D val="0"/>
            <c:extLst>
              <c:ext xmlns:c16="http://schemas.microsoft.com/office/drawing/2014/chart" uri="{C3380CC4-5D6E-409C-BE32-E72D297353CC}">
                <c16:uniqueId val="{0000000E-4453-4D04-82D2-312F575051BC}"/>
              </c:ext>
            </c:extLst>
          </c:dPt>
          <c:dPt>
            <c:idx val="3"/>
            <c:marker>
              <c:spPr>
                <a:blipFill>
                  <a:blip xmlns:r="http://schemas.openxmlformats.org/officeDocument/2006/relationships" r:embed="rId5"/>
                  <a:stretch>
                    <a:fillRect/>
                  </a:stretch>
                </a:blipFill>
                <a:ln w="25400">
                  <a:noFill/>
                </a:ln>
                <a:effectLst/>
              </c:spPr>
            </c:marker>
            <c:bubble3D val="0"/>
            <c:extLst>
              <c:ext xmlns:c16="http://schemas.microsoft.com/office/drawing/2014/chart" uri="{C3380CC4-5D6E-409C-BE32-E72D297353CC}">
                <c16:uniqueId val="{0000000F-4453-4D04-82D2-312F575051BC}"/>
              </c:ext>
            </c:extLst>
          </c:dPt>
          <c:dPt>
            <c:idx val="4"/>
            <c:marker>
              <c:spPr>
                <a:blipFill>
                  <a:blip xmlns:r="http://schemas.openxmlformats.org/officeDocument/2006/relationships" r:embed="rId6"/>
                  <a:stretch>
                    <a:fillRect/>
                  </a:stretch>
                </a:blipFill>
                <a:ln w="25400">
                  <a:noFill/>
                </a:ln>
                <a:effectLst/>
              </c:spPr>
            </c:marker>
            <c:bubble3D val="0"/>
            <c:extLst>
              <c:ext xmlns:c16="http://schemas.microsoft.com/office/drawing/2014/chart" uri="{C3380CC4-5D6E-409C-BE32-E72D297353CC}">
                <c16:uniqueId val="{00000010-4453-4D04-82D2-312F575051BC}"/>
              </c:ext>
            </c:extLst>
          </c:dPt>
          <c:dPt>
            <c:idx val="5"/>
            <c:marker>
              <c:spPr>
                <a:blipFill>
                  <a:blip xmlns:r="http://schemas.openxmlformats.org/officeDocument/2006/relationships" r:embed="rId7"/>
                  <a:stretch>
                    <a:fillRect/>
                  </a:stretch>
                </a:blipFill>
                <a:ln w="25400">
                  <a:noFill/>
                </a:ln>
                <a:effectLst/>
              </c:spPr>
            </c:marker>
            <c:bubble3D val="0"/>
            <c:extLst>
              <c:ext xmlns:c16="http://schemas.microsoft.com/office/drawing/2014/chart" uri="{C3380CC4-5D6E-409C-BE32-E72D297353CC}">
                <c16:uniqueId val="{00000011-4453-4D04-82D2-312F575051BC}"/>
              </c:ext>
            </c:extLst>
          </c:dPt>
          <c:dPt>
            <c:idx val="6"/>
            <c:marker>
              <c:spPr>
                <a:blipFill>
                  <a:blip xmlns:r="http://schemas.openxmlformats.org/officeDocument/2006/relationships" r:embed="rId8"/>
                  <a:stretch>
                    <a:fillRect/>
                  </a:stretch>
                </a:blipFill>
                <a:ln w="25400">
                  <a:noFill/>
                </a:ln>
                <a:effectLst/>
              </c:spPr>
            </c:marker>
            <c:bubble3D val="0"/>
            <c:extLst>
              <c:ext xmlns:c16="http://schemas.microsoft.com/office/drawing/2014/chart" uri="{C3380CC4-5D6E-409C-BE32-E72D297353CC}">
                <c16:uniqueId val="{00000012-4453-4D04-82D2-312F575051BC}"/>
              </c:ext>
            </c:extLst>
          </c:dPt>
          <c:dPt>
            <c:idx val="7"/>
            <c:marker>
              <c:spPr>
                <a:blipFill>
                  <a:blip xmlns:r="http://schemas.openxmlformats.org/officeDocument/2006/relationships" r:embed="rId9"/>
                  <a:stretch>
                    <a:fillRect/>
                  </a:stretch>
                </a:blipFill>
                <a:ln w="25400">
                  <a:noFill/>
                </a:ln>
                <a:effectLst/>
              </c:spPr>
            </c:marker>
            <c:bubble3D val="0"/>
            <c:extLst>
              <c:ext xmlns:c16="http://schemas.microsoft.com/office/drawing/2014/chart" uri="{C3380CC4-5D6E-409C-BE32-E72D297353CC}">
                <c16:uniqueId val="{00000013-4453-4D04-82D2-312F575051BC}"/>
              </c:ext>
            </c:extLst>
          </c:dPt>
          <c:dPt>
            <c:idx val="8"/>
            <c:marker>
              <c:spPr>
                <a:blipFill>
                  <a:blip xmlns:r="http://schemas.openxmlformats.org/officeDocument/2006/relationships" r:embed="rId10"/>
                  <a:stretch>
                    <a:fillRect/>
                  </a:stretch>
                </a:blipFill>
                <a:ln w="25400">
                  <a:noFill/>
                </a:ln>
                <a:effectLst/>
              </c:spPr>
            </c:marker>
            <c:bubble3D val="0"/>
            <c:extLst>
              <c:ext xmlns:c16="http://schemas.microsoft.com/office/drawing/2014/chart" uri="{C3380CC4-5D6E-409C-BE32-E72D297353CC}">
                <c16:uniqueId val="{00000014-4453-4D04-82D2-312F575051BC}"/>
              </c:ext>
            </c:extLst>
          </c:dPt>
          <c:dPt>
            <c:idx val="9"/>
            <c:marker>
              <c:spPr>
                <a:blipFill>
                  <a:blip xmlns:r="http://schemas.openxmlformats.org/officeDocument/2006/relationships" r:embed="rId11"/>
                  <a:stretch>
                    <a:fillRect/>
                  </a:stretch>
                </a:blipFill>
                <a:ln w="25400">
                  <a:noFill/>
                </a:ln>
                <a:effectLst/>
              </c:spPr>
            </c:marker>
            <c:bubble3D val="0"/>
            <c:extLst>
              <c:ext xmlns:c16="http://schemas.microsoft.com/office/drawing/2014/chart" uri="{C3380CC4-5D6E-409C-BE32-E72D297353CC}">
                <c16:uniqueId val="{00000015-4453-4D04-82D2-312F575051BC}"/>
              </c:ext>
            </c:extLst>
          </c:dPt>
          <c:dPt>
            <c:idx val="10"/>
            <c:marker>
              <c:spPr>
                <a:blipFill>
                  <a:blip xmlns:r="http://schemas.openxmlformats.org/officeDocument/2006/relationships" r:embed="rId12"/>
                  <a:stretch>
                    <a:fillRect/>
                  </a:stretch>
                </a:blipFill>
                <a:ln w="25400">
                  <a:noFill/>
                </a:ln>
                <a:effectLst/>
              </c:spPr>
            </c:marker>
            <c:bubble3D val="0"/>
            <c:extLst>
              <c:ext xmlns:c16="http://schemas.microsoft.com/office/drawing/2014/chart" uri="{C3380CC4-5D6E-409C-BE32-E72D297353CC}">
                <c16:uniqueId val="{00000016-4453-4D04-82D2-312F575051BC}"/>
              </c:ext>
            </c:extLst>
          </c:dPt>
          <c:dPt>
            <c:idx val="11"/>
            <c:marker>
              <c:spPr>
                <a:blipFill>
                  <a:blip xmlns:r="http://schemas.openxmlformats.org/officeDocument/2006/relationships" r:embed="rId13"/>
                  <a:stretch>
                    <a:fillRect/>
                  </a:stretch>
                </a:blipFill>
                <a:ln w="25400">
                  <a:noFill/>
                </a:ln>
                <a:effectLst/>
              </c:spPr>
            </c:marker>
            <c:bubble3D val="0"/>
            <c:extLst>
              <c:ext xmlns:c16="http://schemas.microsoft.com/office/drawing/2014/chart" uri="{C3380CC4-5D6E-409C-BE32-E72D297353CC}">
                <c16:uniqueId val="{00000017-4453-4D04-82D2-312F575051BC}"/>
              </c:ext>
            </c:extLst>
          </c:dPt>
          <c:dPt>
            <c:idx val="12"/>
            <c:marker>
              <c:spPr>
                <a:blipFill>
                  <a:blip xmlns:r="http://schemas.openxmlformats.org/officeDocument/2006/relationships" r:embed="rId14"/>
                  <a:stretch>
                    <a:fillRect/>
                  </a:stretch>
                </a:blipFill>
                <a:ln w="25400">
                  <a:noFill/>
                </a:ln>
                <a:effectLst/>
              </c:spPr>
            </c:marker>
            <c:bubble3D val="0"/>
            <c:extLst>
              <c:ext xmlns:c16="http://schemas.microsoft.com/office/drawing/2014/chart" uri="{C3380CC4-5D6E-409C-BE32-E72D297353CC}">
                <c16:uniqueId val="{00000018-4453-4D04-82D2-312F575051BC}"/>
              </c:ext>
            </c:extLst>
          </c:dPt>
          <c:dPt>
            <c:idx val="13"/>
            <c:marker>
              <c:spPr>
                <a:blipFill>
                  <a:blip xmlns:r="http://schemas.openxmlformats.org/officeDocument/2006/relationships" r:embed="rId15"/>
                  <a:stretch>
                    <a:fillRect/>
                  </a:stretch>
                </a:blipFill>
                <a:ln w="25400">
                  <a:noFill/>
                </a:ln>
                <a:effectLst/>
              </c:spPr>
            </c:marker>
            <c:bubble3D val="0"/>
            <c:extLst>
              <c:ext xmlns:c16="http://schemas.microsoft.com/office/drawing/2014/chart" uri="{C3380CC4-5D6E-409C-BE32-E72D297353CC}">
                <c16:uniqueId val="{00000019-4453-4D04-82D2-312F575051BC}"/>
              </c:ext>
            </c:extLst>
          </c:dPt>
          <c:dPt>
            <c:idx val="14"/>
            <c:marker>
              <c:spPr>
                <a:blipFill>
                  <a:blip xmlns:r="http://schemas.openxmlformats.org/officeDocument/2006/relationships" r:embed="rId16"/>
                  <a:stretch>
                    <a:fillRect/>
                  </a:stretch>
                </a:blipFill>
                <a:ln w="25400">
                  <a:noFill/>
                </a:ln>
                <a:effectLst/>
              </c:spPr>
            </c:marker>
            <c:bubble3D val="0"/>
            <c:extLst>
              <c:ext xmlns:c16="http://schemas.microsoft.com/office/drawing/2014/chart" uri="{C3380CC4-5D6E-409C-BE32-E72D297353CC}">
                <c16:uniqueId val="{0000001A-4453-4D04-82D2-312F575051BC}"/>
              </c:ext>
            </c:extLst>
          </c:dPt>
          <c:dPt>
            <c:idx val="15"/>
            <c:marker>
              <c:spPr>
                <a:blipFill>
                  <a:blip xmlns:r="http://schemas.openxmlformats.org/officeDocument/2006/relationships" r:embed="rId17"/>
                  <a:stretch>
                    <a:fillRect/>
                  </a:stretch>
                </a:blipFill>
                <a:ln w="25400">
                  <a:noFill/>
                </a:ln>
                <a:effectLst/>
              </c:spPr>
            </c:marker>
            <c:bubble3D val="0"/>
            <c:extLst>
              <c:ext xmlns:c16="http://schemas.microsoft.com/office/drawing/2014/chart" uri="{C3380CC4-5D6E-409C-BE32-E72D297353CC}">
                <c16:uniqueId val="{0000001B-4453-4D04-82D2-312F575051BC}"/>
              </c:ext>
            </c:extLst>
          </c:dPt>
          <c:dPt>
            <c:idx val="16"/>
            <c:marker>
              <c:spPr>
                <a:blipFill>
                  <a:blip xmlns:r="http://schemas.openxmlformats.org/officeDocument/2006/relationships" r:embed="rId18"/>
                  <a:stretch>
                    <a:fillRect/>
                  </a:stretch>
                </a:blipFill>
                <a:ln w="25400">
                  <a:noFill/>
                </a:ln>
                <a:effectLst/>
              </c:spPr>
            </c:marker>
            <c:bubble3D val="0"/>
            <c:extLst>
              <c:ext xmlns:c16="http://schemas.microsoft.com/office/drawing/2014/chart" uri="{C3380CC4-5D6E-409C-BE32-E72D297353CC}">
                <c16:uniqueId val="{0000001C-4453-4D04-82D2-312F575051BC}"/>
              </c:ext>
            </c:extLst>
          </c:dPt>
          <c:dPt>
            <c:idx val="17"/>
            <c:marker>
              <c:spPr>
                <a:blipFill>
                  <a:blip xmlns:r="http://schemas.openxmlformats.org/officeDocument/2006/relationships" r:embed="rId19"/>
                  <a:stretch>
                    <a:fillRect/>
                  </a:stretch>
                </a:blipFill>
                <a:ln w="25400">
                  <a:noFill/>
                </a:ln>
                <a:effectLst/>
              </c:spPr>
            </c:marker>
            <c:bubble3D val="0"/>
            <c:extLst>
              <c:ext xmlns:c16="http://schemas.microsoft.com/office/drawing/2014/chart" uri="{C3380CC4-5D6E-409C-BE32-E72D297353CC}">
                <c16:uniqueId val="{0000001D-4453-4D04-82D2-312F575051BC}"/>
              </c:ext>
            </c:extLst>
          </c:dPt>
          <c:dPt>
            <c:idx val="18"/>
            <c:marker>
              <c:spPr>
                <a:blipFill>
                  <a:blip xmlns:r="http://schemas.openxmlformats.org/officeDocument/2006/relationships" r:embed="rId20"/>
                  <a:stretch>
                    <a:fillRect/>
                  </a:stretch>
                </a:blipFill>
                <a:ln w="25400">
                  <a:noFill/>
                </a:ln>
                <a:effectLst/>
              </c:spPr>
            </c:marker>
            <c:bubble3D val="0"/>
            <c:extLst>
              <c:ext xmlns:c16="http://schemas.microsoft.com/office/drawing/2014/chart" uri="{C3380CC4-5D6E-409C-BE32-E72D297353CC}">
                <c16:uniqueId val="{0000001E-4453-4D04-82D2-312F575051BC}"/>
              </c:ext>
            </c:extLst>
          </c:dPt>
          <c:dPt>
            <c:idx val="19"/>
            <c:marker>
              <c:spPr>
                <a:blipFill>
                  <a:blip xmlns:r="http://schemas.openxmlformats.org/officeDocument/2006/relationships" r:embed="rId21"/>
                  <a:stretch>
                    <a:fillRect/>
                  </a:stretch>
                </a:blipFill>
                <a:ln w="25400">
                  <a:noFill/>
                </a:ln>
                <a:effectLst/>
              </c:spPr>
            </c:marker>
            <c:bubble3D val="0"/>
            <c:extLst>
              <c:ext xmlns:c16="http://schemas.microsoft.com/office/drawing/2014/chart" uri="{C3380CC4-5D6E-409C-BE32-E72D297353CC}">
                <c16:uniqueId val="{0000001F-4453-4D04-82D2-312F575051BC}"/>
              </c:ext>
            </c:extLst>
          </c:dPt>
          <c:dPt>
            <c:idx val="20"/>
            <c:marker>
              <c:spPr>
                <a:blipFill>
                  <a:blip xmlns:r="http://schemas.openxmlformats.org/officeDocument/2006/relationships" r:embed="rId21"/>
                  <a:stretch>
                    <a:fillRect/>
                  </a:stretch>
                </a:blipFill>
                <a:ln w="25400">
                  <a:noFill/>
                </a:ln>
                <a:effectLst/>
              </c:spPr>
            </c:marker>
            <c:bubble3D val="0"/>
            <c:extLst>
              <c:ext xmlns:c16="http://schemas.microsoft.com/office/drawing/2014/chart" uri="{C3380CC4-5D6E-409C-BE32-E72D297353CC}">
                <c16:uniqueId val="{00000020-4453-4D04-82D2-312F575051BC}"/>
              </c:ext>
            </c:extLst>
          </c:dPt>
          <c:dPt>
            <c:idx val="21"/>
            <c:marker>
              <c:spPr>
                <a:blipFill>
                  <a:blip xmlns:r="http://schemas.openxmlformats.org/officeDocument/2006/relationships" r:embed="rId22"/>
                  <a:stretch>
                    <a:fillRect/>
                  </a:stretch>
                </a:blipFill>
                <a:ln w="25400">
                  <a:noFill/>
                </a:ln>
                <a:effectLst/>
              </c:spPr>
            </c:marker>
            <c:bubble3D val="0"/>
            <c:extLst>
              <c:ext xmlns:c16="http://schemas.microsoft.com/office/drawing/2014/chart" uri="{C3380CC4-5D6E-409C-BE32-E72D297353CC}">
                <c16:uniqueId val="{00000021-4453-4D04-82D2-312F575051BC}"/>
              </c:ext>
            </c:extLst>
          </c:dPt>
          <c:dPt>
            <c:idx val="22"/>
            <c:marker>
              <c:spPr>
                <a:blipFill>
                  <a:blip xmlns:r="http://schemas.openxmlformats.org/officeDocument/2006/relationships" r:embed="rId22"/>
                  <a:stretch>
                    <a:fillRect/>
                  </a:stretch>
                </a:blipFill>
                <a:ln w="25400">
                  <a:noFill/>
                </a:ln>
                <a:effectLst/>
              </c:spPr>
            </c:marker>
            <c:bubble3D val="0"/>
            <c:extLst>
              <c:ext xmlns:c16="http://schemas.microsoft.com/office/drawing/2014/chart" uri="{C3380CC4-5D6E-409C-BE32-E72D297353CC}">
                <c16:uniqueId val="{00000022-4453-4D04-82D2-312F575051BC}"/>
              </c:ext>
            </c:extLst>
          </c:dPt>
          <c:cat>
            <c:strRef>
              <c:f>'1bAnexo'!$P$5:$P$28</c:f>
              <c:strCache>
                <c:ptCount val="24"/>
                <c:pt idx="0">
                  <c:v>BRA</c:v>
                </c:pt>
                <c:pt idx="1">
                  <c:v>VEN</c:v>
                </c:pt>
                <c:pt idx="2">
                  <c:v>MEX</c:v>
                </c:pt>
                <c:pt idx="3">
                  <c:v>COL</c:v>
                </c:pt>
                <c:pt idx="4">
                  <c:v>GTM</c:v>
                </c:pt>
                <c:pt idx="5">
                  <c:v>HND</c:v>
                </c:pt>
                <c:pt idx="6">
                  <c:v>PER</c:v>
                </c:pt>
                <c:pt idx="7">
                  <c:v>ECU</c:v>
                </c:pt>
                <c:pt idx="8">
                  <c:v>ARG</c:v>
                </c:pt>
                <c:pt idx="9">
                  <c:v>NIC</c:v>
                </c:pt>
                <c:pt idx="10">
                  <c:v>JAM</c:v>
                </c:pt>
                <c:pt idx="11">
                  <c:v>BOL</c:v>
                </c:pt>
                <c:pt idx="12">
                  <c:v>DOM</c:v>
                </c:pt>
                <c:pt idx="13">
                  <c:v>SLV</c:v>
                </c:pt>
                <c:pt idx="14">
                  <c:v>PRY</c:v>
                </c:pt>
                <c:pt idx="15">
                  <c:v>CHL</c:v>
                </c:pt>
                <c:pt idx="16">
                  <c:v>PAN</c:v>
                </c:pt>
                <c:pt idx="17">
                  <c:v>CRI</c:v>
                </c:pt>
                <c:pt idx="18">
                  <c:v>GUY</c:v>
                </c:pt>
                <c:pt idx="19">
                  <c:v>URY</c:v>
                </c:pt>
                <c:pt idx="20">
                  <c:v>TTO</c:v>
                </c:pt>
                <c:pt idx="21">
                  <c:v>BLZ</c:v>
                </c:pt>
                <c:pt idx="22">
                  <c:v>BHS</c:v>
                </c:pt>
                <c:pt idx="23">
                  <c:v>BRB</c:v>
                </c:pt>
              </c:strCache>
            </c:strRef>
          </c:cat>
          <c:val>
            <c:numRef>
              <c:f>Fact1_2!$C$88:$C$109</c:f>
              <c:numCache>
                <c:formatCode>General</c:formatCode>
                <c:ptCount val="22"/>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9">
                  <c:v>-6</c:v>
                </c:pt>
                <c:pt idx="20">
                  <c:v>-6</c:v>
                </c:pt>
              </c:numCache>
            </c:numRef>
          </c:val>
          <c:smooth val="0"/>
          <c:extLst>
            <c:ext xmlns:c16="http://schemas.microsoft.com/office/drawing/2014/chart" uri="{C3380CC4-5D6E-409C-BE32-E72D297353CC}">
              <c16:uniqueId val="{00000023-4453-4D04-82D2-312F575051BC}"/>
            </c:ext>
          </c:extLst>
        </c:ser>
        <c:dLbls>
          <c:showLegendKey val="0"/>
          <c:showVal val="0"/>
          <c:showCatName val="0"/>
          <c:showSerName val="0"/>
          <c:showPercent val="0"/>
          <c:showBubbleSize val="0"/>
        </c:dLbls>
        <c:marker val="1"/>
        <c:smooth val="0"/>
        <c:axId val="626367008"/>
        <c:axId val="625661520"/>
      </c:lineChart>
      <c:catAx>
        <c:axId val="62636700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ontserrat" pitchFamily="2" charset="0"/>
                <a:ea typeface="+mn-ea"/>
                <a:cs typeface="+mn-cs"/>
              </a:defRPr>
            </a:pPr>
            <a:endParaRPr lang="en-US"/>
          </a:p>
        </c:txPr>
        <c:crossAx val="625661520"/>
        <c:crosses val="autoZero"/>
        <c:auto val="1"/>
        <c:lblAlgn val="ctr"/>
        <c:lblOffset val="100"/>
        <c:noMultiLvlLbl val="0"/>
      </c:catAx>
      <c:valAx>
        <c:axId val="625661520"/>
        <c:scaling>
          <c:orientation val="minMax"/>
          <c:max val="100"/>
          <c:min val="-1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ontserrat" pitchFamily="2" charset="0"/>
                    <a:ea typeface="+mn-ea"/>
                    <a:cs typeface="+mn-cs"/>
                  </a:defRPr>
                </a:pPr>
                <a:r>
                  <a:rPr lang="en-US"/>
                  <a:t>% of the population</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ontserrat" pitchFamily="2" charset="0"/>
                <a:ea typeface="+mn-ea"/>
                <a:cs typeface="+mn-cs"/>
              </a:defRPr>
            </a:pPr>
            <a:endParaRPr lang="en-US"/>
          </a:p>
        </c:txPr>
        <c:crossAx val="626367008"/>
        <c:crosses val="autoZero"/>
        <c:crossBetween val="between"/>
        <c:majorUnit val="10"/>
      </c:valAx>
      <c:spPr>
        <a:noFill/>
        <a:ln>
          <a:noFill/>
        </a:ln>
        <a:effectLst/>
      </c:spPr>
    </c:plotArea>
    <c:legend>
      <c:legendPos val="b"/>
      <c:legendEntry>
        <c:idx val="3"/>
        <c:delete val="1"/>
      </c:legendEntry>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ontserrat"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Montserrat" pitchFamily="2" charset="0"/>
        </a:defRPr>
      </a:pPr>
      <a:endParaRPr lang="en-US"/>
    </a:p>
  </c:txPr>
  <c:printSettings>
    <c:headerFooter/>
    <c:pageMargins b="0.75" l="0.7" r="0.7" t="0.75" header="0.3" footer="0.3"/>
    <c:pageSetup orientation="portrait"/>
  </c:printSettings>
  <c:userShapes r:id="rId2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4835842543408E-2"/>
          <c:y val="5.6338791271490676E-2"/>
          <c:w val="0.90983288601258305"/>
          <c:h val="0.778313607950326"/>
        </c:manualLayout>
      </c:layout>
      <c:barChart>
        <c:barDir val="col"/>
        <c:grouping val="stacked"/>
        <c:varyColors val="0"/>
        <c:ser>
          <c:idx val="0"/>
          <c:order val="0"/>
          <c:tx>
            <c:strRef>
              <c:f>Fact1_2!$E$87</c:f>
              <c:strCache>
                <c:ptCount val="1"/>
                <c:pt idx="0">
                  <c:v>Extreme Poverty</c:v>
                </c:pt>
              </c:strCache>
            </c:strRef>
          </c:tx>
          <c:spPr>
            <a:solidFill>
              <a:srgbClr val="8FC5ED"/>
            </a:solidFill>
            <a:ln>
              <a:noFill/>
            </a:ln>
            <a:effectLst/>
          </c:spPr>
          <c:invertIfNegative val="0"/>
          <c:dLbls>
            <c:dLbl>
              <c:idx val="0"/>
              <c:layout>
                <c:manualLayout>
                  <c:x val="3.325233785317845E-3"/>
                  <c:y val="-2.626606573217382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D4-4E44-BDA8-502B51C4BE39}"/>
                </c:ext>
              </c:extLst>
            </c:dLbl>
            <c:dLbl>
              <c:idx val="1"/>
              <c:layout>
                <c:manualLayout>
                  <c:x val="2.21682252354523E-3"/>
                  <c:y val="5.253213146434716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9D4-4E44-BDA8-502B51C4BE39}"/>
                </c:ext>
              </c:extLst>
            </c:dLbl>
            <c:dLbl>
              <c:idx val="21"/>
              <c:layout>
                <c:manualLayout>
                  <c:x val="8.3569331700330037E-3"/>
                  <c:y val="0"/>
                </c:manualLayout>
              </c:layout>
              <c:spPr>
                <a:solidFill>
                  <a:srgbClr val="8FC5ED"/>
                </a:solid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9D4-4E44-BDA8-502B51C4BE39}"/>
                </c:ext>
              </c:extLst>
            </c:dLbl>
            <c:dLbl>
              <c:idx val="22"/>
              <c:layout>
                <c:manualLayout>
                  <c:x val="7.3123165237790116E-3"/>
                  <c:y val="-6.3589502224381984E-3"/>
                </c:manualLayout>
              </c:layout>
              <c:spPr>
                <a:solidFill>
                  <a:srgbClr val="8FC5ED"/>
                </a:solidFill>
                <a:ln>
                  <a:noFill/>
                </a:ln>
                <a:effectLst/>
              </c:spPr>
              <c:txPr>
                <a:bodyPr rot="0" spcFirstLastPara="1" vertOverflow="ellipsis" vert="horz" wrap="square" anchor="ctr" anchorCtr="1"/>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9D4-4E44-BDA8-502B51C4BE39}"/>
                </c:ext>
              </c:extLst>
            </c:dLbl>
            <c:dLbl>
              <c:idx val="25"/>
              <c:layout>
                <c:manualLayout>
                  <c:x val="6.952025730888556E-3"/>
                  <c:y val="0"/>
                </c:manualLayout>
              </c:layout>
              <c:spPr>
                <a:solidFill>
                  <a:srgbClr val="8FC5ED"/>
                </a:solidFill>
                <a:ln>
                  <a:noFill/>
                </a:ln>
                <a:effectLst/>
              </c:spPr>
              <c:txPr>
                <a:bodyPr rot="0" spcFirstLastPara="1" vertOverflow="ellipsis" vert="horz" wrap="square" anchor="ctr" anchorCtr="1"/>
                <a:lstStyle/>
                <a:p>
                  <a:pPr>
                    <a:defRPr sz="105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9D4-4E44-BDA8-502B51C4BE39}"/>
                </c:ext>
              </c:extLst>
            </c:dLbl>
            <c:dLbl>
              <c:idx val="26"/>
              <c:spPr>
                <a:solidFill>
                  <a:srgbClr val="8FC5ED"/>
                </a:solidFill>
                <a:ln>
                  <a:noFill/>
                </a:ln>
                <a:effectLst/>
              </c:spPr>
              <c:txPr>
                <a:bodyPr rot="0" spcFirstLastPara="1" vertOverflow="ellipsis" vert="horz" wrap="square" anchor="ctr" anchorCtr="1"/>
                <a:lstStyle/>
                <a:p>
                  <a:pPr>
                    <a:defRPr sz="105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6="http://schemas.microsoft.com/office/drawing/2014/chart" uri="{C3380CC4-5D6E-409C-BE32-E72D297353CC}">
                  <c16:uniqueId val="{0000000A-D9D4-4E44-BDA8-502B51C4BE39}"/>
                </c:ext>
              </c:extLst>
            </c:dLbl>
            <c:spPr>
              <a:noFill/>
              <a:ln>
                <a:noFill/>
              </a:ln>
              <a:effectLst/>
            </c:spPr>
            <c:txPr>
              <a:bodyPr rot="0" spcFirstLastPara="1" vertOverflow="ellipsis" vert="horz" wrap="square" anchor="ctr" anchorCtr="1"/>
              <a:lstStyle/>
              <a:p>
                <a:pPr>
                  <a:defRPr sz="800" b="1" i="0" u="none" strike="noStrike" kern="1200" baseline="0">
                    <a:solidFill>
                      <a:srgbClr val="8FC5ED"/>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Fact1_2!$D$88:$D$108</c:f>
              <c:strCache>
                <c:ptCount val="21"/>
                <c:pt idx="0">
                  <c:v>VEN</c:v>
                </c:pt>
                <c:pt idx="1">
                  <c:v>HND</c:v>
                </c:pt>
                <c:pt idx="2">
                  <c:v>GUY</c:v>
                </c:pt>
                <c:pt idx="3">
                  <c:v>GTM</c:v>
                </c:pt>
                <c:pt idx="4">
                  <c:v>COL</c:v>
                </c:pt>
                <c:pt idx="5">
                  <c:v>ECU</c:v>
                </c:pt>
                <c:pt idx="6">
                  <c:v>SLV</c:v>
                </c:pt>
                <c:pt idx="7">
                  <c:v>PER</c:v>
                </c:pt>
                <c:pt idx="8">
                  <c:v>PRY</c:v>
                </c:pt>
                <c:pt idx="9">
                  <c:v>BRA</c:v>
                </c:pt>
                <c:pt idx="10">
                  <c:v>MEX</c:v>
                </c:pt>
                <c:pt idx="11">
                  <c:v>BOL</c:v>
                </c:pt>
                <c:pt idx="12">
                  <c:v>DOM</c:v>
                </c:pt>
                <c:pt idx="13">
                  <c:v>PAN</c:v>
                </c:pt>
                <c:pt idx="14">
                  <c:v>ARG</c:v>
                </c:pt>
                <c:pt idx="15">
                  <c:v>CRI</c:v>
                </c:pt>
                <c:pt idx="16">
                  <c:v>URY</c:v>
                </c:pt>
                <c:pt idx="17">
                  <c:v>CHL</c:v>
                </c:pt>
                <c:pt idx="19">
                  <c:v>LAC</c:v>
                </c:pt>
                <c:pt idx="20">
                  <c:v>OECD</c:v>
                </c:pt>
              </c:strCache>
            </c:strRef>
          </c:cat>
          <c:val>
            <c:numRef>
              <c:f>Fact1_2!$E$88:$E$108</c:f>
              <c:numCache>
                <c:formatCode>0</c:formatCode>
                <c:ptCount val="21"/>
                <c:pt idx="0">
                  <c:v>53.867767333984375</c:v>
                </c:pt>
                <c:pt idx="1">
                  <c:v>35.109729766845703</c:v>
                </c:pt>
                <c:pt idx="2">
                  <c:v>31.99846076965332</c:v>
                </c:pt>
                <c:pt idx="3">
                  <c:v>31.91087532043457</c:v>
                </c:pt>
                <c:pt idx="4">
                  <c:v>19.512697219848633</c:v>
                </c:pt>
                <c:pt idx="5">
                  <c:v>15.846808433532715</c:v>
                </c:pt>
                <c:pt idx="6">
                  <c:v>15.566752433776855</c:v>
                </c:pt>
                <c:pt idx="7">
                  <c:v>12.462396621704102</c:v>
                </c:pt>
                <c:pt idx="8">
                  <c:v>12.367045402526855</c:v>
                </c:pt>
                <c:pt idx="9">
                  <c:v>10.865315437316895</c:v>
                </c:pt>
                <c:pt idx="10">
                  <c:v>10.268985748291016</c:v>
                </c:pt>
                <c:pt idx="11">
                  <c:v>9.1588373184204102</c:v>
                </c:pt>
                <c:pt idx="12">
                  <c:v>9.0519723892211914</c:v>
                </c:pt>
                <c:pt idx="13">
                  <c:v>8.9458808898925781</c:v>
                </c:pt>
                <c:pt idx="14">
                  <c:v>8.1207027435302734</c:v>
                </c:pt>
                <c:pt idx="15">
                  <c:v>6.5896177291870117</c:v>
                </c:pt>
                <c:pt idx="16">
                  <c:v>3.9979178905487061</c:v>
                </c:pt>
                <c:pt idx="17">
                  <c:v>3.2169833183288574</c:v>
                </c:pt>
                <c:pt idx="19">
                  <c:v>14.206571375766352</c:v>
                </c:pt>
                <c:pt idx="20">
                  <c:v>1.504975490560732</c:v>
                </c:pt>
              </c:numCache>
            </c:numRef>
          </c:val>
          <c:extLst>
            <c:ext xmlns:c16="http://schemas.microsoft.com/office/drawing/2014/chart" uri="{C3380CC4-5D6E-409C-BE32-E72D297353CC}">
              <c16:uniqueId val="{0000000B-D9D4-4E44-BDA8-502B51C4BE39}"/>
            </c:ext>
          </c:extLst>
        </c:ser>
        <c:ser>
          <c:idx val="2"/>
          <c:order val="1"/>
          <c:tx>
            <c:strRef>
              <c:f>Fact1_2!$I$87</c:f>
              <c:strCache>
                <c:ptCount val="1"/>
                <c:pt idx="0">
                  <c:v>Moderate Poverty</c:v>
                </c:pt>
              </c:strCache>
            </c:strRef>
          </c:tx>
          <c:spPr>
            <a:solidFill>
              <a:schemeClr val="bg1">
                <a:lumMod val="85000"/>
              </a:schemeClr>
            </a:solidFill>
          </c:spPr>
          <c:invertIfNegative val="0"/>
          <c:cat>
            <c:strRef>
              <c:f>Fact1_2!$D$88:$D$108</c:f>
              <c:strCache>
                <c:ptCount val="21"/>
                <c:pt idx="0">
                  <c:v>VEN</c:v>
                </c:pt>
                <c:pt idx="1">
                  <c:v>HND</c:v>
                </c:pt>
                <c:pt idx="2">
                  <c:v>GUY</c:v>
                </c:pt>
                <c:pt idx="3">
                  <c:v>GTM</c:v>
                </c:pt>
                <c:pt idx="4">
                  <c:v>COL</c:v>
                </c:pt>
                <c:pt idx="5">
                  <c:v>ECU</c:v>
                </c:pt>
                <c:pt idx="6">
                  <c:v>SLV</c:v>
                </c:pt>
                <c:pt idx="7">
                  <c:v>PER</c:v>
                </c:pt>
                <c:pt idx="8">
                  <c:v>PRY</c:v>
                </c:pt>
                <c:pt idx="9">
                  <c:v>BRA</c:v>
                </c:pt>
                <c:pt idx="10">
                  <c:v>MEX</c:v>
                </c:pt>
                <c:pt idx="11">
                  <c:v>BOL</c:v>
                </c:pt>
                <c:pt idx="12">
                  <c:v>DOM</c:v>
                </c:pt>
                <c:pt idx="13">
                  <c:v>PAN</c:v>
                </c:pt>
                <c:pt idx="14">
                  <c:v>ARG</c:v>
                </c:pt>
                <c:pt idx="15">
                  <c:v>CRI</c:v>
                </c:pt>
                <c:pt idx="16">
                  <c:v>URY</c:v>
                </c:pt>
                <c:pt idx="17">
                  <c:v>CHL</c:v>
                </c:pt>
                <c:pt idx="19">
                  <c:v>LAC</c:v>
                </c:pt>
                <c:pt idx="20">
                  <c:v>OECD</c:v>
                </c:pt>
              </c:strCache>
            </c:strRef>
          </c:cat>
          <c:val>
            <c:numRef>
              <c:f>Fact1_2!$I$88:$I$108</c:f>
              <c:numCache>
                <c:formatCode>0</c:formatCode>
                <c:ptCount val="21"/>
                <c:pt idx="0">
                  <c:v>17.13670539855957</c:v>
                </c:pt>
                <c:pt idx="1">
                  <c:v>25.065221786499023</c:v>
                </c:pt>
                <c:pt idx="2">
                  <c:v>25.941425323486328</c:v>
                </c:pt>
                <c:pt idx="3">
                  <c:v>23.455238342285156</c:v>
                </c:pt>
                <c:pt idx="4">
                  <c:v>21.709625244140625</c:v>
                </c:pt>
                <c:pt idx="5">
                  <c:v>24.52301025390625</c:v>
                </c:pt>
                <c:pt idx="6">
                  <c:v>23.091104507446289</c:v>
                </c:pt>
                <c:pt idx="7">
                  <c:v>25.205045700073242</c:v>
                </c:pt>
                <c:pt idx="8">
                  <c:v>18.956794738769531</c:v>
                </c:pt>
                <c:pt idx="9">
                  <c:v>18.57042121887207</c:v>
                </c:pt>
                <c:pt idx="10">
                  <c:v>21.706216812133789</c:v>
                </c:pt>
                <c:pt idx="11">
                  <c:v>12.590672492980957</c:v>
                </c:pt>
                <c:pt idx="12">
                  <c:v>20.271793365478516</c:v>
                </c:pt>
                <c:pt idx="13">
                  <c:v>10.491399765014648</c:v>
                </c:pt>
                <c:pt idx="14">
                  <c:v>12.861659049987793</c:v>
                </c:pt>
                <c:pt idx="15">
                  <c:v>14.285224914550781</c:v>
                </c:pt>
                <c:pt idx="16">
                  <c:v>10.314765930175781</c:v>
                </c:pt>
                <c:pt idx="17">
                  <c:v>8.0021905899047852</c:v>
                </c:pt>
                <c:pt idx="19">
                  <c:v>19.285195684669443</c:v>
                </c:pt>
                <c:pt idx="20">
                  <c:v>3.2490701773386816</c:v>
                </c:pt>
              </c:numCache>
            </c:numRef>
          </c:val>
          <c:extLst>
            <c:ext xmlns:c16="http://schemas.microsoft.com/office/drawing/2014/chart" uri="{C3380CC4-5D6E-409C-BE32-E72D297353CC}">
              <c16:uniqueId val="{00000004-D9D4-4E44-BDA8-502B51C4BE39}"/>
            </c:ext>
          </c:extLst>
        </c:ser>
        <c:dLbls>
          <c:showLegendKey val="0"/>
          <c:showVal val="0"/>
          <c:showCatName val="0"/>
          <c:showSerName val="0"/>
          <c:showPercent val="0"/>
          <c:showBubbleSize val="0"/>
        </c:dLbls>
        <c:gapWidth val="56"/>
        <c:overlap val="100"/>
        <c:axId val="626367008"/>
        <c:axId val="625661520"/>
      </c:barChart>
      <c:catAx>
        <c:axId val="62636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ontserrat" pitchFamily="2" charset="0"/>
                <a:ea typeface="+mn-ea"/>
                <a:cs typeface="+mn-cs"/>
              </a:defRPr>
            </a:pPr>
            <a:endParaRPr lang="en-US"/>
          </a:p>
        </c:txPr>
        <c:crossAx val="625661520"/>
        <c:crosses val="autoZero"/>
        <c:auto val="1"/>
        <c:lblAlgn val="ctr"/>
        <c:lblOffset val="100"/>
        <c:noMultiLvlLbl val="0"/>
      </c:catAx>
      <c:valAx>
        <c:axId val="625661520"/>
        <c:scaling>
          <c:orientation val="minMax"/>
          <c:max val="100"/>
          <c:min val="-1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ontserrat" pitchFamily="2" charset="0"/>
                    <a:ea typeface="+mn-ea"/>
                    <a:cs typeface="+mn-cs"/>
                  </a:defRPr>
                </a:pPr>
                <a:r>
                  <a:rPr lang="en-US"/>
                  <a:t>% of the population</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ontserrat" pitchFamily="2" charset="0"/>
                <a:ea typeface="+mn-ea"/>
                <a:cs typeface="+mn-cs"/>
              </a:defRPr>
            </a:pPr>
            <a:endParaRPr lang="en-US"/>
          </a:p>
        </c:txPr>
        <c:crossAx val="626367008"/>
        <c:crosses val="autoZero"/>
        <c:crossBetween val="between"/>
        <c:majorUnit val="10"/>
      </c:valAx>
      <c:spPr>
        <a:noFill/>
        <a:ln>
          <a:noFill/>
        </a:ln>
        <a:effectLst/>
      </c:spPr>
    </c:plotArea>
    <c:legend>
      <c:legendPos val="b"/>
      <c:layout>
        <c:manualLayout>
          <c:xMode val="edge"/>
          <c:yMode val="edge"/>
          <c:x val="0.37003869786004429"/>
          <c:y val="0.84696300019764204"/>
          <c:w val="0.27915147254189476"/>
          <c:h val="5.0156701440149408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ontserrat"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Montserrat" pitchFamily="2" charset="0"/>
        </a:defRPr>
      </a:pPr>
      <a:endParaRPr lang="en-US"/>
    </a:p>
  </c:txPr>
  <c:printSettings>
    <c:headerFooter/>
    <c:pageMargins b="0.75" l="0.7" r="0.7" t="0.75" header="0.3" footer="0.3"/>
    <c:pageSetup orientation="portrait"/>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E5B-4965-90EF-29A7F85121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'1bAnexo'!$P$5:$P$28</c:f>
              <c:strCache>
                <c:ptCount val="24"/>
                <c:pt idx="0">
                  <c:v>BRA</c:v>
                </c:pt>
                <c:pt idx="1">
                  <c:v>VEN</c:v>
                </c:pt>
                <c:pt idx="2">
                  <c:v>MEX</c:v>
                </c:pt>
                <c:pt idx="3">
                  <c:v>COL</c:v>
                </c:pt>
                <c:pt idx="4">
                  <c:v>GTM</c:v>
                </c:pt>
                <c:pt idx="5">
                  <c:v>HND</c:v>
                </c:pt>
                <c:pt idx="6">
                  <c:v>PER</c:v>
                </c:pt>
                <c:pt idx="7">
                  <c:v>ECU</c:v>
                </c:pt>
                <c:pt idx="8">
                  <c:v>ARG</c:v>
                </c:pt>
                <c:pt idx="9">
                  <c:v>NIC</c:v>
                </c:pt>
                <c:pt idx="10">
                  <c:v>JAM</c:v>
                </c:pt>
                <c:pt idx="11">
                  <c:v>BOL</c:v>
                </c:pt>
                <c:pt idx="12">
                  <c:v>DOM</c:v>
                </c:pt>
                <c:pt idx="13">
                  <c:v>SLV</c:v>
                </c:pt>
                <c:pt idx="14">
                  <c:v>PRY</c:v>
                </c:pt>
                <c:pt idx="15">
                  <c:v>CHL</c:v>
                </c:pt>
                <c:pt idx="16">
                  <c:v>PAN</c:v>
                </c:pt>
                <c:pt idx="17">
                  <c:v>CRI</c:v>
                </c:pt>
                <c:pt idx="18">
                  <c:v>GUY</c:v>
                </c:pt>
                <c:pt idx="19">
                  <c:v>URY</c:v>
                </c:pt>
                <c:pt idx="20">
                  <c:v>TTO</c:v>
                </c:pt>
                <c:pt idx="21">
                  <c:v>BLZ</c:v>
                </c:pt>
                <c:pt idx="22">
                  <c:v>BHS</c:v>
                </c:pt>
                <c:pt idx="23">
                  <c:v>BRB</c:v>
                </c:pt>
              </c:strCache>
            </c:strRef>
          </c:cat>
          <c:val>
            <c:numRef>
              <c:f>'1bAnexo'!$R$5:$R$28</c:f>
              <c:numCache>
                <c:formatCode>#,##0</c:formatCode>
                <c:ptCount val="24"/>
                <c:pt idx="0">
                  <c:v>58933.040538752175</c:v>
                </c:pt>
                <c:pt idx="1">
                  <c:v>21929.617779496068</c:v>
                </c:pt>
                <c:pt idx="2">
                  <c:v>11841.855431180247</c:v>
                </c:pt>
                <c:pt idx="3">
                  <c:v>7985.2556825103566</c:v>
                </c:pt>
                <c:pt idx="4">
                  <c:v>6362.1135603950534</c:v>
                </c:pt>
                <c:pt idx="5">
                  <c:v>3895.4361580906675</c:v>
                </c:pt>
                <c:pt idx="6">
                  <c:v>3014.1914477915461</c:v>
                </c:pt>
                <c:pt idx="7">
                  <c:v>2677.1381155071249</c:v>
                </c:pt>
                <c:pt idx="8">
                  <c:v>2332.1952272453682</c:v>
                </c:pt>
                <c:pt idx="9">
                  <c:v>2117.6698599639985</c:v>
                </c:pt>
                <c:pt idx="10">
                  <c:v>1498.1887586632349</c:v>
                </c:pt>
                <c:pt idx="11">
                  <c:v>1329.2253228433792</c:v>
                </c:pt>
                <c:pt idx="12">
                  <c:v>939.48601510348317</c:v>
                </c:pt>
                <c:pt idx="13">
                  <c:v>912.1443304448602</c:v>
                </c:pt>
                <c:pt idx="14">
                  <c:v>740.42702601265</c:v>
                </c:pt>
                <c:pt idx="15">
                  <c:v>484.57723556890511</c:v>
                </c:pt>
                <c:pt idx="16">
                  <c:v>469.65500282446351</c:v>
                </c:pt>
                <c:pt idx="17">
                  <c:v>339.29751237599385</c:v>
                </c:pt>
                <c:pt idx="18">
                  <c:v>244.92471822784412</c:v>
                </c:pt>
                <c:pt idx="19">
                  <c:v>110.34600857680914</c:v>
                </c:pt>
                <c:pt idx="20">
                  <c:v>60.023496231267458</c:v>
                </c:pt>
                <c:pt idx="21">
                  <c:v>19.710409313917165</c:v>
                </c:pt>
                <c:pt idx="22">
                  <c:v>11.767962202093608</c:v>
                </c:pt>
                <c:pt idx="23">
                  <c:v>3.7183655987727615</c:v>
                </c:pt>
              </c:numCache>
            </c:numRef>
          </c:val>
          <c:extLst>
            <c:ext xmlns:c16="http://schemas.microsoft.com/office/drawing/2014/chart" uri="{C3380CC4-5D6E-409C-BE32-E72D297353CC}">
              <c16:uniqueId val="{00000001-EE5B-4965-90EF-29A7F8512124}"/>
            </c:ext>
          </c:extLst>
        </c:ser>
        <c:dLbls>
          <c:showLegendKey val="0"/>
          <c:showVal val="0"/>
          <c:showCatName val="0"/>
          <c:showSerName val="0"/>
          <c:showPercent val="0"/>
          <c:showBubbleSize val="0"/>
        </c:dLbls>
        <c:gapWidth val="84"/>
        <c:overlap val="-27"/>
        <c:axId val="1539237439"/>
        <c:axId val="1539245119"/>
      </c:barChart>
      <c:catAx>
        <c:axId val="153923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245119"/>
        <c:crosses val="autoZero"/>
        <c:auto val="1"/>
        <c:lblAlgn val="ctr"/>
        <c:lblOffset val="100"/>
        <c:noMultiLvlLbl val="0"/>
      </c:catAx>
      <c:valAx>
        <c:axId val="15392451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237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7A5DF"/>
            </a:solidFill>
            <a:ln>
              <a:noFill/>
            </a:ln>
            <a:effectLst/>
          </c:spPr>
          <c:invertIfNegative val="0"/>
          <c:dLbls>
            <c:spPr>
              <a:solidFill>
                <a:srgbClr val="57A5DF"/>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ontserrat" pitchFamily="2"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'1bAnexo'!$U$5:$U$18</c:f>
              <c:strCache>
                <c:ptCount val="14"/>
                <c:pt idx="0">
                  <c:v>BRA</c:v>
                </c:pt>
                <c:pt idx="1">
                  <c:v>VEN</c:v>
                </c:pt>
                <c:pt idx="2">
                  <c:v>MEX</c:v>
                </c:pt>
                <c:pt idx="3">
                  <c:v>COL</c:v>
                </c:pt>
                <c:pt idx="4">
                  <c:v>GTM</c:v>
                </c:pt>
                <c:pt idx="5">
                  <c:v>HND</c:v>
                </c:pt>
                <c:pt idx="6">
                  <c:v>PER</c:v>
                </c:pt>
                <c:pt idx="7">
                  <c:v>ECU</c:v>
                </c:pt>
                <c:pt idx="8">
                  <c:v>ARG</c:v>
                </c:pt>
                <c:pt idx="9">
                  <c:v>NIC</c:v>
                </c:pt>
                <c:pt idx="10">
                  <c:v>JAM</c:v>
                </c:pt>
                <c:pt idx="11">
                  <c:v>BOL</c:v>
                </c:pt>
                <c:pt idx="12">
                  <c:v>DOM</c:v>
                </c:pt>
                <c:pt idx="13">
                  <c:v>Others</c:v>
                </c:pt>
              </c:strCache>
            </c:strRef>
          </c:cat>
          <c:val>
            <c:numRef>
              <c:f>'1bAnexo'!$V$5:$V$18</c:f>
              <c:numCache>
                <c:formatCode>0.0</c:formatCode>
                <c:ptCount val="14"/>
                <c:pt idx="0">
                  <c:v>58.933040538752174</c:v>
                </c:pt>
                <c:pt idx="1">
                  <c:v>21.929617779496066</c:v>
                </c:pt>
                <c:pt idx="2">
                  <c:v>11.841855431180248</c:v>
                </c:pt>
                <c:pt idx="3">
                  <c:v>7.9852556825103562</c:v>
                </c:pt>
                <c:pt idx="4">
                  <c:v>6.3621135603950529</c:v>
                </c:pt>
                <c:pt idx="5">
                  <c:v>3.8954361580906673</c:v>
                </c:pt>
                <c:pt idx="6">
                  <c:v>3.0141914477915459</c:v>
                </c:pt>
                <c:pt idx="7">
                  <c:v>2.677138115507125</c:v>
                </c:pt>
                <c:pt idx="8">
                  <c:v>2.3321952272453683</c:v>
                </c:pt>
                <c:pt idx="9">
                  <c:v>2.1176698599639985</c:v>
                </c:pt>
                <c:pt idx="10">
                  <c:v>1.498188758663235</c:v>
                </c:pt>
                <c:pt idx="11">
                  <c:v>1.3292253228433792</c:v>
                </c:pt>
                <c:pt idx="12">
                  <c:v>0.93948601510348317</c:v>
                </c:pt>
                <c:pt idx="13">
                  <c:v>3.3965920673775774</c:v>
                </c:pt>
              </c:numCache>
            </c:numRef>
          </c:val>
          <c:extLst>
            <c:ext xmlns:c16="http://schemas.microsoft.com/office/drawing/2014/chart" uri="{C3380CC4-5D6E-409C-BE32-E72D297353CC}">
              <c16:uniqueId val="{00000000-F7EE-4D81-9F6B-4DA1FA998FE9}"/>
            </c:ext>
          </c:extLst>
        </c:ser>
        <c:dLbls>
          <c:showLegendKey val="0"/>
          <c:showVal val="0"/>
          <c:showCatName val="0"/>
          <c:showSerName val="0"/>
          <c:showPercent val="0"/>
          <c:showBubbleSize val="0"/>
        </c:dLbls>
        <c:gapWidth val="104"/>
        <c:overlap val="-27"/>
        <c:axId val="1502070511"/>
        <c:axId val="1502064751"/>
      </c:barChart>
      <c:catAx>
        <c:axId val="1502070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064751"/>
        <c:crosses val="autoZero"/>
        <c:auto val="1"/>
        <c:lblAlgn val="ctr"/>
        <c:lblOffset val="100"/>
        <c:noMultiLvlLbl val="0"/>
      </c:catAx>
      <c:valAx>
        <c:axId val="1502064751"/>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ontserrat" pitchFamily="2" charset="0"/>
                <a:ea typeface="+mn-ea"/>
                <a:cs typeface="+mn-cs"/>
              </a:defRPr>
            </a:pPr>
            <a:endParaRPr lang="en-US"/>
          </a:p>
        </c:txPr>
        <c:crossAx val="1502070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57A5DF"/>
            </a:solidFill>
            <a:ln>
              <a:noFill/>
            </a:ln>
            <a:effectLst/>
          </c:spPr>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55D-4B59-99B1-060923114833}"/>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55D-4B59-99B1-060923114833}"/>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55D-4B59-99B1-060923114833}"/>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55D-4B59-99B1-06092311483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'1bAnexo'!$P$5:$P$28</c:f>
              <c:strCache>
                <c:ptCount val="24"/>
                <c:pt idx="0">
                  <c:v>BRA</c:v>
                </c:pt>
                <c:pt idx="1">
                  <c:v>VEN</c:v>
                </c:pt>
                <c:pt idx="2">
                  <c:v>MEX</c:v>
                </c:pt>
                <c:pt idx="3">
                  <c:v>COL</c:v>
                </c:pt>
                <c:pt idx="4">
                  <c:v>GTM</c:v>
                </c:pt>
                <c:pt idx="5">
                  <c:v>HND</c:v>
                </c:pt>
                <c:pt idx="6">
                  <c:v>PER</c:v>
                </c:pt>
                <c:pt idx="7">
                  <c:v>ECU</c:v>
                </c:pt>
                <c:pt idx="8">
                  <c:v>ARG</c:v>
                </c:pt>
                <c:pt idx="9">
                  <c:v>NIC</c:v>
                </c:pt>
                <c:pt idx="10">
                  <c:v>JAM</c:v>
                </c:pt>
                <c:pt idx="11">
                  <c:v>BOL</c:v>
                </c:pt>
                <c:pt idx="12">
                  <c:v>DOM</c:v>
                </c:pt>
                <c:pt idx="13">
                  <c:v>SLV</c:v>
                </c:pt>
                <c:pt idx="14">
                  <c:v>PRY</c:v>
                </c:pt>
                <c:pt idx="15">
                  <c:v>CHL</c:v>
                </c:pt>
                <c:pt idx="16">
                  <c:v>PAN</c:v>
                </c:pt>
                <c:pt idx="17">
                  <c:v>CRI</c:v>
                </c:pt>
                <c:pt idx="18">
                  <c:v>GUY</c:v>
                </c:pt>
                <c:pt idx="19">
                  <c:v>URY</c:v>
                </c:pt>
                <c:pt idx="20">
                  <c:v>TTO</c:v>
                </c:pt>
                <c:pt idx="21">
                  <c:v>BLZ</c:v>
                </c:pt>
                <c:pt idx="22">
                  <c:v>BHS</c:v>
                </c:pt>
                <c:pt idx="23">
                  <c:v>BRB</c:v>
                </c:pt>
              </c:strCache>
            </c:strRef>
          </c:cat>
          <c:val>
            <c:numRef>
              <c:f>'1bAnexo'!$R$5:$R$28</c:f>
              <c:numCache>
                <c:formatCode>#,##0</c:formatCode>
                <c:ptCount val="24"/>
                <c:pt idx="0">
                  <c:v>58933.040538752175</c:v>
                </c:pt>
                <c:pt idx="1">
                  <c:v>21929.617779496068</c:v>
                </c:pt>
                <c:pt idx="2">
                  <c:v>11841.855431180247</c:v>
                </c:pt>
                <c:pt idx="3">
                  <c:v>7985.2556825103566</c:v>
                </c:pt>
                <c:pt idx="4">
                  <c:v>6362.1135603950534</c:v>
                </c:pt>
                <c:pt idx="5">
                  <c:v>3895.4361580906675</c:v>
                </c:pt>
                <c:pt idx="6">
                  <c:v>3014.1914477915461</c:v>
                </c:pt>
                <c:pt idx="7">
                  <c:v>2677.1381155071249</c:v>
                </c:pt>
                <c:pt idx="8">
                  <c:v>2332.1952272453682</c:v>
                </c:pt>
                <c:pt idx="9">
                  <c:v>2117.6698599639985</c:v>
                </c:pt>
                <c:pt idx="10">
                  <c:v>1498.1887586632349</c:v>
                </c:pt>
                <c:pt idx="11">
                  <c:v>1329.2253228433792</c:v>
                </c:pt>
                <c:pt idx="12">
                  <c:v>939.48601510348317</c:v>
                </c:pt>
                <c:pt idx="13">
                  <c:v>912.1443304448602</c:v>
                </c:pt>
                <c:pt idx="14">
                  <c:v>740.42702601265</c:v>
                </c:pt>
                <c:pt idx="15">
                  <c:v>484.57723556890511</c:v>
                </c:pt>
                <c:pt idx="16">
                  <c:v>469.65500282446351</c:v>
                </c:pt>
                <c:pt idx="17">
                  <c:v>339.29751237599385</c:v>
                </c:pt>
                <c:pt idx="18">
                  <c:v>244.92471822784412</c:v>
                </c:pt>
                <c:pt idx="19">
                  <c:v>110.34600857680914</c:v>
                </c:pt>
                <c:pt idx="20">
                  <c:v>60.023496231267458</c:v>
                </c:pt>
                <c:pt idx="21">
                  <c:v>19.710409313917165</c:v>
                </c:pt>
                <c:pt idx="22">
                  <c:v>11.767962202093608</c:v>
                </c:pt>
                <c:pt idx="23">
                  <c:v>3.7183655987727615</c:v>
                </c:pt>
              </c:numCache>
            </c:numRef>
          </c:val>
          <c:extLst>
            <c:ext xmlns:c16="http://schemas.microsoft.com/office/drawing/2014/chart" uri="{C3380CC4-5D6E-409C-BE32-E72D297353CC}">
              <c16:uniqueId val="{00000000-955D-4B59-99B1-060923114833}"/>
            </c:ext>
          </c:extLst>
        </c:ser>
        <c:dLbls>
          <c:showLegendKey val="0"/>
          <c:showVal val="0"/>
          <c:showCatName val="0"/>
          <c:showSerName val="0"/>
          <c:showPercent val="0"/>
          <c:showBubbleSize val="0"/>
        </c:dLbls>
        <c:gapWidth val="54"/>
        <c:overlap val="100"/>
        <c:axId val="626367008"/>
        <c:axId val="625661520"/>
      </c:barChart>
      <c:lineChart>
        <c:grouping val="stacked"/>
        <c:varyColors val="0"/>
        <c:ser>
          <c:idx val="1"/>
          <c:order val="1"/>
          <c:tx>
            <c:strRef>
              <c:f>'1bAnexo'!$O$5:$O$6</c:f>
              <c:strCache>
                <c:ptCount val="2"/>
                <c:pt idx="0">
                  <c:v>-5000</c:v>
                </c:pt>
                <c:pt idx="1">
                  <c:v>-5000</c:v>
                </c:pt>
              </c:strCache>
            </c:strRef>
          </c:tx>
          <c:spPr>
            <a:ln w="28575" cap="rnd">
              <a:noFill/>
              <a:round/>
            </a:ln>
            <a:effectLst/>
          </c:spPr>
          <c:marker>
            <c:symbol val="picture"/>
            <c:spPr>
              <a:blipFill>
                <a:blip xmlns:r="http://schemas.openxmlformats.org/officeDocument/2006/relationships" r:embed="rId1"/>
                <a:stretch>
                  <a:fillRect/>
                </a:stretch>
              </a:blipFill>
              <a:ln w="25400">
                <a:noFill/>
              </a:ln>
              <a:effectLst/>
            </c:spPr>
          </c:marker>
          <c:cat>
            <c:strRef>
              <c:f>'1bAnexo'!$P$5:$P$28</c:f>
              <c:strCache>
                <c:ptCount val="24"/>
                <c:pt idx="0">
                  <c:v>BRA</c:v>
                </c:pt>
                <c:pt idx="1">
                  <c:v>VEN</c:v>
                </c:pt>
                <c:pt idx="2">
                  <c:v>MEX</c:v>
                </c:pt>
                <c:pt idx="3">
                  <c:v>COL</c:v>
                </c:pt>
                <c:pt idx="4">
                  <c:v>GTM</c:v>
                </c:pt>
                <c:pt idx="5">
                  <c:v>HND</c:v>
                </c:pt>
                <c:pt idx="6">
                  <c:v>PER</c:v>
                </c:pt>
                <c:pt idx="7">
                  <c:v>ECU</c:v>
                </c:pt>
                <c:pt idx="8">
                  <c:v>ARG</c:v>
                </c:pt>
                <c:pt idx="9">
                  <c:v>NIC</c:v>
                </c:pt>
                <c:pt idx="10">
                  <c:v>JAM</c:v>
                </c:pt>
                <c:pt idx="11">
                  <c:v>BOL</c:v>
                </c:pt>
                <c:pt idx="12">
                  <c:v>DOM</c:v>
                </c:pt>
                <c:pt idx="13">
                  <c:v>SLV</c:v>
                </c:pt>
                <c:pt idx="14">
                  <c:v>PRY</c:v>
                </c:pt>
                <c:pt idx="15">
                  <c:v>CHL</c:v>
                </c:pt>
                <c:pt idx="16">
                  <c:v>PAN</c:v>
                </c:pt>
                <c:pt idx="17">
                  <c:v>CRI</c:v>
                </c:pt>
                <c:pt idx="18">
                  <c:v>GUY</c:v>
                </c:pt>
                <c:pt idx="19">
                  <c:v>URY</c:v>
                </c:pt>
                <c:pt idx="20">
                  <c:v>TTO</c:v>
                </c:pt>
                <c:pt idx="21">
                  <c:v>BLZ</c:v>
                </c:pt>
                <c:pt idx="22">
                  <c:v>BHS</c:v>
                </c:pt>
                <c:pt idx="23">
                  <c:v>BRB</c:v>
                </c:pt>
              </c:strCache>
            </c:strRef>
          </c:cat>
          <c:val>
            <c:numRef>
              <c:f>'1bAnexo'!$O$5:$O$28</c:f>
              <c:numCache>
                <c:formatCode>General</c:formatCode>
                <c:ptCount val="24"/>
                <c:pt idx="0">
                  <c:v>-5000</c:v>
                </c:pt>
                <c:pt idx="1">
                  <c:v>-5000</c:v>
                </c:pt>
                <c:pt idx="2">
                  <c:v>-5000</c:v>
                </c:pt>
                <c:pt idx="3">
                  <c:v>-5000</c:v>
                </c:pt>
                <c:pt idx="4">
                  <c:v>-5000</c:v>
                </c:pt>
                <c:pt idx="5">
                  <c:v>-5000</c:v>
                </c:pt>
                <c:pt idx="6">
                  <c:v>-5000</c:v>
                </c:pt>
                <c:pt idx="7">
                  <c:v>-5000</c:v>
                </c:pt>
                <c:pt idx="8">
                  <c:v>-5000</c:v>
                </c:pt>
                <c:pt idx="9">
                  <c:v>-5000</c:v>
                </c:pt>
                <c:pt idx="10">
                  <c:v>-5000</c:v>
                </c:pt>
                <c:pt idx="11">
                  <c:v>-5000</c:v>
                </c:pt>
                <c:pt idx="12">
                  <c:v>-5000</c:v>
                </c:pt>
                <c:pt idx="13">
                  <c:v>-5000</c:v>
                </c:pt>
                <c:pt idx="14">
                  <c:v>-5000</c:v>
                </c:pt>
                <c:pt idx="15">
                  <c:v>-5000</c:v>
                </c:pt>
                <c:pt idx="16">
                  <c:v>-5000</c:v>
                </c:pt>
                <c:pt idx="17">
                  <c:v>-5000</c:v>
                </c:pt>
                <c:pt idx="18">
                  <c:v>-5000</c:v>
                </c:pt>
                <c:pt idx="19">
                  <c:v>-5000</c:v>
                </c:pt>
                <c:pt idx="20">
                  <c:v>-5000</c:v>
                </c:pt>
                <c:pt idx="21">
                  <c:v>-5000</c:v>
                </c:pt>
                <c:pt idx="22">
                  <c:v>-5000</c:v>
                </c:pt>
                <c:pt idx="23">
                  <c:v>-5000</c:v>
                </c:pt>
              </c:numCache>
            </c:numRef>
          </c:val>
          <c:smooth val="0"/>
          <c:extLst>
            <c:ext xmlns:c16="http://schemas.microsoft.com/office/drawing/2014/chart" uri="{C3380CC4-5D6E-409C-BE32-E72D297353CC}">
              <c16:uniqueId val="{00000001-955D-4B59-99B1-060923114833}"/>
            </c:ext>
          </c:extLst>
        </c:ser>
        <c:dLbls>
          <c:showLegendKey val="0"/>
          <c:showVal val="0"/>
          <c:showCatName val="0"/>
          <c:showSerName val="0"/>
          <c:showPercent val="0"/>
          <c:showBubbleSize val="0"/>
        </c:dLbls>
        <c:marker val="1"/>
        <c:smooth val="0"/>
        <c:axId val="626367008"/>
        <c:axId val="625661520"/>
      </c:lineChart>
      <c:catAx>
        <c:axId val="62636700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661520"/>
        <c:crosses val="autoZero"/>
        <c:auto val="1"/>
        <c:lblAlgn val="ctr"/>
        <c:lblOffset val="100"/>
        <c:noMultiLvlLbl val="0"/>
      </c:catAx>
      <c:valAx>
        <c:axId val="625661520"/>
        <c:scaling>
          <c:orientation val="minMax"/>
          <c:min val="-700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36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Fact2!$B$3</c:f>
              <c:strCache>
                <c:ptCount val="1"/>
                <c:pt idx="0">
                  <c:v>Rural </c:v>
                </c:pt>
              </c:strCache>
            </c:strRef>
          </c:tx>
          <c:spPr>
            <a:solidFill>
              <a:schemeClr val="accent6"/>
            </a:solidFill>
            <a:ln>
              <a:noFill/>
            </a:ln>
            <a:effectLst/>
          </c:spPr>
          <c:invertIfNegative val="0"/>
          <c:cat>
            <c:strRef>
              <c:f>Fact2!$A$4:$A$20</c:f>
              <c:strCache>
                <c:ptCount val="17"/>
                <c:pt idx="0">
                  <c:v>BOL</c:v>
                </c:pt>
                <c:pt idx="1">
                  <c:v>BRA</c:v>
                </c:pt>
                <c:pt idx="2">
                  <c:v>CHL</c:v>
                </c:pt>
                <c:pt idx="3">
                  <c:v>COL</c:v>
                </c:pt>
                <c:pt idx="4">
                  <c:v>CRI</c:v>
                </c:pt>
                <c:pt idx="5">
                  <c:v>DOM</c:v>
                </c:pt>
                <c:pt idx="6">
                  <c:v>ECU</c:v>
                </c:pt>
                <c:pt idx="7">
                  <c:v>GTM</c:v>
                </c:pt>
                <c:pt idx="8">
                  <c:v>HND</c:v>
                </c:pt>
                <c:pt idx="9">
                  <c:v>MEX</c:v>
                </c:pt>
                <c:pt idx="10">
                  <c:v>NIC</c:v>
                </c:pt>
                <c:pt idx="11">
                  <c:v>PAN</c:v>
                </c:pt>
                <c:pt idx="12">
                  <c:v>PER</c:v>
                </c:pt>
                <c:pt idx="13">
                  <c:v>PRY</c:v>
                </c:pt>
                <c:pt idx="14">
                  <c:v>SLV</c:v>
                </c:pt>
                <c:pt idx="15">
                  <c:v>URY</c:v>
                </c:pt>
                <c:pt idx="16">
                  <c:v>LAC</c:v>
                </c:pt>
              </c:strCache>
            </c:strRef>
          </c:cat>
          <c:val>
            <c:numRef>
              <c:f>Fact2!$B$4:$B$20</c:f>
              <c:numCache>
                <c:formatCode>0.0%</c:formatCode>
                <c:ptCount val="17"/>
                <c:pt idx="0">
                  <c:v>0.82599999999999996</c:v>
                </c:pt>
                <c:pt idx="1">
                  <c:v>0.311</c:v>
                </c:pt>
                <c:pt idx="2">
                  <c:v>0.19600000000000001</c:v>
                </c:pt>
                <c:pt idx="3">
                  <c:v>0.495</c:v>
                </c:pt>
                <c:pt idx="4">
                  <c:v>0.44400000000000001</c:v>
                </c:pt>
                <c:pt idx="5">
                  <c:v>0.30299999999999999</c:v>
                </c:pt>
                <c:pt idx="6">
                  <c:v>0.63600000000000001</c:v>
                </c:pt>
                <c:pt idx="7">
                  <c:v>0.73599999999999999</c:v>
                </c:pt>
                <c:pt idx="8">
                  <c:v>0.65600000000000003</c:v>
                </c:pt>
                <c:pt idx="9">
                  <c:v>0.56399999999999995</c:v>
                </c:pt>
                <c:pt idx="10">
                  <c:v>0.59399999999999997</c:v>
                </c:pt>
                <c:pt idx="11">
                  <c:v>0.81499999999999995</c:v>
                </c:pt>
                <c:pt idx="12">
                  <c:v>0.48599999999999999</c:v>
                </c:pt>
                <c:pt idx="13">
                  <c:v>0.71699999999999997</c:v>
                </c:pt>
                <c:pt idx="14">
                  <c:v>0.61399999999999999</c:v>
                </c:pt>
                <c:pt idx="15">
                  <c:v>0.13900000000000001</c:v>
                </c:pt>
                <c:pt idx="16">
                  <c:v>0.53325</c:v>
                </c:pt>
              </c:numCache>
            </c:numRef>
          </c:val>
          <c:extLst>
            <c:ext xmlns:c16="http://schemas.microsoft.com/office/drawing/2014/chart" uri="{C3380CC4-5D6E-409C-BE32-E72D297353CC}">
              <c16:uniqueId val="{00000000-B1F7-4D21-ABFD-1CB86A2925D9}"/>
            </c:ext>
          </c:extLst>
        </c:ser>
        <c:ser>
          <c:idx val="1"/>
          <c:order val="1"/>
          <c:tx>
            <c:strRef>
              <c:f>Fact2!$C$3</c:f>
              <c:strCache>
                <c:ptCount val="1"/>
                <c:pt idx="0">
                  <c:v>Urban</c:v>
                </c:pt>
              </c:strCache>
            </c:strRef>
          </c:tx>
          <c:spPr>
            <a:solidFill>
              <a:schemeClr val="accent5"/>
            </a:solidFill>
            <a:ln>
              <a:noFill/>
            </a:ln>
            <a:effectLst/>
          </c:spPr>
          <c:invertIfNegative val="0"/>
          <c:cat>
            <c:strRef>
              <c:f>Fact2!$A$4:$A$20</c:f>
              <c:strCache>
                <c:ptCount val="17"/>
                <c:pt idx="0">
                  <c:v>BOL</c:v>
                </c:pt>
                <c:pt idx="1">
                  <c:v>BRA</c:v>
                </c:pt>
                <c:pt idx="2">
                  <c:v>CHL</c:v>
                </c:pt>
                <c:pt idx="3">
                  <c:v>COL</c:v>
                </c:pt>
                <c:pt idx="4">
                  <c:v>CRI</c:v>
                </c:pt>
                <c:pt idx="5">
                  <c:v>DOM</c:v>
                </c:pt>
                <c:pt idx="6">
                  <c:v>ECU</c:v>
                </c:pt>
                <c:pt idx="7">
                  <c:v>GTM</c:v>
                </c:pt>
                <c:pt idx="8">
                  <c:v>HND</c:v>
                </c:pt>
                <c:pt idx="9">
                  <c:v>MEX</c:v>
                </c:pt>
                <c:pt idx="10">
                  <c:v>NIC</c:v>
                </c:pt>
                <c:pt idx="11">
                  <c:v>PAN</c:v>
                </c:pt>
                <c:pt idx="12">
                  <c:v>PER</c:v>
                </c:pt>
                <c:pt idx="13">
                  <c:v>PRY</c:v>
                </c:pt>
                <c:pt idx="14">
                  <c:v>SLV</c:v>
                </c:pt>
                <c:pt idx="15">
                  <c:v>URY</c:v>
                </c:pt>
                <c:pt idx="16">
                  <c:v>LAC</c:v>
                </c:pt>
              </c:strCache>
            </c:strRef>
          </c:cat>
          <c:val>
            <c:numRef>
              <c:f>Fact2!$C$4:$C$20</c:f>
              <c:numCache>
                <c:formatCode>0.0%</c:formatCode>
                <c:ptCount val="17"/>
                <c:pt idx="0">
                  <c:v>0.17399999999999999</c:v>
                </c:pt>
                <c:pt idx="1">
                  <c:v>0.68899999999999995</c:v>
                </c:pt>
                <c:pt idx="2">
                  <c:v>0.80400000000000005</c:v>
                </c:pt>
                <c:pt idx="3">
                  <c:v>0.505</c:v>
                </c:pt>
                <c:pt idx="4">
                  <c:v>0.55600000000000005</c:v>
                </c:pt>
                <c:pt idx="5">
                  <c:v>0.69699999999999995</c:v>
                </c:pt>
                <c:pt idx="6">
                  <c:v>0.36399999999999999</c:v>
                </c:pt>
                <c:pt idx="7">
                  <c:v>0.26400000000000001</c:v>
                </c:pt>
                <c:pt idx="8">
                  <c:v>0.34399999999999997</c:v>
                </c:pt>
                <c:pt idx="9">
                  <c:v>0.436</c:v>
                </c:pt>
                <c:pt idx="10">
                  <c:v>0.40600000000000003</c:v>
                </c:pt>
                <c:pt idx="11">
                  <c:v>0.185</c:v>
                </c:pt>
                <c:pt idx="12">
                  <c:v>0.51400000000000001</c:v>
                </c:pt>
                <c:pt idx="13">
                  <c:v>0.28299999999999997</c:v>
                </c:pt>
                <c:pt idx="14">
                  <c:v>0.38600000000000001</c:v>
                </c:pt>
                <c:pt idx="15">
                  <c:v>0.86099999999999999</c:v>
                </c:pt>
                <c:pt idx="16">
                  <c:v>0.46675</c:v>
                </c:pt>
              </c:numCache>
            </c:numRef>
          </c:val>
          <c:extLst>
            <c:ext xmlns:c16="http://schemas.microsoft.com/office/drawing/2014/chart" uri="{C3380CC4-5D6E-409C-BE32-E72D297353CC}">
              <c16:uniqueId val="{00000001-B1F7-4D21-ABFD-1CB86A2925D9}"/>
            </c:ext>
          </c:extLst>
        </c:ser>
        <c:dLbls>
          <c:showLegendKey val="0"/>
          <c:showVal val="0"/>
          <c:showCatName val="0"/>
          <c:showSerName val="0"/>
          <c:showPercent val="0"/>
          <c:showBubbleSize val="0"/>
        </c:dLbls>
        <c:gapWidth val="150"/>
        <c:overlap val="100"/>
        <c:axId val="383781104"/>
        <c:axId val="383789744"/>
      </c:barChart>
      <c:catAx>
        <c:axId val="38378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789744"/>
        <c:crosses val="autoZero"/>
        <c:auto val="1"/>
        <c:lblAlgn val="ctr"/>
        <c:lblOffset val="100"/>
        <c:noMultiLvlLbl val="0"/>
      </c:catAx>
      <c:valAx>
        <c:axId val="38378974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781104"/>
        <c:crosses val="autoZero"/>
        <c:crossBetween val="between"/>
        <c:majorUnit val="0.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Fact2!$D$3</c:f>
              <c:strCache>
                <c:ptCount val="1"/>
                <c:pt idx="0">
                  <c:v>Rural </c:v>
                </c:pt>
              </c:strCache>
            </c:strRef>
          </c:tx>
          <c:spPr>
            <a:solidFill>
              <a:schemeClr val="accent2"/>
            </a:solidFill>
            <a:ln>
              <a:noFill/>
            </a:ln>
            <a:effectLst/>
          </c:spPr>
          <c:invertIfNegative val="0"/>
          <c:cat>
            <c:strRef>
              <c:f>Fact2!$A$4:$A$20</c:f>
              <c:strCache>
                <c:ptCount val="17"/>
                <c:pt idx="0">
                  <c:v>BOL</c:v>
                </c:pt>
                <c:pt idx="1">
                  <c:v>BRA</c:v>
                </c:pt>
                <c:pt idx="2">
                  <c:v>CHL</c:v>
                </c:pt>
                <c:pt idx="3">
                  <c:v>COL</c:v>
                </c:pt>
                <c:pt idx="4">
                  <c:v>CRI</c:v>
                </c:pt>
                <c:pt idx="5">
                  <c:v>DOM</c:v>
                </c:pt>
                <c:pt idx="6">
                  <c:v>ECU</c:v>
                </c:pt>
                <c:pt idx="7">
                  <c:v>GTM</c:v>
                </c:pt>
                <c:pt idx="8">
                  <c:v>HND</c:v>
                </c:pt>
                <c:pt idx="9">
                  <c:v>MEX</c:v>
                </c:pt>
                <c:pt idx="10">
                  <c:v>NIC</c:v>
                </c:pt>
                <c:pt idx="11">
                  <c:v>PAN</c:v>
                </c:pt>
                <c:pt idx="12">
                  <c:v>PER</c:v>
                </c:pt>
                <c:pt idx="13">
                  <c:v>PRY</c:v>
                </c:pt>
                <c:pt idx="14">
                  <c:v>SLV</c:v>
                </c:pt>
                <c:pt idx="15">
                  <c:v>URY</c:v>
                </c:pt>
                <c:pt idx="16">
                  <c:v>LAC</c:v>
                </c:pt>
              </c:strCache>
            </c:strRef>
          </c:cat>
          <c:val>
            <c:numRef>
              <c:f>Fact2!$D$4:$D$20</c:f>
              <c:numCache>
                <c:formatCode>0.0%</c:formatCode>
                <c:ptCount val="17"/>
                <c:pt idx="0">
                  <c:v>0.47699999999999998</c:v>
                </c:pt>
                <c:pt idx="1">
                  <c:v>0.183</c:v>
                </c:pt>
                <c:pt idx="2">
                  <c:v>0.17499999999999999</c:v>
                </c:pt>
                <c:pt idx="3">
                  <c:v>0.30399999999999999</c:v>
                </c:pt>
                <c:pt idx="4">
                  <c:v>0.42599999999999999</c:v>
                </c:pt>
                <c:pt idx="5">
                  <c:v>0.20300000000000001</c:v>
                </c:pt>
                <c:pt idx="6">
                  <c:v>0.34399999999999997</c:v>
                </c:pt>
                <c:pt idx="7">
                  <c:v>0.63700000000000001</c:v>
                </c:pt>
                <c:pt idx="8">
                  <c:v>0.441</c:v>
                </c:pt>
                <c:pt idx="9">
                  <c:v>0.34200000000000003</c:v>
                </c:pt>
                <c:pt idx="10">
                  <c:v>0.43099999999999999</c:v>
                </c:pt>
                <c:pt idx="11">
                  <c:v>0.55200000000000005</c:v>
                </c:pt>
                <c:pt idx="12">
                  <c:v>0.28599999999999998</c:v>
                </c:pt>
                <c:pt idx="13">
                  <c:v>0.51</c:v>
                </c:pt>
                <c:pt idx="14">
                  <c:v>0.46</c:v>
                </c:pt>
                <c:pt idx="15">
                  <c:v>0.19600000000000001</c:v>
                </c:pt>
                <c:pt idx="16">
                  <c:v>0.37293749999999998</c:v>
                </c:pt>
              </c:numCache>
            </c:numRef>
          </c:val>
          <c:extLst>
            <c:ext xmlns:c16="http://schemas.microsoft.com/office/drawing/2014/chart" uri="{C3380CC4-5D6E-409C-BE32-E72D297353CC}">
              <c16:uniqueId val="{00000000-A691-4B69-9379-8F25E5C5FC9D}"/>
            </c:ext>
          </c:extLst>
        </c:ser>
        <c:ser>
          <c:idx val="1"/>
          <c:order val="1"/>
          <c:tx>
            <c:strRef>
              <c:f>Fact2!$E$3</c:f>
              <c:strCache>
                <c:ptCount val="1"/>
                <c:pt idx="0">
                  <c:v>Urban</c:v>
                </c:pt>
              </c:strCache>
            </c:strRef>
          </c:tx>
          <c:spPr>
            <a:solidFill>
              <a:schemeClr val="accent4"/>
            </a:solidFill>
            <a:ln>
              <a:noFill/>
            </a:ln>
            <a:effectLst/>
          </c:spPr>
          <c:invertIfNegative val="0"/>
          <c:cat>
            <c:strRef>
              <c:f>Fact2!$A$4:$A$20</c:f>
              <c:strCache>
                <c:ptCount val="17"/>
                <c:pt idx="0">
                  <c:v>BOL</c:v>
                </c:pt>
                <c:pt idx="1">
                  <c:v>BRA</c:v>
                </c:pt>
                <c:pt idx="2">
                  <c:v>CHL</c:v>
                </c:pt>
                <c:pt idx="3">
                  <c:v>COL</c:v>
                </c:pt>
                <c:pt idx="4">
                  <c:v>CRI</c:v>
                </c:pt>
                <c:pt idx="5">
                  <c:v>DOM</c:v>
                </c:pt>
                <c:pt idx="6">
                  <c:v>ECU</c:v>
                </c:pt>
                <c:pt idx="7">
                  <c:v>GTM</c:v>
                </c:pt>
                <c:pt idx="8">
                  <c:v>HND</c:v>
                </c:pt>
                <c:pt idx="9">
                  <c:v>MEX</c:v>
                </c:pt>
                <c:pt idx="10">
                  <c:v>NIC</c:v>
                </c:pt>
                <c:pt idx="11">
                  <c:v>PAN</c:v>
                </c:pt>
                <c:pt idx="12">
                  <c:v>PER</c:v>
                </c:pt>
                <c:pt idx="13">
                  <c:v>PRY</c:v>
                </c:pt>
                <c:pt idx="14">
                  <c:v>SLV</c:v>
                </c:pt>
                <c:pt idx="15">
                  <c:v>URY</c:v>
                </c:pt>
                <c:pt idx="16">
                  <c:v>LAC</c:v>
                </c:pt>
              </c:strCache>
            </c:strRef>
          </c:cat>
          <c:val>
            <c:numRef>
              <c:f>Fact2!$E$4:$E$20</c:f>
              <c:numCache>
                <c:formatCode>0.0%</c:formatCode>
                <c:ptCount val="17"/>
                <c:pt idx="0">
                  <c:v>0.52300000000000002</c:v>
                </c:pt>
                <c:pt idx="1">
                  <c:v>0.81699999999999995</c:v>
                </c:pt>
                <c:pt idx="2">
                  <c:v>0.82499999999999996</c:v>
                </c:pt>
                <c:pt idx="3">
                  <c:v>0.69599999999999995</c:v>
                </c:pt>
                <c:pt idx="4">
                  <c:v>0.57399999999999995</c:v>
                </c:pt>
                <c:pt idx="5">
                  <c:v>0.79700000000000004</c:v>
                </c:pt>
                <c:pt idx="6">
                  <c:v>0.65600000000000003</c:v>
                </c:pt>
                <c:pt idx="7">
                  <c:v>0.36299999999999999</c:v>
                </c:pt>
                <c:pt idx="8">
                  <c:v>0.55900000000000005</c:v>
                </c:pt>
                <c:pt idx="9">
                  <c:v>0.65800000000000003</c:v>
                </c:pt>
                <c:pt idx="10">
                  <c:v>0.56899999999999995</c:v>
                </c:pt>
                <c:pt idx="11">
                  <c:v>0.44800000000000001</c:v>
                </c:pt>
                <c:pt idx="12">
                  <c:v>0.71399999999999997</c:v>
                </c:pt>
                <c:pt idx="13">
                  <c:v>0.49</c:v>
                </c:pt>
                <c:pt idx="14">
                  <c:v>0.54</c:v>
                </c:pt>
                <c:pt idx="15">
                  <c:v>0.80400000000000005</c:v>
                </c:pt>
                <c:pt idx="16">
                  <c:v>0.62706249999999997</c:v>
                </c:pt>
              </c:numCache>
            </c:numRef>
          </c:val>
          <c:extLst>
            <c:ext xmlns:c16="http://schemas.microsoft.com/office/drawing/2014/chart" uri="{C3380CC4-5D6E-409C-BE32-E72D297353CC}">
              <c16:uniqueId val="{00000001-A691-4B69-9379-8F25E5C5FC9D}"/>
            </c:ext>
          </c:extLst>
        </c:ser>
        <c:dLbls>
          <c:showLegendKey val="0"/>
          <c:showVal val="0"/>
          <c:showCatName val="0"/>
          <c:showSerName val="0"/>
          <c:showPercent val="0"/>
          <c:showBubbleSize val="0"/>
        </c:dLbls>
        <c:gapWidth val="150"/>
        <c:overlap val="100"/>
        <c:axId val="383781104"/>
        <c:axId val="383789744"/>
      </c:barChart>
      <c:catAx>
        <c:axId val="38378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789744"/>
        <c:crosses val="autoZero"/>
        <c:auto val="1"/>
        <c:lblAlgn val="ctr"/>
        <c:lblOffset val="100"/>
        <c:noMultiLvlLbl val="0"/>
      </c:catAx>
      <c:valAx>
        <c:axId val="38378974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781104"/>
        <c:crosses val="autoZero"/>
        <c:crossBetween val="between"/>
        <c:majorUnit val="0.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Fact2!$H$3</c:f>
              <c:strCache>
                <c:ptCount val="1"/>
                <c:pt idx="0">
                  <c:v>Rural </c:v>
                </c:pt>
              </c:strCache>
            </c:strRef>
          </c:tx>
          <c:spPr>
            <a:solidFill>
              <a:schemeClr val="accent6"/>
            </a:solidFill>
            <a:ln>
              <a:noFill/>
            </a:ln>
            <a:effectLst/>
          </c:spPr>
          <c:invertIfNegative val="0"/>
          <c:cat>
            <c:strRef>
              <c:f>Fact2!$A$4:$A$20</c:f>
              <c:strCache>
                <c:ptCount val="17"/>
                <c:pt idx="0">
                  <c:v>BOL</c:v>
                </c:pt>
                <c:pt idx="1">
                  <c:v>BRA</c:v>
                </c:pt>
                <c:pt idx="2">
                  <c:v>CHL</c:v>
                </c:pt>
                <c:pt idx="3">
                  <c:v>COL</c:v>
                </c:pt>
                <c:pt idx="4">
                  <c:v>CRI</c:v>
                </c:pt>
                <c:pt idx="5">
                  <c:v>DOM</c:v>
                </c:pt>
                <c:pt idx="6">
                  <c:v>ECU</c:v>
                </c:pt>
                <c:pt idx="7">
                  <c:v>GTM</c:v>
                </c:pt>
                <c:pt idx="8">
                  <c:v>HND</c:v>
                </c:pt>
                <c:pt idx="9">
                  <c:v>MEX</c:v>
                </c:pt>
                <c:pt idx="10">
                  <c:v>NIC</c:v>
                </c:pt>
                <c:pt idx="11">
                  <c:v>PAN</c:v>
                </c:pt>
                <c:pt idx="12">
                  <c:v>PER</c:v>
                </c:pt>
                <c:pt idx="13">
                  <c:v>PRY</c:v>
                </c:pt>
                <c:pt idx="14">
                  <c:v>SLV</c:v>
                </c:pt>
                <c:pt idx="15">
                  <c:v>URY</c:v>
                </c:pt>
                <c:pt idx="16">
                  <c:v>LAC</c:v>
                </c:pt>
              </c:strCache>
            </c:strRef>
          </c:cat>
          <c:val>
            <c:numRef>
              <c:f>Fact2!$H$4:$H$20</c:f>
              <c:numCache>
                <c:formatCode>0.0%</c:formatCode>
                <c:ptCount val="17"/>
                <c:pt idx="0">
                  <c:v>0.29499999999999998</c:v>
                </c:pt>
                <c:pt idx="1">
                  <c:v>0.13300000000000001</c:v>
                </c:pt>
                <c:pt idx="2">
                  <c:v>0.113</c:v>
                </c:pt>
                <c:pt idx="3">
                  <c:v>0.23</c:v>
                </c:pt>
                <c:pt idx="4">
                  <c:v>0.27500000000000002</c:v>
                </c:pt>
                <c:pt idx="5">
                  <c:v>0.16900000000000001</c:v>
                </c:pt>
                <c:pt idx="6">
                  <c:v>0.318</c:v>
                </c:pt>
                <c:pt idx="7">
                  <c:v>0.58499999999999996</c:v>
                </c:pt>
                <c:pt idx="8">
                  <c:v>0.44900000000000001</c:v>
                </c:pt>
                <c:pt idx="9">
                  <c:v>0.246</c:v>
                </c:pt>
                <c:pt idx="10">
                  <c:v>0.42599999999999999</c:v>
                </c:pt>
                <c:pt idx="11">
                  <c:v>0.29699999999999999</c:v>
                </c:pt>
                <c:pt idx="12">
                  <c:v>0.20200000000000001</c:v>
                </c:pt>
                <c:pt idx="13">
                  <c:v>0.36199999999999999</c:v>
                </c:pt>
                <c:pt idx="14">
                  <c:v>0.36699999999999999</c:v>
                </c:pt>
                <c:pt idx="15">
                  <c:v>0.153</c:v>
                </c:pt>
                <c:pt idx="16">
                  <c:v>0.28875000000000001</c:v>
                </c:pt>
              </c:numCache>
            </c:numRef>
          </c:val>
          <c:extLst>
            <c:ext xmlns:c16="http://schemas.microsoft.com/office/drawing/2014/chart" uri="{C3380CC4-5D6E-409C-BE32-E72D297353CC}">
              <c16:uniqueId val="{00000000-4F80-49BE-BEAA-654DB4E542B2}"/>
            </c:ext>
          </c:extLst>
        </c:ser>
        <c:ser>
          <c:idx val="1"/>
          <c:order val="1"/>
          <c:tx>
            <c:strRef>
              <c:f>Fact2!$I$3</c:f>
              <c:strCache>
                <c:ptCount val="1"/>
                <c:pt idx="0">
                  <c:v>Urban</c:v>
                </c:pt>
              </c:strCache>
            </c:strRef>
          </c:tx>
          <c:spPr>
            <a:solidFill>
              <a:schemeClr val="accent5"/>
            </a:solidFill>
            <a:ln>
              <a:noFill/>
            </a:ln>
            <a:effectLst/>
          </c:spPr>
          <c:invertIfNegative val="0"/>
          <c:cat>
            <c:strRef>
              <c:f>Fact2!$A$4:$A$20</c:f>
              <c:strCache>
                <c:ptCount val="17"/>
                <c:pt idx="0">
                  <c:v>BOL</c:v>
                </c:pt>
                <c:pt idx="1">
                  <c:v>BRA</c:v>
                </c:pt>
                <c:pt idx="2">
                  <c:v>CHL</c:v>
                </c:pt>
                <c:pt idx="3">
                  <c:v>COL</c:v>
                </c:pt>
                <c:pt idx="4">
                  <c:v>CRI</c:v>
                </c:pt>
                <c:pt idx="5">
                  <c:v>DOM</c:v>
                </c:pt>
                <c:pt idx="6">
                  <c:v>ECU</c:v>
                </c:pt>
                <c:pt idx="7">
                  <c:v>GTM</c:v>
                </c:pt>
                <c:pt idx="8">
                  <c:v>HND</c:v>
                </c:pt>
                <c:pt idx="9">
                  <c:v>MEX</c:v>
                </c:pt>
                <c:pt idx="10">
                  <c:v>NIC</c:v>
                </c:pt>
                <c:pt idx="11">
                  <c:v>PAN</c:v>
                </c:pt>
                <c:pt idx="12">
                  <c:v>PER</c:v>
                </c:pt>
                <c:pt idx="13">
                  <c:v>PRY</c:v>
                </c:pt>
                <c:pt idx="14">
                  <c:v>SLV</c:v>
                </c:pt>
                <c:pt idx="15">
                  <c:v>URY</c:v>
                </c:pt>
                <c:pt idx="16">
                  <c:v>LAC</c:v>
                </c:pt>
              </c:strCache>
            </c:strRef>
          </c:cat>
          <c:val>
            <c:numRef>
              <c:f>Fact2!$I$4:$I$20</c:f>
              <c:numCache>
                <c:formatCode>0.0%</c:formatCode>
                <c:ptCount val="17"/>
                <c:pt idx="0">
                  <c:v>0.70499999999999996</c:v>
                </c:pt>
                <c:pt idx="1">
                  <c:v>0.86699999999999999</c:v>
                </c:pt>
                <c:pt idx="2">
                  <c:v>0.88700000000000001</c:v>
                </c:pt>
                <c:pt idx="3">
                  <c:v>0.77</c:v>
                </c:pt>
                <c:pt idx="4">
                  <c:v>0.72499999999999998</c:v>
                </c:pt>
                <c:pt idx="5">
                  <c:v>0.83099999999999996</c:v>
                </c:pt>
                <c:pt idx="6">
                  <c:v>0.68200000000000005</c:v>
                </c:pt>
                <c:pt idx="7">
                  <c:v>0.41499999999999998</c:v>
                </c:pt>
                <c:pt idx="8">
                  <c:v>0.55100000000000005</c:v>
                </c:pt>
                <c:pt idx="9">
                  <c:v>0.754</c:v>
                </c:pt>
                <c:pt idx="10">
                  <c:v>0.57399999999999995</c:v>
                </c:pt>
                <c:pt idx="11">
                  <c:v>0.70299999999999996</c:v>
                </c:pt>
                <c:pt idx="12">
                  <c:v>0.79800000000000004</c:v>
                </c:pt>
                <c:pt idx="13">
                  <c:v>0.63800000000000001</c:v>
                </c:pt>
                <c:pt idx="14">
                  <c:v>0.63300000000000001</c:v>
                </c:pt>
                <c:pt idx="15">
                  <c:v>0.84699999999999998</c:v>
                </c:pt>
                <c:pt idx="16">
                  <c:v>0.71125000000000005</c:v>
                </c:pt>
              </c:numCache>
            </c:numRef>
          </c:val>
          <c:extLst>
            <c:ext xmlns:c16="http://schemas.microsoft.com/office/drawing/2014/chart" uri="{C3380CC4-5D6E-409C-BE32-E72D297353CC}">
              <c16:uniqueId val="{00000001-4F80-49BE-BEAA-654DB4E542B2}"/>
            </c:ext>
          </c:extLst>
        </c:ser>
        <c:dLbls>
          <c:showLegendKey val="0"/>
          <c:showVal val="0"/>
          <c:showCatName val="0"/>
          <c:showSerName val="0"/>
          <c:showPercent val="0"/>
          <c:showBubbleSize val="0"/>
        </c:dLbls>
        <c:gapWidth val="150"/>
        <c:overlap val="100"/>
        <c:axId val="383781104"/>
        <c:axId val="383789744"/>
      </c:barChart>
      <c:catAx>
        <c:axId val="38378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789744"/>
        <c:crosses val="autoZero"/>
        <c:auto val="1"/>
        <c:lblAlgn val="ctr"/>
        <c:lblOffset val="100"/>
        <c:noMultiLvlLbl val="0"/>
      </c:catAx>
      <c:valAx>
        <c:axId val="38378974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781104"/>
        <c:crosses val="autoZero"/>
        <c:crossBetween val="between"/>
        <c:majorUnit val="0.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Fact3a!$B$27</c:f>
              <c:strCache>
                <c:ptCount val="1"/>
                <c:pt idx="0">
                  <c:v>Extreme Poor</c:v>
                </c:pt>
              </c:strCache>
            </c:strRef>
          </c:tx>
          <c:spPr>
            <a:solidFill>
              <a:schemeClr val="accent1"/>
            </a:solidFill>
            <a:ln>
              <a:noFill/>
            </a:ln>
            <a:effectLst/>
          </c:spPr>
          <c:invertIfNegative val="0"/>
          <c:cat>
            <c:strRef>
              <c:f>Fact3a!$A$28:$A$43</c:f>
              <c:strCache>
                <c:ptCount val="16"/>
                <c:pt idx="0">
                  <c:v>  ARG</c:v>
                </c:pt>
                <c:pt idx="2">
                  <c:v>  BRA</c:v>
                </c:pt>
                <c:pt idx="3">
                  <c:v>  CHL</c:v>
                </c:pt>
                <c:pt idx="4">
                  <c:v>  COL</c:v>
                </c:pt>
                <c:pt idx="5">
                  <c:v>  CRI</c:v>
                </c:pt>
                <c:pt idx="6">
                  <c:v>  DOM</c:v>
                </c:pt>
                <c:pt idx="7">
                  <c:v>  ECU</c:v>
                </c:pt>
                <c:pt idx="8">
                  <c:v>  GUY</c:v>
                </c:pt>
                <c:pt idx="9">
                  <c:v>  HND</c:v>
                </c:pt>
                <c:pt idx="10">
                  <c:v>  PAN</c:v>
                </c:pt>
                <c:pt idx="11">
                  <c:v>  PER</c:v>
                </c:pt>
                <c:pt idx="12">
                  <c:v>  PRY</c:v>
                </c:pt>
                <c:pt idx="13">
                  <c:v>  VEN</c:v>
                </c:pt>
                <c:pt idx="14">
                  <c:v>LAC</c:v>
                </c:pt>
                <c:pt idx="15">
                  <c:v>LAC </c:v>
                </c:pt>
              </c:strCache>
            </c:strRef>
          </c:cat>
          <c:val>
            <c:numRef>
              <c:f>Fact3a!$B$28:$B$42</c:f>
              <c:numCache>
                <c:formatCode>0.00</c:formatCode>
                <c:ptCount val="15"/>
                <c:pt idx="0">
                  <c:v>7.6738164809473481</c:v>
                </c:pt>
                <c:pt idx="2">
                  <c:v>2.7141169239826493</c:v>
                </c:pt>
                <c:pt idx="3">
                  <c:v>1.9733923707230971</c:v>
                </c:pt>
                <c:pt idx="4">
                  <c:v>20.777624741331859</c:v>
                </c:pt>
                <c:pt idx="5">
                  <c:v>8.4416914098494935</c:v>
                </c:pt>
                <c:pt idx="6">
                  <c:v>11.438820729281604</c:v>
                </c:pt>
                <c:pt idx="7">
                  <c:v>6.3110658999920712</c:v>
                </c:pt>
                <c:pt idx="8">
                  <c:v>27.055065824115211</c:v>
                </c:pt>
                <c:pt idx="9">
                  <c:v>30.806297634420588</c:v>
                </c:pt>
                <c:pt idx="10">
                  <c:v>2.5306904257480336</c:v>
                </c:pt>
                <c:pt idx="11">
                  <c:v>3.2016234951055731</c:v>
                </c:pt>
                <c:pt idx="12">
                  <c:v>9.2723930844504086</c:v>
                </c:pt>
                <c:pt idx="13">
                  <c:v>40.216262613076772</c:v>
                </c:pt>
                <c:pt idx="14">
                  <c:v>8.8898411980740306</c:v>
                </c:pt>
              </c:numCache>
            </c:numRef>
          </c:val>
          <c:extLst>
            <c:ext xmlns:c16="http://schemas.microsoft.com/office/drawing/2014/chart" uri="{C3380CC4-5D6E-409C-BE32-E72D297353CC}">
              <c16:uniqueId val="{00000000-18C5-476A-9AEB-4E28DABB9132}"/>
            </c:ext>
          </c:extLst>
        </c:ser>
        <c:ser>
          <c:idx val="1"/>
          <c:order val="1"/>
          <c:tx>
            <c:strRef>
              <c:f>Fact3a!$C$27</c:f>
              <c:strCache>
                <c:ptCount val="1"/>
                <c:pt idx="0">
                  <c:v>Moderate Poor</c:v>
                </c:pt>
              </c:strCache>
            </c:strRef>
          </c:tx>
          <c:spPr>
            <a:solidFill>
              <a:schemeClr val="accent2"/>
            </a:solidFill>
            <a:ln>
              <a:noFill/>
            </a:ln>
            <a:effectLst/>
          </c:spPr>
          <c:invertIfNegative val="0"/>
          <c:cat>
            <c:strRef>
              <c:f>Fact3a!$A$28:$A$43</c:f>
              <c:strCache>
                <c:ptCount val="16"/>
                <c:pt idx="0">
                  <c:v>  ARG</c:v>
                </c:pt>
                <c:pt idx="2">
                  <c:v>  BRA</c:v>
                </c:pt>
                <c:pt idx="3">
                  <c:v>  CHL</c:v>
                </c:pt>
                <c:pt idx="4">
                  <c:v>  COL</c:v>
                </c:pt>
                <c:pt idx="5">
                  <c:v>  CRI</c:v>
                </c:pt>
                <c:pt idx="6">
                  <c:v>  DOM</c:v>
                </c:pt>
                <c:pt idx="7">
                  <c:v>  ECU</c:v>
                </c:pt>
                <c:pt idx="8">
                  <c:v>  GUY</c:v>
                </c:pt>
                <c:pt idx="9">
                  <c:v>  HND</c:v>
                </c:pt>
                <c:pt idx="10">
                  <c:v>  PAN</c:v>
                </c:pt>
                <c:pt idx="11">
                  <c:v>  PER</c:v>
                </c:pt>
                <c:pt idx="12">
                  <c:v>  PRY</c:v>
                </c:pt>
                <c:pt idx="13">
                  <c:v>  VEN</c:v>
                </c:pt>
                <c:pt idx="14">
                  <c:v>LAC</c:v>
                </c:pt>
                <c:pt idx="15">
                  <c:v>LAC </c:v>
                </c:pt>
              </c:strCache>
            </c:strRef>
          </c:cat>
          <c:val>
            <c:numRef>
              <c:f>Fact3a!$C$28:$C$42</c:f>
              <c:numCache>
                <c:formatCode>0.00</c:formatCode>
                <c:ptCount val="15"/>
                <c:pt idx="0">
                  <c:v>11.420207161956561</c:v>
                </c:pt>
                <c:pt idx="2">
                  <c:v>11.022863396080366</c:v>
                </c:pt>
                <c:pt idx="3">
                  <c:v>7.0953289463329838</c:v>
                </c:pt>
                <c:pt idx="4">
                  <c:v>30.328332479382169</c:v>
                </c:pt>
                <c:pt idx="5">
                  <c:v>16.3379662810143</c:v>
                </c:pt>
                <c:pt idx="6">
                  <c:v>23.346658615532771</c:v>
                </c:pt>
                <c:pt idx="7">
                  <c:v>27.555249966392527</c:v>
                </c:pt>
                <c:pt idx="8">
                  <c:v>24.195810191761627</c:v>
                </c:pt>
                <c:pt idx="9">
                  <c:v>27.471079101864245</c:v>
                </c:pt>
                <c:pt idx="10">
                  <c:v>3.3142757639957048</c:v>
                </c:pt>
                <c:pt idx="11">
                  <c:v>18.7828229975112</c:v>
                </c:pt>
                <c:pt idx="12">
                  <c:v>17.631438439985068</c:v>
                </c:pt>
                <c:pt idx="13">
                  <c:v>14.923084882500854</c:v>
                </c:pt>
                <c:pt idx="14">
                  <c:v>15.39979712306627</c:v>
                </c:pt>
              </c:numCache>
            </c:numRef>
          </c:val>
          <c:extLst>
            <c:ext xmlns:c16="http://schemas.microsoft.com/office/drawing/2014/chart" uri="{C3380CC4-5D6E-409C-BE32-E72D297353CC}">
              <c16:uniqueId val="{00000001-18C5-476A-9AEB-4E28DABB9132}"/>
            </c:ext>
          </c:extLst>
        </c:ser>
        <c:ser>
          <c:idx val="2"/>
          <c:order val="2"/>
          <c:tx>
            <c:strRef>
              <c:f>Fact3a!$D$27</c:f>
              <c:strCache>
                <c:ptCount val="1"/>
                <c:pt idx="0">
                  <c:v>Not Poor</c:v>
                </c:pt>
              </c:strCache>
            </c:strRef>
          </c:tx>
          <c:spPr>
            <a:solidFill>
              <a:schemeClr val="accent3"/>
            </a:solidFill>
            <a:ln>
              <a:noFill/>
            </a:ln>
            <a:effectLst/>
          </c:spPr>
          <c:invertIfNegative val="0"/>
          <c:cat>
            <c:strRef>
              <c:f>Fact3a!$A$28:$A$43</c:f>
              <c:strCache>
                <c:ptCount val="16"/>
                <c:pt idx="0">
                  <c:v>  ARG</c:v>
                </c:pt>
                <c:pt idx="2">
                  <c:v>  BRA</c:v>
                </c:pt>
                <c:pt idx="3">
                  <c:v>  CHL</c:v>
                </c:pt>
                <c:pt idx="4">
                  <c:v>  COL</c:v>
                </c:pt>
                <c:pt idx="5">
                  <c:v>  CRI</c:v>
                </c:pt>
                <c:pt idx="6">
                  <c:v>  DOM</c:v>
                </c:pt>
                <c:pt idx="7">
                  <c:v>  ECU</c:v>
                </c:pt>
                <c:pt idx="8">
                  <c:v>  GUY</c:v>
                </c:pt>
                <c:pt idx="9">
                  <c:v>  HND</c:v>
                </c:pt>
                <c:pt idx="10">
                  <c:v>  PAN</c:v>
                </c:pt>
                <c:pt idx="11">
                  <c:v>  PER</c:v>
                </c:pt>
                <c:pt idx="12">
                  <c:v>  PRY</c:v>
                </c:pt>
                <c:pt idx="13">
                  <c:v>  VEN</c:v>
                </c:pt>
                <c:pt idx="14">
                  <c:v>LAC</c:v>
                </c:pt>
                <c:pt idx="15">
                  <c:v>LAC </c:v>
                </c:pt>
              </c:strCache>
            </c:strRef>
          </c:cat>
          <c:val>
            <c:numRef>
              <c:f>Fact3a!$D$28:$D$42</c:f>
              <c:numCache>
                <c:formatCode>0.00</c:formatCode>
                <c:ptCount val="15"/>
                <c:pt idx="0">
                  <c:v>80.905976357096094</c:v>
                </c:pt>
                <c:pt idx="2">
                  <c:v>86.263019679936974</c:v>
                </c:pt>
                <c:pt idx="3">
                  <c:v>90.931278682943912</c:v>
                </c:pt>
                <c:pt idx="4">
                  <c:v>48.894042779285975</c:v>
                </c:pt>
                <c:pt idx="5">
                  <c:v>75.220342309136214</c:v>
                </c:pt>
                <c:pt idx="6">
                  <c:v>65.214520655185623</c:v>
                </c:pt>
                <c:pt idx="7">
                  <c:v>66.133684133615404</c:v>
                </c:pt>
                <c:pt idx="8">
                  <c:v>48.749123984123166</c:v>
                </c:pt>
                <c:pt idx="9">
                  <c:v>41.722623263715171</c:v>
                </c:pt>
                <c:pt idx="10">
                  <c:v>94.155033810256256</c:v>
                </c:pt>
                <c:pt idx="11">
                  <c:v>78.015553507383231</c:v>
                </c:pt>
                <c:pt idx="12">
                  <c:v>73.096168475564525</c:v>
                </c:pt>
                <c:pt idx="13">
                  <c:v>44.860652504422376</c:v>
                </c:pt>
                <c:pt idx="14">
                  <c:v>75.710361678859712</c:v>
                </c:pt>
              </c:numCache>
            </c:numRef>
          </c:val>
          <c:extLst>
            <c:ext xmlns:c16="http://schemas.microsoft.com/office/drawing/2014/chart" uri="{C3380CC4-5D6E-409C-BE32-E72D297353CC}">
              <c16:uniqueId val="{00000002-18C5-476A-9AEB-4E28DABB9132}"/>
            </c:ext>
          </c:extLst>
        </c:ser>
        <c:dLbls>
          <c:showLegendKey val="0"/>
          <c:showVal val="0"/>
          <c:showCatName val="0"/>
          <c:showSerName val="0"/>
          <c:showPercent val="0"/>
          <c:showBubbleSize val="0"/>
        </c:dLbls>
        <c:gapWidth val="65"/>
        <c:overlap val="100"/>
        <c:axId val="219828832"/>
        <c:axId val="219821632"/>
      </c:barChart>
      <c:catAx>
        <c:axId val="2198288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821632"/>
        <c:crosses val="autoZero"/>
        <c:auto val="1"/>
        <c:lblAlgn val="ctr"/>
        <c:lblOffset val="100"/>
        <c:noMultiLvlLbl val="0"/>
      </c:catAx>
      <c:valAx>
        <c:axId val="2198216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828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172315256414148E-2"/>
          <c:y val="2.8197387634150368E-2"/>
          <c:w val="0.91272622014593285"/>
          <c:h val="0.78910648325289801"/>
        </c:manualLayout>
      </c:layout>
      <c:barChart>
        <c:barDir val="col"/>
        <c:grouping val="clustered"/>
        <c:varyColors val="0"/>
        <c:ser>
          <c:idx val="0"/>
          <c:order val="0"/>
          <c:tx>
            <c:strRef>
              <c:f>Fact3b!$R$3</c:f>
              <c:strCache>
                <c:ptCount val="1"/>
                <c:pt idx="0">
                  <c:v>Extreme poverty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57A5D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Fact3b!$Q$4:$Q$10</c:f>
              <c:strCache>
                <c:ptCount val="7"/>
                <c:pt idx="0">
                  <c:v>Afro-descendant people</c:v>
                </c:pt>
                <c:pt idx="1">
                  <c:v>Indigenous people</c:v>
                </c:pt>
                <c:pt idx="2">
                  <c:v>People with disabilities</c:v>
                </c:pt>
                <c:pt idx="3">
                  <c:v>Migrants</c:v>
                </c:pt>
                <c:pt idx="4">
                  <c:v>Women</c:v>
                </c:pt>
                <c:pt idx="5">
                  <c:v>People aged 0-15 years old</c:v>
                </c:pt>
                <c:pt idx="6">
                  <c:v>People aged 65+ years old</c:v>
                </c:pt>
              </c:strCache>
            </c:strRef>
          </c:cat>
          <c:val>
            <c:numRef>
              <c:f>Fact3b!$R$4:$R$10</c:f>
              <c:numCache>
                <c:formatCode>0</c:formatCode>
                <c:ptCount val="7"/>
                <c:pt idx="0">
                  <c:v>48.194125785265364</c:v>
                </c:pt>
                <c:pt idx="1">
                  <c:v>22.209165085907014</c:v>
                </c:pt>
                <c:pt idx="2">
                  <c:v>16.923918276456117</c:v>
                </c:pt>
                <c:pt idx="3">
                  <c:v>1.7312434755905231</c:v>
                </c:pt>
                <c:pt idx="4">
                  <c:v>52.776115455988929</c:v>
                </c:pt>
                <c:pt idx="5">
                  <c:v>39.102776883701168</c:v>
                </c:pt>
                <c:pt idx="6">
                  <c:v>6.1675348374556771</c:v>
                </c:pt>
              </c:numCache>
            </c:numRef>
          </c:val>
          <c:extLst>
            <c:ext xmlns:c16="http://schemas.microsoft.com/office/drawing/2014/chart" uri="{C3380CC4-5D6E-409C-BE32-E72D297353CC}">
              <c16:uniqueId val="{00000000-3693-4912-AA80-16E3DF58EB23}"/>
            </c:ext>
          </c:extLst>
        </c:ser>
        <c:ser>
          <c:idx val="1"/>
          <c:order val="1"/>
          <c:tx>
            <c:strRef>
              <c:f>Fact3b!$S$3</c:f>
              <c:strCache>
                <c:ptCount val="1"/>
                <c:pt idx="0">
                  <c:v>Moderate poverty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4E7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Fact3b!$Q$4:$Q$10</c:f>
              <c:strCache>
                <c:ptCount val="7"/>
                <c:pt idx="0">
                  <c:v>Afro-descendant people</c:v>
                </c:pt>
                <c:pt idx="1">
                  <c:v>Indigenous people</c:v>
                </c:pt>
                <c:pt idx="2">
                  <c:v>People with disabilities</c:v>
                </c:pt>
                <c:pt idx="3">
                  <c:v>Migrants</c:v>
                </c:pt>
                <c:pt idx="4">
                  <c:v>Women</c:v>
                </c:pt>
                <c:pt idx="5">
                  <c:v>People aged 0-15 years old</c:v>
                </c:pt>
                <c:pt idx="6">
                  <c:v>People aged 65+ years old</c:v>
                </c:pt>
              </c:strCache>
            </c:strRef>
          </c:cat>
          <c:val>
            <c:numRef>
              <c:f>Fact3b!$S$4:$S$10</c:f>
              <c:numCache>
                <c:formatCode>0</c:formatCode>
                <c:ptCount val="7"/>
                <c:pt idx="0">
                  <c:v>42.800188951129392</c:v>
                </c:pt>
                <c:pt idx="1">
                  <c:v>14.832204461783819</c:v>
                </c:pt>
                <c:pt idx="2">
                  <c:v>15.03573805225685</c:v>
                </c:pt>
                <c:pt idx="3">
                  <c:v>2.1194622366817923</c:v>
                </c:pt>
                <c:pt idx="4">
                  <c:v>52.630229686113537</c:v>
                </c:pt>
                <c:pt idx="5">
                  <c:v>33.052259168231139</c:v>
                </c:pt>
                <c:pt idx="6">
                  <c:v>6.9893065484107506</c:v>
                </c:pt>
              </c:numCache>
            </c:numRef>
          </c:val>
          <c:extLst>
            <c:ext xmlns:c16="http://schemas.microsoft.com/office/drawing/2014/chart" uri="{C3380CC4-5D6E-409C-BE32-E72D297353CC}">
              <c16:uniqueId val="{00000001-3693-4912-AA80-16E3DF58EB23}"/>
            </c:ext>
          </c:extLst>
        </c:ser>
        <c:ser>
          <c:idx val="2"/>
          <c:order val="2"/>
          <c:tx>
            <c:strRef>
              <c:f>Fact3b!$U$3</c:f>
              <c:strCache>
                <c:ptCount val="1"/>
                <c:pt idx="0">
                  <c:v>totalpoor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Fact3b!$Q$4:$Q$10</c:f>
              <c:strCache>
                <c:ptCount val="7"/>
                <c:pt idx="0">
                  <c:v>Afro-descendant people</c:v>
                </c:pt>
                <c:pt idx="1">
                  <c:v>Indigenous people</c:v>
                </c:pt>
                <c:pt idx="2">
                  <c:v>People with disabilities</c:v>
                </c:pt>
                <c:pt idx="3">
                  <c:v>Migrants</c:v>
                </c:pt>
                <c:pt idx="4">
                  <c:v>Women</c:v>
                </c:pt>
                <c:pt idx="5">
                  <c:v>People aged 0-15 years old</c:v>
                </c:pt>
                <c:pt idx="6">
                  <c:v>People aged 65+ years old</c:v>
                </c:pt>
              </c:strCache>
            </c:strRef>
          </c:cat>
          <c:val>
            <c:numRef>
              <c:f>Fact3b!$U$4:$U$10</c:f>
              <c:numCache>
                <c:formatCode>0</c:formatCode>
                <c:ptCount val="7"/>
                <c:pt idx="0">
                  <c:v>31.302223410059888</c:v>
                </c:pt>
                <c:pt idx="1">
                  <c:v>9.5404315227076584</c:v>
                </c:pt>
                <c:pt idx="2">
                  <c:v>14.322950622543095</c:v>
                </c:pt>
                <c:pt idx="3">
                  <c:v>2.1148320836194556</c:v>
                </c:pt>
                <c:pt idx="4">
                  <c:v>50.806675335637188</c:v>
                </c:pt>
                <c:pt idx="5">
                  <c:v>19.584050870476805</c:v>
                </c:pt>
                <c:pt idx="6">
                  <c:v>11.615437988062199</c:v>
                </c:pt>
              </c:numCache>
            </c:numRef>
          </c:val>
          <c:extLst>
            <c:ext xmlns:c16="http://schemas.microsoft.com/office/drawing/2014/chart" uri="{C3380CC4-5D6E-409C-BE32-E72D297353CC}">
              <c16:uniqueId val="{00000002-3693-4912-AA80-16E3DF58EB23}"/>
            </c:ext>
          </c:extLst>
        </c:ser>
        <c:dLbls>
          <c:showLegendKey val="0"/>
          <c:showVal val="0"/>
          <c:showCatName val="0"/>
          <c:showSerName val="0"/>
          <c:showPercent val="0"/>
          <c:showBubbleSize val="0"/>
        </c:dLbls>
        <c:gapWidth val="79"/>
        <c:overlap val="-19"/>
        <c:axId val="1134672223"/>
        <c:axId val="1421150623"/>
      </c:barChart>
      <c:catAx>
        <c:axId val="1134672223"/>
        <c:scaling>
          <c:orientation val="minMax"/>
        </c:scaling>
        <c:delete val="1"/>
        <c:axPos val="b"/>
        <c:numFmt formatCode="General" sourceLinked="1"/>
        <c:majorTickMark val="none"/>
        <c:minorTickMark val="none"/>
        <c:tickLblPos val="nextTo"/>
        <c:crossAx val="1421150623"/>
        <c:crosses val="autoZero"/>
        <c:auto val="1"/>
        <c:lblAlgn val="ctr"/>
        <c:lblOffset val="100"/>
        <c:noMultiLvlLbl val="0"/>
      </c:catAx>
      <c:valAx>
        <c:axId val="1421150623"/>
        <c:scaling>
          <c:orientation val="minMax"/>
          <c:max val="10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672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Fact3b!$R$13</c:f>
              <c:strCache>
                <c:ptCount val="1"/>
                <c:pt idx="0">
                  <c:v>value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72B5E8"/>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Fact3b!$Q$14:$Q$40</c:f>
              <c:strCache>
                <c:ptCount val="27"/>
                <c:pt idx="0">
                  <c:v>Extreme</c:v>
                </c:pt>
                <c:pt idx="1">
                  <c:v>Moderate</c:v>
                </c:pt>
                <c:pt idx="2">
                  <c:v>Not poor</c:v>
                </c:pt>
                <c:pt idx="4">
                  <c:v>Extreme</c:v>
                </c:pt>
                <c:pt idx="5">
                  <c:v>Moderate</c:v>
                </c:pt>
                <c:pt idx="6">
                  <c:v>Not poor</c:v>
                </c:pt>
                <c:pt idx="8">
                  <c:v>Extreme</c:v>
                </c:pt>
                <c:pt idx="9">
                  <c:v>Moderate</c:v>
                </c:pt>
                <c:pt idx="10">
                  <c:v>Not poor</c:v>
                </c:pt>
                <c:pt idx="12">
                  <c:v>Extreme</c:v>
                </c:pt>
                <c:pt idx="13">
                  <c:v>Moderate</c:v>
                </c:pt>
                <c:pt idx="14">
                  <c:v>Not poor</c:v>
                </c:pt>
                <c:pt idx="16">
                  <c:v>Extreme</c:v>
                </c:pt>
                <c:pt idx="17">
                  <c:v>Moderate</c:v>
                </c:pt>
                <c:pt idx="18">
                  <c:v>Not poor</c:v>
                </c:pt>
                <c:pt idx="20">
                  <c:v>Extreme</c:v>
                </c:pt>
                <c:pt idx="21">
                  <c:v>Moderate</c:v>
                </c:pt>
                <c:pt idx="22">
                  <c:v>Not poor</c:v>
                </c:pt>
                <c:pt idx="24">
                  <c:v>Extreme</c:v>
                </c:pt>
                <c:pt idx="25">
                  <c:v>Moderate</c:v>
                </c:pt>
                <c:pt idx="26">
                  <c:v>Not poor</c:v>
                </c:pt>
              </c:strCache>
            </c:strRef>
          </c:cat>
          <c:val>
            <c:numRef>
              <c:f>Fact3b!$R$14:$R$40</c:f>
              <c:numCache>
                <c:formatCode>0.0</c:formatCode>
                <c:ptCount val="27"/>
                <c:pt idx="0">
                  <c:v>52.776115455988929</c:v>
                </c:pt>
                <c:pt idx="1">
                  <c:v>52.630229686113537</c:v>
                </c:pt>
                <c:pt idx="2">
                  <c:v>50.806675335637188</c:v>
                </c:pt>
                <c:pt idx="4">
                  <c:v>39.102776883701168</c:v>
                </c:pt>
                <c:pt idx="5">
                  <c:v>33.052259168231139</c:v>
                </c:pt>
                <c:pt idx="6">
                  <c:v>19.584050870476805</c:v>
                </c:pt>
                <c:pt idx="8">
                  <c:v>6.1675348374556771</c:v>
                </c:pt>
                <c:pt idx="9">
                  <c:v>6.9893065484107506</c:v>
                </c:pt>
                <c:pt idx="10">
                  <c:v>11.615437988062199</c:v>
                </c:pt>
                <c:pt idx="12">
                  <c:v>48.194125785265364</c:v>
                </c:pt>
                <c:pt idx="13">
                  <c:v>42.800188951129392</c:v>
                </c:pt>
                <c:pt idx="14">
                  <c:v>31.302223410059888</c:v>
                </c:pt>
                <c:pt idx="16">
                  <c:v>22.209165085907014</c:v>
                </c:pt>
                <c:pt idx="17">
                  <c:v>14.832204461783819</c:v>
                </c:pt>
                <c:pt idx="18">
                  <c:v>9.5404315227076584</c:v>
                </c:pt>
                <c:pt idx="20">
                  <c:v>16.923918276456117</c:v>
                </c:pt>
                <c:pt idx="21">
                  <c:v>15.03573805225685</c:v>
                </c:pt>
                <c:pt idx="22">
                  <c:v>14.322950622543095</c:v>
                </c:pt>
                <c:pt idx="24">
                  <c:v>1.7312434755905231</c:v>
                </c:pt>
                <c:pt idx="25">
                  <c:v>2.1194622366817923</c:v>
                </c:pt>
                <c:pt idx="26">
                  <c:v>2.1148320836194556</c:v>
                </c:pt>
              </c:numCache>
            </c:numRef>
          </c:val>
          <c:extLst>
            <c:ext xmlns:c16="http://schemas.microsoft.com/office/drawing/2014/chart" uri="{C3380CC4-5D6E-409C-BE32-E72D297353CC}">
              <c16:uniqueId val="{00000000-0EED-422C-AF5E-72E6A43D33AC}"/>
            </c:ext>
          </c:extLst>
        </c:ser>
        <c:dLbls>
          <c:showLegendKey val="0"/>
          <c:showVal val="0"/>
          <c:showCatName val="0"/>
          <c:showSerName val="0"/>
          <c:showPercent val="0"/>
          <c:showBubbleSize val="0"/>
        </c:dLbls>
        <c:gapWidth val="40"/>
        <c:overlap val="-27"/>
        <c:axId val="2069808879"/>
        <c:axId val="2069817039"/>
      </c:barChart>
      <c:catAx>
        <c:axId val="2069808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817039"/>
        <c:crosses val="autoZero"/>
        <c:auto val="1"/>
        <c:lblAlgn val="ctr"/>
        <c:lblOffset val="100"/>
        <c:noMultiLvlLbl val="0"/>
      </c:catAx>
      <c:valAx>
        <c:axId val="2069817039"/>
        <c:scaling>
          <c:orientation val="minMax"/>
          <c:max val="100"/>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808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ponderado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Fact5!$Y$23</c:f>
              <c:strCache>
                <c:ptCount val="1"/>
                <c:pt idx="0">
                  <c:v> LAC</c:v>
                </c:pt>
              </c:strCache>
            </c:strRef>
          </c:tx>
          <c:spPr>
            <a:ln w="28575" cap="rnd">
              <a:solidFill>
                <a:schemeClr val="accent2"/>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Fact5!$Z$23:$AT$23</c:f>
              <c:numCache>
                <c:formatCode>0</c:formatCode>
                <c:ptCount val="21"/>
                <c:pt idx="0">
                  <c:v>33.446946530933914</c:v>
                </c:pt>
                <c:pt idx="1">
                  <c:v>30.031447361963487</c:v>
                </c:pt>
                <c:pt idx="2">
                  <c:v>28.221646908165862</c:v>
                </c:pt>
                <c:pt idx="3">
                  <c:v>25.801681854668441</c:v>
                </c:pt>
                <c:pt idx="4">
                  <c:v>24.946956455225504</c:v>
                </c:pt>
                <c:pt idx="5">
                  <c:v>24.508410600341087</c:v>
                </c:pt>
                <c:pt idx="6">
                  <c:v>23.832217124827334</c:v>
                </c:pt>
                <c:pt idx="7">
                  <c:v>22.863869667002742</c:v>
                </c:pt>
                <c:pt idx="8">
                  <c:v>20.624120564671969</c:v>
                </c:pt>
                <c:pt idx="9">
                  <c:v>18.316526180967916</c:v>
                </c:pt>
                <c:pt idx="10">
                  <c:v>16.407633197956454</c:v>
                </c:pt>
                <c:pt idx="11">
                  <c:v>14.447771332133126</c:v>
                </c:pt>
                <c:pt idx="12">
                  <c:v>14.215626762807153</c:v>
                </c:pt>
                <c:pt idx="13">
                  <c:v>14.464200962036566</c:v>
                </c:pt>
                <c:pt idx="14">
                  <c:v>14.076534397798968</c:v>
                </c:pt>
                <c:pt idx="15">
                  <c:v>14.413894247480663</c:v>
                </c:pt>
                <c:pt idx="16">
                  <c:v>15.587384087216776</c:v>
                </c:pt>
                <c:pt idx="17">
                  <c:v>17.645435099312628</c:v>
                </c:pt>
                <c:pt idx="18">
                  <c:v>16.87096567552614</c:v>
                </c:pt>
                <c:pt idx="19">
                  <c:v>14.3174846136525</c:v>
                </c:pt>
                <c:pt idx="20">
                  <c:v>12.376502318729861</c:v>
                </c:pt>
              </c:numCache>
            </c:numRef>
          </c:val>
          <c:smooth val="0"/>
          <c:extLst>
            <c:ext xmlns:c16="http://schemas.microsoft.com/office/drawing/2014/chart" uri="{C3380CC4-5D6E-409C-BE32-E72D297353CC}">
              <c16:uniqueId val="{00000001-D6F7-4F3E-8C1A-4DF9410A6F80}"/>
            </c:ext>
          </c:extLst>
        </c:ser>
        <c:ser>
          <c:idx val="2"/>
          <c:order val="1"/>
          <c:tx>
            <c:strRef>
              <c:f>Fact5!$Y$30</c:f>
              <c:strCache>
                <c:ptCount val="1"/>
              </c:strCache>
            </c:strRef>
          </c:tx>
          <c:spPr>
            <a:ln w="28575" cap="rnd">
              <a:solidFill>
                <a:schemeClr val="accent3"/>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Fact5!$Z$30:$AT$30</c:f>
              <c:numCache>
                <c:formatCode>0</c:formatCode>
                <c:ptCount val="21"/>
              </c:numCache>
            </c:numRef>
          </c:val>
          <c:smooth val="0"/>
          <c:extLst>
            <c:ext xmlns:c16="http://schemas.microsoft.com/office/drawing/2014/chart" uri="{C3380CC4-5D6E-409C-BE32-E72D297353CC}">
              <c16:uniqueId val="{00000002-D6F7-4F3E-8C1A-4DF9410A6F80}"/>
            </c:ext>
          </c:extLst>
        </c:ser>
        <c:ser>
          <c:idx val="3"/>
          <c:order val="2"/>
          <c:tx>
            <c:strRef>
              <c:f>Fact5!$Y$31</c:f>
              <c:strCache>
                <c:ptCount val="1"/>
                <c:pt idx="0">
                  <c:v> LAC</c:v>
                </c:pt>
              </c:strCache>
            </c:strRef>
          </c:tx>
          <c:spPr>
            <a:ln w="28575" cap="rnd">
              <a:solidFill>
                <a:schemeClr val="accent4"/>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Fact5!$Z$31:$AT$31</c:f>
              <c:numCache>
                <c:formatCode>0</c:formatCode>
                <c:ptCount val="21"/>
                <c:pt idx="0">
                  <c:v>33.446946530933914</c:v>
                </c:pt>
                <c:pt idx="1">
                  <c:v>30.031447361963487</c:v>
                </c:pt>
                <c:pt idx="2">
                  <c:v>28.221646908165862</c:v>
                </c:pt>
                <c:pt idx="3">
                  <c:v>25.801681854668441</c:v>
                </c:pt>
                <c:pt idx="4">
                  <c:v>24.946956455225504</c:v>
                </c:pt>
                <c:pt idx="5">
                  <c:v>24.508410600341087</c:v>
                </c:pt>
                <c:pt idx="6">
                  <c:v>23.832578763423843</c:v>
                </c:pt>
                <c:pt idx="7">
                  <c:v>22.863869667002742</c:v>
                </c:pt>
                <c:pt idx="8">
                  <c:v>20.624120564671969</c:v>
                </c:pt>
                <c:pt idx="9">
                  <c:v>18.316526180967916</c:v>
                </c:pt>
                <c:pt idx="10">
                  <c:v>16.407633197956454</c:v>
                </c:pt>
                <c:pt idx="11">
                  <c:v>14.447771332133126</c:v>
                </c:pt>
                <c:pt idx="12">
                  <c:v>14.215626762807153</c:v>
                </c:pt>
                <c:pt idx="13">
                  <c:v>14.464200962036566</c:v>
                </c:pt>
                <c:pt idx="14">
                  <c:v>14.076534397798968</c:v>
                </c:pt>
                <c:pt idx="15">
                  <c:v>14.396799946575442</c:v>
                </c:pt>
                <c:pt idx="16">
                  <c:v>15.578836892640046</c:v>
                </c:pt>
                <c:pt idx="17">
                  <c:v>17.645435099312628</c:v>
                </c:pt>
                <c:pt idx="18">
                  <c:v>16.87096567552614</c:v>
                </c:pt>
                <c:pt idx="19">
                  <c:v>12.371951245159302</c:v>
                </c:pt>
                <c:pt idx="20">
                  <c:v>10.334017988899047</c:v>
                </c:pt>
              </c:numCache>
            </c:numRef>
          </c:val>
          <c:smooth val="0"/>
          <c:extLst>
            <c:ext xmlns:c16="http://schemas.microsoft.com/office/drawing/2014/chart" uri="{C3380CC4-5D6E-409C-BE32-E72D297353CC}">
              <c16:uniqueId val="{00000003-D6F7-4F3E-8C1A-4DF9410A6F80}"/>
            </c:ext>
          </c:extLst>
        </c:ser>
        <c:ser>
          <c:idx val="4"/>
          <c:order val="3"/>
          <c:tx>
            <c:strRef>
              <c:f>Fact5!$Y$24</c:f>
              <c:strCache>
                <c:ptCount val="1"/>
                <c:pt idx="0">
                  <c:v> LAC without VEN</c:v>
                </c:pt>
              </c:strCache>
            </c:strRef>
          </c:tx>
          <c:spPr>
            <a:ln w="28575" cap="rnd">
              <a:solidFill>
                <a:srgbClr val="FF0000"/>
              </a:solidFill>
              <a:round/>
            </a:ln>
            <a:effectLst/>
          </c:spPr>
          <c:marker>
            <c:symbol val="none"/>
          </c:marker>
          <c:val>
            <c:numRef>
              <c:f>Fact5!$Z$24:$AT$24</c:f>
              <c:numCache>
                <c:formatCode>0</c:formatCode>
                <c:ptCount val="21"/>
                <c:pt idx="0">
                  <c:v>33.36390280876477</c:v>
                </c:pt>
                <c:pt idx="1">
                  <c:v>30.235477528489689</c:v>
                </c:pt>
                <c:pt idx="2">
                  <c:v>28.47404104004454</c:v>
                </c:pt>
                <c:pt idx="3">
                  <c:v>26.387389780013699</c:v>
                </c:pt>
                <c:pt idx="4">
                  <c:v>25.663506655228822</c:v>
                </c:pt>
                <c:pt idx="5">
                  <c:v>25.25762355734205</c:v>
                </c:pt>
                <c:pt idx="6">
                  <c:v>24.596582228746147</c:v>
                </c:pt>
                <c:pt idx="7">
                  <c:v>23.580171371827007</c:v>
                </c:pt>
                <c:pt idx="8">
                  <c:v>21.216606498047401</c:v>
                </c:pt>
                <c:pt idx="9">
                  <c:v>18.79089951942489</c:v>
                </c:pt>
                <c:pt idx="10">
                  <c:v>16.817203478897135</c:v>
                </c:pt>
                <c:pt idx="11">
                  <c:v>14.850242059219678</c:v>
                </c:pt>
                <c:pt idx="12">
                  <c:v>14.482420102153664</c:v>
                </c:pt>
                <c:pt idx="13">
                  <c:v>14.225761667658883</c:v>
                </c:pt>
                <c:pt idx="14">
                  <c:v>13.893175496990397</c:v>
                </c:pt>
                <c:pt idx="15">
                  <c:v>13.896597226901859</c:v>
                </c:pt>
                <c:pt idx="16">
                  <c:v>13.909272284731687</c:v>
                </c:pt>
                <c:pt idx="17">
                  <c:v>14.849420456919887</c:v>
                </c:pt>
                <c:pt idx="18">
                  <c:v>15.07617608581586</c:v>
                </c:pt>
                <c:pt idx="19">
                  <c:v>12.398820499066218</c:v>
                </c:pt>
                <c:pt idx="20">
                  <c:v>10.363677231827673</c:v>
                </c:pt>
              </c:numCache>
            </c:numRef>
          </c:val>
          <c:smooth val="0"/>
          <c:extLst>
            <c:ext xmlns:c16="http://schemas.microsoft.com/office/drawing/2014/chart" uri="{C3380CC4-5D6E-409C-BE32-E72D297353CC}">
              <c16:uniqueId val="{00000000-14AC-496C-A1E6-55EE8A8B9841}"/>
            </c:ext>
          </c:extLst>
        </c:ser>
        <c:dLbls>
          <c:showLegendKey val="0"/>
          <c:showVal val="0"/>
          <c:showCatName val="0"/>
          <c:showSerName val="0"/>
          <c:showPercent val="0"/>
          <c:showBubbleSize val="0"/>
        </c:dLbls>
        <c:smooth val="0"/>
        <c:axId val="1699730000"/>
        <c:axId val="1699746800"/>
      </c:lineChart>
      <c:catAx>
        <c:axId val="169973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746800"/>
        <c:crosses val="autoZero"/>
        <c:auto val="1"/>
        <c:lblAlgn val="ctr"/>
        <c:lblOffset val="100"/>
        <c:noMultiLvlLbl val="0"/>
      </c:catAx>
      <c:valAx>
        <c:axId val="1699746800"/>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730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Fact5!$Y$5</c:f>
              <c:strCache>
                <c:ptCount val="1"/>
                <c:pt idx="0">
                  <c:v>ARG</c:v>
                </c:pt>
              </c:strCache>
            </c:strRef>
          </c:tx>
          <c:spPr>
            <a:ln w="28575" cap="rnd">
              <a:solidFill>
                <a:schemeClr val="accent1"/>
              </a:solidFill>
              <a:round/>
            </a:ln>
            <a:effectLst/>
          </c:spPr>
          <c:marker>
            <c:symbol val="none"/>
          </c:marker>
          <c:cat>
            <c:strRef>
              <c:f>Fact5!$Z$2:$AT$2</c:f>
              <c:strCache>
                <c:ptCount val="21"/>
                <c:pt idx="0">
                  <c:v>value2003</c:v>
                </c:pt>
                <c:pt idx="1">
                  <c:v>value2004</c:v>
                </c:pt>
                <c:pt idx="2">
                  <c:v>value2005</c:v>
                </c:pt>
                <c:pt idx="3">
                  <c:v>value2006</c:v>
                </c:pt>
                <c:pt idx="4">
                  <c:v>value2007</c:v>
                </c:pt>
                <c:pt idx="5">
                  <c:v>value2008</c:v>
                </c:pt>
                <c:pt idx="6">
                  <c:v>value2009</c:v>
                </c:pt>
                <c:pt idx="7">
                  <c:v>value2010</c:v>
                </c:pt>
                <c:pt idx="8">
                  <c:v>value2011</c:v>
                </c:pt>
                <c:pt idx="9">
                  <c:v>value2012</c:v>
                </c:pt>
                <c:pt idx="10">
                  <c:v>value2013</c:v>
                </c:pt>
                <c:pt idx="11">
                  <c:v>value2014</c:v>
                </c:pt>
                <c:pt idx="12">
                  <c:v>value2015</c:v>
                </c:pt>
                <c:pt idx="13">
                  <c:v>value2016</c:v>
                </c:pt>
                <c:pt idx="14">
                  <c:v>value2017</c:v>
                </c:pt>
                <c:pt idx="15">
                  <c:v>value2018</c:v>
                </c:pt>
                <c:pt idx="16">
                  <c:v>value2019</c:v>
                </c:pt>
                <c:pt idx="17">
                  <c:v>value2020</c:v>
                </c:pt>
                <c:pt idx="18">
                  <c:v>value2021</c:v>
                </c:pt>
                <c:pt idx="19">
                  <c:v>value2022</c:v>
                </c:pt>
                <c:pt idx="20">
                  <c:v>value2023</c:v>
                </c:pt>
              </c:strCache>
            </c:strRef>
          </c:cat>
          <c:val>
            <c:numRef>
              <c:f>Fact5!$Z$5:$AT$5</c:f>
              <c:numCache>
                <c:formatCode>0</c:formatCode>
                <c:ptCount val="21"/>
                <c:pt idx="0">
                  <c:v>57.158382415771484</c:v>
                </c:pt>
                <c:pt idx="1">
                  <c:v>47.702262878417969</c:v>
                </c:pt>
                <c:pt idx="2">
                  <c:v>42.032127380371094</c:v>
                </c:pt>
                <c:pt idx="3">
                  <c:v>36.897781372070313</c:v>
                </c:pt>
                <c:pt idx="4">
                  <c:v>25.974327087402344</c:v>
                </c:pt>
                <c:pt idx="5">
                  <c:v>22.230743408203125</c:v>
                </c:pt>
                <c:pt idx="6">
                  <c:v>18.889942169189453</c:v>
                </c:pt>
                <c:pt idx="7">
                  <c:v>13.833292007446289</c:v>
                </c:pt>
                <c:pt idx="8">
                  <c:v>9.2170419692993164</c:v>
                </c:pt>
                <c:pt idx="9">
                  <c:v>6.6303329467773438</c:v>
                </c:pt>
                <c:pt idx="10">
                  <c:v>4.8721566200256348</c:v>
                </c:pt>
                <c:pt idx="11">
                  <c:v>5.4898667335510254</c:v>
                </c:pt>
                <c:pt idx="12">
                  <c:v>6.2616653442382813</c:v>
                </c:pt>
                <c:pt idx="13">
                  <c:v>7.0701084136962891</c:v>
                </c:pt>
                <c:pt idx="14">
                  <c:v>6.2889890670776367</c:v>
                </c:pt>
                <c:pt idx="15">
                  <c:v>6.9654927253723145</c:v>
                </c:pt>
                <c:pt idx="16">
                  <c:v>8.6303396224975586</c:v>
                </c:pt>
                <c:pt idx="17">
                  <c:v>9.8575401306152344</c:v>
                </c:pt>
                <c:pt idx="18">
                  <c:v>8.5299263000488281</c:v>
                </c:pt>
                <c:pt idx="19">
                  <c:v>8.1207027435302734</c:v>
                </c:pt>
                <c:pt idx="20">
                  <c:v>7.7311115264892578</c:v>
                </c:pt>
              </c:numCache>
            </c:numRef>
          </c:val>
          <c:smooth val="0"/>
          <c:extLst>
            <c:ext xmlns:c16="http://schemas.microsoft.com/office/drawing/2014/chart" uri="{C3380CC4-5D6E-409C-BE32-E72D297353CC}">
              <c16:uniqueId val="{00000000-6F22-44BF-8361-8785D48DBDDC}"/>
            </c:ext>
          </c:extLst>
        </c:ser>
        <c:dLbls>
          <c:showLegendKey val="0"/>
          <c:showVal val="0"/>
          <c:showCatName val="0"/>
          <c:showSerName val="0"/>
          <c:showPercent val="0"/>
          <c:showBubbleSize val="0"/>
        </c:dLbls>
        <c:smooth val="0"/>
        <c:axId val="1403217264"/>
        <c:axId val="1403211984"/>
      </c:lineChart>
      <c:catAx>
        <c:axId val="14032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1984"/>
        <c:crosses val="autoZero"/>
        <c:auto val="1"/>
        <c:lblAlgn val="ctr"/>
        <c:lblOffset val="100"/>
        <c:noMultiLvlLbl val="0"/>
      </c:catAx>
      <c:valAx>
        <c:axId val="140321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660706506832739E-2"/>
          <c:y val="2.2807130907710148E-2"/>
          <c:w val="0.94160808647056404"/>
          <c:h val="0.66792681805466492"/>
        </c:manualLayout>
      </c:layout>
      <c:lineChart>
        <c:grouping val="standard"/>
        <c:varyColors val="0"/>
        <c:ser>
          <c:idx val="13"/>
          <c:order val="0"/>
          <c:tx>
            <c:strRef>
              <c:f>Fact5!$Y$16</c:f>
              <c:strCache>
                <c:ptCount val="1"/>
                <c:pt idx="0">
                  <c:v>MEX</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Fact5!$Z$16:$AT$16</c:f>
              <c:numCache>
                <c:formatCode>0</c:formatCode>
                <c:ptCount val="21"/>
                <c:pt idx="1">
                  <c:v>22.750726699829102</c:v>
                </c:pt>
                <c:pt idx="2">
                  <c:v>22.862800598144531</c:v>
                </c:pt>
                <c:pt idx="3">
                  <c:v>18.521760940551758</c:v>
                </c:pt>
                <c:pt idx="4">
                  <c:v>27.209262847900391</c:v>
                </c:pt>
                <c:pt idx="5">
                  <c:v>35.896762847900391</c:v>
                </c:pt>
                <c:pt idx="6">
                  <c:v>37.317001342773438</c:v>
                </c:pt>
                <c:pt idx="7">
                  <c:v>38.737236022949219</c:v>
                </c:pt>
                <c:pt idx="8">
                  <c:v>34.130359649658203</c:v>
                </c:pt>
                <c:pt idx="9">
                  <c:v>29.523483276367188</c:v>
                </c:pt>
                <c:pt idx="10">
                  <c:v>24.604236602783203</c:v>
                </c:pt>
                <c:pt idx="11">
                  <c:v>19.684988021850586</c:v>
                </c:pt>
                <c:pt idx="12">
                  <c:v>16.780857086181641</c:v>
                </c:pt>
                <c:pt idx="13">
                  <c:v>13.876727104187012</c:v>
                </c:pt>
                <c:pt idx="14">
                  <c:v>13.180578231811523</c:v>
                </c:pt>
                <c:pt idx="15">
                  <c:v>12.484429359436035</c:v>
                </c:pt>
                <c:pt idx="16">
                  <c:v>13.74195671081543</c:v>
                </c:pt>
                <c:pt idx="17">
                  <c:v>14.999485015869141</c:v>
                </c:pt>
                <c:pt idx="18">
                  <c:v>12.634235382080078</c:v>
                </c:pt>
                <c:pt idx="19">
                  <c:v>10.268985748291016</c:v>
                </c:pt>
                <c:pt idx="20">
                  <c:v>8.3465337753295898</c:v>
                </c:pt>
              </c:numCache>
            </c:numRef>
          </c:val>
          <c:smooth val="0"/>
          <c:extLst>
            <c:ext xmlns:c16="http://schemas.microsoft.com/office/drawing/2014/chart" uri="{C3380CC4-5D6E-409C-BE32-E72D297353CC}">
              <c16:uniqueId val="{0000000D-70AD-4FCC-88E8-B98A944D442A}"/>
            </c:ext>
          </c:extLst>
        </c:ser>
        <c:ser>
          <c:idx val="3"/>
          <c:order val="1"/>
          <c:tx>
            <c:strRef>
              <c:f>Fact5!$Y$7</c:f>
              <c:strCache>
                <c:ptCount val="1"/>
                <c:pt idx="0">
                  <c:v>BRA</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Fact5!$Z$7:$AT$7</c:f>
              <c:numCache>
                <c:formatCode>0</c:formatCode>
                <c:ptCount val="21"/>
                <c:pt idx="0">
                  <c:v>30.236900329589844</c:v>
                </c:pt>
                <c:pt idx="1">
                  <c:v>28.498611450195313</c:v>
                </c:pt>
                <c:pt idx="2">
                  <c:v>26.960596084594727</c:v>
                </c:pt>
                <c:pt idx="3">
                  <c:v>24.759138107299805</c:v>
                </c:pt>
                <c:pt idx="4">
                  <c:v>22.482553482055664</c:v>
                </c:pt>
                <c:pt idx="5">
                  <c:v>19.973526000976563</c:v>
                </c:pt>
                <c:pt idx="6">
                  <c:v>19.103296279907227</c:v>
                </c:pt>
                <c:pt idx="7">
                  <c:v>17.352252960205078</c:v>
                </c:pt>
                <c:pt idx="8">
                  <c:v>15.601207733154297</c:v>
                </c:pt>
                <c:pt idx="9">
                  <c:v>13.240234375</c:v>
                </c:pt>
                <c:pt idx="10">
                  <c:v>12.882226943969727</c:v>
                </c:pt>
                <c:pt idx="11">
                  <c:v>11.426709175109863</c:v>
                </c:pt>
                <c:pt idx="12">
                  <c:v>12.774162292480469</c:v>
                </c:pt>
                <c:pt idx="13">
                  <c:v>13.507540702819824</c:v>
                </c:pt>
                <c:pt idx="14">
                  <c:v>13.595446586608887</c:v>
                </c:pt>
                <c:pt idx="15">
                  <c:v>14.036323547363281</c:v>
                </c:pt>
                <c:pt idx="16">
                  <c:v>13.071751594543457</c:v>
                </c:pt>
                <c:pt idx="17">
                  <c:v>10.93248176574707</c:v>
                </c:pt>
                <c:pt idx="18">
                  <c:v>15.934523582458496</c:v>
                </c:pt>
                <c:pt idx="19">
                  <c:v>10.865315437316895</c:v>
                </c:pt>
                <c:pt idx="20">
                  <c:v>7.4087610244750977</c:v>
                </c:pt>
              </c:numCache>
            </c:numRef>
          </c:val>
          <c:smooth val="0"/>
          <c:extLst>
            <c:ext xmlns:c16="http://schemas.microsoft.com/office/drawing/2014/chart" uri="{C3380CC4-5D6E-409C-BE32-E72D297353CC}">
              <c16:uniqueId val="{00000003-70AD-4FCC-88E8-B98A944D442A}"/>
            </c:ext>
          </c:extLst>
        </c:ser>
        <c:ser>
          <c:idx val="6"/>
          <c:order val="2"/>
          <c:tx>
            <c:strRef>
              <c:f>Fact5!$Y$9</c:f>
              <c:strCache>
                <c:ptCount val="1"/>
                <c:pt idx="0">
                  <c:v>COL</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Fact5!$Z$9:$AT$9</c:f>
              <c:numCache>
                <c:formatCode>0</c:formatCode>
                <c:ptCount val="21"/>
                <c:pt idx="0">
                  <c:v>38.569931030273438</c:v>
                </c:pt>
                <c:pt idx="1">
                  <c:v>39.924068450927734</c:v>
                </c:pt>
                <c:pt idx="2">
                  <c:v>33.969875335693359</c:v>
                </c:pt>
                <c:pt idx="3">
                  <c:v>42.363014221191406</c:v>
                </c:pt>
                <c:pt idx="4">
                  <c:v>39.306632995605469</c:v>
                </c:pt>
                <c:pt idx="5">
                  <c:v>30.391078948974609</c:v>
                </c:pt>
                <c:pt idx="6">
                  <c:v>29.397424697875977</c:v>
                </c:pt>
                <c:pt idx="7">
                  <c:v>26.507530212402344</c:v>
                </c:pt>
                <c:pt idx="8">
                  <c:v>23.320600509643555</c:v>
                </c:pt>
                <c:pt idx="9">
                  <c:v>23.747005462646484</c:v>
                </c:pt>
                <c:pt idx="10">
                  <c:v>21.165475845336914</c:v>
                </c:pt>
                <c:pt idx="11">
                  <c:v>19.967647552490234</c:v>
                </c:pt>
                <c:pt idx="12">
                  <c:v>19.205020904541016</c:v>
                </c:pt>
                <c:pt idx="13">
                  <c:v>18.622251510620117</c:v>
                </c:pt>
                <c:pt idx="14">
                  <c:v>18.066314697265625</c:v>
                </c:pt>
                <c:pt idx="15">
                  <c:v>18.631380081176758</c:v>
                </c:pt>
                <c:pt idx="16">
                  <c:v>19.659185409545898</c:v>
                </c:pt>
                <c:pt idx="17">
                  <c:v>21.620937347412109</c:v>
                </c:pt>
                <c:pt idx="18">
                  <c:v>20.451343536376953</c:v>
                </c:pt>
                <c:pt idx="19">
                  <c:v>19.512697219848633</c:v>
                </c:pt>
                <c:pt idx="20">
                  <c:v>18.617132186889648</c:v>
                </c:pt>
              </c:numCache>
            </c:numRef>
          </c:val>
          <c:smooth val="0"/>
          <c:extLst>
            <c:ext xmlns:c16="http://schemas.microsoft.com/office/drawing/2014/chart" uri="{C3380CC4-5D6E-409C-BE32-E72D297353CC}">
              <c16:uniqueId val="{00000006-70AD-4FCC-88E8-B98A944D442A}"/>
            </c:ext>
          </c:extLst>
        </c:ser>
        <c:ser>
          <c:idx val="0"/>
          <c:order val="3"/>
          <c:tx>
            <c:strRef>
              <c:f>Fact5!$Y$5</c:f>
              <c:strCache>
                <c:ptCount val="1"/>
                <c:pt idx="0">
                  <c:v>ARG</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Fact5!$Z$5:$AT$5</c:f>
              <c:numCache>
                <c:formatCode>0</c:formatCode>
                <c:ptCount val="21"/>
                <c:pt idx="0">
                  <c:v>57.158382415771484</c:v>
                </c:pt>
                <c:pt idx="1">
                  <c:v>47.702262878417969</c:v>
                </c:pt>
                <c:pt idx="2">
                  <c:v>42.032127380371094</c:v>
                </c:pt>
                <c:pt idx="3">
                  <c:v>36.897781372070313</c:v>
                </c:pt>
                <c:pt idx="4">
                  <c:v>25.974327087402344</c:v>
                </c:pt>
                <c:pt idx="5">
                  <c:v>22.230743408203125</c:v>
                </c:pt>
                <c:pt idx="6">
                  <c:v>18.889942169189453</c:v>
                </c:pt>
                <c:pt idx="7">
                  <c:v>13.833292007446289</c:v>
                </c:pt>
                <c:pt idx="8">
                  <c:v>9.2170419692993164</c:v>
                </c:pt>
                <c:pt idx="9">
                  <c:v>6.6303329467773438</c:v>
                </c:pt>
                <c:pt idx="10">
                  <c:v>4.8721566200256348</c:v>
                </c:pt>
                <c:pt idx="11">
                  <c:v>5.4898667335510254</c:v>
                </c:pt>
                <c:pt idx="12">
                  <c:v>6.2616653442382813</c:v>
                </c:pt>
                <c:pt idx="13">
                  <c:v>7.0701084136962891</c:v>
                </c:pt>
                <c:pt idx="14">
                  <c:v>6.2889890670776367</c:v>
                </c:pt>
                <c:pt idx="15">
                  <c:v>6.9654927253723145</c:v>
                </c:pt>
                <c:pt idx="16">
                  <c:v>8.6303396224975586</c:v>
                </c:pt>
                <c:pt idx="17">
                  <c:v>9.8575401306152344</c:v>
                </c:pt>
                <c:pt idx="18">
                  <c:v>8.5299263000488281</c:v>
                </c:pt>
                <c:pt idx="19">
                  <c:v>8.1207027435302734</c:v>
                </c:pt>
                <c:pt idx="20">
                  <c:v>7.7311115264892578</c:v>
                </c:pt>
              </c:numCache>
            </c:numRef>
          </c:val>
          <c:smooth val="0"/>
          <c:extLst>
            <c:ext xmlns:c16="http://schemas.microsoft.com/office/drawing/2014/chart" uri="{C3380CC4-5D6E-409C-BE32-E72D297353CC}">
              <c16:uniqueId val="{00000000-70AD-4FCC-88E8-B98A944D442A}"/>
            </c:ext>
          </c:extLst>
        </c:ser>
        <c:ser>
          <c:idx val="2"/>
          <c:order val="4"/>
          <c:tx>
            <c:strRef>
              <c:f>Fact5!$Y$6</c:f>
              <c:strCache>
                <c:ptCount val="1"/>
                <c:pt idx="0">
                  <c:v>BOL</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Fact5!$Z$6:$AT$6</c:f>
              <c:numCache>
                <c:formatCode>0</c:formatCode>
                <c:ptCount val="21"/>
                <c:pt idx="0">
                  <c:v>21.430349349975586</c:v>
                </c:pt>
                <c:pt idx="1">
                  <c:v>24.495639801025391</c:v>
                </c:pt>
                <c:pt idx="2">
                  <c:v>27.560932159423828</c:v>
                </c:pt>
                <c:pt idx="3">
                  <c:v>26.16798210144043</c:v>
                </c:pt>
                <c:pt idx="4">
                  <c:v>22.608821868896484</c:v>
                </c:pt>
                <c:pt idx="5">
                  <c:v>18.504581451416016</c:v>
                </c:pt>
                <c:pt idx="6">
                  <c:v>17.264245986938477</c:v>
                </c:pt>
                <c:pt idx="7">
                  <c:v>15.153205871582031</c:v>
                </c:pt>
                <c:pt idx="8">
                  <c:v>13.042166709899902</c:v>
                </c:pt>
                <c:pt idx="9">
                  <c:v>14.157891273498535</c:v>
                </c:pt>
                <c:pt idx="10">
                  <c:v>11.691269874572754</c:v>
                </c:pt>
                <c:pt idx="11">
                  <c:v>12.334632873535156</c:v>
                </c:pt>
                <c:pt idx="12">
                  <c:v>11.448407173156738</c:v>
                </c:pt>
                <c:pt idx="13">
                  <c:v>12.753410339355469</c:v>
                </c:pt>
                <c:pt idx="14">
                  <c:v>11.879587173461914</c:v>
                </c:pt>
                <c:pt idx="15">
                  <c:v>10.777788162231445</c:v>
                </c:pt>
                <c:pt idx="16">
                  <c:v>7.537266731262207</c:v>
                </c:pt>
                <c:pt idx="17">
                  <c:v>10.430375099182129</c:v>
                </c:pt>
                <c:pt idx="18">
                  <c:v>7.6802902221679688</c:v>
                </c:pt>
                <c:pt idx="19">
                  <c:v>9.1588373184204102</c:v>
                </c:pt>
                <c:pt idx="20">
                  <c:v>10.922021865844727</c:v>
                </c:pt>
              </c:numCache>
            </c:numRef>
          </c:val>
          <c:smooth val="0"/>
          <c:extLst>
            <c:ext xmlns:c16="http://schemas.microsoft.com/office/drawing/2014/chart" uri="{C3380CC4-5D6E-409C-BE32-E72D297353CC}">
              <c16:uniqueId val="{00000002-70AD-4FCC-88E8-B98A944D442A}"/>
            </c:ext>
          </c:extLst>
        </c:ser>
        <c:ser>
          <c:idx val="5"/>
          <c:order val="5"/>
          <c:tx>
            <c:strRef>
              <c:f>Fact5!$Y$8</c:f>
              <c:strCache>
                <c:ptCount val="1"/>
                <c:pt idx="0">
                  <c:v>CHL</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Fact5!$Z$8:$AT$8</c:f>
              <c:numCache>
                <c:formatCode>0</c:formatCode>
                <c:ptCount val="21"/>
                <c:pt idx="0">
                  <c:v>14.444070816040039</c:v>
                </c:pt>
                <c:pt idx="1">
                  <c:v>12.610490798950195</c:v>
                </c:pt>
                <c:pt idx="2">
                  <c:v>11.009672164916992</c:v>
                </c:pt>
                <c:pt idx="3">
                  <c:v>9.6120662689208984</c:v>
                </c:pt>
                <c:pt idx="4">
                  <c:v>8.7864065170288086</c:v>
                </c:pt>
                <c:pt idx="5">
                  <c:v>8.0316696166992188</c:v>
                </c:pt>
                <c:pt idx="6">
                  <c:v>7.3417620658874512</c:v>
                </c:pt>
                <c:pt idx="7">
                  <c:v>6.9364314079284668</c:v>
                </c:pt>
                <c:pt idx="8">
                  <c:v>6.5311007499694824</c:v>
                </c:pt>
                <c:pt idx="9">
                  <c:v>5.5308938026428223</c:v>
                </c:pt>
                <c:pt idx="10">
                  <c:v>4.5306868553161621</c:v>
                </c:pt>
                <c:pt idx="11">
                  <c:v>4.3979816436767578</c:v>
                </c:pt>
                <c:pt idx="12">
                  <c:v>4.2652759552001953</c:v>
                </c:pt>
                <c:pt idx="13">
                  <c:v>3.9760651588439941</c:v>
                </c:pt>
                <c:pt idx="14">
                  <c:v>3.686854362487793</c:v>
                </c:pt>
                <c:pt idx="15">
                  <c:v>4.6684908866882324</c:v>
                </c:pt>
                <c:pt idx="16">
                  <c:v>5.9114909172058105</c:v>
                </c:pt>
                <c:pt idx="17">
                  <c:v>7.485443115234375</c:v>
                </c:pt>
                <c:pt idx="18">
                  <c:v>5.3512134552001953</c:v>
                </c:pt>
                <c:pt idx="19">
                  <c:v>3.2169833183288574</c:v>
                </c:pt>
                <c:pt idx="20">
                  <c:v>1.9339504241943359</c:v>
                </c:pt>
              </c:numCache>
            </c:numRef>
          </c:val>
          <c:smooth val="0"/>
          <c:extLst>
            <c:ext xmlns:c16="http://schemas.microsoft.com/office/drawing/2014/chart" uri="{C3380CC4-5D6E-409C-BE32-E72D297353CC}">
              <c16:uniqueId val="{00000005-70AD-4FCC-88E8-B98A944D442A}"/>
            </c:ext>
          </c:extLst>
        </c:ser>
        <c:ser>
          <c:idx val="7"/>
          <c:order val="6"/>
          <c:tx>
            <c:strRef>
              <c:f>Fact5!$Y$10</c:f>
              <c:strCache>
                <c:ptCount val="1"/>
                <c:pt idx="0">
                  <c:v>CRI</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Fact5!$Z$10:$AT$10</c:f>
              <c:numCache>
                <c:formatCode>0</c:formatCode>
                <c:ptCount val="21"/>
                <c:pt idx="0">
                  <c:v>14.039286613464355</c:v>
                </c:pt>
                <c:pt idx="1">
                  <c:v>13.902563095092773</c:v>
                </c:pt>
                <c:pt idx="2">
                  <c:v>12.411727905273438</c:v>
                </c:pt>
                <c:pt idx="3">
                  <c:v>11.610855102539063</c:v>
                </c:pt>
                <c:pt idx="4">
                  <c:v>8.7138156890869141</c:v>
                </c:pt>
                <c:pt idx="5">
                  <c:v>7.4615211486816406</c:v>
                </c:pt>
                <c:pt idx="6">
                  <c:v>7.8839383125305176</c:v>
                </c:pt>
                <c:pt idx="7">
                  <c:v>7.8005781173706055</c:v>
                </c:pt>
                <c:pt idx="8">
                  <c:v>10.64293384552002</c:v>
                </c:pt>
                <c:pt idx="9">
                  <c:v>8.1358013153076172</c:v>
                </c:pt>
                <c:pt idx="10">
                  <c:v>8.2189216613769531</c:v>
                </c:pt>
                <c:pt idx="11">
                  <c:v>7.4477596282958984</c:v>
                </c:pt>
                <c:pt idx="12">
                  <c:v>7.3149294853210449</c:v>
                </c:pt>
                <c:pt idx="13">
                  <c:v>7.0541119575500488</c:v>
                </c:pt>
                <c:pt idx="14">
                  <c:v>6.5865716934204102</c:v>
                </c:pt>
                <c:pt idx="15">
                  <c:v>7.129307746887207</c:v>
                </c:pt>
                <c:pt idx="16">
                  <c:v>6.8127789497375488</c:v>
                </c:pt>
                <c:pt idx="17">
                  <c:v>12.124826431274414</c:v>
                </c:pt>
                <c:pt idx="18">
                  <c:v>7.5102291107177734</c:v>
                </c:pt>
                <c:pt idx="19">
                  <c:v>7.0888323783874512</c:v>
                </c:pt>
                <c:pt idx="20">
                  <c:v>6.5896177291870117</c:v>
                </c:pt>
              </c:numCache>
            </c:numRef>
          </c:val>
          <c:smooth val="0"/>
          <c:extLst>
            <c:ext xmlns:c16="http://schemas.microsoft.com/office/drawing/2014/chart" uri="{C3380CC4-5D6E-409C-BE32-E72D297353CC}">
              <c16:uniqueId val="{00000007-70AD-4FCC-88E8-B98A944D442A}"/>
            </c:ext>
          </c:extLst>
        </c:ser>
        <c:ser>
          <c:idx val="8"/>
          <c:order val="7"/>
          <c:tx>
            <c:strRef>
              <c:f>Fact5!$Y$11</c:f>
              <c:strCache>
                <c:ptCount val="1"/>
                <c:pt idx="0">
                  <c:v>DOM</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Fact5!$Z$11:$AT$11</c:f>
              <c:numCache>
                <c:formatCode>0</c:formatCode>
                <c:ptCount val="21"/>
                <c:pt idx="0">
                  <c:v>29.330852508544922</c:v>
                </c:pt>
                <c:pt idx="1">
                  <c:v>36.2017822265625</c:v>
                </c:pt>
                <c:pt idx="2">
                  <c:v>30.235481262207031</c:v>
                </c:pt>
                <c:pt idx="3">
                  <c:v>27.800455093383789</c:v>
                </c:pt>
                <c:pt idx="4">
                  <c:v>25.786188125610352</c:v>
                </c:pt>
                <c:pt idx="5">
                  <c:v>25.155765533447266</c:v>
                </c:pt>
                <c:pt idx="6">
                  <c:v>24.71571159362793</c:v>
                </c:pt>
                <c:pt idx="7">
                  <c:v>24.857109069824219</c:v>
                </c:pt>
                <c:pt idx="8">
                  <c:v>22.856687545776367</c:v>
                </c:pt>
                <c:pt idx="9">
                  <c:v>23.490676879882813</c:v>
                </c:pt>
                <c:pt idx="10">
                  <c:v>22.152072906494141</c:v>
                </c:pt>
                <c:pt idx="11">
                  <c:v>19.500482559204102</c:v>
                </c:pt>
                <c:pt idx="12">
                  <c:v>15.745692253112793</c:v>
                </c:pt>
                <c:pt idx="13">
                  <c:v>15.299579620361328</c:v>
                </c:pt>
                <c:pt idx="14">
                  <c:v>10.76158618927002</c:v>
                </c:pt>
                <c:pt idx="15">
                  <c:v>9.6287860870361328</c:v>
                </c:pt>
                <c:pt idx="16">
                  <c:v>7.701484203338623</c:v>
                </c:pt>
                <c:pt idx="17">
                  <c:v>13.13040828704834</c:v>
                </c:pt>
                <c:pt idx="18">
                  <c:v>10.436375617980957</c:v>
                </c:pt>
                <c:pt idx="19">
                  <c:v>9.0519723892211914</c:v>
                </c:pt>
                <c:pt idx="20">
                  <c:v>7.8512125015258789</c:v>
                </c:pt>
              </c:numCache>
            </c:numRef>
          </c:val>
          <c:smooth val="0"/>
          <c:extLst>
            <c:ext xmlns:c16="http://schemas.microsoft.com/office/drawing/2014/chart" uri="{C3380CC4-5D6E-409C-BE32-E72D297353CC}">
              <c16:uniqueId val="{00000008-70AD-4FCC-88E8-B98A944D442A}"/>
            </c:ext>
          </c:extLst>
        </c:ser>
        <c:ser>
          <c:idx val="9"/>
          <c:order val="8"/>
          <c:tx>
            <c:strRef>
              <c:f>Fact5!$Y$12</c:f>
              <c:strCache>
                <c:ptCount val="1"/>
                <c:pt idx="0">
                  <c:v>ECU</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Fact5!$Z$12:$AT$12</c:f>
              <c:numCache>
                <c:formatCode>0</c:formatCode>
                <c:ptCount val="21"/>
                <c:pt idx="0">
                  <c:v>37.090213775634766</c:v>
                </c:pt>
                <c:pt idx="1">
                  <c:v>33.023811340332031</c:v>
                </c:pt>
                <c:pt idx="2">
                  <c:v>30.692819595336914</c:v>
                </c:pt>
                <c:pt idx="3">
                  <c:v>25.60865592956543</c:v>
                </c:pt>
                <c:pt idx="4">
                  <c:v>24.897134780883789</c:v>
                </c:pt>
                <c:pt idx="5">
                  <c:v>23.852746963500977</c:v>
                </c:pt>
                <c:pt idx="6">
                  <c:v>23.81477165222168</c:v>
                </c:pt>
                <c:pt idx="7">
                  <c:v>21.660617828369141</c:v>
                </c:pt>
                <c:pt idx="8">
                  <c:v>17.783233642578125</c:v>
                </c:pt>
                <c:pt idx="9">
                  <c:v>17.211780548095703</c:v>
                </c:pt>
                <c:pt idx="10">
                  <c:v>15.392486572265625</c:v>
                </c:pt>
                <c:pt idx="11">
                  <c:v>13.559603691101074</c:v>
                </c:pt>
                <c:pt idx="12">
                  <c:v>14.046497344970703</c:v>
                </c:pt>
                <c:pt idx="13">
                  <c:v>14.130780220031738</c:v>
                </c:pt>
                <c:pt idx="14">
                  <c:v>13.528898239135742</c:v>
                </c:pt>
                <c:pt idx="15">
                  <c:v>14.329412460327148</c:v>
                </c:pt>
                <c:pt idx="16">
                  <c:v>15.837186813354492</c:v>
                </c:pt>
                <c:pt idx="17">
                  <c:v>21.555841445922852</c:v>
                </c:pt>
                <c:pt idx="18">
                  <c:v>15.889734268188477</c:v>
                </c:pt>
                <c:pt idx="19">
                  <c:v>14.630291938781738</c:v>
                </c:pt>
                <c:pt idx="20">
                  <c:v>15.846808433532715</c:v>
                </c:pt>
              </c:numCache>
            </c:numRef>
          </c:val>
          <c:smooth val="0"/>
          <c:extLst>
            <c:ext xmlns:c16="http://schemas.microsoft.com/office/drawing/2014/chart" uri="{C3380CC4-5D6E-409C-BE32-E72D297353CC}">
              <c16:uniqueId val="{00000009-70AD-4FCC-88E8-B98A944D442A}"/>
            </c:ext>
          </c:extLst>
        </c:ser>
        <c:ser>
          <c:idx val="10"/>
          <c:order val="9"/>
          <c:tx>
            <c:strRef>
              <c:f>Fact5!$Y$13</c:f>
              <c:strCache>
                <c:ptCount val="1"/>
                <c:pt idx="0">
                  <c:v>GTM</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Fact5!$Z$13:$AT$13</c:f>
              <c:numCache>
                <c:formatCode>0</c:formatCode>
                <c:ptCount val="21"/>
                <c:pt idx="0">
                  <c:v>29.191434860229492</c:v>
                </c:pt>
                <c:pt idx="1">
                  <c:v>40.634037017822266</c:v>
                </c:pt>
                <c:pt idx="2">
                  <c:v>34.707344055175781</c:v>
                </c:pt>
                <c:pt idx="3">
                  <c:v>28.780647277832031</c:v>
                </c:pt>
                <c:pt idx="4">
                  <c:v>32.770954132080078</c:v>
                </c:pt>
                <c:pt idx="5">
                  <c:v>37.314498901367188</c:v>
                </c:pt>
                <c:pt idx="6">
                  <c:v>42.487987518310547</c:v>
                </c:pt>
                <c:pt idx="7">
                  <c:v>48.378761291503906</c:v>
                </c:pt>
                <c:pt idx="8">
                  <c:v>47.511631011962891</c:v>
                </c:pt>
                <c:pt idx="9">
                  <c:v>37.146160125732422</c:v>
                </c:pt>
                <c:pt idx="10">
                  <c:v>34.089271545410156</c:v>
                </c:pt>
                <c:pt idx="11">
                  <c:v>32.221889495849609</c:v>
                </c:pt>
                <c:pt idx="12">
                  <c:v>29.102621078491211</c:v>
                </c:pt>
                <c:pt idx="13">
                  <c:v>32.294181823730469</c:v>
                </c:pt>
                <c:pt idx="14">
                  <c:v>32.957473754882813</c:v>
                </c:pt>
                <c:pt idx="15">
                  <c:v>34.01861572265625</c:v>
                </c:pt>
                <c:pt idx="16">
                  <c:v>31.740251541137695</c:v>
                </c:pt>
                <c:pt idx="17">
                  <c:v>32.39715576171875</c:v>
                </c:pt>
                <c:pt idx="18">
                  <c:v>33.054058074951172</c:v>
                </c:pt>
                <c:pt idx="19">
                  <c:v>31.91087532043457</c:v>
                </c:pt>
                <c:pt idx="20">
                  <c:v>30.807229995727539</c:v>
                </c:pt>
              </c:numCache>
            </c:numRef>
          </c:val>
          <c:smooth val="0"/>
          <c:extLst>
            <c:ext xmlns:c16="http://schemas.microsoft.com/office/drawing/2014/chart" uri="{C3380CC4-5D6E-409C-BE32-E72D297353CC}">
              <c16:uniqueId val="{0000000A-70AD-4FCC-88E8-B98A944D442A}"/>
            </c:ext>
          </c:extLst>
        </c:ser>
        <c:ser>
          <c:idx val="11"/>
          <c:order val="10"/>
          <c:tx>
            <c:strRef>
              <c:f>Fact5!$Y$14</c:f>
              <c:strCache>
                <c:ptCount val="1"/>
                <c:pt idx="0">
                  <c:v>GUY</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Fact5!$Z$14:$AT$14</c:f>
              <c:numCache>
                <c:formatCode>0</c:formatCode>
                <c:ptCount val="21"/>
                <c:pt idx="14">
                  <c:v>29.606311798095703</c:v>
                </c:pt>
                <c:pt idx="15">
                  <c:v>31.088315963745117</c:v>
                </c:pt>
                <c:pt idx="16">
                  <c:v>32.4420166015625</c:v>
                </c:pt>
                <c:pt idx="17">
                  <c:v>32.220237731933594</c:v>
                </c:pt>
                <c:pt idx="18">
                  <c:v>31.99846076965332</c:v>
                </c:pt>
                <c:pt idx="19">
                  <c:v>31.99846076965332</c:v>
                </c:pt>
                <c:pt idx="20">
                  <c:v>31.99846076965332</c:v>
                </c:pt>
              </c:numCache>
            </c:numRef>
          </c:val>
          <c:smooth val="0"/>
          <c:extLst>
            <c:ext xmlns:c16="http://schemas.microsoft.com/office/drawing/2014/chart" uri="{C3380CC4-5D6E-409C-BE32-E72D297353CC}">
              <c16:uniqueId val="{0000000B-70AD-4FCC-88E8-B98A944D442A}"/>
            </c:ext>
          </c:extLst>
        </c:ser>
        <c:ser>
          <c:idx val="12"/>
          <c:order val="11"/>
          <c:tx>
            <c:strRef>
              <c:f>Fact5!$Y$15</c:f>
              <c:strCache>
                <c:ptCount val="1"/>
                <c:pt idx="0">
                  <c:v>HND</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Fact5!$Z$15:$AT$15</c:f>
              <c:numCache>
                <c:formatCode>0</c:formatCode>
                <c:ptCount val="21"/>
                <c:pt idx="0">
                  <c:v>40.934581756591797</c:v>
                </c:pt>
                <c:pt idx="1">
                  <c:v>44.941993713378906</c:v>
                </c:pt>
                <c:pt idx="2">
                  <c:v>43.037544250488281</c:v>
                </c:pt>
                <c:pt idx="3">
                  <c:v>40.247760772705078</c:v>
                </c:pt>
                <c:pt idx="4">
                  <c:v>35.678627014160156</c:v>
                </c:pt>
                <c:pt idx="5">
                  <c:v>31.946559906005859</c:v>
                </c:pt>
                <c:pt idx="6">
                  <c:v>31.835147857666016</c:v>
                </c:pt>
                <c:pt idx="7">
                  <c:v>34.298114776611328</c:v>
                </c:pt>
                <c:pt idx="8">
                  <c:v>36.528945922851563</c:v>
                </c:pt>
                <c:pt idx="9">
                  <c:v>41.205833435058594</c:v>
                </c:pt>
                <c:pt idx="10">
                  <c:v>39.225311279296875</c:v>
                </c:pt>
                <c:pt idx="11">
                  <c:v>35.128620147705078</c:v>
                </c:pt>
                <c:pt idx="12">
                  <c:v>34.949161529541016</c:v>
                </c:pt>
                <c:pt idx="13">
                  <c:v>33.862903594970703</c:v>
                </c:pt>
                <c:pt idx="14">
                  <c:v>36.080768585205078</c:v>
                </c:pt>
                <c:pt idx="15">
                  <c:v>35.269680023193359</c:v>
                </c:pt>
                <c:pt idx="16">
                  <c:v>38.266094207763672</c:v>
                </c:pt>
                <c:pt idx="17">
                  <c:v>39.636203765869141</c:v>
                </c:pt>
                <c:pt idx="18">
                  <c:v>41.055366516113281</c:v>
                </c:pt>
                <c:pt idx="19">
                  <c:v>42.525337219238281</c:v>
                </c:pt>
                <c:pt idx="20">
                  <c:v>35.109729766845703</c:v>
                </c:pt>
              </c:numCache>
            </c:numRef>
          </c:val>
          <c:smooth val="0"/>
          <c:extLst>
            <c:ext xmlns:c16="http://schemas.microsoft.com/office/drawing/2014/chart" uri="{C3380CC4-5D6E-409C-BE32-E72D297353CC}">
              <c16:uniqueId val="{0000000C-70AD-4FCC-88E8-B98A944D442A}"/>
            </c:ext>
          </c:extLst>
        </c:ser>
        <c:ser>
          <c:idx val="14"/>
          <c:order val="12"/>
          <c:tx>
            <c:strRef>
              <c:f>Fact5!$Y$17</c:f>
              <c:strCache>
                <c:ptCount val="1"/>
                <c:pt idx="0">
                  <c:v>PAN</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Fact5!$Z$17:$AT$17</c:f>
              <c:numCache>
                <c:formatCode>0</c:formatCode>
                <c:ptCount val="21"/>
                <c:pt idx="0">
                  <c:v>19.505472183227539</c:v>
                </c:pt>
                <c:pt idx="1">
                  <c:v>19.894149780273438</c:v>
                </c:pt>
                <c:pt idx="2">
                  <c:v>19.046466827392578</c:v>
                </c:pt>
                <c:pt idx="3">
                  <c:v>19.16015625</c:v>
                </c:pt>
                <c:pt idx="4">
                  <c:v>16.640659332275391</c:v>
                </c:pt>
                <c:pt idx="5">
                  <c:v>16.262025833129883</c:v>
                </c:pt>
                <c:pt idx="6">
                  <c:v>14.433358192443848</c:v>
                </c:pt>
                <c:pt idx="7">
                  <c:v>14.408330917358398</c:v>
                </c:pt>
                <c:pt idx="8">
                  <c:v>12.223545074462891</c:v>
                </c:pt>
                <c:pt idx="9">
                  <c:v>9.4491634368896484</c:v>
                </c:pt>
                <c:pt idx="10">
                  <c:v>10.783822059631348</c:v>
                </c:pt>
                <c:pt idx="11">
                  <c:v>9.8965740203857422</c:v>
                </c:pt>
                <c:pt idx="12">
                  <c:v>10.029431343078613</c:v>
                </c:pt>
                <c:pt idx="13">
                  <c:v>8.4328737258911133</c:v>
                </c:pt>
                <c:pt idx="14">
                  <c:v>8.1176433563232422</c:v>
                </c:pt>
                <c:pt idx="15">
                  <c:v>8.4074573516845703</c:v>
                </c:pt>
                <c:pt idx="16">
                  <c:v>8.2286205291748047</c:v>
                </c:pt>
                <c:pt idx="17">
                  <c:v>8.4610786437988281</c:v>
                </c:pt>
                <c:pt idx="18">
                  <c:v>8.700103759765625</c:v>
                </c:pt>
                <c:pt idx="19">
                  <c:v>8.9458808898925781</c:v>
                </c:pt>
                <c:pt idx="20">
                  <c:v>9.1986007690429688</c:v>
                </c:pt>
              </c:numCache>
            </c:numRef>
          </c:val>
          <c:smooth val="0"/>
          <c:extLst>
            <c:ext xmlns:c16="http://schemas.microsoft.com/office/drawing/2014/chart" uri="{C3380CC4-5D6E-409C-BE32-E72D297353CC}">
              <c16:uniqueId val="{0000000E-70AD-4FCC-88E8-B98A944D442A}"/>
            </c:ext>
          </c:extLst>
        </c:ser>
        <c:ser>
          <c:idx val="15"/>
          <c:order val="13"/>
          <c:tx>
            <c:strRef>
              <c:f>Fact5!$Y$18</c:f>
              <c:strCache>
                <c:ptCount val="1"/>
                <c:pt idx="0">
                  <c:v>PER</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Fact5!$Z$18:$AT$18</c:f>
              <c:numCache>
                <c:formatCode>0</c:formatCode>
                <c:ptCount val="21"/>
                <c:pt idx="0">
                  <c:v>36.082656860351563</c:v>
                </c:pt>
                <c:pt idx="1">
                  <c:v>36.340023040771484</c:v>
                </c:pt>
                <c:pt idx="2">
                  <c:v>39.131866455078125</c:v>
                </c:pt>
                <c:pt idx="3">
                  <c:v>36.236225128173828</c:v>
                </c:pt>
                <c:pt idx="4">
                  <c:v>29.151054382324219</c:v>
                </c:pt>
                <c:pt idx="5">
                  <c:v>25.421737670898438</c:v>
                </c:pt>
                <c:pt idx="6">
                  <c:v>18.704830169677734</c:v>
                </c:pt>
                <c:pt idx="7">
                  <c:v>16.461704254150391</c:v>
                </c:pt>
                <c:pt idx="8">
                  <c:v>18.892986297607422</c:v>
                </c:pt>
                <c:pt idx="9">
                  <c:v>17.266027450561523</c:v>
                </c:pt>
                <c:pt idx="10">
                  <c:v>16.544425964355469</c:v>
                </c:pt>
                <c:pt idx="11">
                  <c:v>15.426937103271484</c:v>
                </c:pt>
                <c:pt idx="12">
                  <c:v>14.944316864013672</c:v>
                </c:pt>
                <c:pt idx="13">
                  <c:v>14.880022048950195</c:v>
                </c:pt>
                <c:pt idx="14">
                  <c:v>14.749188423156738</c:v>
                </c:pt>
                <c:pt idx="15">
                  <c:v>12.959710121154785</c:v>
                </c:pt>
                <c:pt idx="16">
                  <c:v>11.822205543518066</c:v>
                </c:pt>
                <c:pt idx="17">
                  <c:v>23.303895950317383</c:v>
                </c:pt>
                <c:pt idx="18">
                  <c:v>14.145053863525391</c:v>
                </c:pt>
                <c:pt idx="19">
                  <c:v>12.462396621704102</c:v>
                </c:pt>
                <c:pt idx="20">
                  <c:v>10.979904174804688</c:v>
                </c:pt>
              </c:numCache>
            </c:numRef>
          </c:val>
          <c:smooth val="0"/>
          <c:extLst>
            <c:ext xmlns:c16="http://schemas.microsoft.com/office/drawing/2014/chart" uri="{C3380CC4-5D6E-409C-BE32-E72D297353CC}">
              <c16:uniqueId val="{0000000F-70AD-4FCC-88E8-B98A944D442A}"/>
            </c:ext>
          </c:extLst>
        </c:ser>
        <c:ser>
          <c:idx val="16"/>
          <c:order val="14"/>
          <c:tx>
            <c:strRef>
              <c:f>Fact5!$Y$19</c:f>
              <c:strCache>
                <c:ptCount val="1"/>
                <c:pt idx="0">
                  <c:v>PRY</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Fact5!$Z$19:$AT$19</c:f>
              <c:numCache>
                <c:formatCode>0</c:formatCode>
                <c:ptCount val="21"/>
                <c:pt idx="0">
                  <c:v>29.401519775390625</c:v>
                </c:pt>
                <c:pt idx="1">
                  <c:v>25.954771041870117</c:v>
                </c:pt>
                <c:pt idx="2">
                  <c:v>21.66015625</c:v>
                </c:pt>
                <c:pt idx="3">
                  <c:v>26.555629730224609</c:v>
                </c:pt>
                <c:pt idx="4">
                  <c:v>22.036409378051758</c:v>
                </c:pt>
                <c:pt idx="5">
                  <c:v>21.534603118896484</c:v>
                </c:pt>
                <c:pt idx="6">
                  <c:v>20.314241409301758</c:v>
                </c:pt>
                <c:pt idx="7">
                  <c:v>20.313493728637695</c:v>
                </c:pt>
                <c:pt idx="8">
                  <c:v>18.601699829101563</c:v>
                </c:pt>
                <c:pt idx="9">
                  <c:v>18.355260848999023</c:v>
                </c:pt>
                <c:pt idx="10">
                  <c:v>13.512746810913086</c:v>
                </c:pt>
                <c:pt idx="11">
                  <c:v>13.23590087890625</c:v>
                </c:pt>
                <c:pt idx="12">
                  <c:v>13.862668037414551</c:v>
                </c:pt>
                <c:pt idx="13">
                  <c:v>15.528464317321777</c:v>
                </c:pt>
                <c:pt idx="14">
                  <c:v>14.606579780578613</c:v>
                </c:pt>
                <c:pt idx="15">
                  <c:v>12.543441772460938</c:v>
                </c:pt>
                <c:pt idx="16">
                  <c:v>12.439337730407715</c:v>
                </c:pt>
                <c:pt idx="17">
                  <c:v>10.641407012939453</c:v>
                </c:pt>
                <c:pt idx="18">
                  <c:v>11.396774291992188</c:v>
                </c:pt>
                <c:pt idx="19">
                  <c:v>12.367045402526855</c:v>
                </c:pt>
                <c:pt idx="20">
                  <c:v>13.419920921325684</c:v>
                </c:pt>
              </c:numCache>
            </c:numRef>
          </c:val>
          <c:smooth val="0"/>
          <c:extLst>
            <c:ext xmlns:c16="http://schemas.microsoft.com/office/drawing/2014/chart" uri="{C3380CC4-5D6E-409C-BE32-E72D297353CC}">
              <c16:uniqueId val="{00000010-70AD-4FCC-88E8-B98A944D442A}"/>
            </c:ext>
          </c:extLst>
        </c:ser>
        <c:ser>
          <c:idx val="17"/>
          <c:order val="15"/>
          <c:tx>
            <c:strRef>
              <c:f>Fact5!$Y$20</c:f>
              <c:strCache>
                <c:ptCount val="1"/>
                <c:pt idx="0">
                  <c:v>SLV</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Fact5!$Z$20:$AT$20</c:f>
              <c:numCache>
                <c:formatCode>0</c:formatCode>
                <c:ptCount val="21"/>
                <c:pt idx="0">
                  <c:v>30.098274230957031</c:v>
                </c:pt>
                <c:pt idx="1">
                  <c:v>29.909538269042969</c:v>
                </c:pt>
                <c:pt idx="2">
                  <c:v>33.278915405273438</c:v>
                </c:pt>
                <c:pt idx="3">
                  <c:v>29.543764114379883</c:v>
                </c:pt>
                <c:pt idx="4">
                  <c:v>26.075855255126953</c:v>
                </c:pt>
                <c:pt idx="5">
                  <c:v>29.958087921142578</c:v>
                </c:pt>
                <c:pt idx="6">
                  <c:v>30.230155944824219</c:v>
                </c:pt>
                <c:pt idx="7">
                  <c:v>29.565187454223633</c:v>
                </c:pt>
                <c:pt idx="8">
                  <c:v>27.949380874633789</c:v>
                </c:pt>
                <c:pt idx="9">
                  <c:v>26.217578887939453</c:v>
                </c:pt>
                <c:pt idx="10">
                  <c:v>23.065671920776367</c:v>
                </c:pt>
                <c:pt idx="11">
                  <c:v>22.834812164306641</c:v>
                </c:pt>
                <c:pt idx="12">
                  <c:v>20.33000373840332</c:v>
                </c:pt>
                <c:pt idx="13">
                  <c:v>20.716344833374023</c:v>
                </c:pt>
                <c:pt idx="14">
                  <c:v>18.393341064453125</c:v>
                </c:pt>
                <c:pt idx="15">
                  <c:v>16.515666961669922</c:v>
                </c:pt>
                <c:pt idx="16">
                  <c:v>14.110957145690918</c:v>
                </c:pt>
                <c:pt idx="17">
                  <c:v>18.446578979492188</c:v>
                </c:pt>
                <c:pt idx="18">
                  <c:v>17.403285980224609</c:v>
                </c:pt>
                <c:pt idx="19">
                  <c:v>17.153528213500977</c:v>
                </c:pt>
                <c:pt idx="20">
                  <c:v>15.566752433776855</c:v>
                </c:pt>
              </c:numCache>
            </c:numRef>
          </c:val>
          <c:smooth val="0"/>
          <c:extLst>
            <c:ext xmlns:c16="http://schemas.microsoft.com/office/drawing/2014/chart" uri="{C3380CC4-5D6E-409C-BE32-E72D297353CC}">
              <c16:uniqueId val="{00000011-70AD-4FCC-88E8-B98A944D442A}"/>
            </c:ext>
          </c:extLst>
        </c:ser>
        <c:ser>
          <c:idx val="18"/>
          <c:order val="16"/>
          <c:tx>
            <c:strRef>
              <c:f>Fact5!$Y$21</c:f>
              <c:strCache>
                <c:ptCount val="1"/>
                <c:pt idx="0">
                  <c:v>URY</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Fact5!$Z$21:$AT$21</c:f>
              <c:numCache>
                <c:formatCode>0</c:formatCode>
                <c:ptCount val="21"/>
                <c:pt idx="0">
                  <c:v>11.772184371948242</c:v>
                </c:pt>
                <c:pt idx="1">
                  <c:v>13.025636672973633</c:v>
                </c:pt>
                <c:pt idx="2">
                  <c:v>12.149932861328125</c:v>
                </c:pt>
                <c:pt idx="3">
                  <c:v>8.6665973663330078</c:v>
                </c:pt>
                <c:pt idx="4">
                  <c:v>9.0558414459228516</c:v>
                </c:pt>
                <c:pt idx="5">
                  <c:v>4.9746270179748535</c:v>
                </c:pt>
                <c:pt idx="6">
                  <c:v>6.0477023124694824</c:v>
                </c:pt>
                <c:pt idx="7">
                  <c:v>4.8753628730773926</c:v>
                </c:pt>
                <c:pt idx="8">
                  <c:v>4.2148504257202148</c:v>
                </c:pt>
                <c:pt idx="9">
                  <c:v>4.2156963348388672</c:v>
                </c:pt>
                <c:pt idx="10">
                  <c:v>3.9434285163879395</c:v>
                </c:pt>
                <c:pt idx="11">
                  <c:v>3.4458074569702148</c:v>
                </c:pt>
                <c:pt idx="12">
                  <c:v>3.8563013076782227</c:v>
                </c:pt>
                <c:pt idx="13">
                  <c:v>3.5427837371826172</c:v>
                </c:pt>
                <c:pt idx="14">
                  <c:v>2.8764021396636963</c:v>
                </c:pt>
                <c:pt idx="15">
                  <c:v>2.8609726428985596</c:v>
                </c:pt>
                <c:pt idx="16">
                  <c:v>3.1808047294616699</c:v>
                </c:pt>
                <c:pt idx="17">
                  <c:v>4.6586627960205078</c:v>
                </c:pt>
                <c:pt idx="18">
                  <c:v>4.559272289276123</c:v>
                </c:pt>
                <c:pt idx="19">
                  <c:v>3.9979178905487061</c:v>
                </c:pt>
                <c:pt idx="20">
                  <c:v>3.5056796073913574</c:v>
                </c:pt>
              </c:numCache>
            </c:numRef>
          </c:val>
          <c:smooth val="0"/>
          <c:extLst>
            <c:ext xmlns:c16="http://schemas.microsoft.com/office/drawing/2014/chart" uri="{C3380CC4-5D6E-409C-BE32-E72D297353CC}">
              <c16:uniqueId val="{00000012-70AD-4FCC-88E8-B98A944D442A}"/>
            </c:ext>
          </c:extLst>
        </c:ser>
        <c:ser>
          <c:idx val="19"/>
          <c:order val="17"/>
          <c:tx>
            <c:strRef>
              <c:f>Fact5!$Y$22</c:f>
              <c:strCache>
                <c:ptCount val="1"/>
                <c:pt idx="0">
                  <c:v>VEN</c:v>
                </c:pt>
              </c:strCache>
            </c:strRef>
          </c:tx>
          <c:spPr>
            <a:ln w="28575" cap="rnd">
              <a:solidFill>
                <a:srgbClr val="C00000"/>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Fact5!$Z$22:$AT$22</c:f>
              <c:numCache>
                <c:formatCode>0</c:formatCode>
                <c:ptCount val="21"/>
                <c:pt idx="0">
                  <c:v>34.786518096923828</c:v>
                </c:pt>
                <c:pt idx="1">
                  <c:v>25.831439971923828</c:v>
                </c:pt>
                <c:pt idx="2">
                  <c:v>23.026056289672852</c:v>
                </c:pt>
                <c:pt idx="3">
                  <c:v>13.7447509765625</c:v>
                </c:pt>
                <c:pt idx="4">
                  <c:v>10.19660758972168</c:v>
                </c:pt>
                <c:pt idx="5">
                  <c:v>9.0856914520263672</c:v>
                </c:pt>
                <c:pt idx="6">
                  <c:v>8.0975875854492188</c:v>
                </c:pt>
                <c:pt idx="7">
                  <c:v>8.1186361312866211</c:v>
                </c:pt>
                <c:pt idx="8">
                  <c:v>8.4276628494262695</c:v>
                </c:pt>
                <c:pt idx="9">
                  <c:v>8.5514430999755859</c:v>
                </c:pt>
                <c:pt idx="10">
                  <c:v>7.9765357971191406</c:v>
                </c:pt>
                <c:pt idx="11">
                  <c:v>6.1628198623657227</c:v>
                </c:pt>
                <c:pt idx="12">
                  <c:v>8.7236251831054688</c:v>
                </c:pt>
                <c:pt idx="13">
                  <c:v>19.372528076171875</c:v>
                </c:pt>
                <c:pt idx="14">
                  <c:v>17.856193542480469</c:v>
                </c:pt>
                <c:pt idx="15">
                  <c:v>25.077169418334961</c:v>
                </c:pt>
                <c:pt idx="16">
                  <c:v>50.179054260253906</c:v>
                </c:pt>
                <c:pt idx="17">
                  <c:v>75.280937194824219</c:v>
                </c:pt>
                <c:pt idx="18">
                  <c:v>53.867767333984375</c:v>
                </c:pt>
                <c:pt idx="19">
                  <c:v>53.867767333984375</c:v>
                </c:pt>
                <c:pt idx="20">
                  <c:v>53.867767333984375</c:v>
                </c:pt>
              </c:numCache>
            </c:numRef>
          </c:val>
          <c:smooth val="0"/>
          <c:extLst>
            <c:ext xmlns:c16="http://schemas.microsoft.com/office/drawing/2014/chart" uri="{C3380CC4-5D6E-409C-BE32-E72D297353CC}">
              <c16:uniqueId val="{00000013-70AD-4FCC-88E8-B98A944D442A}"/>
            </c:ext>
          </c:extLst>
        </c:ser>
        <c:ser>
          <c:idx val="20"/>
          <c:order val="18"/>
          <c:tx>
            <c:strRef>
              <c:f>Fact5!$Y$23</c:f>
              <c:strCache>
                <c:ptCount val="1"/>
                <c:pt idx="0">
                  <c:v> LAC</c:v>
                </c:pt>
              </c:strCache>
            </c:strRef>
          </c:tx>
          <c:spPr>
            <a:ln w="28575" cap="rnd">
              <a:solidFill>
                <a:schemeClr val="tx1"/>
              </a:solidFill>
              <a:prstDash val="dash"/>
              <a:round/>
            </a:ln>
            <a:effectLst/>
          </c:spPr>
          <c:marker>
            <c:symbol val="none"/>
          </c:marker>
          <c:val>
            <c:numRef>
              <c:f>Fact5!$Z$23:$AT$23</c:f>
              <c:numCache>
                <c:formatCode>0</c:formatCode>
                <c:ptCount val="21"/>
                <c:pt idx="0">
                  <c:v>33.446946530933914</c:v>
                </c:pt>
                <c:pt idx="1">
                  <c:v>30.031447361963487</c:v>
                </c:pt>
                <c:pt idx="2">
                  <c:v>28.221646908165862</c:v>
                </c:pt>
                <c:pt idx="3">
                  <c:v>25.801681854668441</c:v>
                </c:pt>
                <c:pt idx="4">
                  <c:v>24.946956455225504</c:v>
                </c:pt>
                <c:pt idx="5">
                  <c:v>24.508410600341087</c:v>
                </c:pt>
                <c:pt idx="6">
                  <c:v>23.832217124827334</c:v>
                </c:pt>
                <c:pt idx="7">
                  <c:v>22.863869667002742</c:v>
                </c:pt>
                <c:pt idx="8">
                  <c:v>20.624120564671969</c:v>
                </c:pt>
                <c:pt idx="9">
                  <c:v>18.316526180967916</c:v>
                </c:pt>
                <c:pt idx="10">
                  <c:v>16.407633197956454</c:v>
                </c:pt>
                <c:pt idx="11">
                  <c:v>14.447771332133126</c:v>
                </c:pt>
                <c:pt idx="12">
                  <c:v>14.215626762807153</c:v>
                </c:pt>
                <c:pt idx="13">
                  <c:v>14.464200962036566</c:v>
                </c:pt>
                <c:pt idx="14">
                  <c:v>14.076534397798968</c:v>
                </c:pt>
                <c:pt idx="15">
                  <c:v>14.413894247480663</c:v>
                </c:pt>
                <c:pt idx="16">
                  <c:v>15.587384087216776</c:v>
                </c:pt>
                <c:pt idx="17">
                  <c:v>17.645435099312628</c:v>
                </c:pt>
                <c:pt idx="18">
                  <c:v>16.87096567552614</c:v>
                </c:pt>
                <c:pt idx="19">
                  <c:v>14.3174846136525</c:v>
                </c:pt>
                <c:pt idx="20">
                  <c:v>12.376502318729861</c:v>
                </c:pt>
              </c:numCache>
            </c:numRef>
          </c:val>
          <c:smooth val="0"/>
          <c:extLst>
            <c:ext xmlns:c16="http://schemas.microsoft.com/office/drawing/2014/chart" uri="{C3380CC4-5D6E-409C-BE32-E72D297353CC}">
              <c16:uniqueId val="{00000015-70AD-4FCC-88E8-B98A944D442A}"/>
            </c:ext>
          </c:extLst>
        </c:ser>
        <c:ser>
          <c:idx val="21"/>
          <c:order val="19"/>
          <c:tx>
            <c:strRef>
              <c:f>Fact5!$Y$24</c:f>
              <c:strCache>
                <c:ptCount val="1"/>
                <c:pt idx="0">
                  <c:v> LAC without VEN</c:v>
                </c:pt>
              </c:strCache>
            </c:strRef>
          </c:tx>
          <c:spPr>
            <a:ln w="38100" cap="rnd">
              <a:solidFill>
                <a:schemeClr val="tx1"/>
              </a:solidFill>
              <a:round/>
            </a:ln>
            <a:effectLst/>
          </c:spPr>
          <c:marker>
            <c:symbol val="none"/>
          </c:marker>
          <c:val>
            <c:numRef>
              <c:f>Fact5!$Z$24:$AT$24</c:f>
              <c:numCache>
                <c:formatCode>0</c:formatCode>
                <c:ptCount val="21"/>
                <c:pt idx="0">
                  <c:v>33.36390280876477</c:v>
                </c:pt>
                <c:pt idx="1">
                  <c:v>30.235477528489689</c:v>
                </c:pt>
                <c:pt idx="2">
                  <c:v>28.47404104004454</c:v>
                </c:pt>
                <c:pt idx="3">
                  <c:v>26.387389780013699</c:v>
                </c:pt>
                <c:pt idx="4">
                  <c:v>25.663506655228822</c:v>
                </c:pt>
                <c:pt idx="5">
                  <c:v>25.25762355734205</c:v>
                </c:pt>
                <c:pt idx="6">
                  <c:v>24.596582228746147</c:v>
                </c:pt>
                <c:pt idx="7">
                  <c:v>23.580171371827007</c:v>
                </c:pt>
                <c:pt idx="8">
                  <c:v>21.216606498047401</c:v>
                </c:pt>
                <c:pt idx="9">
                  <c:v>18.79089951942489</c:v>
                </c:pt>
                <c:pt idx="10">
                  <c:v>16.817203478897135</c:v>
                </c:pt>
                <c:pt idx="11">
                  <c:v>14.850242059219678</c:v>
                </c:pt>
                <c:pt idx="12">
                  <c:v>14.482420102153664</c:v>
                </c:pt>
                <c:pt idx="13">
                  <c:v>14.225761667658883</c:v>
                </c:pt>
                <c:pt idx="14">
                  <c:v>13.893175496990397</c:v>
                </c:pt>
                <c:pt idx="15">
                  <c:v>13.896597226901859</c:v>
                </c:pt>
                <c:pt idx="16">
                  <c:v>13.909272284731687</c:v>
                </c:pt>
                <c:pt idx="17">
                  <c:v>14.849420456919887</c:v>
                </c:pt>
                <c:pt idx="18">
                  <c:v>15.07617608581586</c:v>
                </c:pt>
                <c:pt idx="19">
                  <c:v>12.398820499066218</c:v>
                </c:pt>
                <c:pt idx="20">
                  <c:v>10.363677231827673</c:v>
                </c:pt>
              </c:numCache>
            </c:numRef>
          </c:val>
          <c:smooth val="0"/>
          <c:extLst>
            <c:ext xmlns:c16="http://schemas.microsoft.com/office/drawing/2014/chart" uri="{C3380CC4-5D6E-409C-BE32-E72D297353CC}">
              <c16:uniqueId val="{00000000-A2A0-40D7-A4A5-EF2759747425}"/>
            </c:ext>
          </c:extLst>
        </c:ser>
        <c:ser>
          <c:idx val="22"/>
          <c:order val="20"/>
          <c:tx>
            <c:strRef>
              <c:f>Fact5!$Y$26</c:f>
              <c:strCache>
                <c:ptCount val="1"/>
                <c:pt idx="0">
                  <c:v>median</c:v>
                </c:pt>
              </c:strCache>
            </c:strRef>
          </c:tx>
          <c:spPr>
            <a:ln w="28575" cap="rnd">
              <a:solidFill>
                <a:srgbClr val="00B050"/>
              </a:solidFill>
              <a:prstDash val="dash"/>
              <a:round/>
            </a:ln>
            <a:effectLst/>
          </c:spPr>
          <c:marker>
            <c:symbol val="none"/>
          </c:marker>
          <c:val>
            <c:numRef>
              <c:f>Fact5!$Z$26:$AT$26</c:f>
              <c:numCache>
                <c:formatCode>0</c:formatCode>
                <c:ptCount val="21"/>
                <c:pt idx="0">
                  <c:v>29.366186141967773</c:v>
                </c:pt>
                <c:pt idx="1">
                  <c:v>27.226691246032715</c:v>
                </c:pt>
                <c:pt idx="2">
                  <c:v>27.260764122009277</c:v>
                </c:pt>
                <c:pt idx="3">
                  <c:v>25.88831901550293</c:v>
                </c:pt>
                <c:pt idx="4">
                  <c:v>23.752978324890137</c:v>
                </c:pt>
                <c:pt idx="5">
                  <c:v>21.882673263549805</c:v>
                </c:pt>
                <c:pt idx="6">
                  <c:v>18.99661922454834</c:v>
                </c:pt>
                <c:pt idx="7">
                  <c:v>16.906978607177734</c:v>
                </c:pt>
                <c:pt idx="8">
                  <c:v>16.692220687866211</c:v>
                </c:pt>
                <c:pt idx="9">
                  <c:v>15.684835910797119</c:v>
                </c:pt>
                <c:pt idx="10">
                  <c:v>13.197486877441406</c:v>
                </c:pt>
                <c:pt idx="11">
                  <c:v>12.785266876220703</c:v>
                </c:pt>
                <c:pt idx="12">
                  <c:v>13.31841516494751</c:v>
                </c:pt>
                <c:pt idx="13">
                  <c:v>14.003753662109375</c:v>
                </c:pt>
                <c:pt idx="14">
                  <c:v>13.562172412872314</c:v>
                </c:pt>
                <c:pt idx="15">
                  <c:v>12.751575946807861</c:v>
                </c:pt>
                <c:pt idx="16">
                  <c:v>12.755544662475586</c:v>
                </c:pt>
                <c:pt idx="17">
                  <c:v>14.06494665145874</c:v>
                </c:pt>
                <c:pt idx="18">
                  <c:v>13.389644622802734</c:v>
                </c:pt>
                <c:pt idx="19">
                  <c:v>11.616180419921875</c:v>
                </c:pt>
                <c:pt idx="20">
                  <c:v>10.950963020324707</c:v>
                </c:pt>
              </c:numCache>
            </c:numRef>
          </c:val>
          <c:smooth val="0"/>
          <c:extLst>
            <c:ext xmlns:c16="http://schemas.microsoft.com/office/drawing/2014/chart" uri="{C3380CC4-5D6E-409C-BE32-E72D297353CC}">
              <c16:uniqueId val="{00000000-F02C-4D73-BCC3-5D3ABDF86AB4}"/>
            </c:ext>
          </c:extLst>
        </c:ser>
        <c:ser>
          <c:idx val="23"/>
          <c:order val="21"/>
          <c:tx>
            <c:strRef>
              <c:f>Fact5!$Y$29</c:f>
              <c:strCache>
                <c:ptCount val="1"/>
                <c:pt idx="0">
                  <c:v>simple average </c:v>
                </c:pt>
              </c:strCache>
            </c:strRef>
          </c:tx>
          <c:spPr>
            <a:ln w="28575" cap="rnd">
              <a:solidFill>
                <a:schemeClr val="accent6">
                  <a:lumMod val="80000"/>
                </a:schemeClr>
              </a:solidFill>
              <a:round/>
            </a:ln>
            <a:effectLst/>
          </c:spPr>
          <c:marker>
            <c:symbol val="none"/>
          </c:marker>
          <c:val>
            <c:numRef>
              <c:f>Fact5!$Z$29:$AT$29</c:f>
              <c:numCache>
                <c:formatCode>0</c:formatCode>
                <c:ptCount val="21"/>
                <c:pt idx="0">
                  <c:v>29.629539310932159</c:v>
                </c:pt>
                <c:pt idx="1">
                  <c:v>29.155385073493509</c:v>
                </c:pt>
                <c:pt idx="2">
                  <c:v>27.280842051786536</c:v>
                </c:pt>
                <c:pt idx="3">
                  <c:v>25.075131809010227</c:v>
                </c:pt>
                <c:pt idx="4">
                  <c:v>22.78653834847843</c:v>
                </c:pt>
                <c:pt idx="5">
                  <c:v>21.64683692595538</c:v>
                </c:pt>
                <c:pt idx="6">
                  <c:v>21.051712064182055</c:v>
                </c:pt>
                <c:pt idx="7">
                  <c:v>20.544579113230984</c:v>
                </c:pt>
                <c:pt idx="8">
                  <c:v>19.263296155368579</c:v>
                </c:pt>
                <c:pt idx="9">
                  <c:v>17.886780205894919</c:v>
                </c:pt>
                <c:pt idx="10">
                  <c:v>16.155926339766559</c:v>
                </c:pt>
                <c:pt idx="11">
                  <c:v>14.833119588739732</c:v>
                </c:pt>
                <c:pt idx="12">
                  <c:v>14.33180217181935</c:v>
                </c:pt>
                <c:pt idx="13">
                  <c:v>14.995333952062269</c:v>
                </c:pt>
                <c:pt idx="14">
                  <c:v>15.156596038076612</c:v>
                </c:pt>
                <c:pt idx="15">
                  <c:v>15.410691168573168</c:v>
                </c:pt>
                <c:pt idx="16">
                  <c:v>16.739599068959553</c:v>
                </c:pt>
                <c:pt idx="17">
                  <c:v>20.399083137512207</c:v>
                </c:pt>
                <c:pt idx="18">
                  <c:v>17.811000797483658</c:v>
                </c:pt>
                <c:pt idx="19">
                  <c:v>17.063546008533901</c:v>
                </c:pt>
                <c:pt idx="20">
                  <c:v>16.09451084666782</c:v>
                </c:pt>
              </c:numCache>
            </c:numRef>
          </c:val>
          <c:smooth val="0"/>
          <c:extLst>
            <c:ext xmlns:c16="http://schemas.microsoft.com/office/drawing/2014/chart" uri="{C3380CC4-5D6E-409C-BE32-E72D297353CC}">
              <c16:uniqueId val="{00000001-F02C-4D73-BCC3-5D3ABDF86AB4}"/>
            </c:ext>
          </c:extLst>
        </c:ser>
        <c:dLbls>
          <c:showLegendKey val="0"/>
          <c:showVal val="0"/>
          <c:showCatName val="0"/>
          <c:showSerName val="0"/>
          <c:showPercent val="0"/>
          <c:showBubbleSize val="0"/>
        </c:dLbls>
        <c:smooth val="0"/>
        <c:axId val="615717568"/>
        <c:axId val="615719488"/>
      </c:lineChart>
      <c:catAx>
        <c:axId val="61571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719488"/>
        <c:crosses val="autoZero"/>
        <c:auto val="1"/>
        <c:lblAlgn val="ctr"/>
        <c:lblOffset val="100"/>
        <c:noMultiLvlLbl val="0"/>
      </c:catAx>
      <c:valAx>
        <c:axId val="615719488"/>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717568"/>
        <c:crosses val="autoZero"/>
        <c:crossBetween val="between"/>
      </c:valAx>
      <c:spPr>
        <a:noFill/>
        <a:ln>
          <a:noFill/>
        </a:ln>
        <a:effectLst/>
      </c:spPr>
    </c:plotArea>
    <c:legend>
      <c:legendPos val="b"/>
      <c:legendEntry>
        <c:idx val="0"/>
        <c:delete val="1"/>
      </c:legendEntry>
      <c:legendEntry>
        <c:idx val="1"/>
        <c:delete val="1"/>
      </c:legendEntry>
      <c:legendEntry>
        <c:idx val="2"/>
        <c:delete val="1"/>
      </c:legendEntry>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egendEntry>
        <c:idx val="12"/>
        <c:delete val="1"/>
      </c:legendEntry>
      <c:legendEntry>
        <c:idx val="13"/>
        <c:delete val="1"/>
      </c:legendEntry>
      <c:legendEntry>
        <c:idx val="14"/>
        <c:delete val="1"/>
      </c:legendEntry>
      <c:legendEntry>
        <c:idx val="15"/>
        <c:delete val="1"/>
      </c:legendEntry>
      <c:legendEntry>
        <c:idx val="16"/>
        <c:delete val="1"/>
      </c:legendEntry>
      <c:layout>
        <c:manualLayout>
          <c:xMode val="edge"/>
          <c:yMode val="edge"/>
          <c:x val="0"/>
          <c:y val="0.77644759102191885"/>
          <c:w val="1"/>
          <c:h val="0.137096901371682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Fact5!$Y$6</c:f>
              <c:strCache>
                <c:ptCount val="1"/>
                <c:pt idx="0">
                  <c:v>BOL</c:v>
                </c:pt>
              </c:strCache>
            </c:strRef>
          </c:tx>
          <c:spPr>
            <a:ln w="28575" cap="rnd">
              <a:solidFill>
                <a:schemeClr val="accent1"/>
              </a:solidFill>
              <a:round/>
            </a:ln>
            <a:effectLst/>
          </c:spPr>
          <c:marker>
            <c:symbol val="none"/>
          </c:marker>
          <c:cat>
            <c:strRef>
              <c:f>Fact5!$Z$2:$AT$2</c:f>
              <c:strCache>
                <c:ptCount val="21"/>
                <c:pt idx="0">
                  <c:v>value2003</c:v>
                </c:pt>
                <c:pt idx="1">
                  <c:v>value2004</c:v>
                </c:pt>
                <c:pt idx="2">
                  <c:v>value2005</c:v>
                </c:pt>
                <c:pt idx="3">
                  <c:v>value2006</c:v>
                </c:pt>
                <c:pt idx="4">
                  <c:v>value2007</c:v>
                </c:pt>
                <c:pt idx="5">
                  <c:v>value2008</c:v>
                </c:pt>
                <c:pt idx="6">
                  <c:v>value2009</c:v>
                </c:pt>
                <c:pt idx="7">
                  <c:v>value2010</c:v>
                </c:pt>
                <c:pt idx="8">
                  <c:v>value2011</c:v>
                </c:pt>
                <c:pt idx="9">
                  <c:v>value2012</c:v>
                </c:pt>
                <c:pt idx="10">
                  <c:v>value2013</c:v>
                </c:pt>
                <c:pt idx="11">
                  <c:v>value2014</c:v>
                </c:pt>
                <c:pt idx="12">
                  <c:v>value2015</c:v>
                </c:pt>
                <c:pt idx="13">
                  <c:v>value2016</c:v>
                </c:pt>
                <c:pt idx="14">
                  <c:v>value2017</c:v>
                </c:pt>
                <c:pt idx="15">
                  <c:v>value2018</c:v>
                </c:pt>
                <c:pt idx="16">
                  <c:v>value2019</c:v>
                </c:pt>
                <c:pt idx="17">
                  <c:v>value2020</c:v>
                </c:pt>
                <c:pt idx="18">
                  <c:v>value2021</c:v>
                </c:pt>
                <c:pt idx="19">
                  <c:v>value2022</c:v>
                </c:pt>
                <c:pt idx="20">
                  <c:v>value2023</c:v>
                </c:pt>
              </c:strCache>
            </c:strRef>
          </c:cat>
          <c:val>
            <c:numRef>
              <c:f>Fact5!$Z$6:$AT$6</c:f>
              <c:numCache>
                <c:formatCode>0</c:formatCode>
                <c:ptCount val="21"/>
                <c:pt idx="0">
                  <c:v>21.430349349975586</c:v>
                </c:pt>
                <c:pt idx="1">
                  <c:v>24.495639801025391</c:v>
                </c:pt>
                <c:pt idx="2">
                  <c:v>27.560932159423828</c:v>
                </c:pt>
                <c:pt idx="3">
                  <c:v>26.16798210144043</c:v>
                </c:pt>
                <c:pt idx="4">
                  <c:v>22.608821868896484</c:v>
                </c:pt>
                <c:pt idx="5">
                  <c:v>18.504581451416016</c:v>
                </c:pt>
                <c:pt idx="6">
                  <c:v>17.264245986938477</c:v>
                </c:pt>
                <c:pt idx="7">
                  <c:v>15.153205871582031</c:v>
                </c:pt>
                <c:pt idx="8">
                  <c:v>13.042166709899902</c:v>
                </c:pt>
                <c:pt idx="9">
                  <c:v>14.157891273498535</c:v>
                </c:pt>
                <c:pt idx="10">
                  <c:v>11.691269874572754</c:v>
                </c:pt>
                <c:pt idx="11">
                  <c:v>12.334632873535156</c:v>
                </c:pt>
                <c:pt idx="12">
                  <c:v>11.448407173156738</c:v>
                </c:pt>
                <c:pt idx="13">
                  <c:v>12.753410339355469</c:v>
                </c:pt>
                <c:pt idx="14">
                  <c:v>11.879587173461914</c:v>
                </c:pt>
                <c:pt idx="15">
                  <c:v>10.777788162231445</c:v>
                </c:pt>
                <c:pt idx="16">
                  <c:v>7.537266731262207</c:v>
                </c:pt>
                <c:pt idx="17">
                  <c:v>10.430375099182129</c:v>
                </c:pt>
                <c:pt idx="18">
                  <c:v>7.6802902221679688</c:v>
                </c:pt>
                <c:pt idx="19">
                  <c:v>9.1588373184204102</c:v>
                </c:pt>
                <c:pt idx="20">
                  <c:v>10.922021865844727</c:v>
                </c:pt>
              </c:numCache>
            </c:numRef>
          </c:val>
          <c:smooth val="0"/>
          <c:extLst>
            <c:ext xmlns:c16="http://schemas.microsoft.com/office/drawing/2014/chart" uri="{C3380CC4-5D6E-409C-BE32-E72D297353CC}">
              <c16:uniqueId val="{00000000-0549-4F59-B451-87C3A3CA3D7E}"/>
            </c:ext>
          </c:extLst>
        </c:ser>
        <c:dLbls>
          <c:showLegendKey val="0"/>
          <c:showVal val="0"/>
          <c:showCatName val="0"/>
          <c:showSerName val="0"/>
          <c:showPercent val="0"/>
          <c:showBubbleSize val="0"/>
        </c:dLbls>
        <c:smooth val="0"/>
        <c:axId val="1403217264"/>
        <c:axId val="1403211984"/>
      </c:lineChart>
      <c:catAx>
        <c:axId val="14032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1984"/>
        <c:crosses val="autoZero"/>
        <c:auto val="1"/>
        <c:lblAlgn val="ctr"/>
        <c:lblOffset val="100"/>
        <c:noMultiLvlLbl val="0"/>
      </c:catAx>
      <c:valAx>
        <c:axId val="140321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Fact5!$Y$8</c:f>
              <c:strCache>
                <c:ptCount val="1"/>
                <c:pt idx="0">
                  <c:v>CHL</c:v>
                </c:pt>
              </c:strCache>
            </c:strRef>
          </c:tx>
          <c:spPr>
            <a:ln w="28575" cap="rnd">
              <a:solidFill>
                <a:schemeClr val="accent1"/>
              </a:solidFill>
              <a:round/>
            </a:ln>
            <a:effectLst/>
          </c:spPr>
          <c:marker>
            <c:symbol val="none"/>
          </c:marker>
          <c:cat>
            <c:strRef>
              <c:f>Fact5!$Z$2:$AT$2</c:f>
              <c:strCache>
                <c:ptCount val="21"/>
                <c:pt idx="0">
                  <c:v>value2003</c:v>
                </c:pt>
                <c:pt idx="1">
                  <c:v>value2004</c:v>
                </c:pt>
                <c:pt idx="2">
                  <c:v>value2005</c:v>
                </c:pt>
                <c:pt idx="3">
                  <c:v>value2006</c:v>
                </c:pt>
                <c:pt idx="4">
                  <c:v>value2007</c:v>
                </c:pt>
                <c:pt idx="5">
                  <c:v>value2008</c:v>
                </c:pt>
                <c:pt idx="6">
                  <c:v>value2009</c:v>
                </c:pt>
                <c:pt idx="7">
                  <c:v>value2010</c:v>
                </c:pt>
                <c:pt idx="8">
                  <c:v>value2011</c:v>
                </c:pt>
                <c:pt idx="9">
                  <c:v>value2012</c:v>
                </c:pt>
                <c:pt idx="10">
                  <c:v>value2013</c:v>
                </c:pt>
                <c:pt idx="11">
                  <c:v>value2014</c:v>
                </c:pt>
                <c:pt idx="12">
                  <c:v>value2015</c:v>
                </c:pt>
                <c:pt idx="13">
                  <c:v>value2016</c:v>
                </c:pt>
                <c:pt idx="14">
                  <c:v>value2017</c:v>
                </c:pt>
                <c:pt idx="15">
                  <c:v>value2018</c:v>
                </c:pt>
                <c:pt idx="16">
                  <c:v>value2019</c:v>
                </c:pt>
                <c:pt idx="17">
                  <c:v>value2020</c:v>
                </c:pt>
                <c:pt idx="18">
                  <c:v>value2021</c:v>
                </c:pt>
                <c:pt idx="19">
                  <c:v>value2022</c:v>
                </c:pt>
                <c:pt idx="20">
                  <c:v>value2023</c:v>
                </c:pt>
              </c:strCache>
            </c:strRef>
          </c:cat>
          <c:val>
            <c:numRef>
              <c:f>Fact5!$Z$8:$AT$8</c:f>
              <c:numCache>
                <c:formatCode>0</c:formatCode>
                <c:ptCount val="21"/>
                <c:pt idx="0">
                  <c:v>14.444070816040039</c:v>
                </c:pt>
                <c:pt idx="1">
                  <c:v>12.610490798950195</c:v>
                </c:pt>
                <c:pt idx="2">
                  <c:v>11.009672164916992</c:v>
                </c:pt>
                <c:pt idx="3">
                  <c:v>9.6120662689208984</c:v>
                </c:pt>
                <c:pt idx="4">
                  <c:v>8.7864065170288086</c:v>
                </c:pt>
                <c:pt idx="5">
                  <c:v>8.0316696166992188</c:v>
                </c:pt>
                <c:pt idx="6">
                  <c:v>7.3417620658874512</c:v>
                </c:pt>
                <c:pt idx="7">
                  <c:v>6.9364314079284668</c:v>
                </c:pt>
                <c:pt idx="8">
                  <c:v>6.5311007499694824</c:v>
                </c:pt>
                <c:pt idx="9">
                  <c:v>5.5308938026428223</c:v>
                </c:pt>
                <c:pt idx="10">
                  <c:v>4.5306868553161621</c:v>
                </c:pt>
                <c:pt idx="11">
                  <c:v>4.3979816436767578</c:v>
                </c:pt>
                <c:pt idx="12">
                  <c:v>4.2652759552001953</c:v>
                </c:pt>
                <c:pt idx="13">
                  <c:v>3.9760651588439941</c:v>
                </c:pt>
                <c:pt idx="14">
                  <c:v>3.686854362487793</c:v>
                </c:pt>
                <c:pt idx="15">
                  <c:v>4.6684908866882324</c:v>
                </c:pt>
                <c:pt idx="16">
                  <c:v>5.9114909172058105</c:v>
                </c:pt>
                <c:pt idx="17">
                  <c:v>7.485443115234375</c:v>
                </c:pt>
                <c:pt idx="18">
                  <c:v>5.3512134552001953</c:v>
                </c:pt>
                <c:pt idx="19">
                  <c:v>3.2169833183288574</c:v>
                </c:pt>
                <c:pt idx="20">
                  <c:v>1.9339504241943359</c:v>
                </c:pt>
              </c:numCache>
            </c:numRef>
          </c:val>
          <c:smooth val="0"/>
          <c:extLst>
            <c:ext xmlns:c16="http://schemas.microsoft.com/office/drawing/2014/chart" uri="{C3380CC4-5D6E-409C-BE32-E72D297353CC}">
              <c16:uniqueId val="{00000000-CE16-4A4F-BBA8-5BE5F9755CF2}"/>
            </c:ext>
          </c:extLst>
        </c:ser>
        <c:dLbls>
          <c:showLegendKey val="0"/>
          <c:showVal val="0"/>
          <c:showCatName val="0"/>
          <c:showSerName val="0"/>
          <c:showPercent val="0"/>
          <c:showBubbleSize val="0"/>
        </c:dLbls>
        <c:smooth val="0"/>
        <c:axId val="1403217264"/>
        <c:axId val="1403211984"/>
      </c:lineChart>
      <c:catAx>
        <c:axId val="14032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1984"/>
        <c:crosses val="autoZero"/>
        <c:auto val="1"/>
        <c:lblAlgn val="ctr"/>
        <c:lblOffset val="100"/>
        <c:noMultiLvlLbl val="0"/>
      </c:catAx>
      <c:valAx>
        <c:axId val="140321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Fact5!$Y$7</c:f>
              <c:strCache>
                <c:ptCount val="1"/>
                <c:pt idx="0">
                  <c:v>BRA</c:v>
                </c:pt>
              </c:strCache>
            </c:strRef>
          </c:tx>
          <c:spPr>
            <a:ln w="28575" cap="rnd">
              <a:solidFill>
                <a:schemeClr val="accent1"/>
              </a:solidFill>
              <a:round/>
            </a:ln>
            <a:effectLst/>
          </c:spPr>
          <c:marker>
            <c:symbol val="none"/>
          </c:marker>
          <c:cat>
            <c:strRef>
              <c:f>Fact5!$Z$2:$AT$2</c:f>
              <c:strCache>
                <c:ptCount val="21"/>
                <c:pt idx="0">
                  <c:v>value2003</c:v>
                </c:pt>
                <c:pt idx="1">
                  <c:v>value2004</c:v>
                </c:pt>
                <c:pt idx="2">
                  <c:v>value2005</c:v>
                </c:pt>
                <c:pt idx="3">
                  <c:v>value2006</c:v>
                </c:pt>
                <c:pt idx="4">
                  <c:v>value2007</c:v>
                </c:pt>
                <c:pt idx="5">
                  <c:v>value2008</c:v>
                </c:pt>
                <c:pt idx="6">
                  <c:v>value2009</c:v>
                </c:pt>
                <c:pt idx="7">
                  <c:v>value2010</c:v>
                </c:pt>
                <c:pt idx="8">
                  <c:v>value2011</c:v>
                </c:pt>
                <c:pt idx="9">
                  <c:v>value2012</c:v>
                </c:pt>
                <c:pt idx="10">
                  <c:v>value2013</c:v>
                </c:pt>
                <c:pt idx="11">
                  <c:v>value2014</c:v>
                </c:pt>
                <c:pt idx="12">
                  <c:v>value2015</c:v>
                </c:pt>
                <c:pt idx="13">
                  <c:v>value2016</c:v>
                </c:pt>
                <c:pt idx="14">
                  <c:v>value2017</c:v>
                </c:pt>
                <c:pt idx="15">
                  <c:v>value2018</c:v>
                </c:pt>
                <c:pt idx="16">
                  <c:v>value2019</c:v>
                </c:pt>
                <c:pt idx="17">
                  <c:v>value2020</c:v>
                </c:pt>
                <c:pt idx="18">
                  <c:v>value2021</c:v>
                </c:pt>
                <c:pt idx="19">
                  <c:v>value2022</c:v>
                </c:pt>
                <c:pt idx="20">
                  <c:v>value2023</c:v>
                </c:pt>
              </c:strCache>
            </c:strRef>
          </c:cat>
          <c:val>
            <c:numRef>
              <c:f>Fact5!$Z$7:$AT$7</c:f>
              <c:numCache>
                <c:formatCode>0</c:formatCode>
                <c:ptCount val="21"/>
                <c:pt idx="0">
                  <c:v>30.236900329589844</c:v>
                </c:pt>
                <c:pt idx="1">
                  <c:v>28.498611450195313</c:v>
                </c:pt>
                <c:pt idx="2">
                  <c:v>26.960596084594727</c:v>
                </c:pt>
                <c:pt idx="3">
                  <c:v>24.759138107299805</c:v>
                </c:pt>
                <c:pt idx="4">
                  <c:v>22.482553482055664</c:v>
                </c:pt>
                <c:pt idx="5">
                  <c:v>19.973526000976563</c:v>
                </c:pt>
                <c:pt idx="6">
                  <c:v>19.103296279907227</c:v>
                </c:pt>
                <c:pt idx="7">
                  <c:v>17.352252960205078</c:v>
                </c:pt>
                <c:pt idx="8">
                  <c:v>15.601207733154297</c:v>
                </c:pt>
                <c:pt idx="9">
                  <c:v>13.240234375</c:v>
                </c:pt>
                <c:pt idx="10">
                  <c:v>12.882226943969727</c:v>
                </c:pt>
                <c:pt idx="11">
                  <c:v>11.426709175109863</c:v>
                </c:pt>
                <c:pt idx="12">
                  <c:v>12.774162292480469</c:v>
                </c:pt>
                <c:pt idx="13">
                  <c:v>13.507540702819824</c:v>
                </c:pt>
                <c:pt idx="14">
                  <c:v>13.595446586608887</c:v>
                </c:pt>
                <c:pt idx="15">
                  <c:v>14.036323547363281</c:v>
                </c:pt>
                <c:pt idx="16">
                  <c:v>13.071751594543457</c:v>
                </c:pt>
                <c:pt idx="17">
                  <c:v>10.93248176574707</c:v>
                </c:pt>
                <c:pt idx="18">
                  <c:v>15.934523582458496</c:v>
                </c:pt>
                <c:pt idx="19">
                  <c:v>10.865315437316895</c:v>
                </c:pt>
                <c:pt idx="20">
                  <c:v>7.4087610244750977</c:v>
                </c:pt>
              </c:numCache>
            </c:numRef>
          </c:val>
          <c:smooth val="0"/>
          <c:extLst>
            <c:ext xmlns:c16="http://schemas.microsoft.com/office/drawing/2014/chart" uri="{C3380CC4-5D6E-409C-BE32-E72D297353CC}">
              <c16:uniqueId val="{00000000-C7CA-424C-9F22-ABEF0BFE0685}"/>
            </c:ext>
          </c:extLst>
        </c:ser>
        <c:dLbls>
          <c:showLegendKey val="0"/>
          <c:showVal val="0"/>
          <c:showCatName val="0"/>
          <c:showSerName val="0"/>
          <c:showPercent val="0"/>
          <c:showBubbleSize val="0"/>
        </c:dLbls>
        <c:smooth val="0"/>
        <c:axId val="1403217264"/>
        <c:axId val="1403211984"/>
      </c:lineChart>
      <c:catAx>
        <c:axId val="14032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1984"/>
        <c:crosses val="autoZero"/>
        <c:auto val="1"/>
        <c:lblAlgn val="ctr"/>
        <c:lblOffset val="100"/>
        <c:noMultiLvlLbl val="0"/>
      </c:catAx>
      <c:valAx>
        <c:axId val="140321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Fact5!$Y$10</c:f>
              <c:strCache>
                <c:ptCount val="1"/>
                <c:pt idx="0">
                  <c:v>CRI</c:v>
                </c:pt>
              </c:strCache>
            </c:strRef>
          </c:tx>
          <c:spPr>
            <a:ln w="28575" cap="rnd">
              <a:solidFill>
                <a:schemeClr val="accent1"/>
              </a:solidFill>
              <a:round/>
            </a:ln>
            <a:effectLst/>
          </c:spPr>
          <c:marker>
            <c:symbol val="none"/>
          </c:marker>
          <c:cat>
            <c:strRef>
              <c:f>Fact5!$Z$2:$AT$2</c:f>
              <c:strCache>
                <c:ptCount val="21"/>
                <c:pt idx="0">
                  <c:v>value2003</c:v>
                </c:pt>
                <c:pt idx="1">
                  <c:v>value2004</c:v>
                </c:pt>
                <c:pt idx="2">
                  <c:v>value2005</c:v>
                </c:pt>
                <c:pt idx="3">
                  <c:v>value2006</c:v>
                </c:pt>
                <c:pt idx="4">
                  <c:v>value2007</c:v>
                </c:pt>
                <c:pt idx="5">
                  <c:v>value2008</c:v>
                </c:pt>
                <c:pt idx="6">
                  <c:v>value2009</c:v>
                </c:pt>
                <c:pt idx="7">
                  <c:v>value2010</c:v>
                </c:pt>
                <c:pt idx="8">
                  <c:v>value2011</c:v>
                </c:pt>
                <c:pt idx="9">
                  <c:v>value2012</c:v>
                </c:pt>
                <c:pt idx="10">
                  <c:v>value2013</c:v>
                </c:pt>
                <c:pt idx="11">
                  <c:v>value2014</c:v>
                </c:pt>
                <c:pt idx="12">
                  <c:v>value2015</c:v>
                </c:pt>
                <c:pt idx="13">
                  <c:v>value2016</c:v>
                </c:pt>
                <c:pt idx="14">
                  <c:v>value2017</c:v>
                </c:pt>
                <c:pt idx="15">
                  <c:v>value2018</c:v>
                </c:pt>
                <c:pt idx="16">
                  <c:v>value2019</c:v>
                </c:pt>
                <c:pt idx="17">
                  <c:v>value2020</c:v>
                </c:pt>
                <c:pt idx="18">
                  <c:v>value2021</c:v>
                </c:pt>
                <c:pt idx="19">
                  <c:v>value2022</c:v>
                </c:pt>
                <c:pt idx="20">
                  <c:v>value2023</c:v>
                </c:pt>
              </c:strCache>
            </c:strRef>
          </c:cat>
          <c:val>
            <c:numRef>
              <c:f>Fact5!$Z$10:$AT$10</c:f>
              <c:numCache>
                <c:formatCode>0</c:formatCode>
                <c:ptCount val="21"/>
                <c:pt idx="0">
                  <c:v>14.039286613464355</c:v>
                </c:pt>
                <c:pt idx="1">
                  <c:v>13.902563095092773</c:v>
                </c:pt>
                <c:pt idx="2">
                  <c:v>12.411727905273438</c:v>
                </c:pt>
                <c:pt idx="3">
                  <c:v>11.610855102539063</c:v>
                </c:pt>
                <c:pt idx="4">
                  <c:v>8.7138156890869141</c:v>
                </c:pt>
                <c:pt idx="5">
                  <c:v>7.4615211486816406</c:v>
                </c:pt>
                <c:pt idx="6">
                  <c:v>7.8839383125305176</c:v>
                </c:pt>
                <c:pt idx="7">
                  <c:v>7.8005781173706055</c:v>
                </c:pt>
                <c:pt idx="8">
                  <c:v>10.64293384552002</c:v>
                </c:pt>
                <c:pt idx="9">
                  <c:v>8.1358013153076172</c:v>
                </c:pt>
                <c:pt idx="10">
                  <c:v>8.2189216613769531</c:v>
                </c:pt>
                <c:pt idx="11">
                  <c:v>7.4477596282958984</c:v>
                </c:pt>
                <c:pt idx="12">
                  <c:v>7.3149294853210449</c:v>
                </c:pt>
                <c:pt idx="13">
                  <c:v>7.0541119575500488</c:v>
                </c:pt>
                <c:pt idx="14">
                  <c:v>6.5865716934204102</c:v>
                </c:pt>
                <c:pt idx="15">
                  <c:v>7.129307746887207</c:v>
                </c:pt>
                <c:pt idx="16">
                  <c:v>6.8127789497375488</c:v>
                </c:pt>
                <c:pt idx="17">
                  <c:v>12.124826431274414</c:v>
                </c:pt>
                <c:pt idx="18">
                  <c:v>7.5102291107177734</c:v>
                </c:pt>
                <c:pt idx="19">
                  <c:v>7.0888323783874512</c:v>
                </c:pt>
                <c:pt idx="20">
                  <c:v>6.5896177291870117</c:v>
                </c:pt>
              </c:numCache>
            </c:numRef>
          </c:val>
          <c:smooth val="0"/>
          <c:extLst>
            <c:ext xmlns:c16="http://schemas.microsoft.com/office/drawing/2014/chart" uri="{C3380CC4-5D6E-409C-BE32-E72D297353CC}">
              <c16:uniqueId val="{00000000-4E27-4F6E-A5CF-0B4B1EE56D70}"/>
            </c:ext>
          </c:extLst>
        </c:ser>
        <c:dLbls>
          <c:showLegendKey val="0"/>
          <c:showVal val="0"/>
          <c:showCatName val="0"/>
          <c:showSerName val="0"/>
          <c:showPercent val="0"/>
          <c:showBubbleSize val="0"/>
        </c:dLbls>
        <c:smooth val="0"/>
        <c:axId val="1403217264"/>
        <c:axId val="1403211984"/>
      </c:lineChart>
      <c:catAx>
        <c:axId val="14032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1984"/>
        <c:crosses val="autoZero"/>
        <c:auto val="1"/>
        <c:lblAlgn val="ctr"/>
        <c:lblOffset val="100"/>
        <c:noMultiLvlLbl val="0"/>
      </c:catAx>
      <c:valAx>
        <c:axId val="140321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Fact5!$Y$11</c:f>
              <c:strCache>
                <c:ptCount val="1"/>
                <c:pt idx="0">
                  <c:v>DOM</c:v>
                </c:pt>
              </c:strCache>
            </c:strRef>
          </c:tx>
          <c:spPr>
            <a:ln w="28575" cap="rnd">
              <a:solidFill>
                <a:schemeClr val="accent1"/>
              </a:solidFill>
              <a:round/>
            </a:ln>
            <a:effectLst/>
          </c:spPr>
          <c:marker>
            <c:symbol val="none"/>
          </c:marker>
          <c:cat>
            <c:strRef>
              <c:f>Fact5!$Z$2:$AT$2</c:f>
              <c:strCache>
                <c:ptCount val="21"/>
                <c:pt idx="0">
                  <c:v>value2003</c:v>
                </c:pt>
                <c:pt idx="1">
                  <c:v>value2004</c:v>
                </c:pt>
                <c:pt idx="2">
                  <c:v>value2005</c:v>
                </c:pt>
                <c:pt idx="3">
                  <c:v>value2006</c:v>
                </c:pt>
                <c:pt idx="4">
                  <c:v>value2007</c:v>
                </c:pt>
                <c:pt idx="5">
                  <c:v>value2008</c:v>
                </c:pt>
                <c:pt idx="6">
                  <c:v>value2009</c:v>
                </c:pt>
                <c:pt idx="7">
                  <c:v>value2010</c:v>
                </c:pt>
                <c:pt idx="8">
                  <c:v>value2011</c:v>
                </c:pt>
                <c:pt idx="9">
                  <c:v>value2012</c:v>
                </c:pt>
                <c:pt idx="10">
                  <c:v>value2013</c:v>
                </c:pt>
                <c:pt idx="11">
                  <c:v>value2014</c:v>
                </c:pt>
                <c:pt idx="12">
                  <c:v>value2015</c:v>
                </c:pt>
                <c:pt idx="13">
                  <c:v>value2016</c:v>
                </c:pt>
                <c:pt idx="14">
                  <c:v>value2017</c:v>
                </c:pt>
                <c:pt idx="15">
                  <c:v>value2018</c:v>
                </c:pt>
                <c:pt idx="16">
                  <c:v>value2019</c:v>
                </c:pt>
                <c:pt idx="17">
                  <c:v>value2020</c:v>
                </c:pt>
                <c:pt idx="18">
                  <c:v>value2021</c:v>
                </c:pt>
                <c:pt idx="19">
                  <c:v>value2022</c:v>
                </c:pt>
                <c:pt idx="20">
                  <c:v>value2023</c:v>
                </c:pt>
              </c:strCache>
            </c:strRef>
          </c:cat>
          <c:val>
            <c:numRef>
              <c:f>Fact5!$Z$11:$AT$11</c:f>
              <c:numCache>
                <c:formatCode>0</c:formatCode>
                <c:ptCount val="21"/>
                <c:pt idx="0">
                  <c:v>29.330852508544922</c:v>
                </c:pt>
                <c:pt idx="1">
                  <c:v>36.2017822265625</c:v>
                </c:pt>
                <c:pt idx="2">
                  <c:v>30.235481262207031</c:v>
                </c:pt>
                <c:pt idx="3">
                  <c:v>27.800455093383789</c:v>
                </c:pt>
                <c:pt idx="4">
                  <c:v>25.786188125610352</c:v>
                </c:pt>
                <c:pt idx="5">
                  <c:v>25.155765533447266</c:v>
                </c:pt>
                <c:pt idx="6">
                  <c:v>24.71571159362793</c:v>
                </c:pt>
                <c:pt idx="7">
                  <c:v>24.857109069824219</c:v>
                </c:pt>
                <c:pt idx="8">
                  <c:v>22.856687545776367</c:v>
                </c:pt>
                <c:pt idx="9">
                  <c:v>23.490676879882813</c:v>
                </c:pt>
                <c:pt idx="10">
                  <c:v>22.152072906494141</c:v>
                </c:pt>
                <c:pt idx="11">
                  <c:v>19.500482559204102</c:v>
                </c:pt>
                <c:pt idx="12">
                  <c:v>15.745692253112793</c:v>
                </c:pt>
                <c:pt idx="13">
                  <c:v>15.299579620361328</c:v>
                </c:pt>
                <c:pt idx="14">
                  <c:v>10.76158618927002</c:v>
                </c:pt>
                <c:pt idx="15">
                  <c:v>9.6287860870361328</c:v>
                </c:pt>
                <c:pt idx="16">
                  <c:v>7.701484203338623</c:v>
                </c:pt>
                <c:pt idx="17">
                  <c:v>13.13040828704834</c:v>
                </c:pt>
                <c:pt idx="18">
                  <c:v>10.436375617980957</c:v>
                </c:pt>
                <c:pt idx="19">
                  <c:v>9.0519723892211914</c:v>
                </c:pt>
                <c:pt idx="20">
                  <c:v>7.8512125015258789</c:v>
                </c:pt>
              </c:numCache>
            </c:numRef>
          </c:val>
          <c:smooth val="0"/>
          <c:extLst>
            <c:ext xmlns:c16="http://schemas.microsoft.com/office/drawing/2014/chart" uri="{C3380CC4-5D6E-409C-BE32-E72D297353CC}">
              <c16:uniqueId val="{00000000-B60B-4BEA-ABE4-D7EE348EEEFF}"/>
            </c:ext>
          </c:extLst>
        </c:ser>
        <c:dLbls>
          <c:showLegendKey val="0"/>
          <c:showVal val="0"/>
          <c:showCatName val="0"/>
          <c:showSerName val="0"/>
          <c:showPercent val="0"/>
          <c:showBubbleSize val="0"/>
        </c:dLbls>
        <c:smooth val="0"/>
        <c:axId val="1403217264"/>
        <c:axId val="1403211984"/>
      </c:lineChart>
      <c:catAx>
        <c:axId val="14032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1984"/>
        <c:crosses val="autoZero"/>
        <c:auto val="1"/>
        <c:lblAlgn val="ctr"/>
        <c:lblOffset val="100"/>
        <c:noMultiLvlLbl val="0"/>
      </c:catAx>
      <c:valAx>
        <c:axId val="140321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Fact5!$Y$12</c:f>
              <c:strCache>
                <c:ptCount val="1"/>
                <c:pt idx="0">
                  <c:v>ECU</c:v>
                </c:pt>
              </c:strCache>
            </c:strRef>
          </c:tx>
          <c:spPr>
            <a:ln w="28575" cap="rnd">
              <a:solidFill>
                <a:schemeClr val="accent1"/>
              </a:solidFill>
              <a:round/>
            </a:ln>
            <a:effectLst/>
          </c:spPr>
          <c:marker>
            <c:symbol val="none"/>
          </c:marker>
          <c:cat>
            <c:strRef>
              <c:f>Fact5!$Z$2:$AT$2</c:f>
              <c:strCache>
                <c:ptCount val="21"/>
                <c:pt idx="0">
                  <c:v>value2003</c:v>
                </c:pt>
                <c:pt idx="1">
                  <c:v>value2004</c:v>
                </c:pt>
                <c:pt idx="2">
                  <c:v>value2005</c:v>
                </c:pt>
                <c:pt idx="3">
                  <c:v>value2006</c:v>
                </c:pt>
                <c:pt idx="4">
                  <c:v>value2007</c:v>
                </c:pt>
                <c:pt idx="5">
                  <c:v>value2008</c:v>
                </c:pt>
                <c:pt idx="6">
                  <c:v>value2009</c:v>
                </c:pt>
                <c:pt idx="7">
                  <c:v>value2010</c:v>
                </c:pt>
                <c:pt idx="8">
                  <c:v>value2011</c:v>
                </c:pt>
                <c:pt idx="9">
                  <c:v>value2012</c:v>
                </c:pt>
                <c:pt idx="10">
                  <c:v>value2013</c:v>
                </c:pt>
                <c:pt idx="11">
                  <c:v>value2014</c:v>
                </c:pt>
                <c:pt idx="12">
                  <c:v>value2015</c:v>
                </c:pt>
                <c:pt idx="13">
                  <c:v>value2016</c:v>
                </c:pt>
                <c:pt idx="14">
                  <c:v>value2017</c:v>
                </c:pt>
                <c:pt idx="15">
                  <c:v>value2018</c:v>
                </c:pt>
                <c:pt idx="16">
                  <c:v>value2019</c:v>
                </c:pt>
                <c:pt idx="17">
                  <c:v>value2020</c:v>
                </c:pt>
                <c:pt idx="18">
                  <c:v>value2021</c:v>
                </c:pt>
                <c:pt idx="19">
                  <c:v>value2022</c:v>
                </c:pt>
                <c:pt idx="20">
                  <c:v>value2023</c:v>
                </c:pt>
              </c:strCache>
            </c:strRef>
          </c:cat>
          <c:val>
            <c:numRef>
              <c:f>Fact5!$Z$12:$AT$12</c:f>
              <c:numCache>
                <c:formatCode>0</c:formatCode>
                <c:ptCount val="21"/>
                <c:pt idx="0">
                  <c:v>37.090213775634766</c:v>
                </c:pt>
                <c:pt idx="1">
                  <c:v>33.023811340332031</c:v>
                </c:pt>
                <c:pt idx="2">
                  <c:v>30.692819595336914</c:v>
                </c:pt>
                <c:pt idx="3">
                  <c:v>25.60865592956543</c:v>
                </c:pt>
                <c:pt idx="4">
                  <c:v>24.897134780883789</c:v>
                </c:pt>
                <c:pt idx="5">
                  <c:v>23.852746963500977</c:v>
                </c:pt>
                <c:pt idx="6">
                  <c:v>23.81477165222168</c:v>
                </c:pt>
                <c:pt idx="7">
                  <c:v>21.660617828369141</c:v>
                </c:pt>
                <c:pt idx="8">
                  <c:v>17.783233642578125</c:v>
                </c:pt>
                <c:pt idx="9">
                  <c:v>17.211780548095703</c:v>
                </c:pt>
                <c:pt idx="10">
                  <c:v>15.392486572265625</c:v>
                </c:pt>
                <c:pt idx="11">
                  <c:v>13.559603691101074</c:v>
                </c:pt>
                <c:pt idx="12">
                  <c:v>14.046497344970703</c:v>
                </c:pt>
                <c:pt idx="13">
                  <c:v>14.130780220031738</c:v>
                </c:pt>
                <c:pt idx="14">
                  <c:v>13.528898239135742</c:v>
                </c:pt>
                <c:pt idx="15">
                  <c:v>14.329412460327148</c:v>
                </c:pt>
                <c:pt idx="16">
                  <c:v>15.837186813354492</c:v>
                </c:pt>
                <c:pt idx="17">
                  <c:v>21.555841445922852</c:v>
                </c:pt>
                <c:pt idx="18">
                  <c:v>15.889734268188477</c:v>
                </c:pt>
                <c:pt idx="19">
                  <c:v>14.630291938781738</c:v>
                </c:pt>
                <c:pt idx="20">
                  <c:v>15.846808433532715</c:v>
                </c:pt>
              </c:numCache>
            </c:numRef>
          </c:val>
          <c:smooth val="0"/>
          <c:extLst>
            <c:ext xmlns:c16="http://schemas.microsoft.com/office/drawing/2014/chart" uri="{C3380CC4-5D6E-409C-BE32-E72D297353CC}">
              <c16:uniqueId val="{00000000-C264-4CE6-8BAD-1622D176F162}"/>
            </c:ext>
          </c:extLst>
        </c:ser>
        <c:dLbls>
          <c:showLegendKey val="0"/>
          <c:showVal val="0"/>
          <c:showCatName val="0"/>
          <c:showSerName val="0"/>
          <c:showPercent val="0"/>
          <c:showBubbleSize val="0"/>
        </c:dLbls>
        <c:smooth val="0"/>
        <c:axId val="1403217264"/>
        <c:axId val="1403211984"/>
      </c:lineChart>
      <c:catAx>
        <c:axId val="14032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1984"/>
        <c:crosses val="autoZero"/>
        <c:auto val="1"/>
        <c:lblAlgn val="ctr"/>
        <c:lblOffset val="100"/>
        <c:noMultiLvlLbl val="0"/>
      </c:catAx>
      <c:valAx>
        <c:axId val="140321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Fact5!$Y$13</c:f>
              <c:strCache>
                <c:ptCount val="1"/>
                <c:pt idx="0">
                  <c:v>GTM</c:v>
                </c:pt>
              </c:strCache>
            </c:strRef>
          </c:tx>
          <c:spPr>
            <a:ln w="28575" cap="rnd">
              <a:solidFill>
                <a:schemeClr val="accent1"/>
              </a:solidFill>
              <a:round/>
            </a:ln>
            <a:effectLst/>
          </c:spPr>
          <c:marker>
            <c:symbol val="none"/>
          </c:marker>
          <c:cat>
            <c:strRef>
              <c:f>Fact5!$Z$2:$AT$2</c:f>
              <c:strCache>
                <c:ptCount val="21"/>
                <c:pt idx="0">
                  <c:v>value2003</c:v>
                </c:pt>
                <c:pt idx="1">
                  <c:v>value2004</c:v>
                </c:pt>
                <c:pt idx="2">
                  <c:v>value2005</c:v>
                </c:pt>
                <c:pt idx="3">
                  <c:v>value2006</c:v>
                </c:pt>
                <c:pt idx="4">
                  <c:v>value2007</c:v>
                </c:pt>
                <c:pt idx="5">
                  <c:v>value2008</c:v>
                </c:pt>
                <c:pt idx="6">
                  <c:v>value2009</c:v>
                </c:pt>
                <c:pt idx="7">
                  <c:v>value2010</c:v>
                </c:pt>
                <c:pt idx="8">
                  <c:v>value2011</c:v>
                </c:pt>
                <c:pt idx="9">
                  <c:v>value2012</c:v>
                </c:pt>
                <c:pt idx="10">
                  <c:v>value2013</c:v>
                </c:pt>
                <c:pt idx="11">
                  <c:v>value2014</c:v>
                </c:pt>
                <c:pt idx="12">
                  <c:v>value2015</c:v>
                </c:pt>
                <c:pt idx="13">
                  <c:v>value2016</c:v>
                </c:pt>
                <c:pt idx="14">
                  <c:v>value2017</c:v>
                </c:pt>
                <c:pt idx="15">
                  <c:v>value2018</c:v>
                </c:pt>
                <c:pt idx="16">
                  <c:v>value2019</c:v>
                </c:pt>
                <c:pt idx="17">
                  <c:v>value2020</c:v>
                </c:pt>
                <c:pt idx="18">
                  <c:v>value2021</c:v>
                </c:pt>
                <c:pt idx="19">
                  <c:v>value2022</c:v>
                </c:pt>
                <c:pt idx="20">
                  <c:v>value2023</c:v>
                </c:pt>
              </c:strCache>
            </c:strRef>
          </c:cat>
          <c:val>
            <c:numRef>
              <c:f>Fact5!$Z$13:$AT$13</c:f>
              <c:numCache>
                <c:formatCode>0</c:formatCode>
                <c:ptCount val="21"/>
                <c:pt idx="0">
                  <c:v>29.191434860229492</c:v>
                </c:pt>
                <c:pt idx="1">
                  <c:v>40.634037017822266</c:v>
                </c:pt>
                <c:pt idx="2">
                  <c:v>34.707344055175781</c:v>
                </c:pt>
                <c:pt idx="3">
                  <c:v>28.780647277832031</c:v>
                </c:pt>
                <c:pt idx="4">
                  <c:v>32.770954132080078</c:v>
                </c:pt>
                <c:pt idx="5">
                  <c:v>37.314498901367188</c:v>
                </c:pt>
                <c:pt idx="6">
                  <c:v>42.487987518310547</c:v>
                </c:pt>
                <c:pt idx="7">
                  <c:v>48.378761291503906</c:v>
                </c:pt>
                <c:pt idx="8">
                  <c:v>47.511631011962891</c:v>
                </c:pt>
                <c:pt idx="9">
                  <c:v>37.146160125732422</c:v>
                </c:pt>
                <c:pt idx="10">
                  <c:v>34.089271545410156</c:v>
                </c:pt>
                <c:pt idx="11">
                  <c:v>32.221889495849609</c:v>
                </c:pt>
                <c:pt idx="12">
                  <c:v>29.102621078491211</c:v>
                </c:pt>
                <c:pt idx="13">
                  <c:v>32.294181823730469</c:v>
                </c:pt>
                <c:pt idx="14">
                  <c:v>32.957473754882813</c:v>
                </c:pt>
                <c:pt idx="15">
                  <c:v>34.01861572265625</c:v>
                </c:pt>
                <c:pt idx="16">
                  <c:v>31.740251541137695</c:v>
                </c:pt>
                <c:pt idx="17">
                  <c:v>32.39715576171875</c:v>
                </c:pt>
                <c:pt idx="18">
                  <c:v>33.054058074951172</c:v>
                </c:pt>
                <c:pt idx="19">
                  <c:v>31.91087532043457</c:v>
                </c:pt>
                <c:pt idx="20">
                  <c:v>30.807229995727539</c:v>
                </c:pt>
              </c:numCache>
            </c:numRef>
          </c:val>
          <c:smooth val="0"/>
          <c:extLst>
            <c:ext xmlns:c16="http://schemas.microsoft.com/office/drawing/2014/chart" uri="{C3380CC4-5D6E-409C-BE32-E72D297353CC}">
              <c16:uniqueId val="{00000000-8950-4373-921A-CCCEDA35C074}"/>
            </c:ext>
          </c:extLst>
        </c:ser>
        <c:dLbls>
          <c:showLegendKey val="0"/>
          <c:showVal val="0"/>
          <c:showCatName val="0"/>
          <c:showSerName val="0"/>
          <c:showPercent val="0"/>
          <c:showBubbleSize val="0"/>
        </c:dLbls>
        <c:smooth val="0"/>
        <c:axId val="1403217264"/>
        <c:axId val="1403211984"/>
      </c:lineChart>
      <c:catAx>
        <c:axId val="14032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1984"/>
        <c:crosses val="autoZero"/>
        <c:auto val="1"/>
        <c:lblAlgn val="ctr"/>
        <c:lblOffset val="100"/>
        <c:noMultiLvlLbl val="0"/>
      </c:catAx>
      <c:valAx>
        <c:axId val="140321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Fact5!$Y$14</c:f>
              <c:strCache>
                <c:ptCount val="1"/>
                <c:pt idx="0">
                  <c:v>GUY</c:v>
                </c:pt>
              </c:strCache>
            </c:strRef>
          </c:tx>
          <c:spPr>
            <a:ln w="28575" cap="rnd">
              <a:solidFill>
                <a:schemeClr val="accent1"/>
              </a:solidFill>
              <a:round/>
            </a:ln>
            <a:effectLst/>
          </c:spPr>
          <c:marker>
            <c:symbol val="none"/>
          </c:marker>
          <c:cat>
            <c:strRef>
              <c:f>Fact5!$Z$2:$AT$2</c:f>
              <c:strCache>
                <c:ptCount val="21"/>
                <c:pt idx="0">
                  <c:v>value2003</c:v>
                </c:pt>
                <c:pt idx="1">
                  <c:v>value2004</c:v>
                </c:pt>
                <c:pt idx="2">
                  <c:v>value2005</c:v>
                </c:pt>
                <c:pt idx="3">
                  <c:v>value2006</c:v>
                </c:pt>
                <c:pt idx="4">
                  <c:v>value2007</c:v>
                </c:pt>
                <c:pt idx="5">
                  <c:v>value2008</c:v>
                </c:pt>
                <c:pt idx="6">
                  <c:v>value2009</c:v>
                </c:pt>
                <c:pt idx="7">
                  <c:v>value2010</c:v>
                </c:pt>
                <c:pt idx="8">
                  <c:v>value2011</c:v>
                </c:pt>
                <c:pt idx="9">
                  <c:v>value2012</c:v>
                </c:pt>
                <c:pt idx="10">
                  <c:v>value2013</c:v>
                </c:pt>
                <c:pt idx="11">
                  <c:v>value2014</c:v>
                </c:pt>
                <c:pt idx="12">
                  <c:v>value2015</c:v>
                </c:pt>
                <c:pt idx="13">
                  <c:v>value2016</c:v>
                </c:pt>
                <c:pt idx="14">
                  <c:v>value2017</c:v>
                </c:pt>
                <c:pt idx="15">
                  <c:v>value2018</c:v>
                </c:pt>
                <c:pt idx="16">
                  <c:v>value2019</c:v>
                </c:pt>
                <c:pt idx="17">
                  <c:v>value2020</c:v>
                </c:pt>
                <c:pt idx="18">
                  <c:v>value2021</c:v>
                </c:pt>
                <c:pt idx="19">
                  <c:v>value2022</c:v>
                </c:pt>
                <c:pt idx="20">
                  <c:v>value2023</c:v>
                </c:pt>
              </c:strCache>
            </c:strRef>
          </c:cat>
          <c:val>
            <c:numRef>
              <c:f>Fact5!$Z$14:$AT$14</c:f>
              <c:numCache>
                <c:formatCode>0</c:formatCode>
                <c:ptCount val="21"/>
                <c:pt idx="14">
                  <c:v>29.606311798095703</c:v>
                </c:pt>
                <c:pt idx="15">
                  <c:v>31.088315963745117</c:v>
                </c:pt>
                <c:pt idx="16">
                  <c:v>32.4420166015625</c:v>
                </c:pt>
                <c:pt idx="17">
                  <c:v>32.220237731933594</c:v>
                </c:pt>
                <c:pt idx="18">
                  <c:v>31.99846076965332</c:v>
                </c:pt>
                <c:pt idx="19">
                  <c:v>31.99846076965332</c:v>
                </c:pt>
                <c:pt idx="20">
                  <c:v>31.99846076965332</c:v>
                </c:pt>
              </c:numCache>
            </c:numRef>
          </c:val>
          <c:smooth val="0"/>
          <c:extLst>
            <c:ext xmlns:c16="http://schemas.microsoft.com/office/drawing/2014/chart" uri="{C3380CC4-5D6E-409C-BE32-E72D297353CC}">
              <c16:uniqueId val="{00000000-7EE8-448A-A932-9EF13545D9D4}"/>
            </c:ext>
          </c:extLst>
        </c:ser>
        <c:dLbls>
          <c:showLegendKey val="0"/>
          <c:showVal val="0"/>
          <c:showCatName val="0"/>
          <c:showSerName val="0"/>
          <c:showPercent val="0"/>
          <c:showBubbleSize val="0"/>
        </c:dLbls>
        <c:smooth val="0"/>
        <c:axId val="1403217264"/>
        <c:axId val="1403211984"/>
      </c:lineChart>
      <c:catAx>
        <c:axId val="14032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1984"/>
        <c:crosses val="autoZero"/>
        <c:auto val="1"/>
        <c:lblAlgn val="ctr"/>
        <c:lblOffset val="100"/>
        <c:noMultiLvlLbl val="0"/>
      </c:catAx>
      <c:valAx>
        <c:axId val="140321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Fact5!$Y$15</c:f>
              <c:strCache>
                <c:ptCount val="1"/>
                <c:pt idx="0">
                  <c:v>HND</c:v>
                </c:pt>
              </c:strCache>
            </c:strRef>
          </c:tx>
          <c:spPr>
            <a:ln w="28575" cap="rnd">
              <a:solidFill>
                <a:schemeClr val="accent1"/>
              </a:solidFill>
              <a:round/>
            </a:ln>
            <a:effectLst/>
          </c:spPr>
          <c:marker>
            <c:symbol val="none"/>
          </c:marker>
          <c:cat>
            <c:strRef>
              <c:f>Fact5!$Z$2:$AT$2</c:f>
              <c:strCache>
                <c:ptCount val="21"/>
                <c:pt idx="0">
                  <c:v>value2003</c:v>
                </c:pt>
                <c:pt idx="1">
                  <c:v>value2004</c:v>
                </c:pt>
                <c:pt idx="2">
                  <c:v>value2005</c:v>
                </c:pt>
                <c:pt idx="3">
                  <c:v>value2006</c:v>
                </c:pt>
                <c:pt idx="4">
                  <c:v>value2007</c:v>
                </c:pt>
                <c:pt idx="5">
                  <c:v>value2008</c:v>
                </c:pt>
                <c:pt idx="6">
                  <c:v>value2009</c:v>
                </c:pt>
                <c:pt idx="7">
                  <c:v>value2010</c:v>
                </c:pt>
                <c:pt idx="8">
                  <c:v>value2011</c:v>
                </c:pt>
                <c:pt idx="9">
                  <c:v>value2012</c:v>
                </c:pt>
                <c:pt idx="10">
                  <c:v>value2013</c:v>
                </c:pt>
                <c:pt idx="11">
                  <c:v>value2014</c:v>
                </c:pt>
                <c:pt idx="12">
                  <c:v>value2015</c:v>
                </c:pt>
                <c:pt idx="13">
                  <c:v>value2016</c:v>
                </c:pt>
                <c:pt idx="14">
                  <c:v>value2017</c:v>
                </c:pt>
                <c:pt idx="15">
                  <c:v>value2018</c:v>
                </c:pt>
                <c:pt idx="16">
                  <c:v>value2019</c:v>
                </c:pt>
                <c:pt idx="17">
                  <c:v>value2020</c:v>
                </c:pt>
                <c:pt idx="18">
                  <c:v>value2021</c:v>
                </c:pt>
                <c:pt idx="19">
                  <c:v>value2022</c:v>
                </c:pt>
                <c:pt idx="20">
                  <c:v>value2023</c:v>
                </c:pt>
              </c:strCache>
            </c:strRef>
          </c:cat>
          <c:val>
            <c:numRef>
              <c:f>Fact5!$Z$15:$AT$15</c:f>
              <c:numCache>
                <c:formatCode>0</c:formatCode>
                <c:ptCount val="21"/>
                <c:pt idx="0">
                  <c:v>40.934581756591797</c:v>
                </c:pt>
                <c:pt idx="1">
                  <c:v>44.941993713378906</c:v>
                </c:pt>
                <c:pt idx="2">
                  <c:v>43.037544250488281</c:v>
                </c:pt>
                <c:pt idx="3">
                  <c:v>40.247760772705078</c:v>
                </c:pt>
                <c:pt idx="4">
                  <c:v>35.678627014160156</c:v>
                </c:pt>
                <c:pt idx="5">
                  <c:v>31.946559906005859</c:v>
                </c:pt>
                <c:pt idx="6">
                  <c:v>31.835147857666016</c:v>
                </c:pt>
                <c:pt idx="7">
                  <c:v>34.298114776611328</c:v>
                </c:pt>
                <c:pt idx="8">
                  <c:v>36.528945922851563</c:v>
                </c:pt>
                <c:pt idx="9">
                  <c:v>41.205833435058594</c:v>
                </c:pt>
                <c:pt idx="10">
                  <c:v>39.225311279296875</c:v>
                </c:pt>
                <c:pt idx="11">
                  <c:v>35.128620147705078</c:v>
                </c:pt>
                <c:pt idx="12">
                  <c:v>34.949161529541016</c:v>
                </c:pt>
                <c:pt idx="13">
                  <c:v>33.862903594970703</c:v>
                </c:pt>
                <c:pt idx="14">
                  <c:v>36.080768585205078</c:v>
                </c:pt>
                <c:pt idx="15">
                  <c:v>35.269680023193359</c:v>
                </c:pt>
                <c:pt idx="16">
                  <c:v>38.266094207763672</c:v>
                </c:pt>
                <c:pt idx="17">
                  <c:v>39.636203765869141</c:v>
                </c:pt>
                <c:pt idx="18">
                  <c:v>41.055366516113281</c:v>
                </c:pt>
                <c:pt idx="19">
                  <c:v>42.525337219238281</c:v>
                </c:pt>
                <c:pt idx="20">
                  <c:v>35.109729766845703</c:v>
                </c:pt>
              </c:numCache>
            </c:numRef>
          </c:val>
          <c:smooth val="0"/>
          <c:extLst>
            <c:ext xmlns:c16="http://schemas.microsoft.com/office/drawing/2014/chart" uri="{C3380CC4-5D6E-409C-BE32-E72D297353CC}">
              <c16:uniqueId val="{00000000-3D0E-4FF2-9DB5-796670337065}"/>
            </c:ext>
          </c:extLst>
        </c:ser>
        <c:dLbls>
          <c:showLegendKey val="0"/>
          <c:showVal val="0"/>
          <c:showCatName val="0"/>
          <c:showSerName val="0"/>
          <c:showPercent val="0"/>
          <c:showBubbleSize val="0"/>
        </c:dLbls>
        <c:smooth val="0"/>
        <c:axId val="1403217264"/>
        <c:axId val="1403211984"/>
      </c:lineChart>
      <c:catAx>
        <c:axId val="14032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1984"/>
        <c:crosses val="autoZero"/>
        <c:auto val="1"/>
        <c:lblAlgn val="ctr"/>
        <c:lblOffset val="100"/>
        <c:noMultiLvlLbl val="0"/>
      </c:catAx>
      <c:valAx>
        <c:axId val="140321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Fact5!$Y$16</c:f>
              <c:strCache>
                <c:ptCount val="1"/>
                <c:pt idx="0">
                  <c:v>MEX</c:v>
                </c:pt>
              </c:strCache>
            </c:strRef>
          </c:tx>
          <c:spPr>
            <a:ln w="28575" cap="rnd">
              <a:solidFill>
                <a:schemeClr val="accent1"/>
              </a:solidFill>
              <a:round/>
            </a:ln>
            <a:effectLst/>
          </c:spPr>
          <c:marker>
            <c:symbol val="none"/>
          </c:marker>
          <c:cat>
            <c:strRef>
              <c:f>Fact5!$Z$2:$AT$2</c:f>
              <c:strCache>
                <c:ptCount val="21"/>
                <c:pt idx="0">
                  <c:v>value2003</c:v>
                </c:pt>
                <c:pt idx="1">
                  <c:v>value2004</c:v>
                </c:pt>
                <c:pt idx="2">
                  <c:v>value2005</c:v>
                </c:pt>
                <c:pt idx="3">
                  <c:v>value2006</c:v>
                </c:pt>
                <c:pt idx="4">
                  <c:v>value2007</c:v>
                </c:pt>
                <c:pt idx="5">
                  <c:v>value2008</c:v>
                </c:pt>
                <c:pt idx="6">
                  <c:v>value2009</c:v>
                </c:pt>
                <c:pt idx="7">
                  <c:v>value2010</c:v>
                </c:pt>
                <c:pt idx="8">
                  <c:v>value2011</c:v>
                </c:pt>
                <c:pt idx="9">
                  <c:v>value2012</c:v>
                </c:pt>
                <c:pt idx="10">
                  <c:v>value2013</c:v>
                </c:pt>
                <c:pt idx="11">
                  <c:v>value2014</c:v>
                </c:pt>
                <c:pt idx="12">
                  <c:v>value2015</c:v>
                </c:pt>
                <c:pt idx="13">
                  <c:v>value2016</c:v>
                </c:pt>
                <c:pt idx="14">
                  <c:v>value2017</c:v>
                </c:pt>
                <c:pt idx="15">
                  <c:v>value2018</c:v>
                </c:pt>
                <c:pt idx="16">
                  <c:v>value2019</c:v>
                </c:pt>
                <c:pt idx="17">
                  <c:v>value2020</c:v>
                </c:pt>
                <c:pt idx="18">
                  <c:v>value2021</c:v>
                </c:pt>
                <c:pt idx="19">
                  <c:v>value2022</c:v>
                </c:pt>
                <c:pt idx="20">
                  <c:v>value2023</c:v>
                </c:pt>
              </c:strCache>
            </c:strRef>
          </c:cat>
          <c:val>
            <c:numRef>
              <c:f>Fact5!$Z$16:$AT$16</c:f>
              <c:numCache>
                <c:formatCode>0</c:formatCode>
                <c:ptCount val="21"/>
                <c:pt idx="1">
                  <c:v>22.750726699829102</c:v>
                </c:pt>
                <c:pt idx="2">
                  <c:v>22.862800598144531</c:v>
                </c:pt>
                <c:pt idx="3">
                  <c:v>18.521760940551758</c:v>
                </c:pt>
                <c:pt idx="4">
                  <c:v>27.209262847900391</c:v>
                </c:pt>
                <c:pt idx="5">
                  <c:v>35.896762847900391</c:v>
                </c:pt>
                <c:pt idx="6">
                  <c:v>37.317001342773438</c:v>
                </c:pt>
                <c:pt idx="7">
                  <c:v>38.737236022949219</c:v>
                </c:pt>
                <c:pt idx="8">
                  <c:v>34.130359649658203</c:v>
                </c:pt>
                <c:pt idx="9">
                  <c:v>29.523483276367188</c:v>
                </c:pt>
                <c:pt idx="10">
                  <c:v>24.604236602783203</c:v>
                </c:pt>
                <c:pt idx="11">
                  <c:v>19.684988021850586</c:v>
                </c:pt>
                <c:pt idx="12">
                  <c:v>16.780857086181641</c:v>
                </c:pt>
                <c:pt idx="13">
                  <c:v>13.876727104187012</c:v>
                </c:pt>
                <c:pt idx="14">
                  <c:v>13.180578231811523</c:v>
                </c:pt>
                <c:pt idx="15">
                  <c:v>12.484429359436035</c:v>
                </c:pt>
                <c:pt idx="16">
                  <c:v>13.74195671081543</c:v>
                </c:pt>
                <c:pt idx="17">
                  <c:v>14.999485015869141</c:v>
                </c:pt>
                <c:pt idx="18">
                  <c:v>12.634235382080078</c:v>
                </c:pt>
                <c:pt idx="19">
                  <c:v>10.268985748291016</c:v>
                </c:pt>
                <c:pt idx="20">
                  <c:v>8.3465337753295898</c:v>
                </c:pt>
              </c:numCache>
            </c:numRef>
          </c:val>
          <c:smooth val="0"/>
          <c:extLst>
            <c:ext xmlns:c16="http://schemas.microsoft.com/office/drawing/2014/chart" uri="{C3380CC4-5D6E-409C-BE32-E72D297353CC}">
              <c16:uniqueId val="{00000000-A806-4064-B683-FE7079E1B832}"/>
            </c:ext>
          </c:extLst>
        </c:ser>
        <c:dLbls>
          <c:showLegendKey val="0"/>
          <c:showVal val="0"/>
          <c:showCatName val="0"/>
          <c:showSerName val="0"/>
          <c:showPercent val="0"/>
          <c:showBubbleSize val="0"/>
        </c:dLbls>
        <c:smooth val="0"/>
        <c:axId val="1403217264"/>
        <c:axId val="1403211984"/>
      </c:lineChart>
      <c:catAx>
        <c:axId val="14032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1984"/>
        <c:crosses val="autoZero"/>
        <c:auto val="1"/>
        <c:lblAlgn val="ctr"/>
        <c:lblOffset val="100"/>
        <c:noMultiLvlLbl val="0"/>
      </c:catAx>
      <c:valAx>
        <c:axId val="140321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Fact5!$Y$17</c:f>
              <c:strCache>
                <c:ptCount val="1"/>
                <c:pt idx="0">
                  <c:v>PAN</c:v>
                </c:pt>
              </c:strCache>
            </c:strRef>
          </c:tx>
          <c:spPr>
            <a:ln w="28575" cap="rnd">
              <a:solidFill>
                <a:schemeClr val="accent1"/>
              </a:solidFill>
              <a:round/>
            </a:ln>
            <a:effectLst/>
          </c:spPr>
          <c:marker>
            <c:symbol val="none"/>
          </c:marker>
          <c:cat>
            <c:strRef>
              <c:f>Fact5!$Z$2:$AT$2</c:f>
              <c:strCache>
                <c:ptCount val="21"/>
                <c:pt idx="0">
                  <c:v>value2003</c:v>
                </c:pt>
                <c:pt idx="1">
                  <c:v>value2004</c:v>
                </c:pt>
                <c:pt idx="2">
                  <c:v>value2005</c:v>
                </c:pt>
                <c:pt idx="3">
                  <c:v>value2006</c:v>
                </c:pt>
                <c:pt idx="4">
                  <c:v>value2007</c:v>
                </c:pt>
                <c:pt idx="5">
                  <c:v>value2008</c:v>
                </c:pt>
                <c:pt idx="6">
                  <c:v>value2009</c:v>
                </c:pt>
                <c:pt idx="7">
                  <c:v>value2010</c:v>
                </c:pt>
                <c:pt idx="8">
                  <c:v>value2011</c:v>
                </c:pt>
                <c:pt idx="9">
                  <c:v>value2012</c:v>
                </c:pt>
                <c:pt idx="10">
                  <c:v>value2013</c:v>
                </c:pt>
                <c:pt idx="11">
                  <c:v>value2014</c:v>
                </c:pt>
                <c:pt idx="12">
                  <c:v>value2015</c:v>
                </c:pt>
                <c:pt idx="13">
                  <c:v>value2016</c:v>
                </c:pt>
                <c:pt idx="14">
                  <c:v>value2017</c:v>
                </c:pt>
                <c:pt idx="15">
                  <c:v>value2018</c:v>
                </c:pt>
                <c:pt idx="16">
                  <c:v>value2019</c:v>
                </c:pt>
                <c:pt idx="17">
                  <c:v>value2020</c:v>
                </c:pt>
                <c:pt idx="18">
                  <c:v>value2021</c:v>
                </c:pt>
                <c:pt idx="19">
                  <c:v>value2022</c:v>
                </c:pt>
                <c:pt idx="20">
                  <c:v>value2023</c:v>
                </c:pt>
              </c:strCache>
            </c:strRef>
          </c:cat>
          <c:val>
            <c:numRef>
              <c:f>Fact5!$Z$17:$AT$17</c:f>
              <c:numCache>
                <c:formatCode>0</c:formatCode>
                <c:ptCount val="21"/>
                <c:pt idx="0">
                  <c:v>19.505472183227539</c:v>
                </c:pt>
                <c:pt idx="1">
                  <c:v>19.894149780273438</c:v>
                </c:pt>
                <c:pt idx="2">
                  <c:v>19.046466827392578</c:v>
                </c:pt>
                <c:pt idx="3">
                  <c:v>19.16015625</c:v>
                </c:pt>
                <c:pt idx="4">
                  <c:v>16.640659332275391</c:v>
                </c:pt>
                <c:pt idx="5">
                  <c:v>16.262025833129883</c:v>
                </c:pt>
                <c:pt idx="6">
                  <c:v>14.433358192443848</c:v>
                </c:pt>
                <c:pt idx="7">
                  <c:v>14.408330917358398</c:v>
                </c:pt>
                <c:pt idx="8">
                  <c:v>12.223545074462891</c:v>
                </c:pt>
                <c:pt idx="9">
                  <c:v>9.4491634368896484</c:v>
                </c:pt>
                <c:pt idx="10">
                  <c:v>10.783822059631348</c:v>
                </c:pt>
                <c:pt idx="11">
                  <c:v>9.8965740203857422</c:v>
                </c:pt>
                <c:pt idx="12">
                  <c:v>10.029431343078613</c:v>
                </c:pt>
                <c:pt idx="13">
                  <c:v>8.4328737258911133</c:v>
                </c:pt>
                <c:pt idx="14">
                  <c:v>8.1176433563232422</c:v>
                </c:pt>
                <c:pt idx="15">
                  <c:v>8.4074573516845703</c:v>
                </c:pt>
                <c:pt idx="16">
                  <c:v>8.2286205291748047</c:v>
                </c:pt>
                <c:pt idx="17">
                  <c:v>8.4610786437988281</c:v>
                </c:pt>
                <c:pt idx="18">
                  <c:v>8.700103759765625</c:v>
                </c:pt>
                <c:pt idx="19">
                  <c:v>8.9458808898925781</c:v>
                </c:pt>
                <c:pt idx="20">
                  <c:v>9.1986007690429688</c:v>
                </c:pt>
              </c:numCache>
            </c:numRef>
          </c:val>
          <c:smooth val="0"/>
          <c:extLst>
            <c:ext xmlns:c16="http://schemas.microsoft.com/office/drawing/2014/chart" uri="{C3380CC4-5D6E-409C-BE32-E72D297353CC}">
              <c16:uniqueId val="{00000000-1104-4BB6-8B00-EEA674FB788A}"/>
            </c:ext>
          </c:extLst>
        </c:ser>
        <c:dLbls>
          <c:showLegendKey val="0"/>
          <c:showVal val="0"/>
          <c:showCatName val="0"/>
          <c:showSerName val="0"/>
          <c:showPercent val="0"/>
          <c:showBubbleSize val="0"/>
        </c:dLbls>
        <c:smooth val="0"/>
        <c:axId val="1403217264"/>
        <c:axId val="1403211984"/>
      </c:lineChart>
      <c:catAx>
        <c:axId val="14032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1984"/>
        <c:crosses val="autoZero"/>
        <c:auto val="1"/>
        <c:lblAlgn val="ctr"/>
        <c:lblOffset val="100"/>
        <c:noMultiLvlLbl val="0"/>
      </c:catAx>
      <c:valAx>
        <c:axId val="140321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Fact5!$Y$22</c:f>
              <c:strCache>
                <c:ptCount val="1"/>
                <c:pt idx="0">
                  <c:v>VEN</c:v>
                </c:pt>
              </c:strCache>
            </c:strRef>
          </c:tx>
          <c:spPr>
            <a:ln w="28575" cap="rnd">
              <a:solidFill>
                <a:schemeClr val="accent1"/>
              </a:solidFill>
              <a:round/>
            </a:ln>
            <a:effectLst/>
          </c:spPr>
          <c:marker>
            <c:symbol val="none"/>
          </c:marker>
          <c:cat>
            <c:strRef>
              <c:f>Fact5!$Z$2:$AT$2</c:f>
              <c:strCache>
                <c:ptCount val="21"/>
                <c:pt idx="0">
                  <c:v>value2003</c:v>
                </c:pt>
                <c:pt idx="1">
                  <c:v>value2004</c:v>
                </c:pt>
                <c:pt idx="2">
                  <c:v>value2005</c:v>
                </c:pt>
                <c:pt idx="3">
                  <c:v>value2006</c:v>
                </c:pt>
                <c:pt idx="4">
                  <c:v>value2007</c:v>
                </c:pt>
                <c:pt idx="5">
                  <c:v>value2008</c:v>
                </c:pt>
                <c:pt idx="6">
                  <c:v>value2009</c:v>
                </c:pt>
                <c:pt idx="7">
                  <c:v>value2010</c:v>
                </c:pt>
                <c:pt idx="8">
                  <c:v>value2011</c:v>
                </c:pt>
                <c:pt idx="9">
                  <c:v>value2012</c:v>
                </c:pt>
                <c:pt idx="10">
                  <c:v>value2013</c:v>
                </c:pt>
                <c:pt idx="11">
                  <c:v>value2014</c:v>
                </c:pt>
                <c:pt idx="12">
                  <c:v>value2015</c:v>
                </c:pt>
                <c:pt idx="13">
                  <c:v>value2016</c:v>
                </c:pt>
                <c:pt idx="14">
                  <c:v>value2017</c:v>
                </c:pt>
                <c:pt idx="15">
                  <c:v>value2018</c:v>
                </c:pt>
                <c:pt idx="16">
                  <c:v>value2019</c:v>
                </c:pt>
                <c:pt idx="17">
                  <c:v>value2020</c:v>
                </c:pt>
                <c:pt idx="18">
                  <c:v>value2021</c:v>
                </c:pt>
                <c:pt idx="19">
                  <c:v>value2022</c:v>
                </c:pt>
                <c:pt idx="20">
                  <c:v>value2023</c:v>
                </c:pt>
              </c:strCache>
            </c:strRef>
          </c:cat>
          <c:val>
            <c:numRef>
              <c:f>Fact5!$Z$22:$AT$22</c:f>
              <c:numCache>
                <c:formatCode>0</c:formatCode>
                <c:ptCount val="21"/>
                <c:pt idx="0">
                  <c:v>34.786518096923828</c:v>
                </c:pt>
                <c:pt idx="1">
                  <c:v>25.831439971923828</c:v>
                </c:pt>
                <c:pt idx="2">
                  <c:v>23.026056289672852</c:v>
                </c:pt>
                <c:pt idx="3">
                  <c:v>13.7447509765625</c:v>
                </c:pt>
                <c:pt idx="4">
                  <c:v>10.19660758972168</c:v>
                </c:pt>
                <c:pt idx="5">
                  <c:v>9.0856914520263672</c:v>
                </c:pt>
                <c:pt idx="6">
                  <c:v>8.0975875854492188</c:v>
                </c:pt>
                <c:pt idx="7">
                  <c:v>8.1186361312866211</c:v>
                </c:pt>
                <c:pt idx="8">
                  <c:v>8.4276628494262695</c:v>
                </c:pt>
                <c:pt idx="9">
                  <c:v>8.5514430999755859</c:v>
                </c:pt>
                <c:pt idx="10">
                  <c:v>7.9765357971191406</c:v>
                </c:pt>
                <c:pt idx="11">
                  <c:v>6.1628198623657227</c:v>
                </c:pt>
                <c:pt idx="12">
                  <c:v>8.7236251831054688</c:v>
                </c:pt>
                <c:pt idx="13">
                  <c:v>19.372528076171875</c:v>
                </c:pt>
                <c:pt idx="14">
                  <c:v>17.856193542480469</c:v>
                </c:pt>
                <c:pt idx="15">
                  <c:v>25.077169418334961</c:v>
                </c:pt>
                <c:pt idx="16">
                  <c:v>50.179054260253906</c:v>
                </c:pt>
                <c:pt idx="17">
                  <c:v>75.280937194824219</c:v>
                </c:pt>
                <c:pt idx="18">
                  <c:v>53.867767333984375</c:v>
                </c:pt>
                <c:pt idx="19">
                  <c:v>53.867767333984375</c:v>
                </c:pt>
                <c:pt idx="20">
                  <c:v>53.867767333984375</c:v>
                </c:pt>
              </c:numCache>
            </c:numRef>
          </c:val>
          <c:smooth val="0"/>
          <c:extLst>
            <c:ext xmlns:c16="http://schemas.microsoft.com/office/drawing/2014/chart" uri="{C3380CC4-5D6E-409C-BE32-E72D297353CC}">
              <c16:uniqueId val="{00000000-6FBA-47A7-A87B-9F85055F1B05}"/>
            </c:ext>
          </c:extLst>
        </c:ser>
        <c:dLbls>
          <c:showLegendKey val="0"/>
          <c:showVal val="0"/>
          <c:showCatName val="0"/>
          <c:showSerName val="0"/>
          <c:showPercent val="0"/>
          <c:showBubbleSize val="0"/>
        </c:dLbls>
        <c:smooth val="0"/>
        <c:axId val="1403217264"/>
        <c:axId val="1403211984"/>
      </c:lineChart>
      <c:catAx>
        <c:axId val="14032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1984"/>
        <c:crosses val="autoZero"/>
        <c:auto val="1"/>
        <c:lblAlgn val="ctr"/>
        <c:lblOffset val="100"/>
        <c:noMultiLvlLbl val="0"/>
      </c:catAx>
      <c:valAx>
        <c:axId val="140321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Fact5!$Y$21</c:f>
              <c:strCache>
                <c:ptCount val="1"/>
                <c:pt idx="0">
                  <c:v>URY</c:v>
                </c:pt>
              </c:strCache>
            </c:strRef>
          </c:tx>
          <c:spPr>
            <a:ln w="28575" cap="rnd">
              <a:solidFill>
                <a:schemeClr val="accent1"/>
              </a:solidFill>
              <a:round/>
            </a:ln>
            <a:effectLst/>
          </c:spPr>
          <c:marker>
            <c:symbol val="none"/>
          </c:marker>
          <c:cat>
            <c:strRef>
              <c:f>Fact5!$Z$2:$AT$2</c:f>
              <c:strCache>
                <c:ptCount val="21"/>
                <c:pt idx="0">
                  <c:v>value2003</c:v>
                </c:pt>
                <c:pt idx="1">
                  <c:v>value2004</c:v>
                </c:pt>
                <c:pt idx="2">
                  <c:v>value2005</c:v>
                </c:pt>
                <c:pt idx="3">
                  <c:v>value2006</c:v>
                </c:pt>
                <c:pt idx="4">
                  <c:v>value2007</c:v>
                </c:pt>
                <c:pt idx="5">
                  <c:v>value2008</c:v>
                </c:pt>
                <c:pt idx="6">
                  <c:v>value2009</c:v>
                </c:pt>
                <c:pt idx="7">
                  <c:v>value2010</c:v>
                </c:pt>
                <c:pt idx="8">
                  <c:v>value2011</c:v>
                </c:pt>
                <c:pt idx="9">
                  <c:v>value2012</c:v>
                </c:pt>
                <c:pt idx="10">
                  <c:v>value2013</c:v>
                </c:pt>
                <c:pt idx="11">
                  <c:v>value2014</c:v>
                </c:pt>
                <c:pt idx="12">
                  <c:v>value2015</c:v>
                </c:pt>
                <c:pt idx="13">
                  <c:v>value2016</c:v>
                </c:pt>
                <c:pt idx="14">
                  <c:v>value2017</c:v>
                </c:pt>
                <c:pt idx="15">
                  <c:v>value2018</c:v>
                </c:pt>
                <c:pt idx="16">
                  <c:v>value2019</c:v>
                </c:pt>
                <c:pt idx="17">
                  <c:v>value2020</c:v>
                </c:pt>
                <c:pt idx="18">
                  <c:v>value2021</c:v>
                </c:pt>
                <c:pt idx="19">
                  <c:v>value2022</c:v>
                </c:pt>
                <c:pt idx="20">
                  <c:v>value2023</c:v>
                </c:pt>
              </c:strCache>
            </c:strRef>
          </c:cat>
          <c:val>
            <c:numRef>
              <c:f>Fact5!$Z$21:$AT$21</c:f>
              <c:numCache>
                <c:formatCode>0</c:formatCode>
                <c:ptCount val="21"/>
                <c:pt idx="0">
                  <c:v>11.772184371948242</c:v>
                </c:pt>
                <c:pt idx="1">
                  <c:v>13.025636672973633</c:v>
                </c:pt>
                <c:pt idx="2">
                  <c:v>12.149932861328125</c:v>
                </c:pt>
                <c:pt idx="3">
                  <c:v>8.6665973663330078</c:v>
                </c:pt>
                <c:pt idx="4">
                  <c:v>9.0558414459228516</c:v>
                </c:pt>
                <c:pt idx="5">
                  <c:v>4.9746270179748535</c:v>
                </c:pt>
                <c:pt idx="6">
                  <c:v>6.0477023124694824</c:v>
                </c:pt>
                <c:pt idx="7">
                  <c:v>4.8753628730773926</c:v>
                </c:pt>
                <c:pt idx="8">
                  <c:v>4.2148504257202148</c:v>
                </c:pt>
                <c:pt idx="9">
                  <c:v>4.2156963348388672</c:v>
                </c:pt>
                <c:pt idx="10">
                  <c:v>3.9434285163879395</c:v>
                </c:pt>
                <c:pt idx="11">
                  <c:v>3.4458074569702148</c:v>
                </c:pt>
                <c:pt idx="12">
                  <c:v>3.8563013076782227</c:v>
                </c:pt>
                <c:pt idx="13">
                  <c:v>3.5427837371826172</c:v>
                </c:pt>
                <c:pt idx="14">
                  <c:v>2.8764021396636963</c:v>
                </c:pt>
                <c:pt idx="15">
                  <c:v>2.8609726428985596</c:v>
                </c:pt>
                <c:pt idx="16">
                  <c:v>3.1808047294616699</c:v>
                </c:pt>
                <c:pt idx="17">
                  <c:v>4.6586627960205078</c:v>
                </c:pt>
                <c:pt idx="18">
                  <c:v>4.559272289276123</c:v>
                </c:pt>
                <c:pt idx="19">
                  <c:v>3.9979178905487061</c:v>
                </c:pt>
                <c:pt idx="20">
                  <c:v>3.5056796073913574</c:v>
                </c:pt>
              </c:numCache>
            </c:numRef>
          </c:val>
          <c:smooth val="0"/>
          <c:extLst>
            <c:ext xmlns:c16="http://schemas.microsoft.com/office/drawing/2014/chart" uri="{C3380CC4-5D6E-409C-BE32-E72D297353CC}">
              <c16:uniqueId val="{00000000-9857-449F-85EF-144F38F39E1F}"/>
            </c:ext>
          </c:extLst>
        </c:ser>
        <c:dLbls>
          <c:showLegendKey val="0"/>
          <c:showVal val="0"/>
          <c:showCatName val="0"/>
          <c:showSerName val="0"/>
          <c:showPercent val="0"/>
          <c:showBubbleSize val="0"/>
        </c:dLbls>
        <c:smooth val="0"/>
        <c:axId val="1403217264"/>
        <c:axId val="1403211984"/>
      </c:lineChart>
      <c:catAx>
        <c:axId val="14032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1984"/>
        <c:crosses val="autoZero"/>
        <c:auto val="1"/>
        <c:lblAlgn val="ctr"/>
        <c:lblOffset val="100"/>
        <c:noMultiLvlLbl val="0"/>
      </c:catAx>
      <c:valAx>
        <c:axId val="140321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Fact5!$Y$20</c:f>
              <c:strCache>
                <c:ptCount val="1"/>
                <c:pt idx="0">
                  <c:v>SLV</c:v>
                </c:pt>
              </c:strCache>
            </c:strRef>
          </c:tx>
          <c:spPr>
            <a:ln w="28575" cap="rnd">
              <a:solidFill>
                <a:schemeClr val="accent1"/>
              </a:solidFill>
              <a:round/>
            </a:ln>
            <a:effectLst/>
          </c:spPr>
          <c:marker>
            <c:symbol val="none"/>
          </c:marker>
          <c:cat>
            <c:strRef>
              <c:f>Fact5!$Z$2:$AT$2</c:f>
              <c:strCache>
                <c:ptCount val="21"/>
                <c:pt idx="0">
                  <c:v>value2003</c:v>
                </c:pt>
                <c:pt idx="1">
                  <c:v>value2004</c:v>
                </c:pt>
                <c:pt idx="2">
                  <c:v>value2005</c:v>
                </c:pt>
                <c:pt idx="3">
                  <c:v>value2006</c:v>
                </c:pt>
                <c:pt idx="4">
                  <c:v>value2007</c:v>
                </c:pt>
                <c:pt idx="5">
                  <c:v>value2008</c:v>
                </c:pt>
                <c:pt idx="6">
                  <c:v>value2009</c:v>
                </c:pt>
                <c:pt idx="7">
                  <c:v>value2010</c:v>
                </c:pt>
                <c:pt idx="8">
                  <c:v>value2011</c:v>
                </c:pt>
                <c:pt idx="9">
                  <c:v>value2012</c:v>
                </c:pt>
                <c:pt idx="10">
                  <c:v>value2013</c:v>
                </c:pt>
                <c:pt idx="11">
                  <c:v>value2014</c:v>
                </c:pt>
                <c:pt idx="12">
                  <c:v>value2015</c:v>
                </c:pt>
                <c:pt idx="13">
                  <c:v>value2016</c:v>
                </c:pt>
                <c:pt idx="14">
                  <c:v>value2017</c:v>
                </c:pt>
                <c:pt idx="15">
                  <c:v>value2018</c:v>
                </c:pt>
                <c:pt idx="16">
                  <c:v>value2019</c:v>
                </c:pt>
                <c:pt idx="17">
                  <c:v>value2020</c:v>
                </c:pt>
                <c:pt idx="18">
                  <c:v>value2021</c:v>
                </c:pt>
                <c:pt idx="19">
                  <c:v>value2022</c:v>
                </c:pt>
                <c:pt idx="20">
                  <c:v>value2023</c:v>
                </c:pt>
              </c:strCache>
            </c:strRef>
          </c:cat>
          <c:val>
            <c:numRef>
              <c:f>Fact5!$Z$20:$AT$20</c:f>
              <c:numCache>
                <c:formatCode>0</c:formatCode>
                <c:ptCount val="21"/>
                <c:pt idx="0">
                  <c:v>30.098274230957031</c:v>
                </c:pt>
                <c:pt idx="1">
                  <c:v>29.909538269042969</c:v>
                </c:pt>
                <c:pt idx="2">
                  <c:v>33.278915405273438</c:v>
                </c:pt>
                <c:pt idx="3">
                  <c:v>29.543764114379883</c:v>
                </c:pt>
                <c:pt idx="4">
                  <c:v>26.075855255126953</c:v>
                </c:pt>
                <c:pt idx="5">
                  <c:v>29.958087921142578</c:v>
                </c:pt>
                <c:pt idx="6">
                  <c:v>30.230155944824219</c:v>
                </c:pt>
                <c:pt idx="7">
                  <c:v>29.565187454223633</c:v>
                </c:pt>
                <c:pt idx="8">
                  <c:v>27.949380874633789</c:v>
                </c:pt>
                <c:pt idx="9">
                  <c:v>26.217578887939453</c:v>
                </c:pt>
                <c:pt idx="10">
                  <c:v>23.065671920776367</c:v>
                </c:pt>
                <c:pt idx="11">
                  <c:v>22.834812164306641</c:v>
                </c:pt>
                <c:pt idx="12">
                  <c:v>20.33000373840332</c:v>
                </c:pt>
                <c:pt idx="13">
                  <c:v>20.716344833374023</c:v>
                </c:pt>
                <c:pt idx="14">
                  <c:v>18.393341064453125</c:v>
                </c:pt>
                <c:pt idx="15">
                  <c:v>16.515666961669922</c:v>
                </c:pt>
                <c:pt idx="16">
                  <c:v>14.110957145690918</c:v>
                </c:pt>
                <c:pt idx="17">
                  <c:v>18.446578979492188</c:v>
                </c:pt>
                <c:pt idx="18">
                  <c:v>17.403285980224609</c:v>
                </c:pt>
                <c:pt idx="19">
                  <c:v>17.153528213500977</c:v>
                </c:pt>
                <c:pt idx="20">
                  <c:v>15.566752433776855</c:v>
                </c:pt>
              </c:numCache>
            </c:numRef>
          </c:val>
          <c:smooth val="0"/>
          <c:extLst>
            <c:ext xmlns:c16="http://schemas.microsoft.com/office/drawing/2014/chart" uri="{C3380CC4-5D6E-409C-BE32-E72D297353CC}">
              <c16:uniqueId val="{00000000-EBCF-4934-B099-D1421C9EEDC2}"/>
            </c:ext>
          </c:extLst>
        </c:ser>
        <c:dLbls>
          <c:showLegendKey val="0"/>
          <c:showVal val="0"/>
          <c:showCatName val="0"/>
          <c:showSerName val="0"/>
          <c:showPercent val="0"/>
          <c:showBubbleSize val="0"/>
        </c:dLbls>
        <c:smooth val="0"/>
        <c:axId val="1403217264"/>
        <c:axId val="1403211984"/>
      </c:lineChart>
      <c:catAx>
        <c:axId val="14032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1984"/>
        <c:crosses val="autoZero"/>
        <c:auto val="1"/>
        <c:lblAlgn val="ctr"/>
        <c:lblOffset val="100"/>
        <c:noMultiLvlLbl val="0"/>
      </c:catAx>
      <c:valAx>
        <c:axId val="140321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Fact5!$Y$19</c:f>
              <c:strCache>
                <c:ptCount val="1"/>
                <c:pt idx="0">
                  <c:v>PRY</c:v>
                </c:pt>
              </c:strCache>
            </c:strRef>
          </c:tx>
          <c:spPr>
            <a:ln w="28575" cap="rnd">
              <a:solidFill>
                <a:schemeClr val="accent1"/>
              </a:solidFill>
              <a:round/>
            </a:ln>
            <a:effectLst/>
          </c:spPr>
          <c:marker>
            <c:symbol val="none"/>
          </c:marker>
          <c:cat>
            <c:strRef>
              <c:f>Fact5!$Z$2:$AT$2</c:f>
              <c:strCache>
                <c:ptCount val="21"/>
                <c:pt idx="0">
                  <c:v>value2003</c:v>
                </c:pt>
                <c:pt idx="1">
                  <c:v>value2004</c:v>
                </c:pt>
                <c:pt idx="2">
                  <c:v>value2005</c:v>
                </c:pt>
                <c:pt idx="3">
                  <c:v>value2006</c:v>
                </c:pt>
                <c:pt idx="4">
                  <c:v>value2007</c:v>
                </c:pt>
                <c:pt idx="5">
                  <c:v>value2008</c:v>
                </c:pt>
                <c:pt idx="6">
                  <c:v>value2009</c:v>
                </c:pt>
                <c:pt idx="7">
                  <c:v>value2010</c:v>
                </c:pt>
                <c:pt idx="8">
                  <c:v>value2011</c:v>
                </c:pt>
                <c:pt idx="9">
                  <c:v>value2012</c:v>
                </c:pt>
                <c:pt idx="10">
                  <c:v>value2013</c:v>
                </c:pt>
                <c:pt idx="11">
                  <c:v>value2014</c:v>
                </c:pt>
                <c:pt idx="12">
                  <c:v>value2015</c:v>
                </c:pt>
                <c:pt idx="13">
                  <c:v>value2016</c:v>
                </c:pt>
                <c:pt idx="14">
                  <c:v>value2017</c:v>
                </c:pt>
                <c:pt idx="15">
                  <c:v>value2018</c:v>
                </c:pt>
                <c:pt idx="16">
                  <c:v>value2019</c:v>
                </c:pt>
                <c:pt idx="17">
                  <c:v>value2020</c:v>
                </c:pt>
                <c:pt idx="18">
                  <c:v>value2021</c:v>
                </c:pt>
                <c:pt idx="19">
                  <c:v>value2022</c:v>
                </c:pt>
                <c:pt idx="20">
                  <c:v>value2023</c:v>
                </c:pt>
              </c:strCache>
            </c:strRef>
          </c:cat>
          <c:val>
            <c:numRef>
              <c:f>Fact5!$Z$19:$AT$19</c:f>
              <c:numCache>
                <c:formatCode>0</c:formatCode>
                <c:ptCount val="21"/>
                <c:pt idx="0">
                  <c:v>29.401519775390625</c:v>
                </c:pt>
                <c:pt idx="1">
                  <c:v>25.954771041870117</c:v>
                </c:pt>
                <c:pt idx="2">
                  <c:v>21.66015625</c:v>
                </c:pt>
                <c:pt idx="3">
                  <c:v>26.555629730224609</c:v>
                </c:pt>
                <c:pt idx="4">
                  <c:v>22.036409378051758</c:v>
                </c:pt>
                <c:pt idx="5">
                  <c:v>21.534603118896484</c:v>
                </c:pt>
                <c:pt idx="6">
                  <c:v>20.314241409301758</c:v>
                </c:pt>
                <c:pt idx="7">
                  <c:v>20.313493728637695</c:v>
                </c:pt>
                <c:pt idx="8">
                  <c:v>18.601699829101563</c:v>
                </c:pt>
                <c:pt idx="9">
                  <c:v>18.355260848999023</c:v>
                </c:pt>
                <c:pt idx="10">
                  <c:v>13.512746810913086</c:v>
                </c:pt>
                <c:pt idx="11">
                  <c:v>13.23590087890625</c:v>
                </c:pt>
                <c:pt idx="12">
                  <c:v>13.862668037414551</c:v>
                </c:pt>
                <c:pt idx="13">
                  <c:v>15.528464317321777</c:v>
                </c:pt>
                <c:pt idx="14">
                  <c:v>14.606579780578613</c:v>
                </c:pt>
                <c:pt idx="15">
                  <c:v>12.543441772460938</c:v>
                </c:pt>
                <c:pt idx="16">
                  <c:v>12.439337730407715</c:v>
                </c:pt>
                <c:pt idx="17">
                  <c:v>10.641407012939453</c:v>
                </c:pt>
                <c:pt idx="18">
                  <c:v>11.396774291992188</c:v>
                </c:pt>
                <c:pt idx="19">
                  <c:v>12.367045402526855</c:v>
                </c:pt>
                <c:pt idx="20">
                  <c:v>13.419920921325684</c:v>
                </c:pt>
              </c:numCache>
            </c:numRef>
          </c:val>
          <c:smooth val="0"/>
          <c:extLst>
            <c:ext xmlns:c16="http://schemas.microsoft.com/office/drawing/2014/chart" uri="{C3380CC4-5D6E-409C-BE32-E72D297353CC}">
              <c16:uniqueId val="{00000000-13D1-47CE-A0F9-89831E5FE819}"/>
            </c:ext>
          </c:extLst>
        </c:ser>
        <c:dLbls>
          <c:showLegendKey val="0"/>
          <c:showVal val="0"/>
          <c:showCatName val="0"/>
          <c:showSerName val="0"/>
          <c:showPercent val="0"/>
          <c:showBubbleSize val="0"/>
        </c:dLbls>
        <c:smooth val="0"/>
        <c:axId val="1403217264"/>
        <c:axId val="1403211984"/>
      </c:lineChart>
      <c:catAx>
        <c:axId val="14032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1984"/>
        <c:crosses val="autoZero"/>
        <c:auto val="1"/>
        <c:lblAlgn val="ctr"/>
        <c:lblOffset val="100"/>
        <c:noMultiLvlLbl val="0"/>
      </c:catAx>
      <c:valAx>
        <c:axId val="140321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Fact5!$Y$18</c:f>
              <c:strCache>
                <c:ptCount val="1"/>
                <c:pt idx="0">
                  <c:v>PER</c:v>
                </c:pt>
              </c:strCache>
            </c:strRef>
          </c:tx>
          <c:spPr>
            <a:ln w="28575" cap="rnd">
              <a:solidFill>
                <a:schemeClr val="accent1"/>
              </a:solidFill>
              <a:round/>
            </a:ln>
            <a:effectLst/>
          </c:spPr>
          <c:marker>
            <c:symbol val="none"/>
          </c:marker>
          <c:cat>
            <c:strRef>
              <c:f>Fact5!$Z$2:$AT$2</c:f>
              <c:strCache>
                <c:ptCount val="21"/>
                <c:pt idx="0">
                  <c:v>value2003</c:v>
                </c:pt>
                <c:pt idx="1">
                  <c:v>value2004</c:v>
                </c:pt>
                <c:pt idx="2">
                  <c:v>value2005</c:v>
                </c:pt>
                <c:pt idx="3">
                  <c:v>value2006</c:v>
                </c:pt>
                <c:pt idx="4">
                  <c:v>value2007</c:v>
                </c:pt>
                <c:pt idx="5">
                  <c:v>value2008</c:v>
                </c:pt>
                <c:pt idx="6">
                  <c:v>value2009</c:v>
                </c:pt>
                <c:pt idx="7">
                  <c:v>value2010</c:v>
                </c:pt>
                <c:pt idx="8">
                  <c:v>value2011</c:v>
                </c:pt>
                <c:pt idx="9">
                  <c:v>value2012</c:v>
                </c:pt>
                <c:pt idx="10">
                  <c:v>value2013</c:v>
                </c:pt>
                <c:pt idx="11">
                  <c:v>value2014</c:v>
                </c:pt>
                <c:pt idx="12">
                  <c:v>value2015</c:v>
                </c:pt>
                <c:pt idx="13">
                  <c:v>value2016</c:v>
                </c:pt>
                <c:pt idx="14">
                  <c:v>value2017</c:v>
                </c:pt>
                <c:pt idx="15">
                  <c:v>value2018</c:v>
                </c:pt>
                <c:pt idx="16">
                  <c:v>value2019</c:v>
                </c:pt>
                <c:pt idx="17">
                  <c:v>value2020</c:v>
                </c:pt>
                <c:pt idx="18">
                  <c:v>value2021</c:v>
                </c:pt>
                <c:pt idx="19">
                  <c:v>value2022</c:v>
                </c:pt>
                <c:pt idx="20">
                  <c:v>value2023</c:v>
                </c:pt>
              </c:strCache>
            </c:strRef>
          </c:cat>
          <c:val>
            <c:numRef>
              <c:f>Fact5!$Z$18:$AT$18</c:f>
              <c:numCache>
                <c:formatCode>0</c:formatCode>
                <c:ptCount val="21"/>
                <c:pt idx="0">
                  <c:v>36.082656860351563</c:v>
                </c:pt>
                <c:pt idx="1">
                  <c:v>36.340023040771484</c:v>
                </c:pt>
                <c:pt idx="2">
                  <c:v>39.131866455078125</c:v>
                </c:pt>
                <c:pt idx="3">
                  <c:v>36.236225128173828</c:v>
                </c:pt>
                <c:pt idx="4">
                  <c:v>29.151054382324219</c:v>
                </c:pt>
                <c:pt idx="5">
                  <c:v>25.421737670898438</c:v>
                </c:pt>
                <c:pt idx="6">
                  <c:v>18.704830169677734</c:v>
                </c:pt>
                <c:pt idx="7">
                  <c:v>16.461704254150391</c:v>
                </c:pt>
                <c:pt idx="8">
                  <c:v>18.892986297607422</c:v>
                </c:pt>
                <c:pt idx="9">
                  <c:v>17.266027450561523</c:v>
                </c:pt>
                <c:pt idx="10">
                  <c:v>16.544425964355469</c:v>
                </c:pt>
                <c:pt idx="11">
                  <c:v>15.426937103271484</c:v>
                </c:pt>
                <c:pt idx="12">
                  <c:v>14.944316864013672</c:v>
                </c:pt>
                <c:pt idx="13">
                  <c:v>14.880022048950195</c:v>
                </c:pt>
                <c:pt idx="14">
                  <c:v>14.749188423156738</c:v>
                </c:pt>
                <c:pt idx="15">
                  <c:v>12.959710121154785</c:v>
                </c:pt>
                <c:pt idx="16">
                  <c:v>11.822205543518066</c:v>
                </c:pt>
                <c:pt idx="17">
                  <c:v>23.303895950317383</c:v>
                </c:pt>
                <c:pt idx="18">
                  <c:v>14.145053863525391</c:v>
                </c:pt>
                <c:pt idx="19">
                  <c:v>12.462396621704102</c:v>
                </c:pt>
                <c:pt idx="20">
                  <c:v>10.979904174804688</c:v>
                </c:pt>
              </c:numCache>
            </c:numRef>
          </c:val>
          <c:smooth val="0"/>
          <c:extLst>
            <c:ext xmlns:c16="http://schemas.microsoft.com/office/drawing/2014/chart" uri="{C3380CC4-5D6E-409C-BE32-E72D297353CC}">
              <c16:uniqueId val="{00000000-60CC-4959-AE80-C7B1C03BCEA9}"/>
            </c:ext>
          </c:extLst>
        </c:ser>
        <c:dLbls>
          <c:showLegendKey val="0"/>
          <c:showVal val="0"/>
          <c:showCatName val="0"/>
          <c:showSerName val="0"/>
          <c:showPercent val="0"/>
          <c:showBubbleSize val="0"/>
        </c:dLbls>
        <c:smooth val="0"/>
        <c:axId val="1403217264"/>
        <c:axId val="1403211984"/>
      </c:lineChart>
      <c:catAx>
        <c:axId val="14032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1984"/>
        <c:crosses val="autoZero"/>
        <c:auto val="1"/>
        <c:lblAlgn val="ctr"/>
        <c:lblOffset val="100"/>
        <c:noMultiLvlLbl val="0"/>
      </c:catAx>
      <c:valAx>
        <c:axId val="140321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Fact5!$Y$9</c:f>
              <c:strCache>
                <c:ptCount val="1"/>
                <c:pt idx="0">
                  <c:v>COL</c:v>
                </c:pt>
              </c:strCache>
            </c:strRef>
          </c:tx>
          <c:spPr>
            <a:ln w="28575" cap="rnd">
              <a:solidFill>
                <a:schemeClr val="accent1"/>
              </a:solidFill>
              <a:round/>
            </a:ln>
            <a:effectLst/>
          </c:spPr>
          <c:marker>
            <c:symbol val="none"/>
          </c:marker>
          <c:cat>
            <c:strRef>
              <c:f>Fact5!$Z$2:$AT$2</c:f>
              <c:strCache>
                <c:ptCount val="21"/>
                <c:pt idx="0">
                  <c:v>value2003</c:v>
                </c:pt>
                <c:pt idx="1">
                  <c:v>value2004</c:v>
                </c:pt>
                <c:pt idx="2">
                  <c:v>value2005</c:v>
                </c:pt>
                <c:pt idx="3">
                  <c:v>value2006</c:v>
                </c:pt>
                <c:pt idx="4">
                  <c:v>value2007</c:v>
                </c:pt>
                <c:pt idx="5">
                  <c:v>value2008</c:v>
                </c:pt>
                <c:pt idx="6">
                  <c:v>value2009</c:v>
                </c:pt>
                <c:pt idx="7">
                  <c:v>value2010</c:v>
                </c:pt>
                <c:pt idx="8">
                  <c:v>value2011</c:v>
                </c:pt>
                <c:pt idx="9">
                  <c:v>value2012</c:v>
                </c:pt>
                <c:pt idx="10">
                  <c:v>value2013</c:v>
                </c:pt>
                <c:pt idx="11">
                  <c:v>value2014</c:v>
                </c:pt>
                <c:pt idx="12">
                  <c:v>value2015</c:v>
                </c:pt>
                <c:pt idx="13">
                  <c:v>value2016</c:v>
                </c:pt>
                <c:pt idx="14">
                  <c:v>value2017</c:v>
                </c:pt>
                <c:pt idx="15">
                  <c:v>value2018</c:v>
                </c:pt>
                <c:pt idx="16">
                  <c:v>value2019</c:v>
                </c:pt>
                <c:pt idx="17">
                  <c:v>value2020</c:v>
                </c:pt>
                <c:pt idx="18">
                  <c:v>value2021</c:v>
                </c:pt>
                <c:pt idx="19">
                  <c:v>value2022</c:v>
                </c:pt>
                <c:pt idx="20">
                  <c:v>value2023</c:v>
                </c:pt>
              </c:strCache>
            </c:strRef>
          </c:cat>
          <c:val>
            <c:numRef>
              <c:f>Fact5!$Z$9:$AT$9</c:f>
              <c:numCache>
                <c:formatCode>0</c:formatCode>
                <c:ptCount val="21"/>
                <c:pt idx="0">
                  <c:v>38.569931030273438</c:v>
                </c:pt>
                <c:pt idx="1">
                  <c:v>39.924068450927734</c:v>
                </c:pt>
                <c:pt idx="2">
                  <c:v>33.969875335693359</c:v>
                </c:pt>
                <c:pt idx="3">
                  <c:v>42.363014221191406</c:v>
                </c:pt>
                <c:pt idx="4">
                  <c:v>39.306632995605469</c:v>
                </c:pt>
                <c:pt idx="5">
                  <c:v>30.391078948974609</c:v>
                </c:pt>
                <c:pt idx="6">
                  <c:v>29.397424697875977</c:v>
                </c:pt>
                <c:pt idx="7">
                  <c:v>26.507530212402344</c:v>
                </c:pt>
                <c:pt idx="8">
                  <c:v>23.320600509643555</c:v>
                </c:pt>
                <c:pt idx="9">
                  <c:v>23.747005462646484</c:v>
                </c:pt>
                <c:pt idx="10">
                  <c:v>21.165475845336914</c:v>
                </c:pt>
                <c:pt idx="11">
                  <c:v>19.967647552490234</c:v>
                </c:pt>
                <c:pt idx="12">
                  <c:v>19.205020904541016</c:v>
                </c:pt>
                <c:pt idx="13">
                  <c:v>18.622251510620117</c:v>
                </c:pt>
                <c:pt idx="14">
                  <c:v>18.066314697265625</c:v>
                </c:pt>
                <c:pt idx="15">
                  <c:v>18.631380081176758</c:v>
                </c:pt>
                <c:pt idx="16">
                  <c:v>19.659185409545898</c:v>
                </c:pt>
                <c:pt idx="17">
                  <c:v>21.620937347412109</c:v>
                </c:pt>
                <c:pt idx="18">
                  <c:v>20.451343536376953</c:v>
                </c:pt>
                <c:pt idx="19">
                  <c:v>19.512697219848633</c:v>
                </c:pt>
                <c:pt idx="20">
                  <c:v>18.617132186889648</c:v>
                </c:pt>
              </c:numCache>
            </c:numRef>
          </c:val>
          <c:smooth val="0"/>
          <c:extLst>
            <c:ext xmlns:c16="http://schemas.microsoft.com/office/drawing/2014/chart" uri="{C3380CC4-5D6E-409C-BE32-E72D297353CC}">
              <c16:uniqueId val="{00000000-C7B0-4973-AE21-CB07F9BFAB71}"/>
            </c:ext>
          </c:extLst>
        </c:ser>
        <c:dLbls>
          <c:showLegendKey val="0"/>
          <c:showVal val="0"/>
          <c:showCatName val="0"/>
          <c:showSerName val="0"/>
          <c:showPercent val="0"/>
          <c:showBubbleSize val="0"/>
        </c:dLbls>
        <c:smooth val="0"/>
        <c:axId val="1403217264"/>
        <c:axId val="1403211984"/>
      </c:lineChart>
      <c:catAx>
        <c:axId val="14032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1984"/>
        <c:crosses val="autoZero"/>
        <c:auto val="1"/>
        <c:lblAlgn val="ctr"/>
        <c:lblOffset val="100"/>
        <c:noMultiLvlLbl val="0"/>
      </c:catAx>
      <c:valAx>
        <c:axId val="140321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21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01644123060944"/>
          <c:y val="2.2807130907710148E-2"/>
          <c:w val="0.8779835587693906"/>
          <c:h val="0.87131656212464959"/>
        </c:manualLayout>
      </c:layout>
      <c:lineChart>
        <c:grouping val="standard"/>
        <c:varyColors val="0"/>
        <c:ser>
          <c:idx val="13"/>
          <c:order val="0"/>
          <c:tx>
            <c:strRef>
              <c:f>Fact5!$Y$16</c:f>
              <c:strCache>
                <c:ptCount val="1"/>
                <c:pt idx="0">
                  <c:v>MEX</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Fact5!$Z$16:$AT$16</c:f>
              <c:numCache>
                <c:formatCode>0</c:formatCode>
                <c:ptCount val="21"/>
                <c:pt idx="1">
                  <c:v>22.750726699829102</c:v>
                </c:pt>
                <c:pt idx="2">
                  <c:v>22.862800598144531</c:v>
                </c:pt>
                <c:pt idx="3">
                  <c:v>18.521760940551758</c:v>
                </c:pt>
                <c:pt idx="4">
                  <c:v>27.209262847900391</c:v>
                </c:pt>
                <c:pt idx="5">
                  <c:v>35.896762847900391</c:v>
                </c:pt>
                <c:pt idx="6">
                  <c:v>37.317001342773438</c:v>
                </c:pt>
                <c:pt idx="7">
                  <c:v>38.737236022949219</c:v>
                </c:pt>
                <c:pt idx="8">
                  <c:v>34.130359649658203</c:v>
                </c:pt>
                <c:pt idx="9">
                  <c:v>29.523483276367188</c:v>
                </c:pt>
                <c:pt idx="10">
                  <c:v>24.604236602783203</c:v>
                </c:pt>
                <c:pt idx="11">
                  <c:v>19.684988021850586</c:v>
                </c:pt>
                <c:pt idx="12">
                  <c:v>16.780857086181641</c:v>
                </c:pt>
                <c:pt idx="13">
                  <c:v>13.876727104187012</c:v>
                </c:pt>
                <c:pt idx="14">
                  <c:v>13.180578231811523</c:v>
                </c:pt>
                <c:pt idx="15">
                  <c:v>12.484429359436035</c:v>
                </c:pt>
                <c:pt idx="16">
                  <c:v>13.74195671081543</c:v>
                </c:pt>
                <c:pt idx="17">
                  <c:v>14.999485015869141</c:v>
                </c:pt>
                <c:pt idx="18">
                  <c:v>12.634235382080078</c:v>
                </c:pt>
                <c:pt idx="19">
                  <c:v>10.268985748291016</c:v>
                </c:pt>
                <c:pt idx="20">
                  <c:v>8.3465337753295898</c:v>
                </c:pt>
              </c:numCache>
            </c:numRef>
          </c:val>
          <c:smooth val="0"/>
          <c:extLst>
            <c:ext xmlns:c16="http://schemas.microsoft.com/office/drawing/2014/chart" uri="{C3380CC4-5D6E-409C-BE32-E72D297353CC}">
              <c16:uniqueId val="{00000000-DB8C-4E7C-9031-26AC6A23A320}"/>
            </c:ext>
          </c:extLst>
        </c:ser>
        <c:ser>
          <c:idx val="3"/>
          <c:order val="1"/>
          <c:tx>
            <c:strRef>
              <c:f>Fact5!$Y$7</c:f>
              <c:strCache>
                <c:ptCount val="1"/>
                <c:pt idx="0">
                  <c:v>BRA</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Fact5!$Z$7:$AT$7</c:f>
              <c:numCache>
                <c:formatCode>0</c:formatCode>
                <c:ptCount val="21"/>
                <c:pt idx="0">
                  <c:v>30.236900329589844</c:v>
                </c:pt>
                <c:pt idx="1">
                  <c:v>28.498611450195313</c:v>
                </c:pt>
                <c:pt idx="2">
                  <c:v>26.960596084594727</c:v>
                </c:pt>
                <c:pt idx="3">
                  <c:v>24.759138107299805</c:v>
                </c:pt>
                <c:pt idx="4">
                  <c:v>22.482553482055664</c:v>
                </c:pt>
                <c:pt idx="5">
                  <c:v>19.973526000976563</c:v>
                </c:pt>
                <c:pt idx="6">
                  <c:v>19.103296279907227</c:v>
                </c:pt>
                <c:pt idx="7">
                  <c:v>17.352252960205078</c:v>
                </c:pt>
                <c:pt idx="8">
                  <c:v>15.601207733154297</c:v>
                </c:pt>
                <c:pt idx="9">
                  <c:v>13.240234375</c:v>
                </c:pt>
                <c:pt idx="10">
                  <c:v>12.882226943969727</c:v>
                </c:pt>
                <c:pt idx="11">
                  <c:v>11.426709175109863</c:v>
                </c:pt>
                <c:pt idx="12">
                  <c:v>12.774162292480469</c:v>
                </c:pt>
                <c:pt idx="13">
                  <c:v>13.507540702819824</c:v>
                </c:pt>
                <c:pt idx="14">
                  <c:v>13.595446586608887</c:v>
                </c:pt>
                <c:pt idx="15">
                  <c:v>14.036323547363281</c:v>
                </c:pt>
                <c:pt idx="16">
                  <c:v>13.071751594543457</c:v>
                </c:pt>
                <c:pt idx="17">
                  <c:v>10.93248176574707</c:v>
                </c:pt>
                <c:pt idx="18">
                  <c:v>15.934523582458496</c:v>
                </c:pt>
                <c:pt idx="19">
                  <c:v>10.865315437316895</c:v>
                </c:pt>
                <c:pt idx="20">
                  <c:v>7.4087610244750977</c:v>
                </c:pt>
              </c:numCache>
            </c:numRef>
          </c:val>
          <c:smooth val="0"/>
          <c:extLst>
            <c:ext xmlns:c16="http://schemas.microsoft.com/office/drawing/2014/chart" uri="{C3380CC4-5D6E-409C-BE32-E72D297353CC}">
              <c16:uniqueId val="{00000001-DB8C-4E7C-9031-26AC6A23A320}"/>
            </c:ext>
          </c:extLst>
        </c:ser>
        <c:ser>
          <c:idx val="6"/>
          <c:order val="2"/>
          <c:tx>
            <c:strRef>
              <c:f>Fact5!$Y$9</c:f>
              <c:strCache>
                <c:ptCount val="1"/>
                <c:pt idx="0">
                  <c:v>COL</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Fact5!$Z$9:$AT$9</c:f>
              <c:numCache>
                <c:formatCode>0</c:formatCode>
                <c:ptCount val="21"/>
                <c:pt idx="0">
                  <c:v>38.569931030273438</c:v>
                </c:pt>
                <c:pt idx="1">
                  <c:v>39.924068450927734</c:v>
                </c:pt>
                <c:pt idx="2">
                  <c:v>33.969875335693359</c:v>
                </c:pt>
                <c:pt idx="3">
                  <c:v>42.363014221191406</c:v>
                </c:pt>
                <c:pt idx="4">
                  <c:v>39.306632995605469</c:v>
                </c:pt>
                <c:pt idx="5">
                  <c:v>30.391078948974609</c:v>
                </c:pt>
                <c:pt idx="6">
                  <c:v>29.397424697875977</c:v>
                </c:pt>
                <c:pt idx="7">
                  <c:v>26.507530212402344</c:v>
                </c:pt>
                <c:pt idx="8">
                  <c:v>23.320600509643555</c:v>
                </c:pt>
                <c:pt idx="9">
                  <c:v>23.747005462646484</c:v>
                </c:pt>
                <c:pt idx="10">
                  <c:v>21.165475845336914</c:v>
                </c:pt>
                <c:pt idx="11">
                  <c:v>19.967647552490234</c:v>
                </c:pt>
                <c:pt idx="12">
                  <c:v>19.205020904541016</c:v>
                </c:pt>
                <c:pt idx="13">
                  <c:v>18.622251510620117</c:v>
                </c:pt>
                <c:pt idx="14">
                  <c:v>18.066314697265625</c:v>
                </c:pt>
                <c:pt idx="15">
                  <c:v>18.631380081176758</c:v>
                </c:pt>
                <c:pt idx="16">
                  <c:v>19.659185409545898</c:v>
                </c:pt>
                <c:pt idx="17">
                  <c:v>21.620937347412109</c:v>
                </c:pt>
                <c:pt idx="18">
                  <c:v>20.451343536376953</c:v>
                </c:pt>
                <c:pt idx="19">
                  <c:v>19.512697219848633</c:v>
                </c:pt>
                <c:pt idx="20">
                  <c:v>18.617132186889648</c:v>
                </c:pt>
              </c:numCache>
            </c:numRef>
          </c:val>
          <c:smooth val="0"/>
          <c:extLst>
            <c:ext xmlns:c16="http://schemas.microsoft.com/office/drawing/2014/chart" uri="{C3380CC4-5D6E-409C-BE32-E72D297353CC}">
              <c16:uniqueId val="{00000002-DB8C-4E7C-9031-26AC6A23A320}"/>
            </c:ext>
          </c:extLst>
        </c:ser>
        <c:ser>
          <c:idx val="0"/>
          <c:order val="3"/>
          <c:tx>
            <c:strRef>
              <c:f>Fact5!$Y$5</c:f>
              <c:strCache>
                <c:ptCount val="1"/>
                <c:pt idx="0">
                  <c:v>ARG</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Fact5!$Z$5:$AT$5</c:f>
              <c:numCache>
                <c:formatCode>0</c:formatCode>
                <c:ptCount val="21"/>
                <c:pt idx="0">
                  <c:v>57.158382415771484</c:v>
                </c:pt>
                <c:pt idx="1">
                  <c:v>47.702262878417969</c:v>
                </c:pt>
                <c:pt idx="2">
                  <c:v>42.032127380371094</c:v>
                </c:pt>
                <c:pt idx="3">
                  <c:v>36.897781372070313</c:v>
                </c:pt>
                <c:pt idx="4">
                  <c:v>25.974327087402344</c:v>
                </c:pt>
                <c:pt idx="5">
                  <c:v>22.230743408203125</c:v>
                </c:pt>
                <c:pt idx="6">
                  <c:v>18.889942169189453</c:v>
                </c:pt>
                <c:pt idx="7">
                  <c:v>13.833292007446289</c:v>
                </c:pt>
                <c:pt idx="8">
                  <c:v>9.2170419692993164</c:v>
                </c:pt>
                <c:pt idx="9">
                  <c:v>6.6303329467773438</c:v>
                </c:pt>
                <c:pt idx="10">
                  <c:v>4.8721566200256348</c:v>
                </c:pt>
                <c:pt idx="11">
                  <c:v>5.4898667335510254</c:v>
                </c:pt>
                <c:pt idx="12">
                  <c:v>6.2616653442382813</c:v>
                </c:pt>
                <c:pt idx="13">
                  <c:v>7.0701084136962891</c:v>
                </c:pt>
                <c:pt idx="14">
                  <c:v>6.2889890670776367</c:v>
                </c:pt>
                <c:pt idx="15">
                  <c:v>6.9654927253723145</c:v>
                </c:pt>
                <c:pt idx="16">
                  <c:v>8.6303396224975586</c:v>
                </c:pt>
                <c:pt idx="17">
                  <c:v>9.8575401306152344</c:v>
                </c:pt>
                <c:pt idx="18">
                  <c:v>8.5299263000488281</c:v>
                </c:pt>
                <c:pt idx="19">
                  <c:v>8.1207027435302734</c:v>
                </c:pt>
                <c:pt idx="20">
                  <c:v>7.7311115264892578</c:v>
                </c:pt>
              </c:numCache>
            </c:numRef>
          </c:val>
          <c:smooth val="0"/>
          <c:extLst>
            <c:ext xmlns:c16="http://schemas.microsoft.com/office/drawing/2014/chart" uri="{C3380CC4-5D6E-409C-BE32-E72D297353CC}">
              <c16:uniqueId val="{00000003-DB8C-4E7C-9031-26AC6A23A320}"/>
            </c:ext>
          </c:extLst>
        </c:ser>
        <c:ser>
          <c:idx val="2"/>
          <c:order val="4"/>
          <c:tx>
            <c:strRef>
              <c:f>Fact5!$Y$6</c:f>
              <c:strCache>
                <c:ptCount val="1"/>
                <c:pt idx="0">
                  <c:v>BOL</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Fact5!$Z$6:$AT$6</c:f>
              <c:numCache>
                <c:formatCode>0</c:formatCode>
                <c:ptCount val="21"/>
                <c:pt idx="0">
                  <c:v>21.430349349975586</c:v>
                </c:pt>
                <c:pt idx="1">
                  <c:v>24.495639801025391</c:v>
                </c:pt>
                <c:pt idx="2">
                  <c:v>27.560932159423828</c:v>
                </c:pt>
                <c:pt idx="3">
                  <c:v>26.16798210144043</c:v>
                </c:pt>
                <c:pt idx="4">
                  <c:v>22.608821868896484</c:v>
                </c:pt>
                <c:pt idx="5">
                  <c:v>18.504581451416016</c:v>
                </c:pt>
                <c:pt idx="6">
                  <c:v>17.264245986938477</c:v>
                </c:pt>
                <c:pt idx="7">
                  <c:v>15.153205871582031</c:v>
                </c:pt>
                <c:pt idx="8">
                  <c:v>13.042166709899902</c:v>
                </c:pt>
                <c:pt idx="9">
                  <c:v>14.157891273498535</c:v>
                </c:pt>
                <c:pt idx="10">
                  <c:v>11.691269874572754</c:v>
                </c:pt>
                <c:pt idx="11">
                  <c:v>12.334632873535156</c:v>
                </c:pt>
                <c:pt idx="12">
                  <c:v>11.448407173156738</c:v>
                </c:pt>
                <c:pt idx="13">
                  <c:v>12.753410339355469</c:v>
                </c:pt>
                <c:pt idx="14">
                  <c:v>11.879587173461914</c:v>
                </c:pt>
                <c:pt idx="15">
                  <c:v>10.777788162231445</c:v>
                </c:pt>
                <c:pt idx="16">
                  <c:v>7.537266731262207</c:v>
                </c:pt>
                <c:pt idx="17">
                  <c:v>10.430375099182129</c:v>
                </c:pt>
                <c:pt idx="18">
                  <c:v>7.6802902221679688</c:v>
                </c:pt>
                <c:pt idx="19">
                  <c:v>9.1588373184204102</c:v>
                </c:pt>
                <c:pt idx="20">
                  <c:v>10.922021865844727</c:v>
                </c:pt>
              </c:numCache>
            </c:numRef>
          </c:val>
          <c:smooth val="0"/>
          <c:extLst>
            <c:ext xmlns:c16="http://schemas.microsoft.com/office/drawing/2014/chart" uri="{C3380CC4-5D6E-409C-BE32-E72D297353CC}">
              <c16:uniqueId val="{00000005-DB8C-4E7C-9031-26AC6A23A320}"/>
            </c:ext>
          </c:extLst>
        </c:ser>
        <c:ser>
          <c:idx val="5"/>
          <c:order val="5"/>
          <c:tx>
            <c:strRef>
              <c:f>Fact5!$Y$8</c:f>
              <c:strCache>
                <c:ptCount val="1"/>
                <c:pt idx="0">
                  <c:v>CHL</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Fact5!$Z$8:$AT$8</c:f>
              <c:numCache>
                <c:formatCode>0</c:formatCode>
                <c:ptCount val="21"/>
                <c:pt idx="0">
                  <c:v>14.444070816040039</c:v>
                </c:pt>
                <c:pt idx="1">
                  <c:v>12.610490798950195</c:v>
                </c:pt>
                <c:pt idx="2">
                  <c:v>11.009672164916992</c:v>
                </c:pt>
                <c:pt idx="3">
                  <c:v>9.6120662689208984</c:v>
                </c:pt>
                <c:pt idx="4">
                  <c:v>8.7864065170288086</c:v>
                </c:pt>
                <c:pt idx="5">
                  <c:v>8.0316696166992188</c:v>
                </c:pt>
                <c:pt idx="6">
                  <c:v>7.3417620658874512</c:v>
                </c:pt>
                <c:pt idx="7">
                  <c:v>6.9364314079284668</c:v>
                </c:pt>
                <c:pt idx="8">
                  <c:v>6.5311007499694824</c:v>
                </c:pt>
                <c:pt idx="9">
                  <c:v>5.5308938026428223</c:v>
                </c:pt>
                <c:pt idx="10">
                  <c:v>4.5306868553161621</c:v>
                </c:pt>
                <c:pt idx="11">
                  <c:v>4.3979816436767578</c:v>
                </c:pt>
                <c:pt idx="12">
                  <c:v>4.2652759552001953</c:v>
                </c:pt>
                <c:pt idx="13">
                  <c:v>3.9760651588439941</c:v>
                </c:pt>
                <c:pt idx="14">
                  <c:v>3.686854362487793</c:v>
                </c:pt>
                <c:pt idx="15">
                  <c:v>4.6684908866882324</c:v>
                </c:pt>
                <c:pt idx="16">
                  <c:v>5.9114909172058105</c:v>
                </c:pt>
                <c:pt idx="17">
                  <c:v>7.485443115234375</c:v>
                </c:pt>
                <c:pt idx="18">
                  <c:v>5.3512134552001953</c:v>
                </c:pt>
                <c:pt idx="19">
                  <c:v>3.2169833183288574</c:v>
                </c:pt>
                <c:pt idx="20">
                  <c:v>1.9339504241943359</c:v>
                </c:pt>
              </c:numCache>
            </c:numRef>
          </c:val>
          <c:smooth val="0"/>
          <c:extLst>
            <c:ext xmlns:c16="http://schemas.microsoft.com/office/drawing/2014/chart" uri="{C3380CC4-5D6E-409C-BE32-E72D297353CC}">
              <c16:uniqueId val="{00000007-DB8C-4E7C-9031-26AC6A23A320}"/>
            </c:ext>
          </c:extLst>
        </c:ser>
        <c:ser>
          <c:idx val="7"/>
          <c:order val="6"/>
          <c:tx>
            <c:strRef>
              <c:f>Fact5!$Y$10</c:f>
              <c:strCache>
                <c:ptCount val="1"/>
                <c:pt idx="0">
                  <c:v>CRI</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Fact5!$Z$10:$AT$10</c:f>
              <c:numCache>
                <c:formatCode>0</c:formatCode>
                <c:ptCount val="21"/>
                <c:pt idx="0">
                  <c:v>14.039286613464355</c:v>
                </c:pt>
                <c:pt idx="1">
                  <c:v>13.902563095092773</c:v>
                </c:pt>
                <c:pt idx="2">
                  <c:v>12.411727905273438</c:v>
                </c:pt>
                <c:pt idx="3">
                  <c:v>11.610855102539063</c:v>
                </c:pt>
                <c:pt idx="4">
                  <c:v>8.7138156890869141</c:v>
                </c:pt>
                <c:pt idx="5">
                  <c:v>7.4615211486816406</c:v>
                </c:pt>
                <c:pt idx="6">
                  <c:v>7.8839383125305176</c:v>
                </c:pt>
                <c:pt idx="7">
                  <c:v>7.8005781173706055</c:v>
                </c:pt>
                <c:pt idx="8">
                  <c:v>10.64293384552002</c:v>
                </c:pt>
                <c:pt idx="9">
                  <c:v>8.1358013153076172</c:v>
                </c:pt>
                <c:pt idx="10">
                  <c:v>8.2189216613769531</c:v>
                </c:pt>
                <c:pt idx="11">
                  <c:v>7.4477596282958984</c:v>
                </c:pt>
                <c:pt idx="12">
                  <c:v>7.3149294853210449</c:v>
                </c:pt>
                <c:pt idx="13">
                  <c:v>7.0541119575500488</c:v>
                </c:pt>
                <c:pt idx="14">
                  <c:v>6.5865716934204102</c:v>
                </c:pt>
                <c:pt idx="15">
                  <c:v>7.129307746887207</c:v>
                </c:pt>
                <c:pt idx="16">
                  <c:v>6.8127789497375488</c:v>
                </c:pt>
                <c:pt idx="17">
                  <c:v>12.124826431274414</c:v>
                </c:pt>
                <c:pt idx="18">
                  <c:v>7.5102291107177734</c:v>
                </c:pt>
                <c:pt idx="19">
                  <c:v>7.0888323783874512</c:v>
                </c:pt>
                <c:pt idx="20">
                  <c:v>6.5896177291870117</c:v>
                </c:pt>
              </c:numCache>
            </c:numRef>
          </c:val>
          <c:smooth val="0"/>
          <c:extLst>
            <c:ext xmlns:c16="http://schemas.microsoft.com/office/drawing/2014/chart" uri="{C3380CC4-5D6E-409C-BE32-E72D297353CC}">
              <c16:uniqueId val="{00000008-DB8C-4E7C-9031-26AC6A23A320}"/>
            </c:ext>
          </c:extLst>
        </c:ser>
        <c:ser>
          <c:idx val="8"/>
          <c:order val="7"/>
          <c:tx>
            <c:strRef>
              <c:f>Fact5!$Y$11</c:f>
              <c:strCache>
                <c:ptCount val="1"/>
                <c:pt idx="0">
                  <c:v>DOM</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Fact5!$Z$11:$AT$11</c:f>
              <c:numCache>
                <c:formatCode>0</c:formatCode>
                <c:ptCount val="21"/>
                <c:pt idx="0">
                  <c:v>29.330852508544922</c:v>
                </c:pt>
                <c:pt idx="1">
                  <c:v>36.2017822265625</c:v>
                </c:pt>
                <c:pt idx="2">
                  <c:v>30.235481262207031</c:v>
                </c:pt>
                <c:pt idx="3">
                  <c:v>27.800455093383789</c:v>
                </c:pt>
                <c:pt idx="4">
                  <c:v>25.786188125610352</c:v>
                </c:pt>
                <c:pt idx="5">
                  <c:v>25.155765533447266</c:v>
                </c:pt>
                <c:pt idx="6">
                  <c:v>24.71571159362793</c:v>
                </c:pt>
                <c:pt idx="7">
                  <c:v>24.857109069824219</c:v>
                </c:pt>
                <c:pt idx="8">
                  <c:v>22.856687545776367</c:v>
                </c:pt>
                <c:pt idx="9">
                  <c:v>23.490676879882813</c:v>
                </c:pt>
                <c:pt idx="10">
                  <c:v>22.152072906494141</c:v>
                </c:pt>
                <c:pt idx="11">
                  <c:v>19.500482559204102</c:v>
                </c:pt>
                <c:pt idx="12">
                  <c:v>15.745692253112793</c:v>
                </c:pt>
                <c:pt idx="13">
                  <c:v>15.299579620361328</c:v>
                </c:pt>
                <c:pt idx="14">
                  <c:v>10.76158618927002</c:v>
                </c:pt>
                <c:pt idx="15">
                  <c:v>9.6287860870361328</c:v>
                </c:pt>
                <c:pt idx="16">
                  <c:v>7.701484203338623</c:v>
                </c:pt>
                <c:pt idx="17">
                  <c:v>13.13040828704834</c:v>
                </c:pt>
                <c:pt idx="18">
                  <c:v>10.436375617980957</c:v>
                </c:pt>
                <c:pt idx="19">
                  <c:v>9.0519723892211914</c:v>
                </c:pt>
                <c:pt idx="20">
                  <c:v>7.8512125015258789</c:v>
                </c:pt>
              </c:numCache>
            </c:numRef>
          </c:val>
          <c:smooth val="0"/>
          <c:extLst>
            <c:ext xmlns:c16="http://schemas.microsoft.com/office/drawing/2014/chart" uri="{C3380CC4-5D6E-409C-BE32-E72D297353CC}">
              <c16:uniqueId val="{00000009-DB8C-4E7C-9031-26AC6A23A320}"/>
            </c:ext>
          </c:extLst>
        </c:ser>
        <c:ser>
          <c:idx val="9"/>
          <c:order val="8"/>
          <c:tx>
            <c:strRef>
              <c:f>Fact5!$Y$12</c:f>
              <c:strCache>
                <c:ptCount val="1"/>
                <c:pt idx="0">
                  <c:v>ECU</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Fact5!$Z$12:$AT$12</c:f>
              <c:numCache>
                <c:formatCode>0</c:formatCode>
                <c:ptCount val="21"/>
                <c:pt idx="0">
                  <c:v>37.090213775634766</c:v>
                </c:pt>
                <c:pt idx="1">
                  <c:v>33.023811340332031</c:v>
                </c:pt>
                <c:pt idx="2">
                  <c:v>30.692819595336914</c:v>
                </c:pt>
                <c:pt idx="3">
                  <c:v>25.60865592956543</c:v>
                </c:pt>
                <c:pt idx="4">
                  <c:v>24.897134780883789</c:v>
                </c:pt>
                <c:pt idx="5">
                  <c:v>23.852746963500977</c:v>
                </c:pt>
                <c:pt idx="6">
                  <c:v>23.81477165222168</c:v>
                </c:pt>
                <c:pt idx="7">
                  <c:v>21.660617828369141</c:v>
                </c:pt>
                <c:pt idx="8">
                  <c:v>17.783233642578125</c:v>
                </c:pt>
                <c:pt idx="9">
                  <c:v>17.211780548095703</c:v>
                </c:pt>
                <c:pt idx="10">
                  <c:v>15.392486572265625</c:v>
                </c:pt>
                <c:pt idx="11">
                  <c:v>13.559603691101074</c:v>
                </c:pt>
                <c:pt idx="12">
                  <c:v>14.046497344970703</c:v>
                </c:pt>
                <c:pt idx="13">
                  <c:v>14.130780220031738</c:v>
                </c:pt>
                <c:pt idx="14">
                  <c:v>13.528898239135742</c:v>
                </c:pt>
                <c:pt idx="15">
                  <c:v>14.329412460327148</c:v>
                </c:pt>
                <c:pt idx="16">
                  <c:v>15.837186813354492</c:v>
                </c:pt>
                <c:pt idx="17">
                  <c:v>21.555841445922852</c:v>
                </c:pt>
                <c:pt idx="18">
                  <c:v>15.889734268188477</c:v>
                </c:pt>
                <c:pt idx="19">
                  <c:v>14.630291938781738</c:v>
                </c:pt>
                <c:pt idx="20">
                  <c:v>15.846808433532715</c:v>
                </c:pt>
              </c:numCache>
            </c:numRef>
          </c:val>
          <c:smooth val="0"/>
          <c:extLst>
            <c:ext xmlns:c16="http://schemas.microsoft.com/office/drawing/2014/chart" uri="{C3380CC4-5D6E-409C-BE32-E72D297353CC}">
              <c16:uniqueId val="{0000000A-DB8C-4E7C-9031-26AC6A23A320}"/>
            </c:ext>
          </c:extLst>
        </c:ser>
        <c:ser>
          <c:idx val="10"/>
          <c:order val="9"/>
          <c:tx>
            <c:strRef>
              <c:f>Fact5!$Y$13</c:f>
              <c:strCache>
                <c:ptCount val="1"/>
                <c:pt idx="0">
                  <c:v>GTM</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Fact5!$Z$13:$AT$13</c:f>
              <c:numCache>
                <c:formatCode>0</c:formatCode>
                <c:ptCount val="21"/>
                <c:pt idx="0">
                  <c:v>29.191434860229492</c:v>
                </c:pt>
                <c:pt idx="1">
                  <c:v>40.634037017822266</c:v>
                </c:pt>
                <c:pt idx="2">
                  <c:v>34.707344055175781</c:v>
                </c:pt>
                <c:pt idx="3">
                  <c:v>28.780647277832031</c:v>
                </c:pt>
                <c:pt idx="4">
                  <c:v>32.770954132080078</c:v>
                </c:pt>
                <c:pt idx="5">
                  <c:v>37.314498901367188</c:v>
                </c:pt>
                <c:pt idx="6">
                  <c:v>42.487987518310547</c:v>
                </c:pt>
                <c:pt idx="7">
                  <c:v>48.378761291503906</c:v>
                </c:pt>
                <c:pt idx="8">
                  <c:v>47.511631011962891</c:v>
                </c:pt>
                <c:pt idx="9">
                  <c:v>37.146160125732422</c:v>
                </c:pt>
                <c:pt idx="10">
                  <c:v>34.089271545410156</c:v>
                </c:pt>
                <c:pt idx="11">
                  <c:v>32.221889495849609</c:v>
                </c:pt>
                <c:pt idx="12">
                  <c:v>29.102621078491211</c:v>
                </c:pt>
                <c:pt idx="13">
                  <c:v>32.294181823730469</c:v>
                </c:pt>
                <c:pt idx="14">
                  <c:v>32.957473754882813</c:v>
                </c:pt>
                <c:pt idx="15">
                  <c:v>34.01861572265625</c:v>
                </c:pt>
                <c:pt idx="16">
                  <c:v>31.740251541137695</c:v>
                </c:pt>
                <c:pt idx="17">
                  <c:v>32.39715576171875</c:v>
                </c:pt>
                <c:pt idx="18">
                  <c:v>33.054058074951172</c:v>
                </c:pt>
                <c:pt idx="19">
                  <c:v>31.91087532043457</c:v>
                </c:pt>
                <c:pt idx="20">
                  <c:v>30.807229995727539</c:v>
                </c:pt>
              </c:numCache>
            </c:numRef>
          </c:val>
          <c:smooth val="0"/>
          <c:extLst>
            <c:ext xmlns:c16="http://schemas.microsoft.com/office/drawing/2014/chart" uri="{C3380CC4-5D6E-409C-BE32-E72D297353CC}">
              <c16:uniqueId val="{0000000B-DB8C-4E7C-9031-26AC6A23A320}"/>
            </c:ext>
          </c:extLst>
        </c:ser>
        <c:ser>
          <c:idx val="11"/>
          <c:order val="10"/>
          <c:tx>
            <c:strRef>
              <c:f>Fact5!$Y$14</c:f>
              <c:strCache>
                <c:ptCount val="1"/>
                <c:pt idx="0">
                  <c:v>GUY</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Fact5!$Z$14:$AT$14</c:f>
              <c:numCache>
                <c:formatCode>0</c:formatCode>
                <c:ptCount val="21"/>
                <c:pt idx="14">
                  <c:v>29.606311798095703</c:v>
                </c:pt>
                <c:pt idx="15">
                  <c:v>31.088315963745117</c:v>
                </c:pt>
                <c:pt idx="16">
                  <c:v>32.4420166015625</c:v>
                </c:pt>
                <c:pt idx="17">
                  <c:v>32.220237731933594</c:v>
                </c:pt>
                <c:pt idx="18">
                  <c:v>31.99846076965332</c:v>
                </c:pt>
                <c:pt idx="19">
                  <c:v>31.99846076965332</c:v>
                </c:pt>
                <c:pt idx="20">
                  <c:v>31.99846076965332</c:v>
                </c:pt>
              </c:numCache>
            </c:numRef>
          </c:val>
          <c:smooth val="0"/>
          <c:extLst>
            <c:ext xmlns:c16="http://schemas.microsoft.com/office/drawing/2014/chart" uri="{C3380CC4-5D6E-409C-BE32-E72D297353CC}">
              <c16:uniqueId val="{0000000C-DB8C-4E7C-9031-26AC6A23A320}"/>
            </c:ext>
          </c:extLst>
        </c:ser>
        <c:ser>
          <c:idx val="12"/>
          <c:order val="11"/>
          <c:tx>
            <c:strRef>
              <c:f>Fact5!$Y$15</c:f>
              <c:strCache>
                <c:ptCount val="1"/>
                <c:pt idx="0">
                  <c:v>HND</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Fact5!$Z$15:$AT$15</c:f>
              <c:numCache>
                <c:formatCode>0</c:formatCode>
                <c:ptCount val="21"/>
                <c:pt idx="0">
                  <c:v>40.934581756591797</c:v>
                </c:pt>
                <c:pt idx="1">
                  <c:v>44.941993713378906</c:v>
                </c:pt>
                <c:pt idx="2">
                  <c:v>43.037544250488281</c:v>
                </c:pt>
                <c:pt idx="3">
                  <c:v>40.247760772705078</c:v>
                </c:pt>
                <c:pt idx="4">
                  <c:v>35.678627014160156</c:v>
                </c:pt>
                <c:pt idx="5">
                  <c:v>31.946559906005859</c:v>
                </c:pt>
                <c:pt idx="6">
                  <c:v>31.835147857666016</c:v>
                </c:pt>
                <c:pt idx="7">
                  <c:v>34.298114776611328</c:v>
                </c:pt>
                <c:pt idx="8">
                  <c:v>36.528945922851563</c:v>
                </c:pt>
                <c:pt idx="9">
                  <c:v>41.205833435058594</c:v>
                </c:pt>
                <c:pt idx="10">
                  <c:v>39.225311279296875</c:v>
                </c:pt>
                <c:pt idx="11">
                  <c:v>35.128620147705078</c:v>
                </c:pt>
                <c:pt idx="12">
                  <c:v>34.949161529541016</c:v>
                </c:pt>
                <c:pt idx="13">
                  <c:v>33.862903594970703</c:v>
                </c:pt>
                <c:pt idx="14">
                  <c:v>36.080768585205078</c:v>
                </c:pt>
                <c:pt idx="15">
                  <c:v>35.269680023193359</c:v>
                </c:pt>
                <c:pt idx="16">
                  <c:v>38.266094207763672</c:v>
                </c:pt>
                <c:pt idx="17">
                  <c:v>39.636203765869141</c:v>
                </c:pt>
                <c:pt idx="18">
                  <c:v>41.055366516113281</c:v>
                </c:pt>
                <c:pt idx="19">
                  <c:v>42.525337219238281</c:v>
                </c:pt>
                <c:pt idx="20">
                  <c:v>35.109729766845703</c:v>
                </c:pt>
              </c:numCache>
            </c:numRef>
          </c:val>
          <c:smooth val="0"/>
          <c:extLst>
            <c:ext xmlns:c16="http://schemas.microsoft.com/office/drawing/2014/chart" uri="{C3380CC4-5D6E-409C-BE32-E72D297353CC}">
              <c16:uniqueId val="{0000000D-DB8C-4E7C-9031-26AC6A23A320}"/>
            </c:ext>
          </c:extLst>
        </c:ser>
        <c:ser>
          <c:idx val="14"/>
          <c:order val="12"/>
          <c:tx>
            <c:strRef>
              <c:f>Fact5!$Y$17</c:f>
              <c:strCache>
                <c:ptCount val="1"/>
                <c:pt idx="0">
                  <c:v>PAN</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Fact5!$Z$17:$AT$17</c:f>
              <c:numCache>
                <c:formatCode>0</c:formatCode>
                <c:ptCount val="21"/>
                <c:pt idx="0">
                  <c:v>19.505472183227539</c:v>
                </c:pt>
                <c:pt idx="1">
                  <c:v>19.894149780273438</c:v>
                </c:pt>
                <c:pt idx="2">
                  <c:v>19.046466827392578</c:v>
                </c:pt>
                <c:pt idx="3">
                  <c:v>19.16015625</c:v>
                </c:pt>
                <c:pt idx="4">
                  <c:v>16.640659332275391</c:v>
                </c:pt>
                <c:pt idx="5">
                  <c:v>16.262025833129883</c:v>
                </c:pt>
                <c:pt idx="6">
                  <c:v>14.433358192443848</c:v>
                </c:pt>
                <c:pt idx="7">
                  <c:v>14.408330917358398</c:v>
                </c:pt>
                <c:pt idx="8">
                  <c:v>12.223545074462891</c:v>
                </c:pt>
                <c:pt idx="9">
                  <c:v>9.4491634368896484</c:v>
                </c:pt>
                <c:pt idx="10">
                  <c:v>10.783822059631348</c:v>
                </c:pt>
                <c:pt idx="11">
                  <c:v>9.8965740203857422</c:v>
                </c:pt>
                <c:pt idx="12">
                  <c:v>10.029431343078613</c:v>
                </c:pt>
                <c:pt idx="13">
                  <c:v>8.4328737258911133</c:v>
                </c:pt>
                <c:pt idx="14">
                  <c:v>8.1176433563232422</c:v>
                </c:pt>
                <c:pt idx="15">
                  <c:v>8.4074573516845703</c:v>
                </c:pt>
                <c:pt idx="16">
                  <c:v>8.2286205291748047</c:v>
                </c:pt>
                <c:pt idx="17">
                  <c:v>8.4610786437988281</c:v>
                </c:pt>
                <c:pt idx="18">
                  <c:v>8.700103759765625</c:v>
                </c:pt>
                <c:pt idx="19">
                  <c:v>8.9458808898925781</c:v>
                </c:pt>
                <c:pt idx="20">
                  <c:v>9.1986007690429688</c:v>
                </c:pt>
              </c:numCache>
            </c:numRef>
          </c:val>
          <c:smooth val="0"/>
          <c:extLst>
            <c:ext xmlns:c16="http://schemas.microsoft.com/office/drawing/2014/chart" uri="{C3380CC4-5D6E-409C-BE32-E72D297353CC}">
              <c16:uniqueId val="{0000000E-DB8C-4E7C-9031-26AC6A23A320}"/>
            </c:ext>
          </c:extLst>
        </c:ser>
        <c:ser>
          <c:idx val="15"/>
          <c:order val="13"/>
          <c:tx>
            <c:strRef>
              <c:f>Fact5!$Y$18</c:f>
              <c:strCache>
                <c:ptCount val="1"/>
                <c:pt idx="0">
                  <c:v>PER</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Fact5!$Z$18:$AT$18</c:f>
              <c:numCache>
                <c:formatCode>0</c:formatCode>
                <c:ptCount val="21"/>
                <c:pt idx="0">
                  <c:v>36.082656860351563</c:v>
                </c:pt>
                <c:pt idx="1">
                  <c:v>36.340023040771484</c:v>
                </c:pt>
                <c:pt idx="2">
                  <c:v>39.131866455078125</c:v>
                </c:pt>
                <c:pt idx="3">
                  <c:v>36.236225128173828</c:v>
                </c:pt>
                <c:pt idx="4">
                  <c:v>29.151054382324219</c:v>
                </c:pt>
                <c:pt idx="5">
                  <c:v>25.421737670898438</c:v>
                </c:pt>
                <c:pt idx="6">
                  <c:v>18.704830169677734</c:v>
                </c:pt>
                <c:pt idx="7">
                  <c:v>16.461704254150391</c:v>
                </c:pt>
                <c:pt idx="8">
                  <c:v>18.892986297607422</c:v>
                </c:pt>
                <c:pt idx="9">
                  <c:v>17.266027450561523</c:v>
                </c:pt>
                <c:pt idx="10">
                  <c:v>16.544425964355469</c:v>
                </c:pt>
                <c:pt idx="11">
                  <c:v>15.426937103271484</c:v>
                </c:pt>
                <c:pt idx="12">
                  <c:v>14.944316864013672</c:v>
                </c:pt>
                <c:pt idx="13">
                  <c:v>14.880022048950195</c:v>
                </c:pt>
                <c:pt idx="14">
                  <c:v>14.749188423156738</c:v>
                </c:pt>
                <c:pt idx="15">
                  <c:v>12.959710121154785</c:v>
                </c:pt>
                <c:pt idx="16">
                  <c:v>11.822205543518066</c:v>
                </c:pt>
                <c:pt idx="17">
                  <c:v>23.303895950317383</c:v>
                </c:pt>
                <c:pt idx="18">
                  <c:v>14.145053863525391</c:v>
                </c:pt>
                <c:pt idx="19">
                  <c:v>12.462396621704102</c:v>
                </c:pt>
                <c:pt idx="20">
                  <c:v>10.979904174804688</c:v>
                </c:pt>
              </c:numCache>
            </c:numRef>
          </c:val>
          <c:smooth val="0"/>
          <c:extLst>
            <c:ext xmlns:c16="http://schemas.microsoft.com/office/drawing/2014/chart" uri="{C3380CC4-5D6E-409C-BE32-E72D297353CC}">
              <c16:uniqueId val="{0000000F-DB8C-4E7C-9031-26AC6A23A320}"/>
            </c:ext>
          </c:extLst>
        </c:ser>
        <c:ser>
          <c:idx val="16"/>
          <c:order val="14"/>
          <c:tx>
            <c:strRef>
              <c:f>Fact5!$Y$19</c:f>
              <c:strCache>
                <c:ptCount val="1"/>
                <c:pt idx="0">
                  <c:v>PRY</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Fact5!$Z$19:$AT$19</c:f>
              <c:numCache>
                <c:formatCode>0</c:formatCode>
                <c:ptCount val="21"/>
                <c:pt idx="0">
                  <c:v>29.401519775390625</c:v>
                </c:pt>
                <c:pt idx="1">
                  <c:v>25.954771041870117</c:v>
                </c:pt>
                <c:pt idx="2">
                  <c:v>21.66015625</c:v>
                </c:pt>
                <c:pt idx="3">
                  <c:v>26.555629730224609</c:v>
                </c:pt>
                <c:pt idx="4">
                  <c:v>22.036409378051758</c:v>
                </c:pt>
                <c:pt idx="5">
                  <c:v>21.534603118896484</c:v>
                </c:pt>
                <c:pt idx="6">
                  <c:v>20.314241409301758</c:v>
                </c:pt>
                <c:pt idx="7">
                  <c:v>20.313493728637695</c:v>
                </c:pt>
                <c:pt idx="8">
                  <c:v>18.601699829101563</c:v>
                </c:pt>
                <c:pt idx="9">
                  <c:v>18.355260848999023</c:v>
                </c:pt>
                <c:pt idx="10">
                  <c:v>13.512746810913086</c:v>
                </c:pt>
                <c:pt idx="11">
                  <c:v>13.23590087890625</c:v>
                </c:pt>
                <c:pt idx="12">
                  <c:v>13.862668037414551</c:v>
                </c:pt>
                <c:pt idx="13">
                  <c:v>15.528464317321777</c:v>
                </c:pt>
                <c:pt idx="14">
                  <c:v>14.606579780578613</c:v>
                </c:pt>
                <c:pt idx="15">
                  <c:v>12.543441772460938</c:v>
                </c:pt>
                <c:pt idx="16">
                  <c:v>12.439337730407715</c:v>
                </c:pt>
                <c:pt idx="17">
                  <c:v>10.641407012939453</c:v>
                </c:pt>
                <c:pt idx="18">
                  <c:v>11.396774291992188</c:v>
                </c:pt>
                <c:pt idx="19">
                  <c:v>12.367045402526855</c:v>
                </c:pt>
                <c:pt idx="20">
                  <c:v>13.419920921325684</c:v>
                </c:pt>
              </c:numCache>
            </c:numRef>
          </c:val>
          <c:smooth val="0"/>
          <c:extLst>
            <c:ext xmlns:c16="http://schemas.microsoft.com/office/drawing/2014/chart" uri="{C3380CC4-5D6E-409C-BE32-E72D297353CC}">
              <c16:uniqueId val="{00000010-DB8C-4E7C-9031-26AC6A23A320}"/>
            </c:ext>
          </c:extLst>
        </c:ser>
        <c:ser>
          <c:idx val="17"/>
          <c:order val="15"/>
          <c:tx>
            <c:strRef>
              <c:f>Fact5!$Y$20</c:f>
              <c:strCache>
                <c:ptCount val="1"/>
                <c:pt idx="0">
                  <c:v>SLV</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Fact5!$Z$20:$AT$20</c:f>
              <c:numCache>
                <c:formatCode>0</c:formatCode>
                <c:ptCount val="21"/>
                <c:pt idx="0">
                  <c:v>30.098274230957031</c:v>
                </c:pt>
                <c:pt idx="1">
                  <c:v>29.909538269042969</c:v>
                </c:pt>
                <c:pt idx="2">
                  <c:v>33.278915405273438</c:v>
                </c:pt>
                <c:pt idx="3">
                  <c:v>29.543764114379883</c:v>
                </c:pt>
                <c:pt idx="4">
                  <c:v>26.075855255126953</c:v>
                </c:pt>
                <c:pt idx="5">
                  <c:v>29.958087921142578</c:v>
                </c:pt>
                <c:pt idx="6">
                  <c:v>30.230155944824219</c:v>
                </c:pt>
                <c:pt idx="7">
                  <c:v>29.565187454223633</c:v>
                </c:pt>
                <c:pt idx="8">
                  <c:v>27.949380874633789</c:v>
                </c:pt>
                <c:pt idx="9">
                  <c:v>26.217578887939453</c:v>
                </c:pt>
                <c:pt idx="10">
                  <c:v>23.065671920776367</c:v>
                </c:pt>
                <c:pt idx="11">
                  <c:v>22.834812164306641</c:v>
                </c:pt>
                <c:pt idx="12">
                  <c:v>20.33000373840332</c:v>
                </c:pt>
                <c:pt idx="13">
                  <c:v>20.716344833374023</c:v>
                </c:pt>
                <c:pt idx="14">
                  <c:v>18.393341064453125</c:v>
                </c:pt>
                <c:pt idx="15">
                  <c:v>16.515666961669922</c:v>
                </c:pt>
                <c:pt idx="16">
                  <c:v>14.110957145690918</c:v>
                </c:pt>
                <c:pt idx="17">
                  <c:v>18.446578979492188</c:v>
                </c:pt>
                <c:pt idx="18">
                  <c:v>17.403285980224609</c:v>
                </c:pt>
                <c:pt idx="19">
                  <c:v>17.153528213500977</c:v>
                </c:pt>
                <c:pt idx="20">
                  <c:v>15.566752433776855</c:v>
                </c:pt>
              </c:numCache>
            </c:numRef>
          </c:val>
          <c:smooth val="0"/>
          <c:extLst>
            <c:ext xmlns:c16="http://schemas.microsoft.com/office/drawing/2014/chart" uri="{C3380CC4-5D6E-409C-BE32-E72D297353CC}">
              <c16:uniqueId val="{00000011-DB8C-4E7C-9031-26AC6A23A320}"/>
            </c:ext>
          </c:extLst>
        </c:ser>
        <c:ser>
          <c:idx val="18"/>
          <c:order val="16"/>
          <c:tx>
            <c:strRef>
              <c:f>Fact5!$Y$21</c:f>
              <c:strCache>
                <c:ptCount val="1"/>
                <c:pt idx="0">
                  <c:v>URY</c:v>
                </c:pt>
              </c:strCache>
            </c:strRef>
          </c:tx>
          <c:spPr>
            <a:ln w="28575" cap="rnd">
              <a:solidFill>
                <a:schemeClr val="bg1">
                  <a:lumMod val="85000"/>
                </a:schemeClr>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Fact5!$Z$21:$AT$21</c:f>
              <c:numCache>
                <c:formatCode>0</c:formatCode>
                <c:ptCount val="21"/>
                <c:pt idx="0">
                  <c:v>11.772184371948242</c:v>
                </c:pt>
                <c:pt idx="1">
                  <c:v>13.025636672973633</c:v>
                </c:pt>
                <c:pt idx="2">
                  <c:v>12.149932861328125</c:v>
                </c:pt>
                <c:pt idx="3">
                  <c:v>8.6665973663330078</c:v>
                </c:pt>
                <c:pt idx="4">
                  <c:v>9.0558414459228516</c:v>
                </c:pt>
                <c:pt idx="5">
                  <c:v>4.9746270179748535</c:v>
                </c:pt>
                <c:pt idx="6">
                  <c:v>6.0477023124694824</c:v>
                </c:pt>
                <c:pt idx="7">
                  <c:v>4.8753628730773926</c:v>
                </c:pt>
                <c:pt idx="8">
                  <c:v>4.2148504257202148</c:v>
                </c:pt>
                <c:pt idx="9">
                  <c:v>4.2156963348388672</c:v>
                </c:pt>
                <c:pt idx="10">
                  <c:v>3.9434285163879395</c:v>
                </c:pt>
                <c:pt idx="11">
                  <c:v>3.4458074569702148</c:v>
                </c:pt>
                <c:pt idx="12">
                  <c:v>3.8563013076782227</c:v>
                </c:pt>
                <c:pt idx="13">
                  <c:v>3.5427837371826172</c:v>
                </c:pt>
                <c:pt idx="14">
                  <c:v>2.8764021396636963</c:v>
                </c:pt>
                <c:pt idx="15">
                  <c:v>2.8609726428985596</c:v>
                </c:pt>
                <c:pt idx="16">
                  <c:v>3.1808047294616699</c:v>
                </c:pt>
                <c:pt idx="17">
                  <c:v>4.6586627960205078</c:v>
                </c:pt>
                <c:pt idx="18">
                  <c:v>4.559272289276123</c:v>
                </c:pt>
                <c:pt idx="19">
                  <c:v>3.9979178905487061</c:v>
                </c:pt>
                <c:pt idx="20">
                  <c:v>3.5056796073913574</c:v>
                </c:pt>
              </c:numCache>
            </c:numRef>
          </c:val>
          <c:smooth val="0"/>
          <c:extLst>
            <c:ext xmlns:c16="http://schemas.microsoft.com/office/drawing/2014/chart" uri="{C3380CC4-5D6E-409C-BE32-E72D297353CC}">
              <c16:uniqueId val="{00000012-DB8C-4E7C-9031-26AC6A23A320}"/>
            </c:ext>
          </c:extLst>
        </c:ser>
        <c:ser>
          <c:idx val="19"/>
          <c:order val="17"/>
          <c:tx>
            <c:strRef>
              <c:f>Fact5!$Y$22</c:f>
              <c:strCache>
                <c:ptCount val="1"/>
                <c:pt idx="0">
                  <c:v>VEN</c:v>
                </c:pt>
              </c:strCache>
            </c:strRef>
          </c:tx>
          <c:spPr>
            <a:ln w="28575" cap="rnd">
              <a:solidFill>
                <a:srgbClr val="D9D9D9"/>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Fact5!$Z$22:$AT$22</c:f>
              <c:numCache>
                <c:formatCode>0</c:formatCode>
                <c:ptCount val="21"/>
                <c:pt idx="0">
                  <c:v>34.786518096923828</c:v>
                </c:pt>
                <c:pt idx="1">
                  <c:v>25.831439971923828</c:v>
                </c:pt>
                <c:pt idx="2">
                  <c:v>23.026056289672852</c:v>
                </c:pt>
                <c:pt idx="3">
                  <c:v>13.7447509765625</c:v>
                </c:pt>
                <c:pt idx="4">
                  <c:v>10.19660758972168</c:v>
                </c:pt>
                <c:pt idx="5">
                  <c:v>9.0856914520263672</c:v>
                </c:pt>
                <c:pt idx="6">
                  <c:v>8.0975875854492188</c:v>
                </c:pt>
                <c:pt idx="7">
                  <c:v>8.1186361312866211</c:v>
                </c:pt>
                <c:pt idx="8">
                  <c:v>8.4276628494262695</c:v>
                </c:pt>
                <c:pt idx="9">
                  <c:v>8.5514430999755859</c:v>
                </c:pt>
                <c:pt idx="10">
                  <c:v>7.9765357971191406</c:v>
                </c:pt>
                <c:pt idx="11">
                  <c:v>6.1628198623657227</c:v>
                </c:pt>
                <c:pt idx="12">
                  <c:v>8.7236251831054688</c:v>
                </c:pt>
                <c:pt idx="13">
                  <c:v>19.372528076171875</c:v>
                </c:pt>
                <c:pt idx="14">
                  <c:v>17.856193542480469</c:v>
                </c:pt>
                <c:pt idx="15">
                  <c:v>25.077169418334961</c:v>
                </c:pt>
                <c:pt idx="16">
                  <c:v>50.179054260253906</c:v>
                </c:pt>
                <c:pt idx="17">
                  <c:v>75.280937194824219</c:v>
                </c:pt>
                <c:pt idx="18">
                  <c:v>53.867767333984375</c:v>
                </c:pt>
                <c:pt idx="19">
                  <c:v>53.867767333984375</c:v>
                </c:pt>
                <c:pt idx="20">
                  <c:v>53.867767333984375</c:v>
                </c:pt>
              </c:numCache>
            </c:numRef>
          </c:val>
          <c:smooth val="0"/>
          <c:extLst>
            <c:ext xmlns:c16="http://schemas.microsoft.com/office/drawing/2014/chart" uri="{C3380CC4-5D6E-409C-BE32-E72D297353CC}">
              <c16:uniqueId val="{00000013-DB8C-4E7C-9031-26AC6A23A320}"/>
            </c:ext>
          </c:extLst>
        </c:ser>
        <c:ser>
          <c:idx val="20"/>
          <c:order val="18"/>
          <c:tx>
            <c:strRef>
              <c:f>Fact5!$Y$23</c:f>
              <c:strCache>
                <c:ptCount val="1"/>
                <c:pt idx="0">
                  <c:v> LAC</c:v>
                </c:pt>
              </c:strCache>
            </c:strRef>
          </c:tx>
          <c:spPr>
            <a:ln w="28575" cap="rnd">
              <a:solidFill>
                <a:schemeClr val="tx1"/>
              </a:solidFill>
              <a:prstDash val="dash"/>
              <a:round/>
            </a:ln>
            <a:effectLst/>
          </c:spPr>
          <c:marker>
            <c:symbol val="none"/>
          </c:marker>
          <c:val>
            <c:numRef>
              <c:f>Fact5!$Z$23:$AT$23</c:f>
              <c:numCache>
                <c:formatCode>0</c:formatCode>
                <c:ptCount val="21"/>
                <c:pt idx="0">
                  <c:v>33.446946530933914</c:v>
                </c:pt>
                <c:pt idx="1">
                  <c:v>30.031447361963487</c:v>
                </c:pt>
                <c:pt idx="2">
                  <c:v>28.221646908165862</c:v>
                </c:pt>
                <c:pt idx="3">
                  <c:v>25.801681854668441</c:v>
                </c:pt>
                <c:pt idx="4">
                  <c:v>24.946956455225504</c:v>
                </c:pt>
                <c:pt idx="5">
                  <c:v>24.508410600341087</c:v>
                </c:pt>
                <c:pt idx="6">
                  <c:v>23.832217124827334</c:v>
                </c:pt>
                <c:pt idx="7">
                  <c:v>22.863869667002742</c:v>
                </c:pt>
                <c:pt idx="8">
                  <c:v>20.624120564671969</c:v>
                </c:pt>
                <c:pt idx="9">
                  <c:v>18.316526180967916</c:v>
                </c:pt>
                <c:pt idx="10">
                  <c:v>16.407633197956454</c:v>
                </c:pt>
                <c:pt idx="11">
                  <c:v>14.447771332133126</c:v>
                </c:pt>
                <c:pt idx="12">
                  <c:v>14.215626762807153</c:v>
                </c:pt>
                <c:pt idx="13">
                  <c:v>14.464200962036566</c:v>
                </c:pt>
                <c:pt idx="14">
                  <c:v>14.076534397798968</c:v>
                </c:pt>
                <c:pt idx="15">
                  <c:v>14.413894247480663</c:v>
                </c:pt>
                <c:pt idx="16">
                  <c:v>15.587384087216776</c:v>
                </c:pt>
                <c:pt idx="17">
                  <c:v>17.645435099312628</c:v>
                </c:pt>
                <c:pt idx="18">
                  <c:v>16.87096567552614</c:v>
                </c:pt>
                <c:pt idx="19">
                  <c:v>14.3174846136525</c:v>
                </c:pt>
                <c:pt idx="20">
                  <c:v>12.376502318729861</c:v>
                </c:pt>
              </c:numCache>
            </c:numRef>
          </c:val>
          <c:smooth val="0"/>
          <c:extLst>
            <c:ext xmlns:c16="http://schemas.microsoft.com/office/drawing/2014/chart" uri="{C3380CC4-5D6E-409C-BE32-E72D297353CC}">
              <c16:uniqueId val="{00000014-DB8C-4E7C-9031-26AC6A23A320}"/>
            </c:ext>
          </c:extLst>
        </c:ser>
        <c:ser>
          <c:idx val="21"/>
          <c:order val="19"/>
          <c:tx>
            <c:strRef>
              <c:f>Fact5!$Y$24</c:f>
              <c:strCache>
                <c:ptCount val="1"/>
                <c:pt idx="0">
                  <c:v> LAC without VEN</c:v>
                </c:pt>
              </c:strCache>
            </c:strRef>
          </c:tx>
          <c:spPr>
            <a:ln w="38100" cap="rnd">
              <a:solidFill>
                <a:schemeClr val="tx1"/>
              </a:solidFill>
              <a:round/>
            </a:ln>
            <a:effectLst/>
          </c:spPr>
          <c:marker>
            <c:symbol val="none"/>
          </c:marker>
          <c:val>
            <c:numRef>
              <c:f>Fact5!$Z$24:$AT$24</c:f>
              <c:numCache>
                <c:formatCode>0</c:formatCode>
                <c:ptCount val="21"/>
                <c:pt idx="0">
                  <c:v>33.36390280876477</c:v>
                </c:pt>
                <c:pt idx="1">
                  <c:v>30.235477528489689</c:v>
                </c:pt>
                <c:pt idx="2">
                  <c:v>28.47404104004454</c:v>
                </c:pt>
                <c:pt idx="3">
                  <c:v>26.387389780013699</c:v>
                </c:pt>
                <c:pt idx="4">
                  <c:v>25.663506655228822</c:v>
                </c:pt>
                <c:pt idx="5">
                  <c:v>25.25762355734205</c:v>
                </c:pt>
                <c:pt idx="6">
                  <c:v>24.596582228746147</c:v>
                </c:pt>
                <c:pt idx="7">
                  <c:v>23.580171371827007</c:v>
                </c:pt>
                <c:pt idx="8">
                  <c:v>21.216606498047401</c:v>
                </c:pt>
                <c:pt idx="9">
                  <c:v>18.79089951942489</c:v>
                </c:pt>
                <c:pt idx="10">
                  <c:v>16.817203478897135</c:v>
                </c:pt>
                <c:pt idx="11">
                  <c:v>14.850242059219678</c:v>
                </c:pt>
                <c:pt idx="12">
                  <c:v>14.482420102153664</c:v>
                </c:pt>
                <c:pt idx="13">
                  <c:v>14.225761667658883</c:v>
                </c:pt>
                <c:pt idx="14">
                  <c:v>13.893175496990397</c:v>
                </c:pt>
                <c:pt idx="15">
                  <c:v>13.896597226901859</c:v>
                </c:pt>
                <c:pt idx="16">
                  <c:v>13.909272284731687</c:v>
                </c:pt>
                <c:pt idx="17">
                  <c:v>14.849420456919887</c:v>
                </c:pt>
                <c:pt idx="18">
                  <c:v>15.07617608581586</c:v>
                </c:pt>
                <c:pt idx="19">
                  <c:v>12.398820499066218</c:v>
                </c:pt>
                <c:pt idx="20">
                  <c:v>10.363677231827673</c:v>
                </c:pt>
              </c:numCache>
            </c:numRef>
          </c:val>
          <c:smooth val="0"/>
          <c:extLst>
            <c:ext xmlns:c16="http://schemas.microsoft.com/office/drawing/2014/chart" uri="{C3380CC4-5D6E-409C-BE32-E72D297353CC}">
              <c16:uniqueId val="{00000015-DB8C-4E7C-9031-26AC6A23A320}"/>
            </c:ext>
          </c:extLst>
        </c:ser>
        <c:dLbls>
          <c:showLegendKey val="0"/>
          <c:showVal val="0"/>
          <c:showCatName val="0"/>
          <c:showSerName val="0"/>
          <c:showPercent val="0"/>
          <c:showBubbleSize val="0"/>
        </c:dLbls>
        <c:smooth val="0"/>
        <c:axId val="615717568"/>
        <c:axId val="615719488"/>
      </c:lineChart>
      <c:catAx>
        <c:axId val="61571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15719488"/>
        <c:crosses val="autoZero"/>
        <c:auto val="1"/>
        <c:lblAlgn val="ctr"/>
        <c:lblOffset val="100"/>
        <c:noMultiLvlLbl val="0"/>
      </c:catAx>
      <c:valAx>
        <c:axId val="615719488"/>
        <c:scaling>
          <c:orientation val="minMax"/>
          <c:max val="10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 of the population</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15717568"/>
        <c:crosses val="autoZero"/>
        <c:crossBetween val="between"/>
      </c:valAx>
      <c:spPr>
        <a:noFill/>
        <a:ln>
          <a:noFill/>
        </a:ln>
        <a:effectLst/>
      </c:spPr>
    </c:plotArea>
    <c:legend>
      <c:legendPos val="b"/>
      <c:legendEntry>
        <c:idx val="0"/>
        <c:delete val="1"/>
      </c:legendEntry>
      <c:legendEntry>
        <c:idx val="1"/>
        <c:delete val="1"/>
      </c:legendEntry>
      <c:legendEntry>
        <c:idx val="2"/>
        <c:delete val="1"/>
      </c:legendEntry>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egendEntry>
        <c:idx val="12"/>
        <c:delete val="1"/>
      </c:legendEntry>
      <c:legendEntry>
        <c:idx val="13"/>
        <c:delete val="1"/>
      </c:legendEntry>
      <c:legendEntry>
        <c:idx val="14"/>
        <c:delete val="1"/>
      </c:legendEntry>
      <c:legendEntry>
        <c:idx val="15"/>
        <c:delete val="1"/>
      </c:legendEntry>
      <c:legendEntry>
        <c:idx val="16"/>
        <c:delete val="1"/>
      </c:legendEntry>
      <c:legendEntry>
        <c:idx val="17"/>
        <c:delete val="1"/>
      </c:legendEntry>
      <c:layout>
        <c:manualLayout>
          <c:xMode val="edge"/>
          <c:yMode val="edge"/>
          <c:x val="6.2295081967213117E-2"/>
          <c:y val="2.0588569754819999E-2"/>
          <c:w val="0.20655737704918034"/>
          <c:h val="9.5521459708127296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Fact5!$Y$23</c:f>
              <c:strCache>
                <c:ptCount val="1"/>
                <c:pt idx="0">
                  <c:v> LAC</c:v>
                </c:pt>
              </c:strCache>
            </c:strRef>
          </c:tx>
          <c:spPr>
            <a:ln w="28575" cap="rnd">
              <a:solidFill>
                <a:schemeClr val="accent1"/>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Fact5!$Z$23:$AT$23</c:f>
              <c:numCache>
                <c:formatCode>0</c:formatCode>
                <c:ptCount val="21"/>
                <c:pt idx="0">
                  <c:v>33.446946530933914</c:v>
                </c:pt>
                <c:pt idx="1">
                  <c:v>30.031447361963487</c:v>
                </c:pt>
                <c:pt idx="2">
                  <c:v>28.221646908165862</c:v>
                </c:pt>
                <c:pt idx="3">
                  <c:v>25.801681854668441</c:v>
                </c:pt>
                <c:pt idx="4">
                  <c:v>24.946956455225504</c:v>
                </c:pt>
                <c:pt idx="5">
                  <c:v>24.508410600341087</c:v>
                </c:pt>
                <c:pt idx="6">
                  <c:v>23.832217124827334</c:v>
                </c:pt>
                <c:pt idx="7">
                  <c:v>22.863869667002742</c:v>
                </c:pt>
                <c:pt idx="8">
                  <c:v>20.624120564671969</c:v>
                </c:pt>
                <c:pt idx="9">
                  <c:v>18.316526180967916</c:v>
                </c:pt>
                <c:pt idx="10">
                  <c:v>16.407633197956454</c:v>
                </c:pt>
                <c:pt idx="11">
                  <c:v>14.447771332133126</c:v>
                </c:pt>
                <c:pt idx="12">
                  <c:v>14.215626762807153</c:v>
                </c:pt>
                <c:pt idx="13">
                  <c:v>14.464200962036566</c:v>
                </c:pt>
                <c:pt idx="14">
                  <c:v>14.076534397798968</c:v>
                </c:pt>
                <c:pt idx="15">
                  <c:v>14.413894247480663</c:v>
                </c:pt>
                <c:pt idx="16">
                  <c:v>15.587384087216776</c:v>
                </c:pt>
                <c:pt idx="17">
                  <c:v>17.645435099312628</c:v>
                </c:pt>
                <c:pt idx="18">
                  <c:v>16.87096567552614</c:v>
                </c:pt>
                <c:pt idx="19">
                  <c:v>14.3174846136525</c:v>
                </c:pt>
                <c:pt idx="20">
                  <c:v>12.376502318729861</c:v>
                </c:pt>
              </c:numCache>
            </c:numRef>
          </c:val>
          <c:smooth val="0"/>
          <c:extLst>
            <c:ext xmlns:c16="http://schemas.microsoft.com/office/drawing/2014/chart" uri="{C3380CC4-5D6E-409C-BE32-E72D297353CC}">
              <c16:uniqueId val="{00000000-8F1F-4680-9E75-DAB4A3040248}"/>
            </c:ext>
          </c:extLst>
        </c:ser>
        <c:ser>
          <c:idx val="1"/>
          <c:order val="1"/>
          <c:tx>
            <c:strRef>
              <c:f>Fact5!$Y$24</c:f>
              <c:strCache>
                <c:ptCount val="1"/>
                <c:pt idx="0">
                  <c:v> LAC without VEN</c:v>
                </c:pt>
              </c:strCache>
            </c:strRef>
          </c:tx>
          <c:spPr>
            <a:ln w="28575" cap="rnd">
              <a:solidFill>
                <a:schemeClr val="accent2"/>
              </a:solidFill>
              <a:round/>
            </a:ln>
            <a:effectLst/>
          </c:spPr>
          <c:marker>
            <c:symbol val="none"/>
          </c:marker>
          <c:cat>
            <c:strRef>
              <c:f>Fact5!$Z$4:$AT$4</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Fact5!$Z$24:$AT$24</c:f>
              <c:numCache>
                <c:formatCode>0</c:formatCode>
                <c:ptCount val="21"/>
                <c:pt idx="0">
                  <c:v>33.36390280876477</c:v>
                </c:pt>
                <c:pt idx="1">
                  <c:v>30.235477528489689</c:v>
                </c:pt>
                <c:pt idx="2">
                  <c:v>28.47404104004454</c:v>
                </c:pt>
                <c:pt idx="3">
                  <c:v>26.387389780013699</c:v>
                </c:pt>
                <c:pt idx="4">
                  <c:v>25.663506655228822</c:v>
                </c:pt>
                <c:pt idx="5">
                  <c:v>25.25762355734205</c:v>
                </c:pt>
                <c:pt idx="6">
                  <c:v>24.596582228746147</c:v>
                </c:pt>
                <c:pt idx="7">
                  <c:v>23.580171371827007</c:v>
                </c:pt>
                <c:pt idx="8">
                  <c:v>21.216606498047401</c:v>
                </c:pt>
                <c:pt idx="9">
                  <c:v>18.79089951942489</c:v>
                </c:pt>
                <c:pt idx="10">
                  <c:v>16.817203478897135</c:v>
                </c:pt>
                <c:pt idx="11">
                  <c:v>14.850242059219678</c:v>
                </c:pt>
                <c:pt idx="12">
                  <c:v>14.482420102153664</c:v>
                </c:pt>
                <c:pt idx="13">
                  <c:v>14.225761667658883</c:v>
                </c:pt>
                <c:pt idx="14">
                  <c:v>13.893175496990397</c:v>
                </c:pt>
                <c:pt idx="15">
                  <c:v>13.896597226901859</c:v>
                </c:pt>
                <c:pt idx="16">
                  <c:v>13.909272284731687</c:v>
                </c:pt>
                <c:pt idx="17">
                  <c:v>14.849420456919887</c:v>
                </c:pt>
                <c:pt idx="18">
                  <c:v>15.07617608581586</c:v>
                </c:pt>
                <c:pt idx="19">
                  <c:v>12.398820499066218</c:v>
                </c:pt>
                <c:pt idx="20">
                  <c:v>10.363677231827673</c:v>
                </c:pt>
              </c:numCache>
            </c:numRef>
          </c:val>
          <c:smooth val="0"/>
          <c:extLst>
            <c:ext xmlns:c16="http://schemas.microsoft.com/office/drawing/2014/chart" uri="{C3380CC4-5D6E-409C-BE32-E72D297353CC}">
              <c16:uniqueId val="{00000001-8F1F-4680-9E75-DAB4A3040248}"/>
            </c:ext>
          </c:extLst>
        </c:ser>
        <c:dLbls>
          <c:showLegendKey val="0"/>
          <c:showVal val="0"/>
          <c:showCatName val="0"/>
          <c:showSerName val="0"/>
          <c:showPercent val="0"/>
          <c:showBubbleSize val="0"/>
        </c:dLbls>
        <c:smooth val="0"/>
        <c:axId val="589900528"/>
        <c:axId val="589892368"/>
      </c:lineChart>
      <c:catAx>
        <c:axId val="58990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892368"/>
        <c:crosses val="autoZero"/>
        <c:auto val="1"/>
        <c:lblAlgn val="ctr"/>
        <c:lblOffset val="100"/>
        <c:noMultiLvlLbl val="0"/>
      </c:catAx>
      <c:valAx>
        <c:axId val="5898923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900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01646600156806"/>
          <c:y val="2.2807130907710148E-2"/>
          <c:w val="0.87798353399843188"/>
          <c:h val="0.87131656212464959"/>
        </c:manualLayout>
      </c:layout>
      <c:lineChart>
        <c:grouping val="standard"/>
        <c:varyColors val="0"/>
        <c:ser>
          <c:idx val="13"/>
          <c:order val="0"/>
          <c:tx>
            <c:strRef>
              <c:f>Fact5!$Y$42</c:f>
              <c:strCache>
                <c:ptCount val="1"/>
                <c:pt idx="0">
                  <c:v>ARG</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Fact5!$Z$42:$AT$42</c:f>
              <c:numCache>
                <c:formatCode>0</c:formatCode>
                <c:ptCount val="21"/>
                <c:pt idx="0">
                  <c:v>23.022911071777344</c:v>
                </c:pt>
                <c:pt idx="1">
                  <c:v>26.926044464111328</c:v>
                </c:pt>
                <c:pt idx="2">
                  <c:v>27.641334533691406</c:v>
                </c:pt>
                <c:pt idx="3">
                  <c:v>27.848964691162109</c:v>
                </c:pt>
                <c:pt idx="4">
                  <c:v>27.477052688598633</c:v>
                </c:pt>
                <c:pt idx="5">
                  <c:v>26.714622497558594</c:v>
                </c:pt>
                <c:pt idx="6">
                  <c:v>23.234474182128906</c:v>
                </c:pt>
                <c:pt idx="7">
                  <c:v>21.96925163269043</c:v>
                </c:pt>
                <c:pt idx="8">
                  <c:v>18.013568878173828</c:v>
                </c:pt>
                <c:pt idx="9">
                  <c:v>14.993183135986328</c:v>
                </c:pt>
                <c:pt idx="10">
                  <c:v>11.623519897460938</c:v>
                </c:pt>
                <c:pt idx="11">
                  <c:v>14.168858528137207</c:v>
                </c:pt>
                <c:pt idx="12">
                  <c:v>16.860288619995117</c:v>
                </c:pt>
                <c:pt idx="13">
                  <c:v>11.83381175994873</c:v>
                </c:pt>
                <c:pt idx="14">
                  <c:v>9.605499267578125</c:v>
                </c:pt>
                <c:pt idx="15">
                  <c:v>11.343873977661133</c:v>
                </c:pt>
                <c:pt idx="16">
                  <c:v>12.223098754882813</c:v>
                </c:pt>
                <c:pt idx="17">
                  <c:v>15.851166725158691</c:v>
                </c:pt>
                <c:pt idx="18">
                  <c:v>14.83424186706543</c:v>
                </c:pt>
                <c:pt idx="19">
                  <c:v>12.861659049987793</c:v>
                </c:pt>
                <c:pt idx="20">
                  <c:v>11.15138053894043</c:v>
                </c:pt>
              </c:numCache>
            </c:numRef>
          </c:val>
          <c:smooth val="0"/>
          <c:extLst>
            <c:ext xmlns:c16="http://schemas.microsoft.com/office/drawing/2014/chart" uri="{C3380CC4-5D6E-409C-BE32-E72D297353CC}">
              <c16:uniqueId val="{00000000-DB8C-4E7C-9031-26AC6A23A320}"/>
            </c:ext>
          </c:extLst>
        </c:ser>
        <c:ser>
          <c:idx val="3"/>
          <c:order val="1"/>
          <c:tx>
            <c:strRef>
              <c:f>Fact5!$Y$43</c:f>
              <c:strCache>
                <c:ptCount val="1"/>
                <c:pt idx="0">
                  <c:v>BOL</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Fact5!$Z$43:$AT$43</c:f>
              <c:numCache>
                <c:formatCode>0</c:formatCode>
                <c:ptCount val="21"/>
                <c:pt idx="0">
                  <c:v>21.16325569152832</c:v>
                </c:pt>
                <c:pt idx="1">
                  <c:v>21.766212463378906</c:v>
                </c:pt>
                <c:pt idx="2">
                  <c:v>22.369171142578125</c:v>
                </c:pt>
                <c:pt idx="3">
                  <c:v>19.35621452331543</c:v>
                </c:pt>
                <c:pt idx="4">
                  <c:v>21.454442977905273</c:v>
                </c:pt>
                <c:pt idx="5">
                  <c:v>17.52546501159668</c:v>
                </c:pt>
                <c:pt idx="6">
                  <c:v>15.340775489807129</c:v>
                </c:pt>
                <c:pt idx="7">
                  <c:v>14.76222038269043</c:v>
                </c:pt>
                <c:pt idx="8">
                  <c:v>14.183666229248047</c:v>
                </c:pt>
                <c:pt idx="9">
                  <c:v>13.766546249389648</c:v>
                </c:pt>
                <c:pt idx="10">
                  <c:v>13.079665184020996</c:v>
                </c:pt>
                <c:pt idx="11">
                  <c:v>11.993228912353516</c:v>
                </c:pt>
                <c:pt idx="12">
                  <c:v>13.476772308349609</c:v>
                </c:pt>
                <c:pt idx="13">
                  <c:v>12.48131275177002</c:v>
                </c:pt>
                <c:pt idx="14">
                  <c:v>13.498062133789063</c:v>
                </c:pt>
                <c:pt idx="15">
                  <c:v>12.490303993225098</c:v>
                </c:pt>
                <c:pt idx="16">
                  <c:v>11.756442070007324</c:v>
                </c:pt>
                <c:pt idx="17">
                  <c:v>13.420627593994141</c:v>
                </c:pt>
                <c:pt idx="18">
                  <c:v>12.864875793457031</c:v>
                </c:pt>
                <c:pt idx="19">
                  <c:v>12.590672492980957</c:v>
                </c:pt>
                <c:pt idx="20">
                  <c:v>12.32231330871582</c:v>
                </c:pt>
              </c:numCache>
            </c:numRef>
          </c:val>
          <c:smooth val="0"/>
          <c:extLst>
            <c:ext xmlns:c16="http://schemas.microsoft.com/office/drawing/2014/chart" uri="{C3380CC4-5D6E-409C-BE32-E72D297353CC}">
              <c16:uniqueId val="{00000001-DB8C-4E7C-9031-26AC6A23A320}"/>
            </c:ext>
          </c:extLst>
        </c:ser>
        <c:ser>
          <c:idx val="6"/>
          <c:order val="2"/>
          <c:tx>
            <c:strRef>
              <c:f>Fact5!$Y$44</c:f>
              <c:strCache>
                <c:ptCount val="1"/>
                <c:pt idx="0">
                  <c:v>BRA</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Fact5!$Z$44:$AT$44</c:f>
              <c:numCache>
                <c:formatCode>0</c:formatCode>
                <c:ptCount val="21"/>
                <c:pt idx="0">
                  <c:v>24.187110900878906</c:v>
                </c:pt>
                <c:pt idx="1">
                  <c:v>24.079402923583984</c:v>
                </c:pt>
                <c:pt idx="2">
                  <c:v>24.315074920654297</c:v>
                </c:pt>
                <c:pt idx="3">
                  <c:v>23.410049438476563</c:v>
                </c:pt>
                <c:pt idx="4">
                  <c:v>22.861953735351563</c:v>
                </c:pt>
                <c:pt idx="5">
                  <c:v>22.044076919555664</c:v>
                </c:pt>
                <c:pt idx="6">
                  <c:v>21.250957489013672</c:v>
                </c:pt>
                <c:pt idx="7">
                  <c:v>21.153415679931641</c:v>
                </c:pt>
                <c:pt idx="8">
                  <c:v>21.055873870849609</c:v>
                </c:pt>
                <c:pt idx="9">
                  <c:v>19.916238784790039</c:v>
                </c:pt>
                <c:pt idx="10">
                  <c:v>18.982109069824219</c:v>
                </c:pt>
                <c:pt idx="11">
                  <c:v>19.039138793945313</c:v>
                </c:pt>
                <c:pt idx="12">
                  <c:v>19.293371200561523</c:v>
                </c:pt>
                <c:pt idx="13">
                  <c:v>18.592309951782227</c:v>
                </c:pt>
                <c:pt idx="14">
                  <c:v>18.510141372680664</c:v>
                </c:pt>
                <c:pt idx="15">
                  <c:v>19.342800140380859</c:v>
                </c:pt>
                <c:pt idx="16">
                  <c:v>17.71306037902832</c:v>
                </c:pt>
                <c:pt idx="17">
                  <c:v>20.028976440429688</c:v>
                </c:pt>
                <c:pt idx="18">
                  <c:v>19.643621444702148</c:v>
                </c:pt>
                <c:pt idx="19">
                  <c:v>18.57042121887207</c:v>
                </c:pt>
                <c:pt idx="20">
                  <c:v>17.555852890014648</c:v>
                </c:pt>
              </c:numCache>
            </c:numRef>
          </c:val>
          <c:smooth val="0"/>
          <c:extLst>
            <c:ext xmlns:c16="http://schemas.microsoft.com/office/drawing/2014/chart" uri="{C3380CC4-5D6E-409C-BE32-E72D297353CC}">
              <c16:uniqueId val="{00000002-DB8C-4E7C-9031-26AC6A23A320}"/>
            </c:ext>
          </c:extLst>
        </c:ser>
        <c:ser>
          <c:idx val="0"/>
          <c:order val="3"/>
          <c:tx>
            <c:strRef>
              <c:f>Fact5!$Y$45</c:f>
              <c:strCache>
                <c:ptCount val="1"/>
                <c:pt idx="0">
                  <c:v>CHL</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Fact5!$Z$45:$AT$45</c:f>
              <c:numCache>
                <c:formatCode>0</c:formatCode>
                <c:ptCount val="21"/>
                <c:pt idx="0">
                  <c:v>24.52642822265625</c:v>
                </c:pt>
                <c:pt idx="1">
                  <c:v>23.737665176391602</c:v>
                </c:pt>
                <c:pt idx="2">
                  <c:v>22.974269866943359</c:v>
                </c:pt>
                <c:pt idx="3">
                  <c:v>22.235424041748047</c:v>
                </c:pt>
                <c:pt idx="4">
                  <c:v>21.048152923583984</c:v>
                </c:pt>
                <c:pt idx="5">
                  <c:v>19.924278259277344</c:v>
                </c:pt>
                <c:pt idx="6">
                  <c:v>18.86041259765625</c:v>
                </c:pt>
                <c:pt idx="7">
                  <c:v>18.058792114257813</c:v>
                </c:pt>
                <c:pt idx="8">
                  <c:v>17.257173538208008</c:v>
                </c:pt>
                <c:pt idx="9">
                  <c:v>15.269649505615234</c:v>
                </c:pt>
                <c:pt idx="10">
                  <c:v>13.282124519348145</c:v>
                </c:pt>
                <c:pt idx="11">
                  <c:v>13.838159561157227</c:v>
                </c:pt>
                <c:pt idx="12">
                  <c:v>14.394195556640625</c:v>
                </c:pt>
                <c:pt idx="13">
                  <c:v>13.269428253173828</c:v>
                </c:pt>
                <c:pt idx="14">
                  <c:v>12.144660949707031</c:v>
                </c:pt>
                <c:pt idx="15">
                  <c:v>12.608997344970703</c:v>
                </c:pt>
                <c:pt idx="16">
                  <c:v>13.091086387634277</c:v>
                </c:pt>
                <c:pt idx="17">
                  <c:v>13.591607093811035</c:v>
                </c:pt>
                <c:pt idx="18">
                  <c:v>10.79689884185791</c:v>
                </c:pt>
                <c:pt idx="19">
                  <c:v>8.0021905899047852</c:v>
                </c:pt>
                <c:pt idx="20">
                  <c:v>5.9308748245239258</c:v>
                </c:pt>
              </c:numCache>
            </c:numRef>
          </c:val>
          <c:smooth val="0"/>
          <c:extLst>
            <c:ext xmlns:c16="http://schemas.microsoft.com/office/drawing/2014/chart" uri="{C3380CC4-5D6E-409C-BE32-E72D297353CC}">
              <c16:uniqueId val="{00000003-DB8C-4E7C-9031-26AC6A23A320}"/>
            </c:ext>
          </c:extLst>
        </c:ser>
        <c:ser>
          <c:idx val="2"/>
          <c:order val="4"/>
          <c:tx>
            <c:strRef>
              <c:f>Fact5!$Y$46</c:f>
              <c:strCache>
                <c:ptCount val="1"/>
                <c:pt idx="0">
                  <c:v>COL</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Fact5!$Z$46:$AT$46</c:f>
              <c:numCache>
                <c:formatCode>0</c:formatCode>
                <c:ptCount val="21"/>
                <c:pt idx="0">
                  <c:v>26.935308456420898</c:v>
                </c:pt>
                <c:pt idx="1">
                  <c:v>25.400453567504883</c:v>
                </c:pt>
                <c:pt idx="2">
                  <c:v>27.348258972167969</c:v>
                </c:pt>
                <c:pt idx="3">
                  <c:v>22.210733413696289</c:v>
                </c:pt>
                <c:pt idx="4">
                  <c:v>24.052228927612305</c:v>
                </c:pt>
                <c:pt idx="5">
                  <c:v>23.820743560791016</c:v>
                </c:pt>
                <c:pt idx="6">
                  <c:v>24.0496826171875</c:v>
                </c:pt>
                <c:pt idx="7">
                  <c:v>24.44743537902832</c:v>
                </c:pt>
                <c:pt idx="8">
                  <c:v>23.773138046264648</c:v>
                </c:pt>
                <c:pt idx="9">
                  <c:v>22.936904907226563</c:v>
                </c:pt>
                <c:pt idx="10">
                  <c:v>22.844123840332031</c:v>
                </c:pt>
                <c:pt idx="11">
                  <c:v>21.947647094726563</c:v>
                </c:pt>
                <c:pt idx="12">
                  <c:v>22.793067932128906</c:v>
                </c:pt>
                <c:pt idx="13">
                  <c:v>23.11981201171875</c:v>
                </c:pt>
                <c:pt idx="14">
                  <c:v>23.688838958740234</c:v>
                </c:pt>
                <c:pt idx="15">
                  <c:v>23.012002944946289</c:v>
                </c:pt>
                <c:pt idx="16">
                  <c:v>22.513420104980469</c:v>
                </c:pt>
                <c:pt idx="17">
                  <c:v>24.878913879394531</c:v>
                </c:pt>
                <c:pt idx="18">
                  <c:v>24.558988571166992</c:v>
                </c:pt>
                <c:pt idx="19">
                  <c:v>21.709625244140625</c:v>
                </c:pt>
                <c:pt idx="20">
                  <c:v>19.190849304199219</c:v>
                </c:pt>
              </c:numCache>
            </c:numRef>
          </c:val>
          <c:smooth val="0"/>
          <c:extLst>
            <c:ext xmlns:c16="http://schemas.microsoft.com/office/drawing/2014/chart" uri="{C3380CC4-5D6E-409C-BE32-E72D297353CC}">
              <c16:uniqueId val="{00000005-DB8C-4E7C-9031-26AC6A23A320}"/>
            </c:ext>
          </c:extLst>
        </c:ser>
        <c:ser>
          <c:idx val="5"/>
          <c:order val="5"/>
          <c:tx>
            <c:strRef>
              <c:f>Fact5!$Y$47</c:f>
              <c:strCache>
                <c:ptCount val="1"/>
                <c:pt idx="0">
                  <c:v>CRI</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Fact5!$Z$47:$AT$47</c:f>
              <c:numCache>
                <c:formatCode>0</c:formatCode>
                <c:ptCount val="21"/>
                <c:pt idx="0">
                  <c:v>20.232477188110352</c:v>
                </c:pt>
                <c:pt idx="1">
                  <c:v>21.898368835449219</c:v>
                </c:pt>
                <c:pt idx="2">
                  <c:v>19.71527099609375</c:v>
                </c:pt>
                <c:pt idx="3">
                  <c:v>20.289663314819336</c:v>
                </c:pt>
                <c:pt idx="4">
                  <c:v>18.388881683349609</c:v>
                </c:pt>
                <c:pt idx="5">
                  <c:v>18.100149154663086</c:v>
                </c:pt>
                <c:pt idx="6">
                  <c:v>17.770160675048828</c:v>
                </c:pt>
                <c:pt idx="7">
                  <c:v>17.093246459960938</c:v>
                </c:pt>
                <c:pt idx="8">
                  <c:v>15.746500015258789</c:v>
                </c:pt>
                <c:pt idx="9">
                  <c:v>15.900924682617188</c:v>
                </c:pt>
                <c:pt idx="10">
                  <c:v>15.414279937744141</c:v>
                </c:pt>
                <c:pt idx="11">
                  <c:v>15.166674613952637</c:v>
                </c:pt>
                <c:pt idx="12">
                  <c:v>13.914436340332031</c:v>
                </c:pt>
                <c:pt idx="13">
                  <c:v>13.958318710327148</c:v>
                </c:pt>
                <c:pt idx="14">
                  <c:v>13.85936164855957</c:v>
                </c:pt>
                <c:pt idx="15">
                  <c:v>14.028373718261719</c:v>
                </c:pt>
                <c:pt idx="16">
                  <c:v>14.879727363586426</c:v>
                </c:pt>
                <c:pt idx="17">
                  <c:v>18.712263107299805</c:v>
                </c:pt>
                <c:pt idx="18">
                  <c:v>16.404233932495117</c:v>
                </c:pt>
                <c:pt idx="19">
                  <c:v>15.634213447570801</c:v>
                </c:pt>
                <c:pt idx="20">
                  <c:v>14.285224914550781</c:v>
                </c:pt>
              </c:numCache>
            </c:numRef>
          </c:val>
          <c:smooth val="0"/>
          <c:extLst>
            <c:ext xmlns:c16="http://schemas.microsoft.com/office/drawing/2014/chart" uri="{C3380CC4-5D6E-409C-BE32-E72D297353CC}">
              <c16:uniqueId val="{00000007-DB8C-4E7C-9031-26AC6A23A320}"/>
            </c:ext>
          </c:extLst>
        </c:ser>
        <c:ser>
          <c:idx val="7"/>
          <c:order val="6"/>
          <c:tx>
            <c:strRef>
              <c:f>Fact5!$Y$48</c:f>
              <c:strCache>
                <c:ptCount val="1"/>
                <c:pt idx="0">
                  <c:v>DOM</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Fact5!$Z$48:$AT$48</c:f>
              <c:numCache>
                <c:formatCode>0</c:formatCode>
                <c:ptCount val="21"/>
                <c:pt idx="0">
                  <c:v>27.390316009521484</c:v>
                </c:pt>
                <c:pt idx="1">
                  <c:v>28.124729156494141</c:v>
                </c:pt>
                <c:pt idx="2">
                  <c:v>26.530986785888672</c:v>
                </c:pt>
                <c:pt idx="3">
                  <c:v>25.531867980957031</c:v>
                </c:pt>
                <c:pt idx="4">
                  <c:v>27.275680541992188</c:v>
                </c:pt>
                <c:pt idx="5">
                  <c:v>27.748525619506836</c:v>
                </c:pt>
                <c:pt idx="6">
                  <c:v>26.284385681152344</c:v>
                </c:pt>
                <c:pt idx="7">
                  <c:v>26.496257781982422</c:v>
                </c:pt>
                <c:pt idx="8">
                  <c:v>28.946372985839844</c:v>
                </c:pt>
                <c:pt idx="9">
                  <c:v>29.316965103149414</c:v>
                </c:pt>
                <c:pt idx="10">
                  <c:v>28.941011428833008</c:v>
                </c:pt>
                <c:pt idx="11">
                  <c:v>26.334131240844727</c:v>
                </c:pt>
                <c:pt idx="12">
                  <c:v>25.451595306396484</c:v>
                </c:pt>
                <c:pt idx="13">
                  <c:v>23.7127685546875</c:v>
                </c:pt>
                <c:pt idx="14">
                  <c:v>22.355861663818359</c:v>
                </c:pt>
                <c:pt idx="15">
                  <c:v>21.285907745361328</c:v>
                </c:pt>
                <c:pt idx="16">
                  <c:v>19.962697982788086</c:v>
                </c:pt>
                <c:pt idx="17">
                  <c:v>25.927192687988281</c:v>
                </c:pt>
                <c:pt idx="18">
                  <c:v>22.693580627441406</c:v>
                </c:pt>
                <c:pt idx="19">
                  <c:v>20.271793365478516</c:v>
                </c:pt>
                <c:pt idx="20">
                  <c:v>18.108451843261719</c:v>
                </c:pt>
              </c:numCache>
            </c:numRef>
          </c:val>
          <c:smooth val="0"/>
          <c:extLst>
            <c:ext xmlns:c16="http://schemas.microsoft.com/office/drawing/2014/chart" uri="{C3380CC4-5D6E-409C-BE32-E72D297353CC}">
              <c16:uniqueId val="{00000008-DB8C-4E7C-9031-26AC6A23A320}"/>
            </c:ext>
          </c:extLst>
        </c:ser>
        <c:ser>
          <c:idx val="8"/>
          <c:order val="7"/>
          <c:tx>
            <c:strRef>
              <c:f>Fact5!$Y$49</c:f>
              <c:strCache>
                <c:ptCount val="1"/>
                <c:pt idx="0">
                  <c:v>ECU</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Fact5!$Z$49:$AT$49</c:f>
              <c:numCache>
                <c:formatCode>0</c:formatCode>
                <c:ptCount val="21"/>
                <c:pt idx="0">
                  <c:v>26.247650146484375</c:v>
                </c:pt>
                <c:pt idx="1">
                  <c:v>25.315877914428711</c:v>
                </c:pt>
                <c:pt idx="2">
                  <c:v>25.582992553710938</c:v>
                </c:pt>
                <c:pt idx="3">
                  <c:v>26.702112197875977</c:v>
                </c:pt>
                <c:pt idx="4">
                  <c:v>26.665180206298828</c:v>
                </c:pt>
                <c:pt idx="5">
                  <c:v>25.818733215332031</c:v>
                </c:pt>
                <c:pt idx="6">
                  <c:v>27.694272994995117</c:v>
                </c:pt>
                <c:pt idx="7">
                  <c:v>25.876665115356445</c:v>
                </c:pt>
                <c:pt idx="8">
                  <c:v>25.998760223388672</c:v>
                </c:pt>
                <c:pt idx="9">
                  <c:v>23.91425895690918</c:v>
                </c:pt>
                <c:pt idx="10">
                  <c:v>25.419008255004883</c:v>
                </c:pt>
                <c:pt idx="11">
                  <c:v>23.049327850341797</c:v>
                </c:pt>
                <c:pt idx="12">
                  <c:v>23.107000350952148</c:v>
                </c:pt>
                <c:pt idx="13">
                  <c:v>23.72966194152832</c:v>
                </c:pt>
                <c:pt idx="14">
                  <c:v>22.28325080871582</c:v>
                </c:pt>
                <c:pt idx="15">
                  <c:v>23.074090957641602</c:v>
                </c:pt>
                <c:pt idx="16">
                  <c:v>23.261062622070313</c:v>
                </c:pt>
                <c:pt idx="17">
                  <c:v>25.683143615722656</c:v>
                </c:pt>
                <c:pt idx="18">
                  <c:v>25.928991317749023</c:v>
                </c:pt>
                <c:pt idx="19">
                  <c:v>25.726709365844727</c:v>
                </c:pt>
                <c:pt idx="20">
                  <c:v>24.52301025390625</c:v>
                </c:pt>
              </c:numCache>
            </c:numRef>
          </c:val>
          <c:smooth val="0"/>
          <c:extLst>
            <c:ext xmlns:c16="http://schemas.microsoft.com/office/drawing/2014/chart" uri="{C3380CC4-5D6E-409C-BE32-E72D297353CC}">
              <c16:uniqueId val="{00000009-DB8C-4E7C-9031-26AC6A23A320}"/>
            </c:ext>
          </c:extLst>
        </c:ser>
        <c:ser>
          <c:idx val="9"/>
          <c:order val="8"/>
          <c:tx>
            <c:strRef>
              <c:f>Fact5!$Y$50</c:f>
              <c:strCache>
                <c:ptCount val="1"/>
                <c:pt idx="0">
                  <c:v>GTM</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Fact5!$Z$50:$AT$50</c:f>
              <c:numCache>
                <c:formatCode>0</c:formatCode>
                <c:ptCount val="21"/>
                <c:pt idx="0">
                  <c:v>19.583856582641602</c:v>
                </c:pt>
                <c:pt idx="1">
                  <c:v>23.13469123840332</c:v>
                </c:pt>
                <c:pt idx="2">
                  <c:v>22.527362823486328</c:v>
                </c:pt>
                <c:pt idx="3">
                  <c:v>21.920036315917969</c:v>
                </c:pt>
                <c:pt idx="4">
                  <c:v>22.049030303955078</c:v>
                </c:pt>
                <c:pt idx="5">
                  <c:v>22.178783416748047</c:v>
                </c:pt>
                <c:pt idx="6">
                  <c:v>22.309299468994141</c:v>
                </c:pt>
                <c:pt idx="7">
                  <c:v>22.440586090087891</c:v>
                </c:pt>
                <c:pt idx="8">
                  <c:v>21.628252029418945</c:v>
                </c:pt>
                <c:pt idx="9">
                  <c:v>22.958154678344727</c:v>
                </c:pt>
                <c:pt idx="10">
                  <c:v>24.208894729614258</c:v>
                </c:pt>
                <c:pt idx="11">
                  <c:v>24.710781097412109</c:v>
                </c:pt>
                <c:pt idx="12">
                  <c:v>26.831098556518555</c:v>
                </c:pt>
                <c:pt idx="13">
                  <c:v>23.629005432128906</c:v>
                </c:pt>
                <c:pt idx="14">
                  <c:v>23.876346588134766</c:v>
                </c:pt>
                <c:pt idx="15">
                  <c:v>25.303462982177734</c:v>
                </c:pt>
                <c:pt idx="16">
                  <c:v>26.264959335327148</c:v>
                </c:pt>
                <c:pt idx="17">
                  <c:v>26.326877593994141</c:v>
                </c:pt>
                <c:pt idx="18">
                  <c:v>26.3887939453125</c:v>
                </c:pt>
                <c:pt idx="19">
                  <c:v>23.455238342285156</c:v>
                </c:pt>
                <c:pt idx="20">
                  <c:v>20.847797393798828</c:v>
                </c:pt>
              </c:numCache>
            </c:numRef>
          </c:val>
          <c:smooth val="0"/>
          <c:extLst>
            <c:ext xmlns:c16="http://schemas.microsoft.com/office/drawing/2014/chart" uri="{C3380CC4-5D6E-409C-BE32-E72D297353CC}">
              <c16:uniqueId val="{0000000A-DB8C-4E7C-9031-26AC6A23A320}"/>
            </c:ext>
          </c:extLst>
        </c:ser>
        <c:ser>
          <c:idx val="10"/>
          <c:order val="9"/>
          <c:tx>
            <c:strRef>
              <c:f>Fact5!$Y$51</c:f>
              <c:strCache>
                <c:ptCount val="1"/>
                <c:pt idx="0">
                  <c:v>GUY</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Fact5!$Z$51:$AT$51</c:f>
              <c:numCache>
                <c:formatCode>0</c:formatCode>
                <c:ptCount val="21"/>
                <c:pt idx="14">
                  <c:v>25.358680725097656</c:v>
                </c:pt>
                <c:pt idx="15">
                  <c:v>26.687713623046875</c:v>
                </c:pt>
                <c:pt idx="16">
                  <c:v>25.163105010986328</c:v>
                </c:pt>
                <c:pt idx="17">
                  <c:v>25.552265167236328</c:v>
                </c:pt>
                <c:pt idx="18">
                  <c:v>25.941425323486328</c:v>
                </c:pt>
                <c:pt idx="19">
                  <c:v>25.941425323486328</c:v>
                </c:pt>
                <c:pt idx="20">
                  <c:v>25.941425323486328</c:v>
                </c:pt>
              </c:numCache>
            </c:numRef>
          </c:val>
          <c:smooth val="0"/>
          <c:extLst>
            <c:ext xmlns:c16="http://schemas.microsoft.com/office/drawing/2014/chart" uri="{C3380CC4-5D6E-409C-BE32-E72D297353CC}">
              <c16:uniqueId val="{0000000B-DB8C-4E7C-9031-26AC6A23A320}"/>
            </c:ext>
          </c:extLst>
        </c:ser>
        <c:ser>
          <c:idx val="11"/>
          <c:order val="10"/>
          <c:tx>
            <c:strRef>
              <c:f>Fact5!$Y$52</c:f>
              <c:strCache>
                <c:ptCount val="1"/>
                <c:pt idx="0">
                  <c:v>HND</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Fact5!$Z$52:$AT$52</c:f>
              <c:numCache>
                <c:formatCode>0</c:formatCode>
                <c:ptCount val="21"/>
                <c:pt idx="0">
                  <c:v>25.238725662231445</c:v>
                </c:pt>
                <c:pt idx="1">
                  <c:v>21.617813110351563</c:v>
                </c:pt>
                <c:pt idx="2">
                  <c:v>21.263576507568359</c:v>
                </c:pt>
                <c:pt idx="3">
                  <c:v>21.827304840087891</c:v>
                </c:pt>
                <c:pt idx="4">
                  <c:v>22.471349716186523</c:v>
                </c:pt>
                <c:pt idx="5">
                  <c:v>25.144832611083984</c:v>
                </c:pt>
                <c:pt idx="6">
                  <c:v>23.927602767944336</c:v>
                </c:pt>
                <c:pt idx="7">
                  <c:v>24.214496612548828</c:v>
                </c:pt>
                <c:pt idx="8">
                  <c:v>24.735809326171875</c:v>
                </c:pt>
                <c:pt idx="9">
                  <c:v>25.125608444213867</c:v>
                </c:pt>
                <c:pt idx="10">
                  <c:v>24.646450042724609</c:v>
                </c:pt>
                <c:pt idx="11">
                  <c:v>25.719768524169922</c:v>
                </c:pt>
                <c:pt idx="12">
                  <c:v>25.288368225097656</c:v>
                </c:pt>
                <c:pt idx="13">
                  <c:v>24.651557922363281</c:v>
                </c:pt>
                <c:pt idx="14">
                  <c:v>24.973546981811523</c:v>
                </c:pt>
                <c:pt idx="15">
                  <c:v>25.136354446411133</c:v>
                </c:pt>
                <c:pt idx="16">
                  <c:v>23.31724739074707</c:v>
                </c:pt>
                <c:pt idx="17">
                  <c:v>23.132257461547852</c:v>
                </c:pt>
                <c:pt idx="18">
                  <c:v>22.948734283447266</c:v>
                </c:pt>
                <c:pt idx="19">
                  <c:v>22.766666412353516</c:v>
                </c:pt>
                <c:pt idx="20">
                  <c:v>25.065221786499023</c:v>
                </c:pt>
              </c:numCache>
            </c:numRef>
          </c:val>
          <c:smooth val="0"/>
          <c:extLst>
            <c:ext xmlns:c16="http://schemas.microsoft.com/office/drawing/2014/chart" uri="{C3380CC4-5D6E-409C-BE32-E72D297353CC}">
              <c16:uniqueId val="{0000000C-DB8C-4E7C-9031-26AC6A23A320}"/>
            </c:ext>
          </c:extLst>
        </c:ser>
        <c:ser>
          <c:idx val="12"/>
          <c:order val="11"/>
          <c:tx>
            <c:strRef>
              <c:f>Fact5!$Y$53</c:f>
              <c:strCache>
                <c:ptCount val="1"/>
                <c:pt idx="0">
                  <c:v>MEX</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Fact5!$Z$53:$AT$53</c:f>
              <c:numCache>
                <c:formatCode>0</c:formatCode>
                <c:ptCount val="21"/>
                <c:pt idx="1">
                  <c:v>28.230533599853516</c:v>
                </c:pt>
                <c:pt idx="2">
                  <c:v>26.66510009765625</c:v>
                </c:pt>
                <c:pt idx="3">
                  <c:v>27.607574462890625</c:v>
                </c:pt>
                <c:pt idx="4">
                  <c:v>28.190956115722656</c:v>
                </c:pt>
                <c:pt idx="5">
                  <c:v>28.774335861206055</c:v>
                </c:pt>
                <c:pt idx="6">
                  <c:v>29.746423721313477</c:v>
                </c:pt>
                <c:pt idx="7">
                  <c:v>30.718511581420898</c:v>
                </c:pt>
                <c:pt idx="8">
                  <c:v>30.259502410888672</c:v>
                </c:pt>
                <c:pt idx="9">
                  <c:v>29.800493240356445</c:v>
                </c:pt>
                <c:pt idx="10">
                  <c:v>29.188619613647461</c:v>
                </c:pt>
                <c:pt idx="11">
                  <c:v>28.576745986938477</c:v>
                </c:pt>
                <c:pt idx="12">
                  <c:v>26.971405029296875</c:v>
                </c:pt>
                <c:pt idx="13">
                  <c:v>25.366062164306641</c:v>
                </c:pt>
                <c:pt idx="14">
                  <c:v>24.932767868041992</c:v>
                </c:pt>
                <c:pt idx="15">
                  <c:v>24.499473571777344</c:v>
                </c:pt>
                <c:pt idx="16">
                  <c:v>25.111042022705078</c:v>
                </c:pt>
                <c:pt idx="17">
                  <c:v>25.722610473632813</c:v>
                </c:pt>
                <c:pt idx="18">
                  <c:v>23.714412689208984</c:v>
                </c:pt>
                <c:pt idx="19">
                  <c:v>21.706216812133789</c:v>
                </c:pt>
                <c:pt idx="20">
                  <c:v>19.868080139160156</c:v>
                </c:pt>
              </c:numCache>
            </c:numRef>
          </c:val>
          <c:smooth val="0"/>
          <c:extLst>
            <c:ext xmlns:c16="http://schemas.microsoft.com/office/drawing/2014/chart" uri="{C3380CC4-5D6E-409C-BE32-E72D297353CC}">
              <c16:uniqueId val="{0000000D-DB8C-4E7C-9031-26AC6A23A320}"/>
            </c:ext>
          </c:extLst>
        </c:ser>
        <c:ser>
          <c:idx val="14"/>
          <c:order val="12"/>
          <c:tx>
            <c:strRef>
              <c:f>Fact5!$Y$54</c:f>
              <c:strCache>
                <c:ptCount val="1"/>
                <c:pt idx="0">
                  <c:v>PAN</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Fact5!$Z$54:$AT$54</c:f>
              <c:numCache>
                <c:formatCode>0</c:formatCode>
                <c:ptCount val="21"/>
                <c:pt idx="0">
                  <c:v>17.59663200378418</c:v>
                </c:pt>
                <c:pt idx="1">
                  <c:v>16.453123092651367</c:v>
                </c:pt>
                <c:pt idx="2">
                  <c:v>17.940937042236328</c:v>
                </c:pt>
                <c:pt idx="3">
                  <c:v>16.841392517089844</c:v>
                </c:pt>
                <c:pt idx="4">
                  <c:v>15.837926864624023</c:v>
                </c:pt>
                <c:pt idx="5">
                  <c:v>14.377239227294922</c:v>
                </c:pt>
                <c:pt idx="6">
                  <c:v>14.995941162109375</c:v>
                </c:pt>
                <c:pt idx="7">
                  <c:v>13.019922256469727</c:v>
                </c:pt>
                <c:pt idx="8">
                  <c:v>14.472837448120117</c:v>
                </c:pt>
                <c:pt idx="9">
                  <c:v>12.902566909790039</c:v>
                </c:pt>
                <c:pt idx="10">
                  <c:v>11.964855194091797</c:v>
                </c:pt>
                <c:pt idx="11">
                  <c:v>10.928615570068359</c:v>
                </c:pt>
                <c:pt idx="12">
                  <c:v>10.789382934570313</c:v>
                </c:pt>
                <c:pt idx="13">
                  <c:v>9.9543170928955078</c:v>
                </c:pt>
                <c:pt idx="14">
                  <c:v>10.177567481994629</c:v>
                </c:pt>
                <c:pt idx="15">
                  <c:v>9.0083036422729492</c:v>
                </c:pt>
                <c:pt idx="16">
                  <c:v>9.2068519592285156</c:v>
                </c:pt>
                <c:pt idx="17">
                  <c:v>9.6165342330932617</c:v>
                </c:pt>
                <c:pt idx="18">
                  <c:v>10.044445991516113</c:v>
                </c:pt>
                <c:pt idx="19">
                  <c:v>10.491399765014648</c:v>
                </c:pt>
                <c:pt idx="20">
                  <c:v>10.95824146270752</c:v>
                </c:pt>
              </c:numCache>
            </c:numRef>
          </c:val>
          <c:smooth val="0"/>
          <c:extLst>
            <c:ext xmlns:c16="http://schemas.microsoft.com/office/drawing/2014/chart" uri="{C3380CC4-5D6E-409C-BE32-E72D297353CC}">
              <c16:uniqueId val="{0000000E-DB8C-4E7C-9031-26AC6A23A320}"/>
            </c:ext>
          </c:extLst>
        </c:ser>
        <c:ser>
          <c:idx val="15"/>
          <c:order val="13"/>
          <c:tx>
            <c:strRef>
              <c:f>Fact5!$Y$55</c:f>
              <c:strCache>
                <c:ptCount val="1"/>
                <c:pt idx="0">
                  <c:v>PER</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Fact5!$Z$55:$AT$55</c:f>
              <c:numCache>
                <c:formatCode>0</c:formatCode>
                <c:ptCount val="21"/>
                <c:pt idx="0">
                  <c:v>26.549615859985352</c:v>
                </c:pt>
                <c:pt idx="1">
                  <c:v>26.959007263183594</c:v>
                </c:pt>
                <c:pt idx="2">
                  <c:v>26.376331329345703</c:v>
                </c:pt>
                <c:pt idx="3">
                  <c:v>25.781492233276367</c:v>
                </c:pt>
                <c:pt idx="4">
                  <c:v>24.946033477783203</c:v>
                </c:pt>
                <c:pt idx="5">
                  <c:v>24.539430618286133</c:v>
                </c:pt>
                <c:pt idx="6">
                  <c:v>21.329034805297852</c:v>
                </c:pt>
                <c:pt idx="7">
                  <c:v>20.19951057434082</c:v>
                </c:pt>
                <c:pt idx="8">
                  <c:v>22.834062576293945</c:v>
                </c:pt>
                <c:pt idx="9">
                  <c:v>22.219751358032227</c:v>
                </c:pt>
                <c:pt idx="10">
                  <c:v>21.910720825195313</c:v>
                </c:pt>
                <c:pt idx="11">
                  <c:v>22.156919479370117</c:v>
                </c:pt>
                <c:pt idx="12">
                  <c:v>22.409946441650391</c:v>
                </c:pt>
                <c:pt idx="13">
                  <c:v>21.096639633178711</c:v>
                </c:pt>
                <c:pt idx="14">
                  <c:v>22.17463493347168</c:v>
                </c:pt>
                <c:pt idx="15">
                  <c:v>21.958845138549805</c:v>
                </c:pt>
                <c:pt idx="16">
                  <c:v>21.402103424072266</c:v>
                </c:pt>
                <c:pt idx="17">
                  <c:v>26.611644744873047</c:v>
                </c:pt>
                <c:pt idx="18">
                  <c:v>26.276815414428711</c:v>
                </c:pt>
                <c:pt idx="19">
                  <c:v>25.205045700073242</c:v>
                </c:pt>
                <c:pt idx="20">
                  <c:v>24.176990509033203</c:v>
                </c:pt>
              </c:numCache>
            </c:numRef>
          </c:val>
          <c:smooth val="0"/>
          <c:extLst>
            <c:ext xmlns:c16="http://schemas.microsoft.com/office/drawing/2014/chart" uri="{C3380CC4-5D6E-409C-BE32-E72D297353CC}">
              <c16:uniqueId val="{0000000F-DB8C-4E7C-9031-26AC6A23A320}"/>
            </c:ext>
          </c:extLst>
        </c:ser>
        <c:ser>
          <c:idx val="16"/>
          <c:order val="14"/>
          <c:tx>
            <c:strRef>
              <c:f>Fact5!$Y$56</c:f>
              <c:strCache>
                <c:ptCount val="1"/>
                <c:pt idx="0">
                  <c:v>PRY</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Fact5!$Z$56:$AT$56</c:f>
              <c:numCache>
                <c:formatCode>0</c:formatCode>
                <c:ptCount val="21"/>
                <c:pt idx="0">
                  <c:v>24.827672958374023</c:v>
                </c:pt>
                <c:pt idx="1">
                  <c:v>26.736730575561523</c:v>
                </c:pt>
                <c:pt idx="2">
                  <c:v>25.157958984375</c:v>
                </c:pt>
                <c:pt idx="3">
                  <c:v>23.99897575378418</c:v>
                </c:pt>
                <c:pt idx="4">
                  <c:v>24.774364471435547</c:v>
                </c:pt>
                <c:pt idx="5">
                  <c:v>24.475152969360352</c:v>
                </c:pt>
                <c:pt idx="6">
                  <c:v>21.062740325927734</c:v>
                </c:pt>
                <c:pt idx="7">
                  <c:v>19.792831420898438</c:v>
                </c:pt>
                <c:pt idx="8">
                  <c:v>19.51426887512207</c:v>
                </c:pt>
                <c:pt idx="9">
                  <c:v>18.080142974853516</c:v>
                </c:pt>
                <c:pt idx="10">
                  <c:v>18.317001342773438</c:v>
                </c:pt>
                <c:pt idx="11">
                  <c:v>16.63810920715332</c:v>
                </c:pt>
                <c:pt idx="12">
                  <c:v>15.717448234558105</c:v>
                </c:pt>
                <c:pt idx="13">
                  <c:v>19.927719116210938</c:v>
                </c:pt>
                <c:pt idx="14">
                  <c:v>19.372299194335938</c:v>
                </c:pt>
                <c:pt idx="15">
                  <c:v>16.144527435302734</c:v>
                </c:pt>
                <c:pt idx="16">
                  <c:v>17.142047882080078</c:v>
                </c:pt>
                <c:pt idx="17">
                  <c:v>19.56251335144043</c:v>
                </c:pt>
                <c:pt idx="18">
                  <c:v>19.53570556640625</c:v>
                </c:pt>
                <c:pt idx="19">
                  <c:v>18.956794738769531</c:v>
                </c:pt>
                <c:pt idx="20">
                  <c:v>18.395038604736328</c:v>
                </c:pt>
              </c:numCache>
            </c:numRef>
          </c:val>
          <c:smooth val="0"/>
          <c:extLst>
            <c:ext xmlns:c16="http://schemas.microsoft.com/office/drawing/2014/chart" uri="{C3380CC4-5D6E-409C-BE32-E72D297353CC}">
              <c16:uniqueId val="{00000010-DB8C-4E7C-9031-26AC6A23A320}"/>
            </c:ext>
          </c:extLst>
        </c:ser>
        <c:ser>
          <c:idx val="17"/>
          <c:order val="15"/>
          <c:tx>
            <c:strRef>
              <c:f>Fact5!$Y$57</c:f>
              <c:strCache>
                <c:ptCount val="1"/>
                <c:pt idx="0">
                  <c:v>SLV</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Fact5!$Z$57:$AT$57</c:f>
              <c:numCache>
                <c:formatCode>0</c:formatCode>
                <c:ptCount val="21"/>
                <c:pt idx="0">
                  <c:v>26.592439651489258</c:v>
                </c:pt>
                <c:pt idx="1">
                  <c:v>29.330665588378906</c:v>
                </c:pt>
                <c:pt idx="2">
                  <c:v>28.630033493041992</c:v>
                </c:pt>
                <c:pt idx="3">
                  <c:v>30.840646743774414</c:v>
                </c:pt>
                <c:pt idx="4">
                  <c:v>31.429758071899414</c:v>
                </c:pt>
                <c:pt idx="5">
                  <c:v>29.746971130371094</c:v>
                </c:pt>
                <c:pt idx="6">
                  <c:v>29.420948028564453</c:v>
                </c:pt>
                <c:pt idx="7">
                  <c:v>28.542270660400391</c:v>
                </c:pt>
                <c:pt idx="8">
                  <c:v>32.268283843994141</c:v>
                </c:pt>
                <c:pt idx="9">
                  <c:v>31.364419937133789</c:v>
                </c:pt>
                <c:pt idx="10">
                  <c:v>30.711528778076172</c:v>
                </c:pt>
                <c:pt idx="11">
                  <c:v>30.953285217285156</c:v>
                </c:pt>
                <c:pt idx="12">
                  <c:v>31.63670539855957</c:v>
                </c:pt>
                <c:pt idx="13">
                  <c:v>29.288789749145508</c:v>
                </c:pt>
                <c:pt idx="14">
                  <c:v>29.577552795410156</c:v>
                </c:pt>
                <c:pt idx="15">
                  <c:v>28.159633636474609</c:v>
                </c:pt>
                <c:pt idx="16">
                  <c:v>28.522609710693359</c:v>
                </c:pt>
                <c:pt idx="17">
                  <c:v>24.419033050537109</c:v>
                </c:pt>
                <c:pt idx="18">
                  <c:v>24.470205307006836</c:v>
                </c:pt>
                <c:pt idx="19">
                  <c:v>23.633247375488281</c:v>
                </c:pt>
                <c:pt idx="20">
                  <c:v>23.091104507446289</c:v>
                </c:pt>
              </c:numCache>
            </c:numRef>
          </c:val>
          <c:smooth val="0"/>
          <c:extLst>
            <c:ext xmlns:c16="http://schemas.microsoft.com/office/drawing/2014/chart" uri="{C3380CC4-5D6E-409C-BE32-E72D297353CC}">
              <c16:uniqueId val="{00000011-DB8C-4E7C-9031-26AC6A23A320}"/>
            </c:ext>
          </c:extLst>
        </c:ser>
        <c:ser>
          <c:idx val="18"/>
          <c:order val="16"/>
          <c:tx>
            <c:strRef>
              <c:f>Fact5!$Y$58</c:f>
              <c:strCache>
                <c:ptCount val="1"/>
                <c:pt idx="0">
                  <c:v>URY</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Fact5!$Z$58:$AT$58</c:f>
              <c:numCache>
                <c:formatCode>0</c:formatCode>
                <c:ptCount val="21"/>
                <c:pt idx="0">
                  <c:v>23.439687728881836</c:v>
                </c:pt>
                <c:pt idx="1">
                  <c:v>22.164831161499023</c:v>
                </c:pt>
                <c:pt idx="2">
                  <c:v>19.436775207519531</c:v>
                </c:pt>
                <c:pt idx="3">
                  <c:v>19.40281867980957</c:v>
                </c:pt>
                <c:pt idx="4">
                  <c:v>18.065956115722656</c:v>
                </c:pt>
                <c:pt idx="5">
                  <c:v>16.686208724975586</c:v>
                </c:pt>
                <c:pt idx="6">
                  <c:v>14.489025115966797</c:v>
                </c:pt>
                <c:pt idx="7">
                  <c:v>14.635176658630371</c:v>
                </c:pt>
                <c:pt idx="8">
                  <c:v>11.45377254486084</c:v>
                </c:pt>
                <c:pt idx="9">
                  <c:v>10.370741844177246</c:v>
                </c:pt>
                <c:pt idx="10">
                  <c:v>9.9814338684082031</c:v>
                </c:pt>
                <c:pt idx="11">
                  <c:v>9.1623029708862305</c:v>
                </c:pt>
                <c:pt idx="12">
                  <c:v>8.8388557434082031</c:v>
                </c:pt>
                <c:pt idx="13">
                  <c:v>9.1115398406982422</c:v>
                </c:pt>
                <c:pt idx="14">
                  <c:v>8.0856437683105469</c:v>
                </c:pt>
                <c:pt idx="15">
                  <c:v>8.7572975158691406</c:v>
                </c:pt>
                <c:pt idx="16">
                  <c:v>9.0725812911987305</c:v>
                </c:pt>
                <c:pt idx="17">
                  <c:v>11.151027679443359</c:v>
                </c:pt>
                <c:pt idx="18">
                  <c:v>10.096809387207031</c:v>
                </c:pt>
                <c:pt idx="19">
                  <c:v>10.314765930175781</c:v>
                </c:pt>
                <c:pt idx="20">
                  <c:v>10.53742790222168</c:v>
                </c:pt>
              </c:numCache>
            </c:numRef>
          </c:val>
          <c:smooth val="0"/>
          <c:extLst>
            <c:ext xmlns:c16="http://schemas.microsoft.com/office/drawing/2014/chart" uri="{C3380CC4-5D6E-409C-BE32-E72D297353CC}">
              <c16:uniqueId val="{00000012-DB8C-4E7C-9031-26AC6A23A320}"/>
            </c:ext>
          </c:extLst>
        </c:ser>
        <c:ser>
          <c:idx val="19"/>
          <c:order val="17"/>
          <c:tx>
            <c:strRef>
              <c:f>Fact5!$Y$59</c:f>
              <c:strCache>
                <c:ptCount val="1"/>
                <c:pt idx="0">
                  <c:v>VEN</c:v>
                </c:pt>
              </c:strCache>
            </c:strRef>
          </c:tx>
          <c:spPr>
            <a:ln w="28575" cap="rnd">
              <a:solidFill>
                <a:srgbClr val="D9D9D9"/>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Fact5!$Z$59:$AT$59</c:f>
              <c:numCache>
                <c:formatCode>0</c:formatCode>
                <c:ptCount val="21"/>
                <c:pt idx="0">
                  <c:v>30.183271408081055</c:v>
                </c:pt>
                <c:pt idx="1">
                  <c:v>28.839504241943359</c:v>
                </c:pt>
                <c:pt idx="2">
                  <c:v>26.629961013793945</c:v>
                </c:pt>
                <c:pt idx="3">
                  <c:v>23.002622604370117</c:v>
                </c:pt>
                <c:pt idx="4">
                  <c:v>18.286838531494141</c:v>
                </c:pt>
                <c:pt idx="5">
                  <c:v>18.340126037597656</c:v>
                </c:pt>
                <c:pt idx="6">
                  <c:v>18.439153671264648</c:v>
                </c:pt>
                <c:pt idx="7">
                  <c:v>19.611307144165039</c:v>
                </c:pt>
                <c:pt idx="8">
                  <c:v>19.705734252929688</c:v>
                </c:pt>
                <c:pt idx="9">
                  <c:v>16.01618766784668</c:v>
                </c:pt>
                <c:pt idx="10">
                  <c:v>17.943737030029297</c:v>
                </c:pt>
                <c:pt idx="11">
                  <c:v>16.117481231689453</c:v>
                </c:pt>
                <c:pt idx="12">
                  <c:v>19.957935333251953</c:v>
                </c:pt>
                <c:pt idx="13">
                  <c:v>27.126041412353516</c:v>
                </c:pt>
                <c:pt idx="14">
                  <c:v>20.817943572998047</c:v>
                </c:pt>
                <c:pt idx="15">
                  <c:v>5.5889129638671875</c:v>
                </c:pt>
                <c:pt idx="16">
                  <c:v>10.141746520996094</c:v>
                </c:pt>
                <c:pt idx="17">
                  <c:v>14.694580078125</c:v>
                </c:pt>
                <c:pt idx="18">
                  <c:v>17.13670539855957</c:v>
                </c:pt>
                <c:pt idx="19">
                  <c:v>17.13670539855957</c:v>
                </c:pt>
                <c:pt idx="20">
                  <c:v>17.13670539855957</c:v>
                </c:pt>
              </c:numCache>
            </c:numRef>
          </c:val>
          <c:smooth val="0"/>
          <c:extLst>
            <c:ext xmlns:c16="http://schemas.microsoft.com/office/drawing/2014/chart" uri="{C3380CC4-5D6E-409C-BE32-E72D297353CC}">
              <c16:uniqueId val="{00000013-DB8C-4E7C-9031-26AC6A23A320}"/>
            </c:ext>
          </c:extLst>
        </c:ser>
        <c:ser>
          <c:idx val="20"/>
          <c:order val="18"/>
          <c:tx>
            <c:strRef>
              <c:f>Fact5!$Y$60</c:f>
              <c:strCache>
                <c:ptCount val="1"/>
                <c:pt idx="0">
                  <c:v> LAC</c:v>
                </c:pt>
              </c:strCache>
            </c:strRef>
          </c:tx>
          <c:spPr>
            <a:ln w="28575" cap="rnd">
              <a:solidFill>
                <a:schemeClr val="tx1"/>
              </a:solidFill>
              <a:prstDash val="dash"/>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Fact5!$Z$60:$AT$60</c:f>
              <c:numCache>
                <c:formatCode>0</c:formatCode>
                <c:ptCount val="21"/>
                <c:pt idx="0">
                  <c:v>24.757639843523286</c:v>
                </c:pt>
                <c:pt idx="1">
                  <c:v>25.618402436402516</c:v>
                </c:pt>
                <c:pt idx="2">
                  <c:v>25.354223748077416</c:v>
                </c:pt>
                <c:pt idx="3">
                  <c:v>24.548331920654881</c:v>
                </c:pt>
                <c:pt idx="4">
                  <c:v>24.374113532152201</c:v>
                </c:pt>
                <c:pt idx="5">
                  <c:v>23.993255383640754</c:v>
                </c:pt>
                <c:pt idx="6">
                  <c:v>23.391620783043269</c:v>
                </c:pt>
                <c:pt idx="7">
                  <c:v>23.371138441250825</c:v>
                </c:pt>
                <c:pt idx="8">
                  <c:v>23.058302809125102</c:v>
                </c:pt>
                <c:pt idx="9">
                  <c:v>21.949616778394532</c:v>
                </c:pt>
                <c:pt idx="10">
                  <c:v>21.287243131396956</c:v>
                </c:pt>
                <c:pt idx="11">
                  <c:v>21.103950659350307</c:v>
                </c:pt>
                <c:pt idx="12">
                  <c:v>21.392135924517209</c:v>
                </c:pt>
                <c:pt idx="13">
                  <c:v>20.580076328757848</c:v>
                </c:pt>
                <c:pt idx="14">
                  <c:v>20.042475417332149</c:v>
                </c:pt>
                <c:pt idx="15">
                  <c:v>19.587749812074865</c:v>
                </c:pt>
                <c:pt idx="16">
                  <c:v>19.352732866600142</c:v>
                </c:pt>
                <c:pt idx="17">
                  <c:v>21.50305710307445</c:v>
                </c:pt>
                <c:pt idx="18">
                  <c:v>20.77521887369187</c:v>
                </c:pt>
                <c:pt idx="19">
                  <c:v>19.298074420374096</c:v>
                </c:pt>
                <c:pt idx="20">
                  <c:v>17.974158375896259</c:v>
                </c:pt>
              </c:numCache>
            </c:numRef>
          </c:val>
          <c:smooth val="0"/>
          <c:extLst>
            <c:ext xmlns:c16="http://schemas.microsoft.com/office/drawing/2014/chart" uri="{C3380CC4-5D6E-409C-BE32-E72D297353CC}">
              <c16:uniqueId val="{00000014-DB8C-4E7C-9031-26AC6A23A320}"/>
            </c:ext>
          </c:extLst>
        </c:ser>
        <c:ser>
          <c:idx val="21"/>
          <c:order val="19"/>
          <c:tx>
            <c:strRef>
              <c:f>Fact5!$Y$61</c:f>
              <c:strCache>
                <c:ptCount val="1"/>
                <c:pt idx="0">
                  <c:v> LAC without VEN</c:v>
                </c:pt>
              </c:strCache>
            </c:strRef>
          </c:tx>
          <c:spPr>
            <a:ln w="38100" cap="rnd">
              <a:solidFill>
                <a:schemeClr val="tx1"/>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Fact5!$Z$61:$AT$61</c:f>
              <c:numCache>
                <c:formatCode>0</c:formatCode>
                <c:ptCount val="21"/>
                <c:pt idx="0">
                  <c:v>24.421290034615307</c:v>
                </c:pt>
                <c:pt idx="1">
                  <c:v>25.461926059874962</c:v>
                </c:pt>
                <c:pt idx="2">
                  <c:v>25.292250312653206</c:v>
                </c:pt>
                <c:pt idx="3">
                  <c:v>24.62342020024948</c:v>
                </c:pt>
                <c:pt idx="4">
                  <c:v>24.669824376618912</c:v>
                </c:pt>
                <c:pt idx="5">
                  <c:v>24.267876072309697</c:v>
                </c:pt>
                <c:pt idx="6">
                  <c:v>23.632204333426547</c:v>
                </c:pt>
                <c:pt idx="7">
                  <c:v>23.553785502176023</c:v>
                </c:pt>
                <c:pt idx="8">
                  <c:v>23.221165646565158</c:v>
                </c:pt>
                <c:pt idx="9">
                  <c:v>22.237854016349743</c:v>
                </c:pt>
                <c:pt idx="10">
                  <c:v>21.449665728143145</c:v>
                </c:pt>
                <c:pt idx="11">
                  <c:v>21.3461859921062</c:v>
                </c:pt>
                <c:pt idx="12">
                  <c:v>21.461807274658586</c:v>
                </c:pt>
                <c:pt idx="13">
                  <c:v>20.262082996353705</c:v>
                </c:pt>
                <c:pt idx="14">
                  <c:v>20.004855890493324</c:v>
                </c:pt>
                <c:pt idx="15">
                  <c:v>20.266861668152615</c:v>
                </c:pt>
                <c:pt idx="16">
                  <c:v>19.799576422339619</c:v>
                </c:pt>
                <c:pt idx="17">
                  <c:v>21.833350078098878</c:v>
                </c:pt>
                <c:pt idx="18">
                  <c:v>20.951730512926908</c:v>
                </c:pt>
                <c:pt idx="19">
                  <c:v>19.402926798038695</c:v>
                </c:pt>
                <c:pt idx="20">
                  <c:v>18.014784911656605</c:v>
                </c:pt>
              </c:numCache>
            </c:numRef>
          </c:val>
          <c:smooth val="0"/>
          <c:extLst>
            <c:ext xmlns:c16="http://schemas.microsoft.com/office/drawing/2014/chart" uri="{C3380CC4-5D6E-409C-BE32-E72D297353CC}">
              <c16:uniqueId val="{00000015-DB8C-4E7C-9031-26AC6A23A320}"/>
            </c:ext>
          </c:extLst>
        </c:ser>
        <c:dLbls>
          <c:showLegendKey val="0"/>
          <c:showVal val="0"/>
          <c:showCatName val="0"/>
          <c:showSerName val="0"/>
          <c:showPercent val="0"/>
          <c:showBubbleSize val="0"/>
        </c:dLbls>
        <c:smooth val="0"/>
        <c:axId val="615717568"/>
        <c:axId val="615719488"/>
      </c:lineChart>
      <c:catAx>
        <c:axId val="61571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15719488"/>
        <c:crosses val="autoZero"/>
        <c:auto val="1"/>
        <c:lblAlgn val="ctr"/>
        <c:lblOffset val="100"/>
        <c:noMultiLvlLbl val="0"/>
      </c:catAx>
      <c:valAx>
        <c:axId val="615719488"/>
        <c:scaling>
          <c:orientation val="minMax"/>
          <c:max val="10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 of the population</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15717568"/>
        <c:crosses val="autoZero"/>
        <c:crossBetween val="between"/>
      </c:valAx>
      <c:spPr>
        <a:noFill/>
        <a:ln>
          <a:noFill/>
        </a:ln>
        <a:effectLst/>
      </c:spPr>
    </c:plotArea>
    <c:legend>
      <c:legendPos val="b"/>
      <c:legendEntry>
        <c:idx val="0"/>
        <c:delete val="1"/>
      </c:legendEntry>
      <c:legendEntry>
        <c:idx val="1"/>
        <c:delete val="1"/>
      </c:legendEntry>
      <c:legendEntry>
        <c:idx val="2"/>
        <c:delete val="1"/>
      </c:legendEntry>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egendEntry>
        <c:idx val="12"/>
        <c:delete val="1"/>
      </c:legendEntry>
      <c:legendEntry>
        <c:idx val="13"/>
        <c:delete val="1"/>
      </c:legendEntry>
      <c:legendEntry>
        <c:idx val="14"/>
        <c:delete val="1"/>
      </c:legendEntry>
      <c:legendEntry>
        <c:idx val="15"/>
        <c:delete val="1"/>
      </c:legendEntry>
      <c:legendEntry>
        <c:idx val="16"/>
        <c:delete val="1"/>
      </c:legendEntry>
      <c:legendEntry>
        <c:idx val="17"/>
        <c:delete val="1"/>
      </c:legendEntry>
      <c:layout>
        <c:manualLayout>
          <c:xMode val="edge"/>
          <c:yMode val="edge"/>
          <c:x val="6.2295081967213117E-2"/>
          <c:y val="2.0588569754819999E-2"/>
          <c:w val="0.20655737704918034"/>
          <c:h val="9.5521459708127296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sz="11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1170339109331993"/>
          <c:y val="2.2807130907710148E-2"/>
          <c:w val="0.88829660890668005"/>
          <c:h val="0.87131656212464959"/>
        </c:manualLayout>
      </c:layout>
      <c:lineChart>
        <c:grouping val="standard"/>
        <c:varyColors val="0"/>
        <c:ser>
          <c:idx val="13"/>
          <c:order val="0"/>
          <c:tx>
            <c:strRef>
              <c:f>Fact5!$Y$72</c:f>
              <c:strCache>
                <c:ptCount val="1"/>
                <c:pt idx="0">
                  <c:v>ARG</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Fact5!$Z$72:$AT$72</c:f>
              <c:numCache>
                <c:formatCode>0</c:formatCode>
                <c:ptCount val="21"/>
                <c:pt idx="0">
                  <c:v>80.181297302246094</c:v>
                </c:pt>
                <c:pt idx="1">
                  <c:v>74.628303527832031</c:v>
                </c:pt>
                <c:pt idx="2">
                  <c:v>69.6734619140625</c:v>
                </c:pt>
                <c:pt idx="3">
                  <c:v>64.746749877929688</c:v>
                </c:pt>
                <c:pt idx="4">
                  <c:v>53.451377868652344</c:v>
                </c:pt>
                <c:pt idx="5">
                  <c:v>48.945365905761719</c:v>
                </c:pt>
                <c:pt idx="6">
                  <c:v>42.124416351318359</c:v>
                </c:pt>
                <c:pt idx="7">
                  <c:v>35.802543640136719</c:v>
                </c:pt>
                <c:pt idx="8">
                  <c:v>27.230607986450195</c:v>
                </c:pt>
                <c:pt idx="9">
                  <c:v>21.623516082763672</c:v>
                </c:pt>
                <c:pt idx="10">
                  <c:v>16.495676040649414</c:v>
                </c:pt>
                <c:pt idx="11">
                  <c:v>19.658725738525391</c:v>
                </c:pt>
                <c:pt idx="12">
                  <c:v>23.121952056884766</c:v>
                </c:pt>
                <c:pt idx="13">
                  <c:v>18.903919219970703</c:v>
                </c:pt>
                <c:pt idx="14">
                  <c:v>15.894489288330078</c:v>
                </c:pt>
                <c:pt idx="15">
                  <c:v>18.309366226196289</c:v>
                </c:pt>
                <c:pt idx="16">
                  <c:v>20.853439331054688</c:v>
                </c:pt>
                <c:pt idx="17">
                  <c:v>25.708707809448242</c:v>
                </c:pt>
                <c:pt idx="18">
                  <c:v>23.364168167114258</c:v>
                </c:pt>
                <c:pt idx="19">
                  <c:v>20.98236083984375</c:v>
                </c:pt>
                <c:pt idx="20">
                  <c:v>18.843360900878906</c:v>
                </c:pt>
              </c:numCache>
            </c:numRef>
          </c:val>
          <c:smooth val="0"/>
          <c:extLst>
            <c:ext xmlns:c16="http://schemas.microsoft.com/office/drawing/2014/chart" uri="{C3380CC4-5D6E-409C-BE32-E72D297353CC}">
              <c16:uniqueId val="{00000000-DB8C-4E7C-9031-26AC6A23A320}"/>
            </c:ext>
          </c:extLst>
        </c:ser>
        <c:ser>
          <c:idx val="3"/>
          <c:order val="1"/>
          <c:tx>
            <c:strRef>
              <c:f>Fact5!$Y$73</c:f>
              <c:strCache>
                <c:ptCount val="1"/>
                <c:pt idx="0">
                  <c:v>BOL</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Fact5!$Z$73:$AT$73</c:f>
              <c:numCache>
                <c:formatCode>0</c:formatCode>
                <c:ptCount val="21"/>
                <c:pt idx="0">
                  <c:v>42.593605041503906</c:v>
                </c:pt>
                <c:pt idx="1">
                  <c:v>46.261856079101563</c:v>
                </c:pt>
                <c:pt idx="2">
                  <c:v>49.930103302001953</c:v>
                </c:pt>
                <c:pt idx="3">
                  <c:v>45.524200439453125</c:v>
                </c:pt>
                <c:pt idx="4">
                  <c:v>44.063262939453125</c:v>
                </c:pt>
                <c:pt idx="5">
                  <c:v>36.030048370361328</c:v>
                </c:pt>
                <c:pt idx="6">
                  <c:v>32.605022430419922</c:v>
                </c:pt>
                <c:pt idx="7">
                  <c:v>29.915428161621094</c:v>
                </c:pt>
                <c:pt idx="8">
                  <c:v>27.225833892822266</c:v>
                </c:pt>
                <c:pt idx="9">
                  <c:v>27.9244384765625</c:v>
                </c:pt>
                <c:pt idx="10">
                  <c:v>24.77093505859375</c:v>
                </c:pt>
                <c:pt idx="11">
                  <c:v>24.327859878540039</c:v>
                </c:pt>
                <c:pt idx="12">
                  <c:v>24.925180435180664</c:v>
                </c:pt>
                <c:pt idx="13">
                  <c:v>25.234722137451172</c:v>
                </c:pt>
                <c:pt idx="14">
                  <c:v>25.377649307250977</c:v>
                </c:pt>
                <c:pt idx="15">
                  <c:v>23.268091201782227</c:v>
                </c:pt>
                <c:pt idx="16">
                  <c:v>19.293706893920898</c:v>
                </c:pt>
                <c:pt idx="17">
                  <c:v>23.851003646850586</c:v>
                </c:pt>
                <c:pt idx="18">
                  <c:v>20.545166015625</c:v>
                </c:pt>
                <c:pt idx="19">
                  <c:v>21.749509811401367</c:v>
                </c:pt>
                <c:pt idx="20">
                  <c:v>23.024452209472656</c:v>
                </c:pt>
              </c:numCache>
            </c:numRef>
          </c:val>
          <c:smooth val="0"/>
          <c:extLst>
            <c:ext xmlns:c16="http://schemas.microsoft.com/office/drawing/2014/chart" uri="{C3380CC4-5D6E-409C-BE32-E72D297353CC}">
              <c16:uniqueId val="{00000001-DB8C-4E7C-9031-26AC6A23A320}"/>
            </c:ext>
          </c:extLst>
        </c:ser>
        <c:ser>
          <c:idx val="6"/>
          <c:order val="2"/>
          <c:tx>
            <c:strRef>
              <c:f>Fact5!$Y$74</c:f>
              <c:strCache>
                <c:ptCount val="1"/>
                <c:pt idx="0">
                  <c:v>BRA</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Fact5!$Z$74:$AT$74</c:f>
              <c:numCache>
                <c:formatCode>0</c:formatCode>
                <c:ptCount val="21"/>
                <c:pt idx="0">
                  <c:v>54.42401123046875</c:v>
                </c:pt>
                <c:pt idx="1">
                  <c:v>52.578014373779297</c:v>
                </c:pt>
                <c:pt idx="2">
                  <c:v>51.275669097900391</c:v>
                </c:pt>
                <c:pt idx="3">
                  <c:v>48.169185638427734</c:v>
                </c:pt>
                <c:pt idx="4">
                  <c:v>45.344509124755859</c:v>
                </c:pt>
                <c:pt idx="5">
                  <c:v>42.017601013183594</c:v>
                </c:pt>
                <c:pt idx="6">
                  <c:v>40.354255676269531</c:v>
                </c:pt>
                <c:pt idx="7">
                  <c:v>38.505668640136719</c:v>
                </c:pt>
                <c:pt idx="8">
                  <c:v>36.657081604003906</c:v>
                </c:pt>
                <c:pt idx="9">
                  <c:v>33.156471252441406</c:v>
                </c:pt>
                <c:pt idx="10">
                  <c:v>31.864336013793945</c:v>
                </c:pt>
                <c:pt idx="11">
                  <c:v>30.465847015380859</c:v>
                </c:pt>
                <c:pt idx="12">
                  <c:v>32.067531585693359</c:v>
                </c:pt>
                <c:pt idx="13">
                  <c:v>32.099849700927734</c:v>
                </c:pt>
                <c:pt idx="14">
                  <c:v>32.1055908203125</c:v>
                </c:pt>
                <c:pt idx="15">
                  <c:v>33.379123687744141</c:v>
                </c:pt>
                <c:pt idx="16">
                  <c:v>30.784809112548828</c:v>
                </c:pt>
                <c:pt idx="17">
                  <c:v>30.961460113525391</c:v>
                </c:pt>
                <c:pt idx="18">
                  <c:v>35.578147888183594</c:v>
                </c:pt>
                <c:pt idx="19">
                  <c:v>29.435735702514648</c:v>
                </c:pt>
                <c:pt idx="20">
                  <c:v>24.353784561157227</c:v>
                </c:pt>
              </c:numCache>
            </c:numRef>
          </c:val>
          <c:smooth val="0"/>
          <c:extLst>
            <c:ext xmlns:c16="http://schemas.microsoft.com/office/drawing/2014/chart" uri="{C3380CC4-5D6E-409C-BE32-E72D297353CC}">
              <c16:uniqueId val="{00000002-DB8C-4E7C-9031-26AC6A23A320}"/>
            </c:ext>
          </c:extLst>
        </c:ser>
        <c:ser>
          <c:idx val="0"/>
          <c:order val="3"/>
          <c:tx>
            <c:strRef>
              <c:f>Fact5!$Y$75</c:f>
              <c:strCache>
                <c:ptCount val="1"/>
                <c:pt idx="0">
                  <c:v>CHL</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Fact5!$Z$75:$AT$75</c:f>
              <c:numCache>
                <c:formatCode>0</c:formatCode>
                <c:ptCount val="21"/>
                <c:pt idx="0">
                  <c:v>38.970500946044922</c:v>
                </c:pt>
                <c:pt idx="1">
                  <c:v>36.434745788574219</c:v>
                </c:pt>
                <c:pt idx="2">
                  <c:v>34.063987731933594</c:v>
                </c:pt>
                <c:pt idx="3">
                  <c:v>31.847488403320313</c:v>
                </c:pt>
                <c:pt idx="4">
                  <c:v>29.84208869934082</c:v>
                </c:pt>
                <c:pt idx="5">
                  <c:v>27.962966918945313</c:v>
                </c:pt>
                <c:pt idx="6">
                  <c:v>26.202171325683594</c:v>
                </c:pt>
                <c:pt idx="7">
                  <c:v>24.995223999023438</c:v>
                </c:pt>
                <c:pt idx="8">
                  <c:v>23.788274765014648</c:v>
                </c:pt>
                <c:pt idx="9">
                  <c:v>20.800542831420898</c:v>
                </c:pt>
                <c:pt idx="10">
                  <c:v>17.812810897827148</c:v>
                </c:pt>
                <c:pt idx="11">
                  <c:v>18.236141204833984</c:v>
                </c:pt>
                <c:pt idx="12">
                  <c:v>18.65947151184082</c:v>
                </c:pt>
                <c:pt idx="13">
                  <c:v>17.245492935180664</c:v>
                </c:pt>
                <c:pt idx="14">
                  <c:v>15.831515312194824</c:v>
                </c:pt>
                <c:pt idx="15">
                  <c:v>17.416128158569336</c:v>
                </c:pt>
                <c:pt idx="16">
                  <c:v>19.159347534179688</c:v>
                </c:pt>
                <c:pt idx="17">
                  <c:v>21.077051162719727</c:v>
                </c:pt>
                <c:pt idx="18">
                  <c:v>16.148113250732422</c:v>
                </c:pt>
                <c:pt idx="19">
                  <c:v>11.219173431396484</c:v>
                </c:pt>
                <c:pt idx="20">
                  <c:v>7.7947096824645996</c:v>
                </c:pt>
              </c:numCache>
            </c:numRef>
          </c:val>
          <c:smooth val="0"/>
          <c:extLst>
            <c:ext xmlns:c16="http://schemas.microsoft.com/office/drawing/2014/chart" uri="{C3380CC4-5D6E-409C-BE32-E72D297353CC}">
              <c16:uniqueId val="{00000003-DB8C-4E7C-9031-26AC6A23A320}"/>
            </c:ext>
          </c:extLst>
        </c:ser>
        <c:ser>
          <c:idx val="2"/>
          <c:order val="4"/>
          <c:tx>
            <c:strRef>
              <c:f>Fact5!$Y$76</c:f>
              <c:strCache>
                <c:ptCount val="1"/>
                <c:pt idx="0">
                  <c:v>COL</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Fact5!$Z$76:$AT$76</c:f>
              <c:numCache>
                <c:formatCode>0</c:formatCode>
                <c:ptCount val="21"/>
                <c:pt idx="0">
                  <c:v>65.505233764648438</c:v>
                </c:pt>
                <c:pt idx="1">
                  <c:v>65.32452392578125</c:v>
                </c:pt>
                <c:pt idx="2">
                  <c:v>61.318134307861328</c:v>
                </c:pt>
                <c:pt idx="3">
                  <c:v>64.573745727539063</c:v>
                </c:pt>
                <c:pt idx="4">
                  <c:v>63.358867645263672</c:v>
                </c:pt>
                <c:pt idx="5">
                  <c:v>54.211826324462891</c:v>
                </c:pt>
                <c:pt idx="6">
                  <c:v>53.447109222412109</c:v>
                </c:pt>
                <c:pt idx="7">
                  <c:v>50.954963684082031</c:v>
                </c:pt>
                <c:pt idx="8">
                  <c:v>47.093738555908203</c:v>
                </c:pt>
                <c:pt idx="9">
                  <c:v>46.683910369873047</c:v>
                </c:pt>
                <c:pt idx="10">
                  <c:v>44.009597778320313</c:v>
                </c:pt>
                <c:pt idx="11">
                  <c:v>41.915290832519531</c:v>
                </c:pt>
                <c:pt idx="12">
                  <c:v>41.998088836669922</c:v>
                </c:pt>
                <c:pt idx="13">
                  <c:v>41.7420654296875</c:v>
                </c:pt>
                <c:pt idx="14">
                  <c:v>41.755153656005859</c:v>
                </c:pt>
                <c:pt idx="15">
                  <c:v>41.643383026123047</c:v>
                </c:pt>
                <c:pt idx="16">
                  <c:v>42.172607421875</c:v>
                </c:pt>
                <c:pt idx="17">
                  <c:v>46.499851226806641</c:v>
                </c:pt>
                <c:pt idx="18">
                  <c:v>45.010330200195313</c:v>
                </c:pt>
                <c:pt idx="19">
                  <c:v>41.222324371337891</c:v>
                </c:pt>
                <c:pt idx="20">
                  <c:v>37.75311279296875</c:v>
                </c:pt>
              </c:numCache>
            </c:numRef>
          </c:val>
          <c:smooth val="0"/>
          <c:extLst>
            <c:ext xmlns:c16="http://schemas.microsoft.com/office/drawing/2014/chart" uri="{C3380CC4-5D6E-409C-BE32-E72D297353CC}">
              <c16:uniqueId val="{00000005-DB8C-4E7C-9031-26AC6A23A320}"/>
            </c:ext>
          </c:extLst>
        </c:ser>
        <c:ser>
          <c:idx val="5"/>
          <c:order val="5"/>
          <c:tx>
            <c:strRef>
              <c:f>Fact5!$Y$77</c:f>
              <c:strCache>
                <c:ptCount val="1"/>
                <c:pt idx="0">
                  <c:v>CRI</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Fact5!$Z$77:$AT$77</c:f>
              <c:numCache>
                <c:formatCode>0</c:formatCode>
                <c:ptCount val="21"/>
                <c:pt idx="0">
                  <c:v>34.271766662597656</c:v>
                </c:pt>
                <c:pt idx="1">
                  <c:v>35.800930023193359</c:v>
                </c:pt>
                <c:pt idx="2">
                  <c:v>32.126998901367188</c:v>
                </c:pt>
                <c:pt idx="3">
                  <c:v>31.900516510009766</c:v>
                </c:pt>
                <c:pt idx="4">
                  <c:v>27.102697372436523</c:v>
                </c:pt>
                <c:pt idx="5">
                  <c:v>25.561670303344727</c:v>
                </c:pt>
                <c:pt idx="6">
                  <c:v>25.654098510742188</c:v>
                </c:pt>
                <c:pt idx="7">
                  <c:v>24.893825531005859</c:v>
                </c:pt>
                <c:pt idx="8">
                  <c:v>26.389434814453125</c:v>
                </c:pt>
                <c:pt idx="9">
                  <c:v>24.036725997924805</c:v>
                </c:pt>
                <c:pt idx="10">
                  <c:v>23.633201599121094</c:v>
                </c:pt>
                <c:pt idx="11">
                  <c:v>22.614435195922852</c:v>
                </c:pt>
                <c:pt idx="12">
                  <c:v>21.229366302490234</c:v>
                </c:pt>
                <c:pt idx="13">
                  <c:v>21.012430191040039</c:v>
                </c:pt>
                <c:pt idx="14">
                  <c:v>20.445932388305664</c:v>
                </c:pt>
                <c:pt idx="15">
                  <c:v>21.157680511474609</c:v>
                </c:pt>
                <c:pt idx="16">
                  <c:v>21.6925048828125</c:v>
                </c:pt>
                <c:pt idx="17">
                  <c:v>30.837089538574219</c:v>
                </c:pt>
                <c:pt idx="18">
                  <c:v>23.914463043212891</c:v>
                </c:pt>
                <c:pt idx="19">
                  <c:v>22.723045349121094</c:v>
                </c:pt>
                <c:pt idx="20">
                  <c:v>20.874841690063477</c:v>
                </c:pt>
              </c:numCache>
            </c:numRef>
          </c:val>
          <c:smooth val="0"/>
          <c:extLst>
            <c:ext xmlns:c16="http://schemas.microsoft.com/office/drawing/2014/chart" uri="{C3380CC4-5D6E-409C-BE32-E72D297353CC}">
              <c16:uniqueId val="{00000007-DB8C-4E7C-9031-26AC6A23A320}"/>
            </c:ext>
          </c:extLst>
        </c:ser>
        <c:ser>
          <c:idx val="7"/>
          <c:order val="6"/>
          <c:tx>
            <c:strRef>
              <c:f>Fact5!$Y$78</c:f>
              <c:strCache>
                <c:ptCount val="1"/>
                <c:pt idx="0">
                  <c:v>DOM</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Fact5!$Z$78:$AT$78</c:f>
              <c:numCache>
                <c:formatCode>0</c:formatCode>
                <c:ptCount val="21"/>
                <c:pt idx="0">
                  <c:v>56.721168518066406</c:v>
                </c:pt>
                <c:pt idx="1">
                  <c:v>64.326515197753906</c:v>
                </c:pt>
                <c:pt idx="2">
                  <c:v>56.766468048095703</c:v>
                </c:pt>
                <c:pt idx="3">
                  <c:v>53.332321166992188</c:v>
                </c:pt>
                <c:pt idx="4">
                  <c:v>53.061874389648438</c:v>
                </c:pt>
                <c:pt idx="5">
                  <c:v>52.904289245605469</c:v>
                </c:pt>
                <c:pt idx="6">
                  <c:v>51.000095367431641</c:v>
                </c:pt>
                <c:pt idx="7">
                  <c:v>51.353370666503906</c:v>
                </c:pt>
                <c:pt idx="8">
                  <c:v>51.803058624267578</c:v>
                </c:pt>
                <c:pt idx="9">
                  <c:v>52.807640075683594</c:v>
                </c:pt>
                <c:pt idx="10">
                  <c:v>51.093090057373047</c:v>
                </c:pt>
                <c:pt idx="11">
                  <c:v>45.834613800048828</c:v>
                </c:pt>
                <c:pt idx="12">
                  <c:v>41.197288513183594</c:v>
                </c:pt>
                <c:pt idx="13">
                  <c:v>39.012348175048828</c:v>
                </c:pt>
                <c:pt idx="14">
                  <c:v>33.117446899414063</c:v>
                </c:pt>
                <c:pt idx="15">
                  <c:v>30.914693832397461</c:v>
                </c:pt>
                <c:pt idx="16">
                  <c:v>27.664180755615234</c:v>
                </c:pt>
                <c:pt idx="17">
                  <c:v>39.057601928710938</c:v>
                </c:pt>
                <c:pt idx="18">
                  <c:v>33.129955291748047</c:v>
                </c:pt>
                <c:pt idx="19">
                  <c:v>29.323764801025391</c:v>
                </c:pt>
                <c:pt idx="20">
                  <c:v>25.954854965209961</c:v>
                </c:pt>
              </c:numCache>
            </c:numRef>
          </c:val>
          <c:smooth val="0"/>
          <c:extLst>
            <c:ext xmlns:c16="http://schemas.microsoft.com/office/drawing/2014/chart" uri="{C3380CC4-5D6E-409C-BE32-E72D297353CC}">
              <c16:uniqueId val="{00000008-DB8C-4E7C-9031-26AC6A23A320}"/>
            </c:ext>
          </c:extLst>
        </c:ser>
        <c:ser>
          <c:idx val="8"/>
          <c:order val="7"/>
          <c:tx>
            <c:strRef>
              <c:f>Fact5!$Y$79</c:f>
              <c:strCache>
                <c:ptCount val="1"/>
                <c:pt idx="0">
                  <c:v>ECU</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Fact5!$Z$79:$AT$79</c:f>
              <c:numCache>
                <c:formatCode>0</c:formatCode>
                <c:ptCount val="21"/>
                <c:pt idx="0">
                  <c:v>63.337863922119141</c:v>
                </c:pt>
                <c:pt idx="1">
                  <c:v>58.339691162109375</c:v>
                </c:pt>
                <c:pt idx="2">
                  <c:v>56.275814056396484</c:v>
                </c:pt>
                <c:pt idx="3">
                  <c:v>52.310771942138672</c:v>
                </c:pt>
                <c:pt idx="4">
                  <c:v>51.56231689453125</c:v>
                </c:pt>
                <c:pt idx="5">
                  <c:v>49.671478271484375</c:v>
                </c:pt>
                <c:pt idx="6">
                  <c:v>51.509048461914063</c:v>
                </c:pt>
                <c:pt idx="7">
                  <c:v>47.537281036376953</c:v>
                </c:pt>
                <c:pt idx="8">
                  <c:v>43.781993865966797</c:v>
                </c:pt>
                <c:pt idx="9">
                  <c:v>41.126041412353516</c:v>
                </c:pt>
                <c:pt idx="10">
                  <c:v>40.811492919921875</c:v>
                </c:pt>
                <c:pt idx="11">
                  <c:v>36.608932495117188</c:v>
                </c:pt>
                <c:pt idx="12">
                  <c:v>37.153495788574219</c:v>
                </c:pt>
                <c:pt idx="13">
                  <c:v>37.860443115234375</c:v>
                </c:pt>
                <c:pt idx="14">
                  <c:v>35.812149047851563</c:v>
                </c:pt>
                <c:pt idx="15">
                  <c:v>37.40350341796875</c:v>
                </c:pt>
                <c:pt idx="16">
                  <c:v>39.098251342773438</c:v>
                </c:pt>
                <c:pt idx="17">
                  <c:v>47.238983154296875</c:v>
                </c:pt>
                <c:pt idx="18">
                  <c:v>41.8187255859375</c:v>
                </c:pt>
                <c:pt idx="19">
                  <c:v>40.356998443603516</c:v>
                </c:pt>
                <c:pt idx="20">
                  <c:v>40.369815826416016</c:v>
                </c:pt>
              </c:numCache>
            </c:numRef>
          </c:val>
          <c:smooth val="0"/>
          <c:extLst>
            <c:ext xmlns:c16="http://schemas.microsoft.com/office/drawing/2014/chart" uri="{C3380CC4-5D6E-409C-BE32-E72D297353CC}">
              <c16:uniqueId val="{00000009-DB8C-4E7C-9031-26AC6A23A320}"/>
            </c:ext>
          </c:extLst>
        </c:ser>
        <c:ser>
          <c:idx val="9"/>
          <c:order val="8"/>
          <c:tx>
            <c:strRef>
              <c:f>Fact5!$Y$80</c:f>
              <c:strCache>
                <c:ptCount val="1"/>
                <c:pt idx="0">
                  <c:v>GTM</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Fact5!$Z$80:$AT$80</c:f>
              <c:numCache>
                <c:formatCode>0</c:formatCode>
                <c:ptCount val="21"/>
                <c:pt idx="0">
                  <c:v>48.775291442871094</c:v>
                </c:pt>
                <c:pt idx="1">
                  <c:v>63.768726348876953</c:v>
                </c:pt>
                <c:pt idx="2">
                  <c:v>57.234706878662109</c:v>
                </c:pt>
                <c:pt idx="3">
                  <c:v>50.700687408447266</c:v>
                </c:pt>
                <c:pt idx="4">
                  <c:v>55.118621826171875</c:v>
                </c:pt>
                <c:pt idx="5">
                  <c:v>59.921524047851563</c:v>
                </c:pt>
                <c:pt idx="6">
                  <c:v>65.1429443359375</c:v>
                </c:pt>
                <c:pt idx="7">
                  <c:v>70.819351196289063</c:v>
                </c:pt>
                <c:pt idx="8">
                  <c:v>69.139884948730469</c:v>
                </c:pt>
                <c:pt idx="9">
                  <c:v>60.104316711425781</c:v>
                </c:pt>
                <c:pt idx="10">
                  <c:v>58.298164367675781</c:v>
                </c:pt>
                <c:pt idx="11">
                  <c:v>56.932670593261719</c:v>
                </c:pt>
                <c:pt idx="12">
                  <c:v>55.933719635009766</c:v>
                </c:pt>
                <c:pt idx="13">
                  <c:v>55.923187255859375</c:v>
                </c:pt>
                <c:pt idx="14">
                  <c:v>56.833820343017578</c:v>
                </c:pt>
                <c:pt idx="15">
                  <c:v>59.322078704833984</c:v>
                </c:pt>
                <c:pt idx="16">
                  <c:v>58.005214691162109</c:v>
                </c:pt>
                <c:pt idx="17">
                  <c:v>58.724037170410156</c:v>
                </c:pt>
                <c:pt idx="18">
                  <c:v>59.442855834960938</c:v>
                </c:pt>
                <c:pt idx="19">
                  <c:v>55.366111755371094</c:v>
                </c:pt>
                <c:pt idx="20">
                  <c:v>51.568962097167969</c:v>
                </c:pt>
              </c:numCache>
            </c:numRef>
          </c:val>
          <c:smooth val="0"/>
          <c:extLst>
            <c:ext xmlns:c16="http://schemas.microsoft.com/office/drawing/2014/chart" uri="{C3380CC4-5D6E-409C-BE32-E72D297353CC}">
              <c16:uniqueId val="{0000000A-DB8C-4E7C-9031-26AC6A23A320}"/>
            </c:ext>
          </c:extLst>
        </c:ser>
        <c:ser>
          <c:idx val="10"/>
          <c:order val="9"/>
          <c:tx>
            <c:strRef>
              <c:f>Fact5!$Y$81</c:f>
              <c:strCache>
                <c:ptCount val="1"/>
                <c:pt idx="0">
                  <c:v>GUY</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Fact5!$Z$81:$AT$81</c:f>
              <c:numCache>
                <c:formatCode>0</c:formatCode>
                <c:ptCount val="21"/>
                <c:pt idx="14">
                  <c:v>54.964996337890625</c:v>
                </c:pt>
                <c:pt idx="15">
                  <c:v>57.776035308837891</c:v>
                </c:pt>
                <c:pt idx="16">
                  <c:v>57.605125427246094</c:v>
                </c:pt>
                <c:pt idx="17">
                  <c:v>57.772506713867188</c:v>
                </c:pt>
                <c:pt idx="18">
                  <c:v>57.939888000488281</c:v>
                </c:pt>
                <c:pt idx="19">
                  <c:v>57.939888000488281</c:v>
                </c:pt>
                <c:pt idx="20">
                  <c:v>57.939888000488281</c:v>
                </c:pt>
              </c:numCache>
            </c:numRef>
          </c:val>
          <c:smooth val="0"/>
          <c:extLst>
            <c:ext xmlns:c16="http://schemas.microsoft.com/office/drawing/2014/chart" uri="{C3380CC4-5D6E-409C-BE32-E72D297353CC}">
              <c16:uniqueId val="{0000000B-DB8C-4E7C-9031-26AC6A23A320}"/>
            </c:ext>
          </c:extLst>
        </c:ser>
        <c:ser>
          <c:idx val="11"/>
          <c:order val="10"/>
          <c:tx>
            <c:strRef>
              <c:f>Fact5!$Y$82</c:f>
              <c:strCache>
                <c:ptCount val="1"/>
                <c:pt idx="0">
                  <c:v>HND</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Fact5!$Z$82:$AT$82</c:f>
              <c:numCache>
                <c:formatCode>0</c:formatCode>
                <c:ptCount val="21"/>
                <c:pt idx="0">
                  <c:v>66.173309326171875</c:v>
                </c:pt>
                <c:pt idx="1">
                  <c:v>66.559806823730469</c:v>
                </c:pt>
                <c:pt idx="2">
                  <c:v>64.301124572753906</c:v>
                </c:pt>
                <c:pt idx="3">
                  <c:v>62.075065612792969</c:v>
                </c:pt>
                <c:pt idx="4">
                  <c:v>58.149982452392578</c:v>
                </c:pt>
                <c:pt idx="5">
                  <c:v>57.091392517089844</c:v>
                </c:pt>
                <c:pt idx="6">
                  <c:v>55.762748718261719</c:v>
                </c:pt>
                <c:pt idx="7">
                  <c:v>58.512611389160156</c:v>
                </c:pt>
                <c:pt idx="8">
                  <c:v>61.264755249023438</c:v>
                </c:pt>
                <c:pt idx="9">
                  <c:v>66.331443786621094</c:v>
                </c:pt>
                <c:pt idx="10">
                  <c:v>63.87176513671875</c:v>
                </c:pt>
                <c:pt idx="11">
                  <c:v>60.848384857177734</c:v>
                </c:pt>
                <c:pt idx="12">
                  <c:v>60.237525939941406</c:v>
                </c:pt>
                <c:pt idx="13">
                  <c:v>58.514457702636719</c:v>
                </c:pt>
                <c:pt idx="14">
                  <c:v>61.054317474365234</c:v>
                </c:pt>
                <c:pt idx="15">
                  <c:v>60.406036376953125</c:v>
                </c:pt>
                <c:pt idx="16">
                  <c:v>61.583339691162109</c:v>
                </c:pt>
                <c:pt idx="17">
                  <c:v>62.795543670654297</c:v>
                </c:pt>
                <c:pt idx="18">
                  <c:v>64.031608581542969</c:v>
                </c:pt>
                <c:pt idx="19">
                  <c:v>65.292007446289063</c:v>
                </c:pt>
                <c:pt idx="20">
                  <c:v>60.174953460693359</c:v>
                </c:pt>
              </c:numCache>
            </c:numRef>
          </c:val>
          <c:smooth val="0"/>
          <c:extLst>
            <c:ext xmlns:c16="http://schemas.microsoft.com/office/drawing/2014/chart" uri="{C3380CC4-5D6E-409C-BE32-E72D297353CC}">
              <c16:uniqueId val="{0000000C-DB8C-4E7C-9031-26AC6A23A320}"/>
            </c:ext>
          </c:extLst>
        </c:ser>
        <c:ser>
          <c:idx val="12"/>
          <c:order val="11"/>
          <c:tx>
            <c:strRef>
              <c:f>Fact5!$Y$83</c:f>
              <c:strCache>
                <c:ptCount val="1"/>
                <c:pt idx="0">
                  <c:v>MEX</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Fact5!$Z$83:$AT$83</c:f>
              <c:numCache>
                <c:formatCode>0</c:formatCode>
                <c:ptCount val="21"/>
                <c:pt idx="1">
                  <c:v>50.981258392333984</c:v>
                </c:pt>
                <c:pt idx="2">
                  <c:v>49.527896881103516</c:v>
                </c:pt>
                <c:pt idx="3">
                  <c:v>46.12933349609375</c:v>
                </c:pt>
                <c:pt idx="4">
                  <c:v>55.400215148925781</c:v>
                </c:pt>
                <c:pt idx="5">
                  <c:v>64.671096801757813</c:v>
                </c:pt>
                <c:pt idx="6">
                  <c:v>67.063423156738281</c:v>
                </c:pt>
                <c:pt idx="7">
                  <c:v>69.45574951171875</c:v>
                </c:pt>
                <c:pt idx="8">
                  <c:v>64.389862060546875</c:v>
                </c:pt>
                <c:pt idx="9">
                  <c:v>59.323970794677734</c:v>
                </c:pt>
                <c:pt idx="10">
                  <c:v>53.792854309082031</c:v>
                </c:pt>
                <c:pt idx="11">
                  <c:v>48.261734008789063</c:v>
                </c:pt>
                <c:pt idx="12">
                  <c:v>43.752262115478516</c:v>
                </c:pt>
                <c:pt idx="13">
                  <c:v>39.242790222167969</c:v>
                </c:pt>
                <c:pt idx="14">
                  <c:v>38.113346099853516</c:v>
                </c:pt>
                <c:pt idx="15">
                  <c:v>36.983901977539063</c:v>
                </c:pt>
                <c:pt idx="16">
                  <c:v>38.852996826171875</c:v>
                </c:pt>
                <c:pt idx="17">
                  <c:v>40.722095489501953</c:v>
                </c:pt>
                <c:pt idx="18">
                  <c:v>36.348648071289063</c:v>
                </c:pt>
                <c:pt idx="19">
                  <c:v>31.975204467773438</c:v>
                </c:pt>
                <c:pt idx="20">
                  <c:v>28.127969741821289</c:v>
                </c:pt>
              </c:numCache>
            </c:numRef>
          </c:val>
          <c:smooth val="0"/>
          <c:extLst>
            <c:ext xmlns:c16="http://schemas.microsoft.com/office/drawing/2014/chart" uri="{C3380CC4-5D6E-409C-BE32-E72D297353CC}">
              <c16:uniqueId val="{0000000D-DB8C-4E7C-9031-26AC6A23A320}"/>
            </c:ext>
          </c:extLst>
        </c:ser>
        <c:ser>
          <c:idx val="14"/>
          <c:order val="12"/>
          <c:tx>
            <c:strRef>
              <c:f>Fact5!$Y$84</c:f>
              <c:strCache>
                <c:ptCount val="1"/>
                <c:pt idx="0">
                  <c:v>PAN</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Fact5!$Z$84:$AT$84</c:f>
              <c:numCache>
                <c:formatCode>0</c:formatCode>
                <c:ptCount val="21"/>
                <c:pt idx="0">
                  <c:v>37.102108001708984</c:v>
                </c:pt>
                <c:pt idx="1">
                  <c:v>36.347274780273438</c:v>
                </c:pt>
                <c:pt idx="2">
                  <c:v>36.987407684326172</c:v>
                </c:pt>
                <c:pt idx="3">
                  <c:v>36.001548767089844</c:v>
                </c:pt>
                <c:pt idx="4">
                  <c:v>32.478584289550781</c:v>
                </c:pt>
                <c:pt idx="5">
                  <c:v>30.639263153076172</c:v>
                </c:pt>
                <c:pt idx="6">
                  <c:v>29.429298400878906</c:v>
                </c:pt>
                <c:pt idx="7">
                  <c:v>27.428251266479492</c:v>
                </c:pt>
                <c:pt idx="8">
                  <c:v>26.696380615234375</c:v>
                </c:pt>
                <c:pt idx="9">
                  <c:v>22.35173225402832</c:v>
                </c:pt>
                <c:pt idx="10">
                  <c:v>22.748678207397461</c:v>
                </c:pt>
                <c:pt idx="11">
                  <c:v>20.825189590454102</c:v>
                </c:pt>
                <c:pt idx="12">
                  <c:v>20.818813323974609</c:v>
                </c:pt>
                <c:pt idx="13">
                  <c:v>18.387189865112305</c:v>
                </c:pt>
                <c:pt idx="14">
                  <c:v>18.295209884643555</c:v>
                </c:pt>
                <c:pt idx="15">
                  <c:v>17.415761947631836</c:v>
                </c:pt>
                <c:pt idx="16">
                  <c:v>17.43547248840332</c:v>
                </c:pt>
                <c:pt idx="17">
                  <c:v>18.078720092773438</c:v>
                </c:pt>
                <c:pt idx="18">
                  <c:v>18.745698928833008</c:v>
                </c:pt>
                <c:pt idx="19">
                  <c:v>19.437280654907227</c:v>
                </c:pt>
                <c:pt idx="20">
                  <c:v>20.154376983642578</c:v>
                </c:pt>
              </c:numCache>
            </c:numRef>
          </c:val>
          <c:smooth val="0"/>
          <c:extLst>
            <c:ext xmlns:c16="http://schemas.microsoft.com/office/drawing/2014/chart" uri="{C3380CC4-5D6E-409C-BE32-E72D297353CC}">
              <c16:uniqueId val="{0000000E-DB8C-4E7C-9031-26AC6A23A320}"/>
            </c:ext>
          </c:extLst>
        </c:ser>
        <c:ser>
          <c:idx val="15"/>
          <c:order val="13"/>
          <c:tx>
            <c:strRef>
              <c:f>Fact5!$Y$85</c:f>
              <c:strCache>
                <c:ptCount val="1"/>
                <c:pt idx="0">
                  <c:v>PER</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Fact5!$Z$85:$AT$85</c:f>
              <c:numCache>
                <c:formatCode>0</c:formatCode>
                <c:ptCount val="21"/>
                <c:pt idx="0">
                  <c:v>62.632274627685547</c:v>
                </c:pt>
                <c:pt idx="1">
                  <c:v>63.299030303955078</c:v>
                </c:pt>
                <c:pt idx="2">
                  <c:v>65.508201599121094</c:v>
                </c:pt>
                <c:pt idx="3">
                  <c:v>62.017719268798828</c:v>
                </c:pt>
                <c:pt idx="4">
                  <c:v>54.097091674804688</c:v>
                </c:pt>
                <c:pt idx="5">
                  <c:v>49.961166381835938</c:v>
                </c:pt>
                <c:pt idx="6">
                  <c:v>40.033866882324219</c:v>
                </c:pt>
                <c:pt idx="7">
                  <c:v>36.661216735839844</c:v>
                </c:pt>
                <c:pt idx="8">
                  <c:v>41.727046966552734</c:v>
                </c:pt>
                <c:pt idx="9">
                  <c:v>39.48577880859375</c:v>
                </c:pt>
                <c:pt idx="10">
                  <c:v>38.455146789550781</c:v>
                </c:pt>
                <c:pt idx="11">
                  <c:v>37.583858489990234</c:v>
                </c:pt>
                <c:pt idx="12">
                  <c:v>37.354263305664063</c:v>
                </c:pt>
                <c:pt idx="13">
                  <c:v>35.976661682128906</c:v>
                </c:pt>
                <c:pt idx="14">
                  <c:v>36.923824310302734</c:v>
                </c:pt>
                <c:pt idx="15">
                  <c:v>34.918556213378906</c:v>
                </c:pt>
                <c:pt idx="16">
                  <c:v>33.224308013916016</c:v>
                </c:pt>
                <c:pt idx="17">
                  <c:v>49.915538787841797</c:v>
                </c:pt>
                <c:pt idx="18">
                  <c:v>40.421871185302734</c:v>
                </c:pt>
                <c:pt idx="19">
                  <c:v>37.667442321777344</c:v>
                </c:pt>
                <c:pt idx="20">
                  <c:v>35.100704193115234</c:v>
                </c:pt>
              </c:numCache>
            </c:numRef>
          </c:val>
          <c:smooth val="0"/>
          <c:extLst>
            <c:ext xmlns:c16="http://schemas.microsoft.com/office/drawing/2014/chart" uri="{C3380CC4-5D6E-409C-BE32-E72D297353CC}">
              <c16:uniqueId val="{0000000F-DB8C-4E7C-9031-26AC6A23A320}"/>
            </c:ext>
          </c:extLst>
        </c:ser>
        <c:ser>
          <c:idx val="16"/>
          <c:order val="14"/>
          <c:tx>
            <c:strRef>
              <c:f>Fact5!$Y$86</c:f>
              <c:strCache>
                <c:ptCount val="1"/>
                <c:pt idx="0">
                  <c:v>PRY</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Fact5!$Z$86:$AT$86</c:f>
              <c:numCache>
                <c:formatCode>0</c:formatCode>
                <c:ptCount val="21"/>
                <c:pt idx="0">
                  <c:v>54.229194641113281</c:v>
                </c:pt>
                <c:pt idx="1">
                  <c:v>52.691501617431641</c:v>
                </c:pt>
                <c:pt idx="2">
                  <c:v>46.818115234375</c:v>
                </c:pt>
                <c:pt idx="3">
                  <c:v>50.554611206054688</c:v>
                </c:pt>
                <c:pt idx="4">
                  <c:v>46.810771942138672</c:v>
                </c:pt>
                <c:pt idx="5">
                  <c:v>46.009757995605469</c:v>
                </c:pt>
                <c:pt idx="6">
                  <c:v>41.376983642578125</c:v>
                </c:pt>
                <c:pt idx="7">
                  <c:v>40.1063232421875</c:v>
                </c:pt>
                <c:pt idx="8">
                  <c:v>38.115966796875</c:v>
                </c:pt>
                <c:pt idx="9">
                  <c:v>36.435405731201172</c:v>
                </c:pt>
                <c:pt idx="10">
                  <c:v>31.829750061035156</c:v>
                </c:pt>
                <c:pt idx="11">
                  <c:v>29.874008178710938</c:v>
                </c:pt>
                <c:pt idx="12">
                  <c:v>29.580116271972656</c:v>
                </c:pt>
                <c:pt idx="13">
                  <c:v>35.456184387207031</c:v>
                </c:pt>
                <c:pt idx="14">
                  <c:v>33.978878021240234</c:v>
                </c:pt>
                <c:pt idx="15">
                  <c:v>28.687969207763672</c:v>
                </c:pt>
                <c:pt idx="16">
                  <c:v>29.581382751464844</c:v>
                </c:pt>
                <c:pt idx="17">
                  <c:v>30.203924179077148</c:v>
                </c:pt>
                <c:pt idx="18">
                  <c:v>30.932479858398438</c:v>
                </c:pt>
                <c:pt idx="19">
                  <c:v>31.323837280273438</c:v>
                </c:pt>
                <c:pt idx="20">
                  <c:v>31.720146179199219</c:v>
                </c:pt>
              </c:numCache>
            </c:numRef>
          </c:val>
          <c:smooth val="0"/>
          <c:extLst>
            <c:ext xmlns:c16="http://schemas.microsoft.com/office/drawing/2014/chart" uri="{C3380CC4-5D6E-409C-BE32-E72D297353CC}">
              <c16:uniqueId val="{00000010-DB8C-4E7C-9031-26AC6A23A320}"/>
            </c:ext>
          </c:extLst>
        </c:ser>
        <c:ser>
          <c:idx val="17"/>
          <c:order val="15"/>
          <c:tx>
            <c:strRef>
              <c:f>Fact5!$Y$87</c:f>
              <c:strCache>
                <c:ptCount val="1"/>
                <c:pt idx="0">
                  <c:v>SLV</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Fact5!$Z$87:$AT$87</c:f>
              <c:numCache>
                <c:formatCode>0</c:formatCode>
                <c:ptCount val="21"/>
                <c:pt idx="0">
                  <c:v>56.690715789794922</c:v>
                </c:pt>
                <c:pt idx="1">
                  <c:v>59.240203857421875</c:v>
                </c:pt>
                <c:pt idx="2">
                  <c:v>61.908946990966797</c:v>
                </c:pt>
                <c:pt idx="3">
                  <c:v>60.384410858154297</c:v>
                </c:pt>
                <c:pt idx="4">
                  <c:v>57.505615234375</c:v>
                </c:pt>
                <c:pt idx="5">
                  <c:v>59.705055236816406</c:v>
                </c:pt>
                <c:pt idx="6">
                  <c:v>59.651100158691406</c:v>
                </c:pt>
                <c:pt idx="7">
                  <c:v>58.107460021972656</c:v>
                </c:pt>
                <c:pt idx="8">
                  <c:v>60.217666625976563</c:v>
                </c:pt>
                <c:pt idx="9">
                  <c:v>57.581996917724609</c:v>
                </c:pt>
                <c:pt idx="10">
                  <c:v>53.777198791503906</c:v>
                </c:pt>
                <c:pt idx="11">
                  <c:v>53.788097381591797</c:v>
                </c:pt>
                <c:pt idx="12">
                  <c:v>51.966709136962891</c:v>
                </c:pt>
                <c:pt idx="13">
                  <c:v>50.005130767822266</c:v>
                </c:pt>
                <c:pt idx="14">
                  <c:v>47.970893859863281</c:v>
                </c:pt>
                <c:pt idx="15">
                  <c:v>44.675300598144531</c:v>
                </c:pt>
                <c:pt idx="16">
                  <c:v>42.633567810058594</c:v>
                </c:pt>
                <c:pt idx="17">
                  <c:v>42.865612030029297</c:v>
                </c:pt>
                <c:pt idx="18">
                  <c:v>41.873493194580078</c:v>
                </c:pt>
                <c:pt idx="19">
                  <c:v>40.786777496337891</c:v>
                </c:pt>
                <c:pt idx="20">
                  <c:v>38.657855987548828</c:v>
                </c:pt>
              </c:numCache>
            </c:numRef>
          </c:val>
          <c:smooth val="0"/>
          <c:extLst>
            <c:ext xmlns:c16="http://schemas.microsoft.com/office/drawing/2014/chart" uri="{C3380CC4-5D6E-409C-BE32-E72D297353CC}">
              <c16:uniqueId val="{00000011-DB8C-4E7C-9031-26AC6A23A320}"/>
            </c:ext>
          </c:extLst>
        </c:ser>
        <c:ser>
          <c:idx val="18"/>
          <c:order val="16"/>
          <c:tx>
            <c:strRef>
              <c:f>Fact5!$Y$88</c:f>
              <c:strCache>
                <c:ptCount val="1"/>
                <c:pt idx="0">
                  <c:v>URY</c:v>
                </c:pt>
              </c:strCache>
            </c:strRef>
          </c:tx>
          <c:spPr>
            <a:ln w="28575" cap="rnd">
              <a:solidFill>
                <a:schemeClr val="bg1">
                  <a:lumMod val="85000"/>
                </a:schemeClr>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Fact5!$Z$88:$AT$88</c:f>
              <c:numCache>
                <c:formatCode>0</c:formatCode>
                <c:ptCount val="21"/>
                <c:pt idx="0">
                  <c:v>35.211872100830078</c:v>
                </c:pt>
                <c:pt idx="1">
                  <c:v>35.190467834472656</c:v>
                </c:pt>
                <c:pt idx="2">
                  <c:v>31.586706161499023</c:v>
                </c:pt>
                <c:pt idx="3">
                  <c:v>28.069416046142578</c:v>
                </c:pt>
                <c:pt idx="4">
                  <c:v>27.121797561645508</c:v>
                </c:pt>
                <c:pt idx="5">
                  <c:v>21.660835266113281</c:v>
                </c:pt>
                <c:pt idx="6">
                  <c:v>20.536725997924805</c:v>
                </c:pt>
                <c:pt idx="7">
                  <c:v>19.510538101196289</c:v>
                </c:pt>
                <c:pt idx="8">
                  <c:v>15.668622970581055</c:v>
                </c:pt>
                <c:pt idx="9">
                  <c:v>14.586438179016113</c:v>
                </c:pt>
                <c:pt idx="10">
                  <c:v>13.924862861633301</c:v>
                </c:pt>
                <c:pt idx="11">
                  <c:v>12.608110427856445</c:v>
                </c:pt>
                <c:pt idx="12">
                  <c:v>12.695158004760742</c:v>
                </c:pt>
                <c:pt idx="13">
                  <c:v>12.654323577880859</c:v>
                </c:pt>
                <c:pt idx="14">
                  <c:v>10.962045669555664</c:v>
                </c:pt>
                <c:pt idx="15">
                  <c:v>11.618269920349121</c:v>
                </c:pt>
                <c:pt idx="16">
                  <c:v>12.253385543823242</c:v>
                </c:pt>
                <c:pt idx="17">
                  <c:v>15.809690475463867</c:v>
                </c:pt>
                <c:pt idx="18">
                  <c:v>14.65608024597168</c:v>
                </c:pt>
                <c:pt idx="19">
                  <c:v>14.31268310546875</c:v>
                </c:pt>
                <c:pt idx="20">
                  <c:v>13.97733211517334</c:v>
                </c:pt>
              </c:numCache>
            </c:numRef>
          </c:val>
          <c:smooth val="0"/>
          <c:extLst>
            <c:ext xmlns:c16="http://schemas.microsoft.com/office/drawing/2014/chart" uri="{C3380CC4-5D6E-409C-BE32-E72D297353CC}">
              <c16:uniqueId val="{00000012-DB8C-4E7C-9031-26AC6A23A320}"/>
            </c:ext>
          </c:extLst>
        </c:ser>
        <c:ser>
          <c:idx val="19"/>
          <c:order val="17"/>
          <c:tx>
            <c:strRef>
              <c:f>Fact5!$Y$89</c:f>
              <c:strCache>
                <c:ptCount val="1"/>
                <c:pt idx="0">
                  <c:v>VEN</c:v>
                </c:pt>
              </c:strCache>
            </c:strRef>
          </c:tx>
          <c:spPr>
            <a:ln w="28575" cap="rnd">
              <a:solidFill>
                <a:srgbClr val="D9D9D9"/>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Fact5!$Z$89:$AT$89</c:f>
              <c:numCache>
                <c:formatCode>0</c:formatCode>
                <c:ptCount val="21"/>
                <c:pt idx="0">
                  <c:v>64.96978759765625</c:v>
                </c:pt>
                <c:pt idx="1">
                  <c:v>54.670940399169922</c:v>
                </c:pt>
                <c:pt idx="2">
                  <c:v>49.656017303466797</c:v>
                </c:pt>
                <c:pt idx="3">
                  <c:v>36.747371673583984</c:v>
                </c:pt>
                <c:pt idx="4">
                  <c:v>28.483444213867188</c:v>
                </c:pt>
                <c:pt idx="5">
                  <c:v>27.425817489624023</c:v>
                </c:pt>
                <c:pt idx="6">
                  <c:v>26.536741256713867</c:v>
                </c:pt>
                <c:pt idx="7">
                  <c:v>27.729946136474609</c:v>
                </c:pt>
                <c:pt idx="8">
                  <c:v>28.133398056030273</c:v>
                </c:pt>
                <c:pt idx="9">
                  <c:v>24.567630767822266</c:v>
                </c:pt>
                <c:pt idx="10">
                  <c:v>25.920272827148438</c:v>
                </c:pt>
                <c:pt idx="11">
                  <c:v>22.280300140380859</c:v>
                </c:pt>
                <c:pt idx="12">
                  <c:v>28.681560516357422</c:v>
                </c:pt>
                <c:pt idx="13">
                  <c:v>46.498569488525391</c:v>
                </c:pt>
                <c:pt idx="14">
                  <c:v>38.674137115478516</c:v>
                </c:pt>
                <c:pt idx="15">
                  <c:v>30.666082382202148</c:v>
                </c:pt>
                <c:pt idx="16">
                  <c:v>60.32080078125</c:v>
                </c:pt>
                <c:pt idx="17">
                  <c:v>89.975517272949219</c:v>
                </c:pt>
                <c:pt idx="18">
                  <c:v>71.004470825195313</c:v>
                </c:pt>
                <c:pt idx="19">
                  <c:v>71.004470825195313</c:v>
                </c:pt>
                <c:pt idx="20">
                  <c:v>71.004470825195313</c:v>
                </c:pt>
              </c:numCache>
            </c:numRef>
          </c:val>
          <c:smooth val="0"/>
          <c:extLst>
            <c:ext xmlns:c16="http://schemas.microsoft.com/office/drawing/2014/chart" uri="{C3380CC4-5D6E-409C-BE32-E72D297353CC}">
              <c16:uniqueId val="{00000013-DB8C-4E7C-9031-26AC6A23A320}"/>
            </c:ext>
          </c:extLst>
        </c:ser>
        <c:ser>
          <c:idx val="20"/>
          <c:order val="18"/>
          <c:tx>
            <c:strRef>
              <c:f>Fact5!$Y$90</c:f>
              <c:strCache>
                <c:ptCount val="1"/>
                <c:pt idx="0">
                  <c:v> LAC</c:v>
                </c:pt>
              </c:strCache>
            </c:strRef>
          </c:tx>
          <c:spPr>
            <a:ln w="28575" cap="rnd">
              <a:solidFill>
                <a:schemeClr val="tx1"/>
              </a:solidFill>
              <a:prstDash val="dash"/>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Fact5!$Z$90:$AT$90</c:f>
              <c:numCache>
                <c:formatCode>0</c:formatCode>
                <c:ptCount val="21"/>
                <c:pt idx="0">
                  <c:v>58.204586378359586</c:v>
                </c:pt>
                <c:pt idx="1">
                  <c:v>55.65257979181299</c:v>
                </c:pt>
                <c:pt idx="2">
                  <c:v>53.578393712339775</c:v>
                </c:pt>
                <c:pt idx="3">
                  <c:v>50.350013106895659</c:v>
                </c:pt>
                <c:pt idx="4">
                  <c:v>49.329987605135493</c:v>
                </c:pt>
                <c:pt idx="5">
                  <c:v>48.514332884666139</c:v>
                </c:pt>
                <c:pt idx="6">
                  <c:v>47.233884607437361</c:v>
                </c:pt>
                <c:pt idx="7">
                  <c:v>46.235008742551123</c:v>
                </c:pt>
                <c:pt idx="8">
                  <c:v>43.682423149836545</c:v>
                </c:pt>
                <c:pt idx="9">
                  <c:v>40.266141243492484</c:v>
                </c:pt>
                <c:pt idx="10">
                  <c:v>37.694875794973335</c:v>
                </c:pt>
                <c:pt idx="11">
                  <c:v>35.551721348819243</c:v>
                </c:pt>
                <c:pt idx="12">
                  <c:v>35.607761802008852</c:v>
                </c:pt>
                <c:pt idx="13">
                  <c:v>35.044277135091527</c:v>
                </c:pt>
                <c:pt idx="14">
                  <c:v>34.119010924574347</c:v>
                </c:pt>
                <c:pt idx="15">
                  <c:v>34.006010091188173</c:v>
                </c:pt>
                <c:pt idx="16">
                  <c:v>34.945052953286016</c:v>
                </c:pt>
                <c:pt idx="17">
                  <c:v>39.148961236912214</c:v>
                </c:pt>
                <c:pt idx="18">
                  <c:v>37.646661306614973</c:v>
                </c:pt>
                <c:pt idx="19">
                  <c:v>33.615558973252753</c:v>
                </c:pt>
                <c:pt idx="20">
                  <c:v>30.09956909322743</c:v>
                </c:pt>
              </c:numCache>
            </c:numRef>
          </c:val>
          <c:smooth val="0"/>
          <c:extLst>
            <c:ext xmlns:c16="http://schemas.microsoft.com/office/drawing/2014/chart" uri="{C3380CC4-5D6E-409C-BE32-E72D297353CC}">
              <c16:uniqueId val="{00000014-DB8C-4E7C-9031-26AC6A23A320}"/>
            </c:ext>
          </c:extLst>
        </c:ser>
        <c:ser>
          <c:idx val="21"/>
          <c:order val="19"/>
          <c:tx>
            <c:strRef>
              <c:f>Fact5!$Y$91</c:f>
              <c:strCache>
                <c:ptCount val="1"/>
                <c:pt idx="0">
                  <c:v> LAC without VEN</c:v>
                </c:pt>
              </c:strCache>
            </c:strRef>
          </c:tx>
          <c:spPr>
            <a:ln w="38100" cap="rnd">
              <a:solidFill>
                <a:schemeClr val="tx1"/>
              </a:solidFill>
              <a:round/>
            </a:ln>
            <a:effectLst/>
          </c:spPr>
          <c:marker>
            <c:symbol val="none"/>
          </c:marker>
          <c:cat>
            <c:strRef>
              <c:f>Fact5!$Z$41:$AT$41</c:f>
              <c:strCache>
                <c:ptCount val="21"/>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strCache>
            </c:strRef>
          </c:cat>
          <c:val>
            <c:numRef>
              <c:f>Fact5!$Z$91:$AT$91</c:f>
              <c:numCache>
                <c:formatCode>0</c:formatCode>
                <c:ptCount val="21"/>
                <c:pt idx="0">
                  <c:v>57.785192965766164</c:v>
                </c:pt>
                <c:pt idx="1">
                  <c:v>55.700266386180566</c:v>
                </c:pt>
                <c:pt idx="2">
                  <c:v>53.768936975139425</c:v>
                </c:pt>
                <c:pt idx="3">
                  <c:v>51.010809372020468</c:v>
                </c:pt>
                <c:pt idx="4">
                  <c:v>50.342681946984264</c:v>
                </c:pt>
                <c:pt idx="5">
                  <c:v>49.538781869695235</c:v>
                </c:pt>
                <c:pt idx="6">
                  <c:v>48.239321315591567</c:v>
                </c:pt>
                <c:pt idx="7">
                  <c:v>47.133957400129546</c:v>
                </c:pt>
                <c:pt idx="8">
                  <c:v>44.437771863444276</c:v>
                </c:pt>
                <c:pt idx="9">
                  <c:v>41.028751736550241</c:v>
                </c:pt>
                <c:pt idx="10">
                  <c:v>38.266868646700807</c:v>
                </c:pt>
                <c:pt idx="11">
                  <c:v>36.196427423770103</c:v>
                </c:pt>
                <c:pt idx="12">
                  <c:v>35.944226448489417</c:v>
                </c:pt>
                <c:pt idx="13">
                  <c:v>34.487844500745886</c:v>
                </c:pt>
                <c:pt idx="14">
                  <c:v>33.898032550748283</c:v>
                </c:pt>
                <c:pt idx="15">
                  <c:v>34.16803673170191</c:v>
                </c:pt>
                <c:pt idx="16">
                  <c:v>33.714024161846403</c:v>
                </c:pt>
                <c:pt idx="17">
                  <c:v>36.68326232335626</c:v>
                </c:pt>
                <c:pt idx="18">
                  <c:v>36.028406577133538</c:v>
                </c:pt>
                <c:pt idx="19">
                  <c:v>31.801747325912142</c:v>
                </c:pt>
                <c:pt idx="20">
                  <c:v>28.115189673773649</c:v>
                </c:pt>
              </c:numCache>
            </c:numRef>
          </c:val>
          <c:smooth val="0"/>
          <c:extLst>
            <c:ext xmlns:c16="http://schemas.microsoft.com/office/drawing/2014/chart" uri="{C3380CC4-5D6E-409C-BE32-E72D297353CC}">
              <c16:uniqueId val="{00000015-DB8C-4E7C-9031-26AC6A23A320}"/>
            </c:ext>
          </c:extLst>
        </c:ser>
        <c:dLbls>
          <c:showLegendKey val="0"/>
          <c:showVal val="0"/>
          <c:showCatName val="0"/>
          <c:showSerName val="0"/>
          <c:showPercent val="0"/>
          <c:showBubbleSize val="0"/>
        </c:dLbls>
        <c:smooth val="0"/>
        <c:axId val="615717568"/>
        <c:axId val="615719488"/>
      </c:lineChart>
      <c:catAx>
        <c:axId val="61571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15719488"/>
        <c:crosses val="autoZero"/>
        <c:auto val="1"/>
        <c:lblAlgn val="ctr"/>
        <c:lblOffset val="100"/>
        <c:noMultiLvlLbl val="0"/>
      </c:catAx>
      <c:valAx>
        <c:axId val="615719488"/>
        <c:scaling>
          <c:orientation val="minMax"/>
          <c:max val="10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 of the population</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15717568"/>
        <c:crosses val="autoZero"/>
        <c:crossBetween val="between"/>
      </c:valAx>
      <c:spPr>
        <a:noFill/>
        <a:ln>
          <a:noFill/>
        </a:ln>
        <a:effectLst/>
      </c:spPr>
    </c:plotArea>
    <c:legend>
      <c:legendPos val="b"/>
      <c:legendEntry>
        <c:idx val="0"/>
        <c:delete val="1"/>
      </c:legendEntry>
      <c:legendEntry>
        <c:idx val="1"/>
        <c:delete val="1"/>
      </c:legendEntry>
      <c:legendEntry>
        <c:idx val="2"/>
        <c:delete val="1"/>
      </c:legendEntry>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egendEntry>
        <c:idx val="12"/>
        <c:delete val="1"/>
      </c:legendEntry>
      <c:legendEntry>
        <c:idx val="13"/>
        <c:delete val="1"/>
      </c:legendEntry>
      <c:legendEntry>
        <c:idx val="14"/>
        <c:delete val="1"/>
      </c:legendEntry>
      <c:legendEntry>
        <c:idx val="15"/>
        <c:delete val="1"/>
      </c:legendEntry>
      <c:legendEntry>
        <c:idx val="16"/>
        <c:delete val="1"/>
      </c:legendEntry>
      <c:legendEntry>
        <c:idx val="17"/>
        <c:delete val="1"/>
      </c:legendEntry>
      <c:layout>
        <c:manualLayout>
          <c:xMode val="edge"/>
          <c:yMode val="edge"/>
          <c:x val="6.2295081967213117E-2"/>
          <c:y val="2.0588569754819999E-2"/>
          <c:w val="0.20655737704918034"/>
          <c:h val="9.5521459708127296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sz="11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4"/>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Extreme Poverty Rate YoY (LAC simple average) </a:t>
            </a:r>
          </a:p>
        </c:rich>
      </c:tx>
      <c:layout>
        <c:manualLayout>
          <c:xMode val="edge"/>
          <c:yMode val="edge"/>
          <c:x val="0.30186491603959348"/>
          <c:y val="4.707270768886349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9"/>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Fact5!$BA$4:$BT$4</c:f>
              <c:strCache>
                <c:ptCount val="20"/>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pt idx="18">
                  <c:v>2022</c:v>
                </c:pt>
                <c:pt idx="19">
                  <c:v>2023</c:v>
                </c:pt>
              </c:strCache>
            </c:strRef>
          </c:cat>
          <c:val>
            <c:numRef>
              <c:f>Fact5!$BA$24:$BT$24</c:f>
              <c:numCache>
                <c:formatCode>0%</c:formatCode>
                <c:ptCount val="20"/>
                <c:pt idx="0">
                  <c:v>1.1602714940785817E-2</c:v>
                </c:pt>
                <c:pt idx="1">
                  <c:v>-6.1419980229777994E-2</c:v>
                </c:pt>
                <c:pt idx="2">
                  <c:v>-8.9082829445731468E-2</c:v>
                </c:pt>
                <c:pt idx="3">
                  <c:v>-8.0321047032153009E-2</c:v>
                </c:pt>
                <c:pt idx="4">
                  <c:v>-7.0056121475251545E-2</c:v>
                </c:pt>
                <c:pt idx="5">
                  <c:v>-2.8501269274006438E-2</c:v>
                </c:pt>
                <c:pt idx="6">
                  <c:v>-4.7724650952331263E-2</c:v>
                </c:pt>
                <c:pt idx="7">
                  <c:v>-5.6457840003428829E-2</c:v>
                </c:pt>
                <c:pt idx="8">
                  <c:v>-7.7633834523856887E-2</c:v>
                </c:pt>
                <c:pt idx="9">
                  <c:v>-9.5401989005072324E-2</c:v>
                </c:pt>
                <c:pt idx="10">
                  <c:v>-7.310020321035407E-2</c:v>
                </c:pt>
                <c:pt idx="11">
                  <c:v>8.7544534878324226E-3</c:v>
                </c:pt>
                <c:pt idx="12">
                  <c:v>6.8527673120359539E-2</c:v>
                </c:pt>
                <c:pt idx="13">
                  <c:v>-6.6396412664703974E-2</c:v>
                </c:pt>
                <c:pt idx="14">
                  <c:v>2.5451217518646936E-2</c:v>
                </c:pt>
                <c:pt idx="15">
                  <c:v>5.9099771690577153E-2</c:v>
                </c:pt>
                <c:pt idx="16">
                  <c:v>0.26901952762264386</c:v>
                </c:pt>
                <c:pt idx="17">
                  <c:v>-0.10518042326610261</c:v>
                </c:pt>
                <c:pt idx="18">
                  <c:v>-6.7520991054553461E-2</c:v>
                </c:pt>
                <c:pt idx="19">
                  <c:v>-7.5312090062225334E-2</c:v>
                </c:pt>
              </c:numCache>
            </c:numRef>
          </c:val>
          <c:smooth val="0"/>
          <c:extLst>
            <c:ext xmlns:c16="http://schemas.microsoft.com/office/drawing/2014/chart" uri="{C3380CC4-5D6E-409C-BE32-E72D297353CC}">
              <c16:uniqueId val="{00000000-8669-40AE-98AA-0FEBF2BE4AD0}"/>
            </c:ext>
          </c:extLst>
        </c:ser>
        <c:dLbls>
          <c:showLegendKey val="0"/>
          <c:showVal val="0"/>
          <c:showCatName val="0"/>
          <c:showSerName val="0"/>
          <c:showPercent val="0"/>
          <c:showBubbleSize val="0"/>
        </c:dLbls>
        <c:marker val="1"/>
        <c:smooth val="0"/>
        <c:axId val="1607843727"/>
        <c:axId val="1607856207"/>
      </c:lineChart>
      <c:catAx>
        <c:axId val="1607843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856207"/>
        <c:crossesAt val="-0.15000000000000002"/>
        <c:auto val="1"/>
        <c:lblAlgn val="ctr"/>
        <c:lblOffset val="100"/>
        <c:noMultiLvlLbl val="0"/>
      </c:catAx>
      <c:valAx>
        <c:axId val="16078562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84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Poverty Rate YoY (LAC simple average) </a:t>
            </a:r>
          </a:p>
        </c:rich>
      </c:tx>
      <c:layout>
        <c:manualLayout>
          <c:xMode val="edge"/>
          <c:yMode val="edge"/>
          <c:x val="0.30186491603959348"/>
          <c:y val="4.707270768886349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9"/>
            <c:spPr>
              <a:solidFill>
                <a:schemeClr val="accent1"/>
              </a:solidFill>
              <a:ln w="9525">
                <a:solidFill>
                  <a:schemeClr val="accent1"/>
                </a:solidFill>
              </a:ln>
              <a:effectLst/>
            </c:spPr>
          </c:marker>
          <c:cat>
            <c:strRef>
              <c:f>Fact5!$BA$4:$BT$4</c:f>
              <c:strCache>
                <c:ptCount val="20"/>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pt idx="18">
                  <c:v>2022</c:v>
                </c:pt>
                <c:pt idx="19">
                  <c:v>2023</c:v>
                </c:pt>
              </c:strCache>
            </c:strRef>
          </c:cat>
          <c:val>
            <c:numRef>
              <c:f>Fact5!$BA$91:$BT$91</c:f>
              <c:numCache>
                <c:formatCode>0%</c:formatCode>
                <c:ptCount val="20"/>
                <c:pt idx="0">
                  <c:v>1.0996262585185455E-2</c:v>
                </c:pt>
                <c:pt idx="1">
                  <c:v>-4.5102505030188776E-2</c:v>
                </c:pt>
                <c:pt idx="2">
                  <c:v>-5.7822564045729684E-2</c:v>
                </c:pt>
                <c:pt idx="3">
                  <c:v>-5.2812444699077837E-2</c:v>
                </c:pt>
                <c:pt idx="4">
                  <c:v>-4.4586631872721327E-2</c:v>
                </c:pt>
                <c:pt idx="5">
                  <c:v>-3.9394407508304419E-2</c:v>
                </c:pt>
                <c:pt idx="6">
                  <c:v>-3.0152390777476015E-2</c:v>
                </c:pt>
                <c:pt idx="7">
                  <c:v>-3.7962310568874044E-2</c:v>
                </c:pt>
                <c:pt idx="8">
                  <c:v>-6.8662224204833533E-2</c:v>
                </c:pt>
                <c:pt idx="9">
                  <c:v>-5.8727009737750357E-2</c:v>
                </c:pt>
                <c:pt idx="10">
                  <c:v>-4.2345460726525022E-2</c:v>
                </c:pt>
                <c:pt idx="11">
                  <c:v>1.4941605912143982E-2</c:v>
                </c:pt>
                <c:pt idx="12">
                  <c:v>1.1661584261224722E-2</c:v>
                </c:pt>
                <c:pt idx="13">
                  <c:v>-4.7018384789107262E-2</c:v>
                </c:pt>
                <c:pt idx="14">
                  <c:v>-1.1149881014276195E-2</c:v>
                </c:pt>
                <c:pt idx="15">
                  <c:v>5.4070636482457919E-2</c:v>
                </c:pt>
                <c:pt idx="16">
                  <c:v>0.17498803960423728</c:v>
                </c:pt>
                <c:pt idx="17">
                  <c:v>-7.4793874335554969E-2</c:v>
                </c:pt>
                <c:pt idx="18">
                  <c:v>-5.7901063378031595E-2</c:v>
                </c:pt>
                <c:pt idx="19">
                  <c:v>-6.4597977332057133E-2</c:v>
                </c:pt>
              </c:numCache>
            </c:numRef>
          </c:val>
          <c:smooth val="0"/>
          <c:extLst>
            <c:ext xmlns:c16="http://schemas.microsoft.com/office/drawing/2014/chart" uri="{C3380CC4-5D6E-409C-BE32-E72D297353CC}">
              <c16:uniqueId val="{00000000-8EE0-4125-BB96-919CAB4E6C85}"/>
            </c:ext>
          </c:extLst>
        </c:ser>
        <c:dLbls>
          <c:showLegendKey val="0"/>
          <c:showVal val="0"/>
          <c:showCatName val="0"/>
          <c:showSerName val="0"/>
          <c:showPercent val="0"/>
          <c:showBubbleSize val="0"/>
        </c:dLbls>
        <c:marker val="1"/>
        <c:smooth val="0"/>
        <c:axId val="1607843727"/>
        <c:axId val="1607856207"/>
      </c:lineChart>
      <c:catAx>
        <c:axId val="1607843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856207"/>
        <c:crossesAt val="-0.15000000000000002"/>
        <c:auto val="1"/>
        <c:lblAlgn val="ctr"/>
        <c:lblOffset val="100"/>
        <c:noMultiLvlLbl val="0"/>
      </c:catAx>
      <c:valAx>
        <c:axId val="16078562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84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Poverty Rate YoY (LAC simple average) </a:t>
            </a:r>
          </a:p>
        </c:rich>
      </c:tx>
      <c:layout>
        <c:manualLayout>
          <c:xMode val="edge"/>
          <c:yMode val="edge"/>
          <c:x val="0.30186491603959348"/>
          <c:y val="4.707270768886349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9"/>
            <c:spPr>
              <a:solidFill>
                <a:schemeClr val="accent1"/>
              </a:solidFill>
              <a:ln w="9525">
                <a:solidFill>
                  <a:schemeClr val="accent1"/>
                </a:solidFill>
              </a:ln>
              <a:effectLst/>
            </c:spPr>
          </c:marker>
          <c:cat>
            <c:strRef>
              <c:f>Fact5!$BA$4:$BT$4</c:f>
              <c:strCache>
                <c:ptCount val="20"/>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pt idx="18">
                  <c:v>2022</c:v>
                </c:pt>
                <c:pt idx="19">
                  <c:v>2023</c:v>
                </c:pt>
              </c:strCache>
            </c:strRef>
          </c:cat>
          <c:val>
            <c:numRef>
              <c:f>Fact5!$BA$61:$BT$61</c:f>
              <c:numCache>
                <c:formatCode>0%</c:formatCode>
                <c:ptCount val="20"/>
                <c:pt idx="0">
                  <c:v>1.5457194159090512E-2</c:v>
                </c:pt>
                <c:pt idx="1">
                  <c:v>-2.0537497549676074E-2</c:v>
                </c:pt>
                <c:pt idx="2">
                  <c:v>-2.970314065387792E-2</c:v>
                </c:pt>
                <c:pt idx="3">
                  <c:v>-1.0799079512187582E-2</c:v>
                </c:pt>
                <c:pt idx="4">
                  <c:v>-2.5990293053596222E-2</c:v>
                </c:pt>
                <c:pt idx="5">
                  <c:v>-4.1543522137649516E-2</c:v>
                </c:pt>
                <c:pt idx="6">
                  <c:v>-2.1709424637784781E-2</c:v>
                </c:pt>
                <c:pt idx="7">
                  <c:v>-9.4775980586243782E-3</c:v>
                </c:pt>
                <c:pt idx="8">
                  <c:v>-5.3866631232411116E-2</c:v>
                </c:pt>
                <c:pt idx="9">
                  <c:v>-2.5462929244286673E-2</c:v>
                </c:pt>
                <c:pt idx="10">
                  <c:v>-2.1029503257534166E-2</c:v>
                </c:pt>
                <c:pt idx="11">
                  <c:v>2.7846325715721817E-2</c:v>
                </c:pt>
                <c:pt idx="12">
                  <c:v>-1.5689826230089552E-2</c:v>
                </c:pt>
                <c:pt idx="13">
                  <c:v>-3.4109173763537844E-2</c:v>
                </c:pt>
                <c:pt idx="14">
                  <c:v>-4.0307306875713107E-2</c:v>
                </c:pt>
                <c:pt idx="15">
                  <c:v>4.5174442321270429E-2</c:v>
                </c:pt>
                <c:pt idx="16">
                  <c:v>0.13168868296947947</c:v>
                </c:pt>
                <c:pt idx="17">
                  <c:v>-3.0328008524679435E-2</c:v>
                </c:pt>
                <c:pt idx="18">
                  <c:v>-5.4864937258484542E-2</c:v>
                </c:pt>
                <c:pt idx="19">
                  <c:v>-5.2541166750440516E-2</c:v>
                </c:pt>
              </c:numCache>
            </c:numRef>
          </c:val>
          <c:smooth val="0"/>
          <c:extLst>
            <c:ext xmlns:c16="http://schemas.microsoft.com/office/drawing/2014/chart" uri="{C3380CC4-5D6E-409C-BE32-E72D297353CC}">
              <c16:uniqueId val="{00000000-7F1D-4141-8F99-128DE4DD31B9}"/>
            </c:ext>
          </c:extLst>
        </c:ser>
        <c:dLbls>
          <c:showLegendKey val="0"/>
          <c:showVal val="0"/>
          <c:showCatName val="0"/>
          <c:showSerName val="0"/>
          <c:showPercent val="0"/>
          <c:showBubbleSize val="0"/>
        </c:dLbls>
        <c:marker val="1"/>
        <c:smooth val="0"/>
        <c:axId val="1607843727"/>
        <c:axId val="1607856207"/>
      </c:lineChart>
      <c:catAx>
        <c:axId val="1607843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856207"/>
        <c:crossesAt val="-0.15000000000000002"/>
        <c:auto val="1"/>
        <c:lblAlgn val="ctr"/>
        <c:lblOffset val="100"/>
        <c:noMultiLvlLbl val="0"/>
      </c:catAx>
      <c:valAx>
        <c:axId val="16078562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84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estructure by household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fact6a!$BG$5</c:f>
              <c:strCache>
                <c:ptCount val="1"/>
                <c:pt idx="0">
                  <c:v>0-14 years old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fact6a!$BC$6:$BC$9</c:f>
              <c:strCache>
                <c:ptCount val="4"/>
                <c:pt idx="0">
                  <c:v>Extreme</c:v>
                </c:pt>
                <c:pt idx="1">
                  <c:v>Moderate</c:v>
                </c:pt>
                <c:pt idx="2">
                  <c:v>Total Poor</c:v>
                </c:pt>
                <c:pt idx="3">
                  <c:v>Not Poor</c:v>
                </c:pt>
              </c:strCache>
            </c:strRef>
          </c:cat>
          <c:val>
            <c:numRef>
              <c:f>fact6a!$BG$6:$BG$9</c:f>
              <c:numCache>
                <c:formatCode>0%</c:formatCode>
                <c:ptCount val="4"/>
                <c:pt idx="0">
                  <c:v>0.31218233714069304</c:v>
                </c:pt>
                <c:pt idx="1">
                  <c:v>0.26134677842838883</c:v>
                </c:pt>
                <c:pt idx="2">
                  <c:v>0.2799847976649853</c:v>
                </c:pt>
                <c:pt idx="3">
                  <c:v>0.13287121305146757</c:v>
                </c:pt>
              </c:numCache>
            </c:numRef>
          </c:val>
          <c:extLst>
            <c:ext xmlns:c16="http://schemas.microsoft.com/office/drawing/2014/chart" uri="{C3380CC4-5D6E-409C-BE32-E72D297353CC}">
              <c16:uniqueId val="{00000000-EB53-4E2D-8EB4-2FCCEB528AE2}"/>
            </c:ext>
          </c:extLst>
        </c:ser>
        <c:ser>
          <c:idx val="1"/>
          <c:order val="1"/>
          <c:tx>
            <c:strRef>
              <c:f>fact6a!$BH$5</c:f>
              <c:strCache>
                <c:ptCount val="1"/>
                <c:pt idx="0">
                  <c:v>15-64 years old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fact6a!$BC$6:$BC$9</c:f>
              <c:strCache>
                <c:ptCount val="4"/>
                <c:pt idx="0">
                  <c:v>Extreme</c:v>
                </c:pt>
                <c:pt idx="1">
                  <c:v>Moderate</c:v>
                </c:pt>
                <c:pt idx="2">
                  <c:v>Total Poor</c:v>
                </c:pt>
                <c:pt idx="3">
                  <c:v>Not Poor</c:v>
                </c:pt>
              </c:strCache>
            </c:strRef>
          </c:cat>
          <c:val>
            <c:numRef>
              <c:f>fact6a!$BH$6:$BH$9</c:f>
              <c:numCache>
                <c:formatCode>0%</c:formatCode>
                <c:ptCount val="4"/>
                <c:pt idx="0">
                  <c:v>0.58628749194020813</c:v>
                </c:pt>
                <c:pt idx="1">
                  <c:v>0.63381445816123994</c:v>
                </c:pt>
                <c:pt idx="2">
                  <c:v>0.61564859420644458</c:v>
                </c:pt>
                <c:pt idx="3">
                  <c:v>0.7057433837789493</c:v>
                </c:pt>
              </c:numCache>
            </c:numRef>
          </c:val>
          <c:extLst>
            <c:ext xmlns:c16="http://schemas.microsoft.com/office/drawing/2014/chart" uri="{C3380CC4-5D6E-409C-BE32-E72D297353CC}">
              <c16:uniqueId val="{00000001-EB53-4E2D-8EB4-2FCCEB528AE2}"/>
            </c:ext>
          </c:extLst>
        </c:ser>
        <c:ser>
          <c:idx val="2"/>
          <c:order val="2"/>
          <c:tx>
            <c:strRef>
              <c:f>fact6a!$BI$5</c:f>
              <c:strCache>
                <c:ptCount val="1"/>
                <c:pt idx="0">
                  <c:v>65+ years old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fact6a!$BC$6:$BC$9</c:f>
              <c:strCache>
                <c:ptCount val="4"/>
                <c:pt idx="0">
                  <c:v>Extreme</c:v>
                </c:pt>
                <c:pt idx="1">
                  <c:v>Moderate</c:v>
                </c:pt>
                <c:pt idx="2">
                  <c:v>Total Poor</c:v>
                </c:pt>
                <c:pt idx="3">
                  <c:v>Not Poor</c:v>
                </c:pt>
              </c:strCache>
            </c:strRef>
          </c:cat>
          <c:val>
            <c:numRef>
              <c:f>fact6a!$BI$6:$BI$9</c:f>
              <c:numCache>
                <c:formatCode>0%</c:formatCode>
                <c:ptCount val="4"/>
                <c:pt idx="0">
                  <c:v>0.10153018381839438</c:v>
                </c:pt>
                <c:pt idx="1">
                  <c:v>0.10483839329277959</c:v>
                </c:pt>
                <c:pt idx="2">
                  <c:v>0.10436643638999583</c:v>
                </c:pt>
                <c:pt idx="3">
                  <c:v>0.16138541021037109</c:v>
                </c:pt>
              </c:numCache>
            </c:numRef>
          </c:val>
          <c:extLst>
            <c:ext xmlns:c16="http://schemas.microsoft.com/office/drawing/2014/chart" uri="{C3380CC4-5D6E-409C-BE32-E72D297353CC}">
              <c16:uniqueId val="{00000002-EB53-4E2D-8EB4-2FCCEB528AE2}"/>
            </c:ext>
          </c:extLst>
        </c:ser>
        <c:dLbls>
          <c:showLegendKey val="0"/>
          <c:showVal val="0"/>
          <c:showCatName val="0"/>
          <c:showSerName val="0"/>
          <c:showPercent val="0"/>
          <c:showBubbleSize val="0"/>
        </c:dLbls>
        <c:gapWidth val="150"/>
        <c:overlap val="100"/>
        <c:axId val="599452048"/>
        <c:axId val="599439568"/>
      </c:barChart>
      <c:catAx>
        <c:axId val="59945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439568"/>
        <c:crosses val="autoZero"/>
        <c:auto val="1"/>
        <c:lblAlgn val="ctr"/>
        <c:lblOffset val="100"/>
        <c:noMultiLvlLbl val="0"/>
      </c:catAx>
      <c:valAx>
        <c:axId val="5994395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452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fact6a!$BD$5</c:f>
              <c:strCache>
                <c:ptCount val="1"/>
                <c:pt idx="0">
                  <c:v>Dependecy ratio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fact6a!$BC$6:$BC$9</c:f>
              <c:strCache>
                <c:ptCount val="4"/>
                <c:pt idx="0">
                  <c:v>Extreme</c:v>
                </c:pt>
                <c:pt idx="1">
                  <c:v>Moderate</c:v>
                </c:pt>
                <c:pt idx="2">
                  <c:v>Total Poor</c:v>
                </c:pt>
                <c:pt idx="3">
                  <c:v>Not Poor</c:v>
                </c:pt>
              </c:strCache>
            </c:strRef>
          </c:cat>
          <c:val>
            <c:numRef>
              <c:f>fact6a!$BD$6:$BD$9</c:f>
              <c:numCache>
                <c:formatCode>0%</c:formatCode>
                <c:ptCount val="4"/>
                <c:pt idx="0">
                  <c:v>0.88998309243136686</c:v>
                </c:pt>
                <c:pt idx="1">
                  <c:v>0.70997233043487018</c:v>
                </c:pt>
                <c:pt idx="2">
                  <c:v>0.77711276110417438</c:v>
                </c:pt>
                <c:pt idx="3">
                  <c:v>0.43046143107951551</c:v>
                </c:pt>
              </c:numCache>
            </c:numRef>
          </c:val>
          <c:extLst>
            <c:ext xmlns:c16="http://schemas.microsoft.com/office/drawing/2014/chart" uri="{C3380CC4-5D6E-409C-BE32-E72D297353CC}">
              <c16:uniqueId val="{00000000-4405-4B75-9364-65058B8D7179}"/>
            </c:ext>
          </c:extLst>
        </c:ser>
        <c:dLbls>
          <c:showLegendKey val="0"/>
          <c:showVal val="0"/>
          <c:showCatName val="0"/>
          <c:showSerName val="0"/>
          <c:showPercent val="0"/>
          <c:showBubbleSize val="0"/>
        </c:dLbls>
        <c:gapWidth val="84"/>
        <c:overlap val="-81"/>
        <c:axId val="1614513408"/>
        <c:axId val="1614494208"/>
      </c:barChart>
      <c:catAx>
        <c:axId val="161451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14494208"/>
        <c:crosses val="autoZero"/>
        <c:auto val="1"/>
        <c:lblAlgn val="ctr"/>
        <c:lblOffset val="100"/>
        <c:noMultiLvlLbl val="0"/>
      </c:catAx>
      <c:valAx>
        <c:axId val="161449420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51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fact6a!$BE$5</c:f>
              <c:strCache>
                <c:ptCount val="1"/>
                <c:pt idx="0">
                  <c:v>Number of children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fact6a!$BC$6:$BC$9</c:f>
              <c:strCache>
                <c:ptCount val="4"/>
                <c:pt idx="0">
                  <c:v>Extreme</c:v>
                </c:pt>
                <c:pt idx="1">
                  <c:v>Moderate</c:v>
                </c:pt>
                <c:pt idx="2">
                  <c:v>Total Poor</c:v>
                </c:pt>
                <c:pt idx="3">
                  <c:v>Not Poor</c:v>
                </c:pt>
              </c:strCache>
            </c:strRef>
          </c:cat>
          <c:val>
            <c:numRef>
              <c:f>fact6a!$BE$6:$BE$9</c:f>
              <c:numCache>
                <c:formatCode>0.0</c:formatCode>
                <c:ptCount val="4"/>
                <c:pt idx="0">
                  <c:v>1.8404452532881483</c:v>
                </c:pt>
                <c:pt idx="1">
                  <c:v>1.5785776874274022</c:v>
                </c:pt>
                <c:pt idx="2">
                  <c:v>1.6711666889960963</c:v>
                </c:pt>
                <c:pt idx="3">
                  <c:v>0.99142072887896038</c:v>
                </c:pt>
              </c:numCache>
            </c:numRef>
          </c:val>
          <c:extLst>
            <c:ext xmlns:c16="http://schemas.microsoft.com/office/drawing/2014/chart" uri="{C3380CC4-5D6E-409C-BE32-E72D297353CC}">
              <c16:uniqueId val="{00000000-4791-4E6D-924C-0F614A10A5FA}"/>
            </c:ext>
          </c:extLst>
        </c:ser>
        <c:dLbls>
          <c:showLegendKey val="0"/>
          <c:showVal val="0"/>
          <c:showCatName val="0"/>
          <c:showSerName val="0"/>
          <c:showPercent val="0"/>
          <c:showBubbleSize val="0"/>
        </c:dLbls>
        <c:gapWidth val="84"/>
        <c:overlap val="-81"/>
        <c:axId val="1614513408"/>
        <c:axId val="1614494208"/>
      </c:barChart>
      <c:catAx>
        <c:axId val="161451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14494208"/>
        <c:crosses val="autoZero"/>
        <c:auto val="1"/>
        <c:lblAlgn val="ctr"/>
        <c:lblOffset val="100"/>
        <c:noMultiLvlLbl val="0"/>
      </c:catAx>
      <c:valAx>
        <c:axId val="161449420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51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fact6a!$BF$5</c:f>
              <c:strCache>
                <c:ptCount val="1"/>
                <c:pt idx="0">
                  <c:v>Household size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fact6a!$BC$6:$BC$9</c:f>
              <c:strCache>
                <c:ptCount val="4"/>
                <c:pt idx="0">
                  <c:v>Extreme</c:v>
                </c:pt>
                <c:pt idx="1">
                  <c:v>Moderate</c:v>
                </c:pt>
                <c:pt idx="2">
                  <c:v>Total Poor</c:v>
                </c:pt>
                <c:pt idx="3">
                  <c:v>Not Poor</c:v>
                </c:pt>
              </c:strCache>
            </c:strRef>
          </c:cat>
          <c:val>
            <c:numRef>
              <c:f>fact6a!$BF$6:$BF$9</c:f>
              <c:numCache>
                <c:formatCode>0.0</c:formatCode>
                <c:ptCount val="4"/>
                <c:pt idx="0">
                  <c:v>3.9919295728712596</c:v>
                </c:pt>
                <c:pt idx="1">
                  <c:v>3.7618301409058876</c:v>
                </c:pt>
                <c:pt idx="2">
                  <c:v>3.845113787574733</c:v>
                </c:pt>
                <c:pt idx="3">
                  <c:v>2.9265563444379872</c:v>
                </c:pt>
              </c:numCache>
            </c:numRef>
          </c:val>
          <c:extLst>
            <c:ext xmlns:c16="http://schemas.microsoft.com/office/drawing/2014/chart" uri="{C3380CC4-5D6E-409C-BE32-E72D297353CC}">
              <c16:uniqueId val="{00000000-321B-439C-9E65-2A359B175686}"/>
            </c:ext>
          </c:extLst>
        </c:ser>
        <c:dLbls>
          <c:showLegendKey val="0"/>
          <c:showVal val="0"/>
          <c:showCatName val="0"/>
          <c:showSerName val="0"/>
          <c:showPercent val="0"/>
          <c:showBubbleSize val="0"/>
        </c:dLbls>
        <c:gapWidth val="84"/>
        <c:overlap val="-81"/>
        <c:axId val="1614513408"/>
        <c:axId val="1614494208"/>
      </c:barChart>
      <c:catAx>
        <c:axId val="161451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14494208"/>
        <c:crosses val="autoZero"/>
        <c:auto val="1"/>
        <c:lblAlgn val="ctr"/>
        <c:lblOffset val="100"/>
        <c:noMultiLvlLbl val="0"/>
      </c:catAx>
      <c:valAx>
        <c:axId val="161449420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51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473157476605398"/>
          <c:y val="0.17171296296296298"/>
          <c:w val="0.80133193033179084"/>
          <c:h val="0.6153546952464275"/>
        </c:manualLayout>
      </c:layout>
      <c:barChart>
        <c:barDir val="bar"/>
        <c:grouping val="clustered"/>
        <c:varyColors val="0"/>
        <c:ser>
          <c:idx val="2"/>
          <c:order val="0"/>
          <c:tx>
            <c:strRef>
              <c:f>fact6a!$BP$4</c:f>
              <c:strCache>
                <c:ptCount val="1"/>
                <c:pt idx="0">
                  <c:v>Total Poor</c:v>
                </c:pt>
              </c:strCache>
            </c:strRef>
          </c:tx>
          <c:spPr>
            <a:solidFill>
              <a:schemeClr val="accent3"/>
            </a:solidFill>
            <a:ln>
              <a:noFill/>
            </a:ln>
            <a:effectLst/>
          </c:spPr>
          <c:invertIfNegative val="0"/>
          <c:cat>
            <c:strRef>
              <c:f>fact6a!$BN$5:$BN$7</c:f>
              <c:strCache>
                <c:ptCount val="3"/>
                <c:pt idx="0">
                  <c:v>00-15</c:v>
                </c:pt>
                <c:pt idx="1">
                  <c:v>16-30</c:v>
                </c:pt>
                <c:pt idx="2">
                  <c:v>31-45</c:v>
                </c:pt>
              </c:strCache>
            </c:strRef>
          </c:cat>
          <c:val>
            <c:numRef>
              <c:f>fact6a!$BP$5:$BP$7</c:f>
              <c:numCache>
                <c:formatCode>0.0</c:formatCode>
                <c:ptCount val="3"/>
                <c:pt idx="0">
                  <c:v>27.99847976649853</c:v>
                </c:pt>
                <c:pt idx="1">
                  <c:v>61.56485942064446</c:v>
                </c:pt>
                <c:pt idx="2">
                  <c:v>10.436643638999584</c:v>
                </c:pt>
              </c:numCache>
            </c:numRef>
          </c:val>
          <c:extLst>
            <c:ext xmlns:c16="http://schemas.microsoft.com/office/drawing/2014/chart" uri="{C3380CC4-5D6E-409C-BE32-E72D297353CC}">
              <c16:uniqueId val="{00000001-DA9E-4DBC-A74F-976BDAB7C036}"/>
            </c:ext>
          </c:extLst>
        </c:ser>
        <c:ser>
          <c:idx val="1"/>
          <c:order val="1"/>
          <c:tx>
            <c:strRef>
              <c:f>fact6a!$BO$4</c:f>
              <c:strCache>
                <c:ptCount val="1"/>
                <c:pt idx="0">
                  <c:v>Not Poor</c:v>
                </c:pt>
              </c:strCache>
            </c:strRef>
          </c:tx>
          <c:spPr>
            <a:solidFill>
              <a:schemeClr val="accent2"/>
            </a:solidFill>
            <a:ln>
              <a:noFill/>
            </a:ln>
            <a:effectLst/>
          </c:spPr>
          <c:invertIfNegative val="0"/>
          <c:cat>
            <c:strRef>
              <c:f>fact6a!$BN$5:$BN$7</c:f>
              <c:strCache>
                <c:ptCount val="3"/>
                <c:pt idx="0">
                  <c:v>00-15</c:v>
                </c:pt>
                <c:pt idx="1">
                  <c:v>16-30</c:v>
                </c:pt>
                <c:pt idx="2">
                  <c:v>31-45</c:v>
                </c:pt>
              </c:strCache>
            </c:strRef>
          </c:cat>
          <c:val>
            <c:numRef>
              <c:f>fact6a!$BO$5:$BO$7</c:f>
              <c:numCache>
                <c:formatCode>0.0</c:formatCode>
                <c:ptCount val="3"/>
                <c:pt idx="0">
                  <c:v>-13.287121305146757</c:v>
                </c:pt>
                <c:pt idx="1">
                  <c:v>-70.574338377894932</c:v>
                </c:pt>
                <c:pt idx="2">
                  <c:v>-16.13854102103711</c:v>
                </c:pt>
              </c:numCache>
            </c:numRef>
          </c:val>
          <c:extLst>
            <c:ext xmlns:c16="http://schemas.microsoft.com/office/drawing/2014/chart" uri="{C3380CC4-5D6E-409C-BE32-E72D297353CC}">
              <c16:uniqueId val="{00000000-DA9E-4DBC-A74F-976BDAB7C036}"/>
            </c:ext>
          </c:extLst>
        </c:ser>
        <c:dLbls>
          <c:showLegendKey val="0"/>
          <c:showVal val="0"/>
          <c:showCatName val="0"/>
          <c:showSerName val="0"/>
          <c:showPercent val="0"/>
          <c:showBubbleSize val="0"/>
        </c:dLbls>
        <c:gapWidth val="67"/>
        <c:overlap val="100"/>
        <c:axId val="695879584"/>
        <c:axId val="695874304"/>
      </c:barChart>
      <c:catAx>
        <c:axId val="695879584"/>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874304"/>
        <c:crossesAt val="0"/>
        <c:auto val="1"/>
        <c:lblAlgn val="ctr"/>
        <c:lblOffset val="100"/>
        <c:noMultiLvlLbl val="0"/>
      </c:catAx>
      <c:valAx>
        <c:axId val="695874304"/>
        <c:scaling>
          <c:orientation val="minMax"/>
        </c:scaling>
        <c:delete val="0"/>
        <c:axPos val="b"/>
        <c:majorGridlines>
          <c:spPr>
            <a:ln w="9525" cap="flat" cmpd="sng" algn="ctr">
              <a:solidFill>
                <a:schemeClr val="tx1">
                  <a:lumMod val="15000"/>
                  <a:lumOff val="85000"/>
                </a:schemeClr>
              </a:solidFill>
              <a:prstDash val="dash"/>
              <a:round/>
            </a:ln>
            <a:effectLst/>
          </c:spPr>
        </c:majorGridlines>
        <c:numFmt formatCode="General" sourceLinked="0"/>
        <c:majorTickMark val="none"/>
        <c:minorTickMark val="none"/>
        <c:tickLblPos val="nextTo"/>
        <c:spPr>
          <a:noFill/>
          <a:ln>
            <a:solidFill>
              <a:schemeClr val="bg1">
                <a:lumMod val="85000"/>
              </a:schemeClr>
            </a:solidFill>
            <a:prstDash val="dash"/>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95879584"/>
        <c:crossesAt val="1"/>
        <c:crossBetween val="between"/>
      </c:valAx>
      <c:spPr>
        <a:noFill/>
        <a:ln>
          <a:noFill/>
        </a:ln>
        <a:effectLst/>
      </c:spPr>
    </c:plotArea>
    <c:legend>
      <c:legendPos val="b"/>
      <c:layout>
        <c:manualLayout>
          <c:xMode val="edge"/>
          <c:yMode val="edge"/>
          <c:x val="0.40316505875891129"/>
          <c:y val="0.89169551557269422"/>
          <c:w val="0.19765356114108124"/>
          <c:h val="7.050888097246550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469816272965873E-2"/>
          <c:y val="4.1666666666666664E-2"/>
          <c:w val="0.90297462817147855"/>
          <c:h val="0.73614173228346458"/>
        </c:manualLayout>
      </c:layout>
      <c:barChart>
        <c:barDir val="col"/>
        <c:grouping val="clustered"/>
        <c:varyColors val="0"/>
        <c:ser>
          <c:idx val="0"/>
          <c:order val="0"/>
          <c:tx>
            <c:strRef>
              <c:f>Fact6init!$P$3</c:f>
              <c:strCache>
                <c:ptCount val="1"/>
                <c:pt idx="0">
                  <c:v>Extreme</c:v>
                </c:pt>
              </c:strCache>
            </c:strRef>
          </c:tx>
          <c:spPr>
            <a:solidFill>
              <a:schemeClr val="accent1"/>
            </a:solidFill>
            <a:ln>
              <a:noFill/>
            </a:ln>
            <a:effectLst/>
          </c:spPr>
          <c:invertIfNegative val="0"/>
          <c:cat>
            <c:strRef>
              <c:f>Fact6init!$Q$2:$V$2</c:f>
              <c:strCache>
                <c:ptCount val="6"/>
                <c:pt idx="0">
                  <c:v>00-15</c:v>
                </c:pt>
                <c:pt idx="1">
                  <c:v>16-30</c:v>
                </c:pt>
                <c:pt idx="2">
                  <c:v>31-45</c:v>
                </c:pt>
                <c:pt idx="3">
                  <c:v>46-60</c:v>
                </c:pt>
                <c:pt idx="4">
                  <c:v>61-75</c:v>
                </c:pt>
                <c:pt idx="5">
                  <c:v>76</c:v>
                </c:pt>
              </c:strCache>
            </c:strRef>
          </c:cat>
          <c:val>
            <c:numRef>
              <c:f>Fact6init!$Q$3:$V$3</c:f>
              <c:numCache>
                <c:formatCode>0</c:formatCode>
                <c:ptCount val="6"/>
                <c:pt idx="0">
                  <c:v>38.997117167016555</c:v>
                </c:pt>
                <c:pt idx="1">
                  <c:v>21.672221343453092</c:v>
                </c:pt>
                <c:pt idx="2">
                  <c:v>19.05684579800408</c:v>
                </c:pt>
                <c:pt idx="3">
                  <c:v>11.893904478897028</c:v>
                </c:pt>
                <c:pt idx="4">
                  <c:v>5.8878614878588698</c:v>
                </c:pt>
                <c:pt idx="5">
                  <c:v>2.4920496982606148</c:v>
                </c:pt>
              </c:numCache>
            </c:numRef>
          </c:val>
          <c:extLst>
            <c:ext xmlns:c16="http://schemas.microsoft.com/office/drawing/2014/chart" uri="{C3380CC4-5D6E-409C-BE32-E72D297353CC}">
              <c16:uniqueId val="{00000000-09EE-46E7-9B6D-9514AA326CF1}"/>
            </c:ext>
          </c:extLst>
        </c:ser>
        <c:ser>
          <c:idx val="1"/>
          <c:order val="1"/>
          <c:tx>
            <c:strRef>
              <c:f>Fact6init!$P$4</c:f>
              <c:strCache>
                <c:ptCount val="1"/>
                <c:pt idx="0">
                  <c:v>Moderate</c:v>
                </c:pt>
              </c:strCache>
            </c:strRef>
          </c:tx>
          <c:spPr>
            <a:solidFill>
              <a:schemeClr val="accent2"/>
            </a:solidFill>
            <a:ln>
              <a:noFill/>
            </a:ln>
            <a:effectLst/>
          </c:spPr>
          <c:invertIfNegative val="0"/>
          <c:cat>
            <c:strRef>
              <c:f>Fact6init!$Q$2:$V$2</c:f>
              <c:strCache>
                <c:ptCount val="6"/>
                <c:pt idx="0">
                  <c:v>00-15</c:v>
                </c:pt>
                <c:pt idx="1">
                  <c:v>16-30</c:v>
                </c:pt>
                <c:pt idx="2">
                  <c:v>31-45</c:v>
                </c:pt>
                <c:pt idx="3">
                  <c:v>46-60</c:v>
                </c:pt>
                <c:pt idx="4">
                  <c:v>61-75</c:v>
                </c:pt>
                <c:pt idx="5">
                  <c:v>76</c:v>
                </c:pt>
              </c:strCache>
            </c:strRef>
          </c:cat>
          <c:val>
            <c:numRef>
              <c:f>Fact6init!$Q$4:$V$4</c:f>
              <c:numCache>
                <c:formatCode>0</c:formatCode>
                <c:ptCount val="6"/>
                <c:pt idx="0">
                  <c:v>32.896709405581035</c:v>
                </c:pt>
                <c:pt idx="1">
                  <c:v>23.472214917431973</c:v>
                </c:pt>
                <c:pt idx="2">
                  <c:v>20.434819441936899</c:v>
                </c:pt>
                <c:pt idx="3">
                  <c:v>13.396981735938219</c:v>
                </c:pt>
                <c:pt idx="4">
                  <c:v>7.2002441855636699</c:v>
                </c:pt>
                <c:pt idx="5">
                  <c:v>2.5990304485811708</c:v>
                </c:pt>
              </c:numCache>
            </c:numRef>
          </c:val>
          <c:extLst>
            <c:ext xmlns:c16="http://schemas.microsoft.com/office/drawing/2014/chart" uri="{C3380CC4-5D6E-409C-BE32-E72D297353CC}">
              <c16:uniqueId val="{00000001-09EE-46E7-9B6D-9514AA326CF1}"/>
            </c:ext>
          </c:extLst>
        </c:ser>
        <c:ser>
          <c:idx val="2"/>
          <c:order val="2"/>
          <c:tx>
            <c:strRef>
              <c:f>Fact6init!$P$5</c:f>
              <c:strCache>
                <c:ptCount val="1"/>
                <c:pt idx="0">
                  <c:v>Not Poor</c:v>
                </c:pt>
              </c:strCache>
            </c:strRef>
          </c:tx>
          <c:spPr>
            <a:solidFill>
              <a:schemeClr val="accent3"/>
            </a:solidFill>
            <a:ln>
              <a:noFill/>
            </a:ln>
            <a:effectLst/>
          </c:spPr>
          <c:invertIfNegative val="0"/>
          <c:cat>
            <c:strRef>
              <c:f>Fact6init!$Q$2:$V$2</c:f>
              <c:strCache>
                <c:ptCount val="6"/>
                <c:pt idx="0">
                  <c:v>00-15</c:v>
                </c:pt>
                <c:pt idx="1">
                  <c:v>16-30</c:v>
                </c:pt>
                <c:pt idx="2">
                  <c:v>31-45</c:v>
                </c:pt>
                <c:pt idx="3">
                  <c:v>46-60</c:v>
                </c:pt>
                <c:pt idx="4">
                  <c:v>61-75</c:v>
                </c:pt>
                <c:pt idx="5">
                  <c:v>76</c:v>
                </c:pt>
              </c:strCache>
            </c:strRef>
          </c:cat>
          <c:val>
            <c:numRef>
              <c:f>Fact6init!$Q$5:$V$5</c:f>
              <c:numCache>
                <c:formatCode>0</c:formatCode>
                <c:ptCount val="6"/>
                <c:pt idx="0">
                  <c:v>19.414531601399176</c:v>
                </c:pt>
                <c:pt idx="1">
                  <c:v>23.692963000244081</c:v>
                </c:pt>
                <c:pt idx="2">
                  <c:v>21.943472151526944</c:v>
                </c:pt>
                <c:pt idx="3">
                  <c:v>18.944703443517412</c:v>
                </c:pt>
                <c:pt idx="4">
                  <c:v>11.77194299221363</c:v>
                </c:pt>
                <c:pt idx="5">
                  <c:v>4.2323871383633112</c:v>
                </c:pt>
              </c:numCache>
            </c:numRef>
          </c:val>
          <c:extLst>
            <c:ext xmlns:c16="http://schemas.microsoft.com/office/drawing/2014/chart" uri="{C3380CC4-5D6E-409C-BE32-E72D297353CC}">
              <c16:uniqueId val="{00000002-09EE-46E7-9B6D-9514AA326CF1}"/>
            </c:ext>
          </c:extLst>
        </c:ser>
        <c:dLbls>
          <c:showLegendKey val="0"/>
          <c:showVal val="0"/>
          <c:showCatName val="0"/>
          <c:showSerName val="0"/>
          <c:showPercent val="0"/>
          <c:showBubbleSize val="0"/>
        </c:dLbls>
        <c:gapWidth val="219"/>
        <c:overlap val="-27"/>
        <c:axId val="661965728"/>
        <c:axId val="661963328"/>
      </c:barChart>
      <c:catAx>
        <c:axId val="66196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963328"/>
        <c:crosses val="autoZero"/>
        <c:auto val="1"/>
        <c:lblAlgn val="ctr"/>
        <c:lblOffset val="100"/>
        <c:noMultiLvlLbl val="0"/>
      </c:catAx>
      <c:valAx>
        <c:axId val="6619633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965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469816272965873E-2"/>
          <c:y val="4.1666666666666664E-2"/>
          <c:w val="0.90297462817147855"/>
          <c:h val="0.73614173228346458"/>
        </c:manualLayout>
      </c:layout>
      <c:barChart>
        <c:barDir val="col"/>
        <c:grouping val="clustered"/>
        <c:varyColors val="0"/>
        <c:ser>
          <c:idx val="0"/>
          <c:order val="0"/>
          <c:tx>
            <c:strRef>
              <c:f>Fact6init!$P$3</c:f>
              <c:strCache>
                <c:ptCount val="1"/>
                <c:pt idx="0">
                  <c:v>Extreme</c:v>
                </c:pt>
              </c:strCache>
            </c:strRef>
          </c:tx>
          <c:spPr>
            <a:solidFill>
              <a:schemeClr val="accent1"/>
            </a:solidFill>
            <a:ln>
              <a:noFill/>
            </a:ln>
            <a:effectLst/>
          </c:spPr>
          <c:invertIfNegative val="0"/>
          <c:cat>
            <c:strRef>
              <c:f>Fact6init!$W$2</c:f>
              <c:strCache>
                <c:ptCount val="1"/>
                <c:pt idx="0">
                  <c:v>15_64</c:v>
                </c:pt>
              </c:strCache>
            </c:strRef>
          </c:cat>
          <c:val>
            <c:numRef>
              <c:f>Fact6init!$W$3</c:f>
              <c:numCache>
                <c:formatCode>0</c:formatCode>
                <c:ptCount val="1"/>
                <c:pt idx="0">
                  <c:v>54.209125684538549</c:v>
                </c:pt>
              </c:numCache>
            </c:numRef>
          </c:val>
          <c:extLst>
            <c:ext xmlns:c16="http://schemas.microsoft.com/office/drawing/2014/chart" uri="{C3380CC4-5D6E-409C-BE32-E72D297353CC}">
              <c16:uniqueId val="{00000000-BC0C-4029-BCDE-700E5EF66A04}"/>
            </c:ext>
          </c:extLst>
        </c:ser>
        <c:ser>
          <c:idx val="1"/>
          <c:order val="1"/>
          <c:tx>
            <c:strRef>
              <c:f>Fact6init!$P$4</c:f>
              <c:strCache>
                <c:ptCount val="1"/>
                <c:pt idx="0">
                  <c:v>Moderate</c:v>
                </c:pt>
              </c:strCache>
            </c:strRef>
          </c:tx>
          <c:spPr>
            <a:solidFill>
              <a:schemeClr val="accent2"/>
            </a:solidFill>
            <a:ln>
              <a:noFill/>
            </a:ln>
            <a:effectLst/>
          </c:spPr>
          <c:invertIfNegative val="0"/>
          <c:cat>
            <c:strRef>
              <c:f>Fact6init!$W$2</c:f>
              <c:strCache>
                <c:ptCount val="1"/>
                <c:pt idx="0">
                  <c:v>15_64</c:v>
                </c:pt>
              </c:strCache>
            </c:strRef>
          </c:cat>
          <c:val>
            <c:numRef>
              <c:f>Fact6init!$W$4</c:f>
              <c:numCache>
                <c:formatCode>0</c:formatCode>
                <c:ptCount val="1"/>
                <c:pt idx="0">
                  <c:v>59.366921737725505</c:v>
                </c:pt>
              </c:numCache>
            </c:numRef>
          </c:val>
          <c:extLst>
            <c:ext xmlns:c16="http://schemas.microsoft.com/office/drawing/2014/chart" uri="{C3380CC4-5D6E-409C-BE32-E72D297353CC}">
              <c16:uniqueId val="{00000001-BC0C-4029-BCDE-700E5EF66A04}"/>
            </c:ext>
          </c:extLst>
        </c:ser>
        <c:ser>
          <c:idx val="2"/>
          <c:order val="2"/>
          <c:tx>
            <c:strRef>
              <c:f>Fact6init!$P$5</c:f>
              <c:strCache>
                <c:ptCount val="1"/>
                <c:pt idx="0">
                  <c:v>Not Poor</c:v>
                </c:pt>
              </c:strCache>
            </c:strRef>
          </c:tx>
          <c:spPr>
            <a:solidFill>
              <a:schemeClr val="accent3"/>
            </a:solidFill>
            <a:ln>
              <a:noFill/>
            </a:ln>
            <a:effectLst/>
          </c:spPr>
          <c:invertIfNegative val="0"/>
          <c:cat>
            <c:strRef>
              <c:f>Fact6init!$W$2</c:f>
              <c:strCache>
                <c:ptCount val="1"/>
                <c:pt idx="0">
                  <c:v>15_64</c:v>
                </c:pt>
              </c:strCache>
            </c:strRef>
          </c:cat>
          <c:val>
            <c:numRef>
              <c:f>Fact6init!$W$5</c:f>
              <c:numCache>
                <c:formatCode>0</c:formatCode>
                <c:ptCount val="1"/>
                <c:pt idx="0">
                  <c:v>67.767434053717096</c:v>
                </c:pt>
              </c:numCache>
            </c:numRef>
          </c:val>
          <c:extLst>
            <c:ext xmlns:c16="http://schemas.microsoft.com/office/drawing/2014/chart" uri="{C3380CC4-5D6E-409C-BE32-E72D297353CC}">
              <c16:uniqueId val="{00000002-BC0C-4029-BCDE-700E5EF66A04}"/>
            </c:ext>
          </c:extLst>
        </c:ser>
        <c:dLbls>
          <c:showLegendKey val="0"/>
          <c:showVal val="0"/>
          <c:showCatName val="0"/>
          <c:showSerName val="0"/>
          <c:showPercent val="0"/>
          <c:showBubbleSize val="0"/>
        </c:dLbls>
        <c:gapWidth val="219"/>
        <c:overlap val="-27"/>
        <c:axId val="661965728"/>
        <c:axId val="661963328"/>
      </c:barChart>
      <c:catAx>
        <c:axId val="66196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963328"/>
        <c:crosses val="autoZero"/>
        <c:auto val="1"/>
        <c:lblAlgn val="ctr"/>
        <c:lblOffset val="100"/>
        <c:noMultiLvlLbl val="0"/>
      </c:catAx>
      <c:valAx>
        <c:axId val="6619633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965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473157476605398"/>
          <c:y val="0.17171296296296298"/>
          <c:w val="0.80133193033179084"/>
          <c:h val="0.6153546952464275"/>
        </c:manualLayout>
      </c:layout>
      <c:barChart>
        <c:barDir val="bar"/>
        <c:grouping val="clustered"/>
        <c:varyColors val="0"/>
        <c:ser>
          <c:idx val="1"/>
          <c:order val="0"/>
          <c:tx>
            <c:strRef>
              <c:f>Fact6init!$Z$7</c:f>
              <c:strCache>
                <c:ptCount val="1"/>
                <c:pt idx="0">
                  <c:v>Not Poor</c:v>
                </c:pt>
              </c:strCache>
            </c:strRef>
          </c:tx>
          <c:spPr>
            <a:solidFill>
              <a:schemeClr val="bg1">
                <a:lumMod val="85000"/>
              </a:schemeClr>
            </a:solidFill>
            <a:ln>
              <a:noFill/>
            </a:ln>
            <a:effectLst/>
          </c:spPr>
          <c:invertIfNegative val="0"/>
          <c:cat>
            <c:strRef>
              <c:f>Fact6init!$Y$8:$Y$13</c:f>
              <c:strCache>
                <c:ptCount val="6"/>
                <c:pt idx="0">
                  <c:v>00-15</c:v>
                </c:pt>
                <c:pt idx="1">
                  <c:v>16-30</c:v>
                </c:pt>
                <c:pt idx="2">
                  <c:v>31-45</c:v>
                </c:pt>
                <c:pt idx="3">
                  <c:v>46-60</c:v>
                </c:pt>
                <c:pt idx="4">
                  <c:v>61-75</c:v>
                </c:pt>
                <c:pt idx="5">
                  <c:v>76</c:v>
                </c:pt>
              </c:strCache>
            </c:strRef>
          </c:cat>
          <c:val>
            <c:numRef>
              <c:f>Fact6init!$Z$8:$Z$13</c:f>
              <c:numCache>
                <c:formatCode>0</c:formatCode>
                <c:ptCount val="6"/>
                <c:pt idx="0">
                  <c:v>19.414531601399176</c:v>
                </c:pt>
                <c:pt idx="1">
                  <c:v>23.692963000244081</c:v>
                </c:pt>
                <c:pt idx="2">
                  <c:v>21.943472151526944</c:v>
                </c:pt>
                <c:pt idx="3">
                  <c:v>18.944703443517412</c:v>
                </c:pt>
                <c:pt idx="4">
                  <c:v>11.77194299221363</c:v>
                </c:pt>
                <c:pt idx="5">
                  <c:v>4.2323871383633112</c:v>
                </c:pt>
              </c:numCache>
            </c:numRef>
          </c:val>
          <c:extLst>
            <c:ext xmlns:c16="http://schemas.microsoft.com/office/drawing/2014/chart" uri="{C3380CC4-5D6E-409C-BE32-E72D297353CC}">
              <c16:uniqueId val="{00000001-09FC-43B7-8E6E-AF405EEEC15F}"/>
            </c:ext>
          </c:extLst>
        </c:ser>
        <c:ser>
          <c:idx val="2"/>
          <c:order val="1"/>
          <c:tx>
            <c:strRef>
              <c:f>Fact6init!$AA$7</c:f>
              <c:strCache>
                <c:ptCount val="1"/>
                <c:pt idx="0">
                  <c:v>Extreme</c:v>
                </c:pt>
              </c:strCache>
            </c:strRef>
          </c:tx>
          <c:spPr>
            <a:solidFill>
              <a:srgbClr val="8FC5ED"/>
            </a:solidFill>
            <a:ln>
              <a:noFill/>
            </a:ln>
            <a:effectLst/>
          </c:spPr>
          <c:invertIfNegative val="0"/>
          <c:cat>
            <c:strRef>
              <c:f>Fact6init!$Y$8:$Y$13</c:f>
              <c:strCache>
                <c:ptCount val="6"/>
                <c:pt idx="0">
                  <c:v>00-15</c:v>
                </c:pt>
                <c:pt idx="1">
                  <c:v>16-30</c:v>
                </c:pt>
                <c:pt idx="2">
                  <c:v>31-45</c:v>
                </c:pt>
                <c:pt idx="3">
                  <c:v>46-60</c:v>
                </c:pt>
                <c:pt idx="4">
                  <c:v>61-75</c:v>
                </c:pt>
                <c:pt idx="5">
                  <c:v>76</c:v>
                </c:pt>
              </c:strCache>
            </c:strRef>
          </c:cat>
          <c:val>
            <c:numRef>
              <c:f>Fact6init!$AA$8:$AA$13</c:f>
              <c:numCache>
                <c:formatCode>0</c:formatCode>
                <c:ptCount val="6"/>
                <c:pt idx="0">
                  <c:v>-38.997117167016555</c:v>
                </c:pt>
                <c:pt idx="1">
                  <c:v>-21.672221343453092</c:v>
                </c:pt>
                <c:pt idx="2">
                  <c:v>-19.05684579800408</c:v>
                </c:pt>
                <c:pt idx="3">
                  <c:v>-11.893904478897028</c:v>
                </c:pt>
                <c:pt idx="4">
                  <c:v>-5.8878614878588698</c:v>
                </c:pt>
                <c:pt idx="5">
                  <c:v>-2.4920496982606148</c:v>
                </c:pt>
              </c:numCache>
            </c:numRef>
          </c:val>
          <c:extLst>
            <c:ext xmlns:c16="http://schemas.microsoft.com/office/drawing/2014/chart" uri="{C3380CC4-5D6E-409C-BE32-E72D297353CC}">
              <c16:uniqueId val="{00000002-09FC-43B7-8E6E-AF405EEEC15F}"/>
            </c:ext>
          </c:extLst>
        </c:ser>
        <c:dLbls>
          <c:showLegendKey val="0"/>
          <c:showVal val="0"/>
          <c:showCatName val="0"/>
          <c:showSerName val="0"/>
          <c:showPercent val="0"/>
          <c:showBubbleSize val="0"/>
        </c:dLbls>
        <c:gapWidth val="67"/>
        <c:overlap val="100"/>
        <c:axId val="695879584"/>
        <c:axId val="695874304"/>
      </c:barChart>
      <c:catAx>
        <c:axId val="695879584"/>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874304"/>
        <c:crossesAt val="0"/>
        <c:auto val="1"/>
        <c:lblAlgn val="ctr"/>
        <c:lblOffset val="100"/>
        <c:noMultiLvlLbl val="0"/>
      </c:catAx>
      <c:valAx>
        <c:axId val="695874304"/>
        <c:scaling>
          <c:orientation val="minMax"/>
          <c:max val="45"/>
          <c:min val="-45"/>
        </c:scaling>
        <c:delete val="0"/>
        <c:axPos val="b"/>
        <c:majorGridlines>
          <c:spPr>
            <a:ln w="9525" cap="flat" cmpd="sng" algn="ctr">
              <a:solidFill>
                <a:schemeClr val="tx1">
                  <a:lumMod val="15000"/>
                  <a:lumOff val="85000"/>
                </a:schemeClr>
              </a:solidFill>
              <a:prstDash val="dash"/>
              <a:round/>
            </a:ln>
            <a:effectLst/>
          </c:spPr>
        </c:majorGridlines>
        <c:numFmt formatCode="0" sourceLinked="1"/>
        <c:majorTickMark val="none"/>
        <c:minorTickMark val="none"/>
        <c:tickLblPos val="nextTo"/>
        <c:spPr>
          <a:noFill/>
          <a:ln>
            <a:solidFill>
              <a:schemeClr val="bg1">
                <a:lumMod val="85000"/>
              </a:schemeClr>
            </a:solidFill>
            <a:prstDash val="dash"/>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879584"/>
        <c:crossesAt val="1"/>
        <c:crossBetween val="between"/>
      </c:valAx>
      <c:spPr>
        <a:noFill/>
        <a:ln>
          <a:noFill/>
        </a:ln>
        <a:effectLst/>
      </c:spPr>
    </c:plotArea>
    <c:legend>
      <c:legendPos val="b"/>
      <c:layout>
        <c:manualLayout>
          <c:xMode val="edge"/>
          <c:yMode val="edge"/>
          <c:x val="0.40316505875891129"/>
          <c:y val="0.89169551557269422"/>
          <c:w val="0.18155654874989097"/>
          <c:h val="7.358337227423690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Rural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Fact7zona!$AC$5</c:f>
              <c:strCache>
                <c:ptCount val="1"/>
                <c:pt idx="0">
                  <c:v>Extreme</c:v>
                </c:pt>
              </c:strCache>
            </c:strRef>
          </c:tx>
          <c:spPr>
            <a:solidFill>
              <a:srgbClr val="72B5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Fact7zona!$AB$6:$AB$9</c:f>
              <c:strCache>
                <c:ptCount val="4"/>
                <c:pt idx="0">
                  <c:v>Piped water</c:v>
                </c:pt>
                <c:pt idx="1">
                  <c:v>Internet access</c:v>
                </c:pt>
                <c:pt idx="2">
                  <c:v>Mobile phone</c:v>
                </c:pt>
                <c:pt idx="3">
                  <c:v>Refrigerator</c:v>
                </c:pt>
              </c:strCache>
            </c:strRef>
          </c:cat>
          <c:val>
            <c:numRef>
              <c:f>Fact7zona!$AC$6:$AC$9</c:f>
              <c:numCache>
                <c:formatCode>0</c:formatCode>
                <c:ptCount val="4"/>
                <c:pt idx="0">
                  <c:v>51.524744417055189</c:v>
                </c:pt>
                <c:pt idx="1">
                  <c:v>26.60223543705327</c:v>
                </c:pt>
                <c:pt idx="2">
                  <c:v>78.00322953039111</c:v>
                </c:pt>
                <c:pt idx="3">
                  <c:v>66.418735777460086</c:v>
                </c:pt>
              </c:numCache>
            </c:numRef>
          </c:val>
          <c:extLst>
            <c:ext xmlns:c16="http://schemas.microsoft.com/office/drawing/2014/chart" uri="{C3380CC4-5D6E-409C-BE32-E72D297353CC}">
              <c16:uniqueId val="{00000000-69FF-45E6-AD73-2CFE57E7C360}"/>
            </c:ext>
          </c:extLst>
        </c:ser>
        <c:ser>
          <c:idx val="1"/>
          <c:order val="1"/>
          <c:tx>
            <c:strRef>
              <c:f>Fact7zona!$AD$5</c:f>
              <c:strCache>
                <c:ptCount val="1"/>
                <c:pt idx="0">
                  <c:v>Not Poor</c:v>
                </c:pt>
              </c:strCache>
            </c:strRef>
          </c:tx>
          <c:spPr>
            <a:solidFill>
              <a:srgbClr val="D9D9D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Fact7zona!$AB$6:$AB$9</c:f>
              <c:strCache>
                <c:ptCount val="4"/>
                <c:pt idx="0">
                  <c:v>Piped water</c:v>
                </c:pt>
                <c:pt idx="1">
                  <c:v>Internet access</c:v>
                </c:pt>
                <c:pt idx="2">
                  <c:v>Mobile phone</c:v>
                </c:pt>
                <c:pt idx="3">
                  <c:v>Refrigerator</c:v>
                </c:pt>
              </c:strCache>
            </c:strRef>
          </c:cat>
          <c:val>
            <c:numRef>
              <c:f>Fact7zona!$AD$6:$AD$9</c:f>
              <c:numCache>
                <c:formatCode>0</c:formatCode>
                <c:ptCount val="4"/>
                <c:pt idx="0">
                  <c:v>53.773658737336262</c:v>
                </c:pt>
                <c:pt idx="1">
                  <c:v>44.325072024562651</c:v>
                </c:pt>
                <c:pt idx="2">
                  <c:v>87.91150575954866</c:v>
                </c:pt>
                <c:pt idx="3">
                  <c:v>83.096693062890139</c:v>
                </c:pt>
              </c:numCache>
            </c:numRef>
          </c:val>
          <c:extLst>
            <c:ext xmlns:c16="http://schemas.microsoft.com/office/drawing/2014/chart" uri="{C3380CC4-5D6E-409C-BE32-E72D297353CC}">
              <c16:uniqueId val="{00000001-69FF-45E6-AD73-2CFE57E7C360}"/>
            </c:ext>
          </c:extLst>
        </c:ser>
        <c:ser>
          <c:idx val="2"/>
          <c:order val="2"/>
          <c:tx>
            <c:strRef>
              <c:f>Fact7zona!$AG$3</c:f>
              <c:strCache>
                <c:ptCount val="1"/>
                <c:pt idx="0">
                  <c:v>Diff</c:v>
                </c:pt>
              </c:strCache>
            </c:strRef>
          </c:tx>
          <c:spPr>
            <a:solidFill>
              <a:schemeClr val="tx1">
                <a:lumMod val="65000"/>
                <a:lumOff val="3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Fact7zona!$AG$6:$AG$9</c:f>
              <c:numCache>
                <c:formatCode>0</c:formatCode>
                <c:ptCount val="4"/>
                <c:pt idx="0">
                  <c:v>-2.2489143202810737</c:v>
                </c:pt>
                <c:pt idx="1">
                  <c:v>-17.722836587509381</c:v>
                </c:pt>
                <c:pt idx="2">
                  <c:v>-9.9082762291575506</c:v>
                </c:pt>
                <c:pt idx="3">
                  <c:v>-16.677957285430054</c:v>
                </c:pt>
              </c:numCache>
            </c:numRef>
          </c:val>
          <c:extLst>
            <c:ext xmlns:c16="http://schemas.microsoft.com/office/drawing/2014/chart" uri="{C3380CC4-5D6E-409C-BE32-E72D297353CC}">
              <c16:uniqueId val="{00000002-69FF-45E6-AD73-2CFE57E7C360}"/>
            </c:ext>
          </c:extLst>
        </c:ser>
        <c:dLbls>
          <c:showLegendKey val="0"/>
          <c:showVal val="0"/>
          <c:showCatName val="0"/>
          <c:showSerName val="0"/>
          <c:showPercent val="0"/>
          <c:showBubbleSize val="0"/>
        </c:dLbls>
        <c:gapWidth val="219"/>
        <c:overlap val="-27"/>
        <c:axId val="1677861423"/>
        <c:axId val="1677862383"/>
      </c:barChart>
      <c:catAx>
        <c:axId val="167786142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62383"/>
        <c:crosses val="autoZero"/>
        <c:auto val="1"/>
        <c:lblAlgn val="ctr"/>
        <c:lblOffset val="100"/>
        <c:noMultiLvlLbl val="0"/>
      </c:catAx>
      <c:valAx>
        <c:axId val="1677862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61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Urban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Fact7zona!$AE$5</c:f>
              <c:strCache>
                <c:ptCount val="1"/>
                <c:pt idx="0">
                  <c:v>Extreme</c:v>
                </c:pt>
              </c:strCache>
            </c:strRef>
          </c:tx>
          <c:spPr>
            <a:solidFill>
              <a:srgbClr val="72B5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Fact7zona!$AB$6:$AB$9</c:f>
              <c:strCache>
                <c:ptCount val="4"/>
                <c:pt idx="0">
                  <c:v>Piped water</c:v>
                </c:pt>
                <c:pt idx="1">
                  <c:v>Internet access</c:v>
                </c:pt>
                <c:pt idx="2">
                  <c:v>Mobile phone</c:v>
                </c:pt>
                <c:pt idx="3">
                  <c:v>Refrigerator</c:v>
                </c:pt>
              </c:strCache>
            </c:strRef>
          </c:cat>
          <c:val>
            <c:numRef>
              <c:f>Fact7zona!$AE$6:$AE$9</c:f>
              <c:numCache>
                <c:formatCode>0</c:formatCode>
                <c:ptCount val="4"/>
                <c:pt idx="0">
                  <c:v>83.331815527547732</c:v>
                </c:pt>
                <c:pt idx="1">
                  <c:v>51.746971074755969</c:v>
                </c:pt>
                <c:pt idx="2">
                  <c:v>90.39733792404104</c:v>
                </c:pt>
                <c:pt idx="3">
                  <c:v>80.237809882683564</c:v>
                </c:pt>
              </c:numCache>
            </c:numRef>
          </c:val>
          <c:extLst>
            <c:ext xmlns:c16="http://schemas.microsoft.com/office/drawing/2014/chart" uri="{C3380CC4-5D6E-409C-BE32-E72D297353CC}">
              <c16:uniqueId val="{00000000-69FF-45E6-AD73-2CFE57E7C360}"/>
            </c:ext>
          </c:extLst>
        </c:ser>
        <c:ser>
          <c:idx val="1"/>
          <c:order val="1"/>
          <c:tx>
            <c:strRef>
              <c:f>Fact7zona!$AF$5</c:f>
              <c:strCache>
                <c:ptCount val="1"/>
                <c:pt idx="0">
                  <c:v>Not Poor</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Fact7zona!$AB$6:$AB$9</c:f>
              <c:strCache>
                <c:ptCount val="4"/>
                <c:pt idx="0">
                  <c:v>Piped water</c:v>
                </c:pt>
                <c:pt idx="1">
                  <c:v>Internet access</c:v>
                </c:pt>
                <c:pt idx="2">
                  <c:v>Mobile phone</c:v>
                </c:pt>
                <c:pt idx="3">
                  <c:v>Refrigerator</c:v>
                </c:pt>
              </c:strCache>
            </c:strRef>
          </c:cat>
          <c:val>
            <c:numRef>
              <c:f>Fact7zona!$AF$6:$AF$9</c:f>
              <c:numCache>
                <c:formatCode>0</c:formatCode>
                <c:ptCount val="4"/>
                <c:pt idx="0">
                  <c:v>88.229464377129489</c:v>
                </c:pt>
                <c:pt idx="1">
                  <c:v>77.371142064974109</c:v>
                </c:pt>
                <c:pt idx="2">
                  <c:v>95.720159105702379</c:v>
                </c:pt>
                <c:pt idx="3">
                  <c:v>92.862731976525311</c:v>
                </c:pt>
              </c:numCache>
            </c:numRef>
          </c:val>
          <c:extLst>
            <c:ext xmlns:c16="http://schemas.microsoft.com/office/drawing/2014/chart" uri="{C3380CC4-5D6E-409C-BE32-E72D297353CC}">
              <c16:uniqueId val="{00000001-69FF-45E6-AD73-2CFE57E7C360}"/>
            </c:ext>
          </c:extLst>
        </c:ser>
        <c:ser>
          <c:idx val="2"/>
          <c:order val="2"/>
          <c:tx>
            <c:strRef>
              <c:f>Fact7zona!$AH$3</c:f>
              <c:strCache>
                <c:ptCount val="1"/>
                <c:pt idx="0">
                  <c:v>Diff</c:v>
                </c:pt>
              </c:strCache>
            </c:strRef>
          </c:tx>
          <c:spPr>
            <a:solidFill>
              <a:schemeClr val="tx1">
                <a:lumMod val="65000"/>
                <a:lumOff val="3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Fact7zona!$AH$6:$AH$9</c:f>
              <c:numCache>
                <c:formatCode>0</c:formatCode>
                <c:ptCount val="4"/>
                <c:pt idx="0">
                  <c:v>-4.8976488495817563</c:v>
                </c:pt>
                <c:pt idx="1">
                  <c:v>-25.62417099021814</c:v>
                </c:pt>
                <c:pt idx="2">
                  <c:v>-5.3228211816613396</c:v>
                </c:pt>
                <c:pt idx="3">
                  <c:v>-12.624922093841747</c:v>
                </c:pt>
              </c:numCache>
            </c:numRef>
          </c:val>
          <c:extLst>
            <c:ext xmlns:c16="http://schemas.microsoft.com/office/drawing/2014/chart" uri="{C3380CC4-5D6E-409C-BE32-E72D297353CC}">
              <c16:uniqueId val="{00000000-C503-44E6-BC95-CB15C403D094}"/>
            </c:ext>
          </c:extLst>
        </c:ser>
        <c:dLbls>
          <c:showLegendKey val="0"/>
          <c:showVal val="0"/>
          <c:showCatName val="0"/>
          <c:showSerName val="0"/>
          <c:showPercent val="0"/>
          <c:showBubbleSize val="0"/>
        </c:dLbls>
        <c:gapWidth val="219"/>
        <c:overlap val="-27"/>
        <c:axId val="1677861423"/>
        <c:axId val="1677862383"/>
      </c:barChart>
      <c:catAx>
        <c:axId val="167786142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62383"/>
        <c:crosses val="autoZero"/>
        <c:auto val="1"/>
        <c:lblAlgn val="ctr"/>
        <c:lblOffset val="100"/>
        <c:noMultiLvlLbl val="0"/>
      </c:catAx>
      <c:valAx>
        <c:axId val="1677862383"/>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61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Fact7zona!$R$6</c:f>
          <c:strCache>
            <c:ptCount val="1"/>
            <c:pt idx="0">
              <c:v>El hogar posee refrigerador o heladera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Fact7zona!$T$7</c:f>
              <c:strCache>
                <c:ptCount val="1"/>
                <c:pt idx="0">
                  <c:v>Rural</c:v>
                </c:pt>
              </c:strCache>
            </c:strRef>
          </c:tx>
          <c:spPr>
            <a:solidFill>
              <a:schemeClr val="accent1"/>
            </a:solidFill>
            <a:ln>
              <a:noFill/>
            </a:ln>
            <a:effectLst/>
          </c:spPr>
          <c:invertIfNegative val="0"/>
          <c:cat>
            <c:strRef>
              <c:f>Fact7zona!$R$8:$R$21</c:f>
              <c:strCache>
                <c:ptCount val="14"/>
                <c:pt idx="0">
                  <c:v>  BOL</c:v>
                </c:pt>
                <c:pt idx="1">
                  <c:v>  BRA</c:v>
                </c:pt>
                <c:pt idx="2">
                  <c:v>  CHL</c:v>
                </c:pt>
                <c:pt idx="3">
                  <c:v>  COL</c:v>
                </c:pt>
                <c:pt idx="4">
                  <c:v>  CRI</c:v>
                </c:pt>
                <c:pt idx="5">
                  <c:v>  DOM</c:v>
                </c:pt>
                <c:pt idx="6">
                  <c:v>  ECU</c:v>
                </c:pt>
                <c:pt idx="7">
                  <c:v>  GTM</c:v>
                </c:pt>
                <c:pt idx="8">
                  <c:v>  HND</c:v>
                </c:pt>
                <c:pt idx="9">
                  <c:v>  MEX</c:v>
                </c:pt>
                <c:pt idx="10">
                  <c:v>  PER</c:v>
                </c:pt>
                <c:pt idx="11">
                  <c:v>  PRY</c:v>
                </c:pt>
                <c:pt idx="12">
                  <c:v>  SLV</c:v>
                </c:pt>
                <c:pt idx="13">
                  <c:v>  URY</c:v>
                </c:pt>
              </c:strCache>
            </c:strRef>
          </c:cat>
          <c:val>
            <c:numRef>
              <c:f>Fact7zona!$T$8:$T$21</c:f>
              <c:numCache>
                <c:formatCode>0</c:formatCode>
                <c:ptCount val="14"/>
                <c:pt idx="0">
                  <c:v>-28.378149405383621</c:v>
                </c:pt>
                <c:pt idx="1">
                  <c:v>-7.422234796282396</c:v>
                </c:pt>
                <c:pt idx="2">
                  <c:v>-8.8063186714904305</c:v>
                </c:pt>
                <c:pt idx="3">
                  <c:v>-21.810762053671937</c:v>
                </c:pt>
                <c:pt idx="4">
                  <c:v>-10.92333019993481</c:v>
                </c:pt>
                <c:pt idx="5">
                  <c:v>-8.0470208738323095</c:v>
                </c:pt>
                <c:pt idx="6">
                  <c:v>-32.312927152533213</c:v>
                </c:pt>
                <c:pt idx="7">
                  <c:v>-37.27650738079754</c:v>
                </c:pt>
                <c:pt idx="8">
                  <c:v>-29.512686650428599</c:v>
                </c:pt>
                <c:pt idx="9">
                  <c:v>-25.79294211217718</c:v>
                </c:pt>
                <c:pt idx="10">
                  <c:v>-18.160852599058458</c:v>
                </c:pt>
                <c:pt idx="11">
                  <c:v>-12.111446099732916</c:v>
                </c:pt>
                <c:pt idx="12">
                  <c:v>-4.2572952208809056</c:v>
                </c:pt>
                <c:pt idx="13">
                  <c:v>-7.5377457567302031</c:v>
                </c:pt>
              </c:numCache>
            </c:numRef>
          </c:val>
          <c:extLst>
            <c:ext xmlns:c16="http://schemas.microsoft.com/office/drawing/2014/chart" uri="{C3380CC4-5D6E-409C-BE32-E72D297353CC}">
              <c16:uniqueId val="{00000000-1BB2-4B12-9E97-55C7E5323F45}"/>
            </c:ext>
          </c:extLst>
        </c:ser>
        <c:ser>
          <c:idx val="1"/>
          <c:order val="1"/>
          <c:tx>
            <c:strRef>
              <c:f>Fact7zona!$U$7</c:f>
              <c:strCache>
                <c:ptCount val="1"/>
                <c:pt idx="0">
                  <c:v>Urban</c:v>
                </c:pt>
              </c:strCache>
            </c:strRef>
          </c:tx>
          <c:spPr>
            <a:solidFill>
              <a:schemeClr val="bg1">
                <a:lumMod val="65000"/>
              </a:schemeClr>
            </a:solidFill>
            <a:ln>
              <a:noFill/>
            </a:ln>
            <a:effectLst/>
          </c:spPr>
          <c:invertIfNegative val="0"/>
          <c:cat>
            <c:strRef>
              <c:f>Fact7zona!$R$8:$R$21</c:f>
              <c:strCache>
                <c:ptCount val="14"/>
                <c:pt idx="0">
                  <c:v>  BOL</c:v>
                </c:pt>
                <c:pt idx="1">
                  <c:v>  BRA</c:v>
                </c:pt>
                <c:pt idx="2">
                  <c:v>  CHL</c:v>
                </c:pt>
                <c:pt idx="3">
                  <c:v>  COL</c:v>
                </c:pt>
                <c:pt idx="4">
                  <c:v>  CRI</c:v>
                </c:pt>
                <c:pt idx="5">
                  <c:v>  DOM</c:v>
                </c:pt>
                <c:pt idx="6">
                  <c:v>  ECU</c:v>
                </c:pt>
                <c:pt idx="7">
                  <c:v>  GTM</c:v>
                </c:pt>
                <c:pt idx="8">
                  <c:v>  HND</c:v>
                </c:pt>
                <c:pt idx="9">
                  <c:v>  MEX</c:v>
                </c:pt>
                <c:pt idx="10">
                  <c:v>  PER</c:v>
                </c:pt>
                <c:pt idx="11">
                  <c:v>  PRY</c:v>
                </c:pt>
                <c:pt idx="12">
                  <c:v>  SLV</c:v>
                </c:pt>
                <c:pt idx="13">
                  <c:v>  URY</c:v>
                </c:pt>
              </c:strCache>
            </c:strRef>
          </c:cat>
          <c:val>
            <c:numRef>
              <c:f>Fact7zona!$U$8:$U$21</c:f>
              <c:numCache>
                <c:formatCode>0</c:formatCode>
                <c:ptCount val="14"/>
                <c:pt idx="0">
                  <c:v>-18.072620527157667</c:v>
                </c:pt>
                <c:pt idx="1">
                  <c:v>-3.2303410140471271</c:v>
                </c:pt>
                <c:pt idx="2">
                  <c:v>-7.8903537947361428</c:v>
                </c:pt>
                <c:pt idx="3">
                  <c:v>-17.432922723346366</c:v>
                </c:pt>
                <c:pt idx="4">
                  <c:v>-6.5044296677558862</c:v>
                </c:pt>
                <c:pt idx="5">
                  <c:v>-7.1089876476841312</c:v>
                </c:pt>
                <c:pt idx="6">
                  <c:v>-13.801374433517893</c:v>
                </c:pt>
                <c:pt idx="7">
                  <c:v>-46.829247486090928</c:v>
                </c:pt>
                <c:pt idx="8">
                  <c:v>-16.197523170459931</c:v>
                </c:pt>
                <c:pt idx="9">
                  <c:v>-18.207863875934919</c:v>
                </c:pt>
                <c:pt idx="10">
                  <c:v>-28.589073865352532</c:v>
                </c:pt>
                <c:pt idx="11">
                  <c:v>-11.988157523972035</c:v>
                </c:pt>
                <c:pt idx="12">
                  <c:v>-9.5107510657466605</c:v>
                </c:pt>
                <c:pt idx="13">
                  <c:v>-7.7111614330405871</c:v>
                </c:pt>
              </c:numCache>
            </c:numRef>
          </c:val>
          <c:extLst>
            <c:ext xmlns:c16="http://schemas.microsoft.com/office/drawing/2014/chart" uri="{C3380CC4-5D6E-409C-BE32-E72D297353CC}">
              <c16:uniqueId val="{00000001-1BB2-4B12-9E97-55C7E5323F45}"/>
            </c:ext>
          </c:extLst>
        </c:ser>
        <c:dLbls>
          <c:showLegendKey val="0"/>
          <c:showVal val="0"/>
          <c:showCatName val="0"/>
          <c:showSerName val="0"/>
          <c:showPercent val="0"/>
          <c:showBubbleSize val="0"/>
        </c:dLbls>
        <c:gapWidth val="219"/>
        <c:overlap val="-27"/>
        <c:axId val="1668536719"/>
        <c:axId val="1668540079"/>
      </c:barChart>
      <c:catAx>
        <c:axId val="1668536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540079"/>
        <c:crosses val="autoZero"/>
        <c:auto val="1"/>
        <c:lblAlgn val="ctr"/>
        <c:lblOffset val="100"/>
        <c:noMultiLvlLbl val="0"/>
      </c:catAx>
      <c:valAx>
        <c:axId val="1668540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536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Fact7zona!$R$6</c:f>
          <c:strCache>
            <c:ptCount val="1"/>
            <c:pt idx="0">
              <c:v>El hogar posee refrigerador o heladera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Fact7zona!$T$7</c:f>
              <c:strCache>
                <c:ptCount val="1"/>
                <c:pt idx="0">
                  <c:v>Rural</c:v>
                </c:pt>
              </c:strCache>
            </c:strRef>
          </c:tx>
          <c:spPr>
            <a:solidFill>
              <a:schemeClr val="accent1"/>
            </a:solidFill>
            <a:ln>
              <a:noFill/>
            </a:ln>
            <a:effectLst/>
          </c:spPr>
          <c:invertIfNegative val="0"/>
          <c:cat>
            <c:strRef>
              <c:f>Fact7zona!$R$31:$R$44</c:f>
              <c:strCache>
                <c:ptCount val="14"/>
                <c:pt idx="0">
                  <c:v>  BOL</c:v>
                </c:pt>
                <c:pt idx="1">
                  <c:v>  BRA</c:v>
                </c:pt>
                <c:pt idx="2">
                  <c:v>  CHL</c:v>
                </c:pt>
                <c:pt idx="3">
                  <c:v>  COL</c:v>
                </c:pt>
                <c:pt idx="4">
                  <c:v>  CRI</c:v>
                </c:pt>
                <c:pt idx="5">
                  <c:v>  DOM</c:v>
                </c:pt>
                <c:pt idx="6">
                  <c:v>  ECU</c:v>
                </c:pt>
                <c:pt idx="7">
                  <c:v>  GTM</c:v>
                </c:pt>
                <c:pt idx="8">
                  <c:v>  HND</c:v>
                </c:pt>
                <c:pt idx="9">
                  <c:v>  MEX</c:v>
                </c:pt>
                <c:pt idx="10">
                  <c:v>  PER</c:v>
                </c:pt>
                <c:pt idx="11">
                  <c:v>  PRY</c:v>
                </c:pt>
                <c:pt idx="12">
                  <c:v>  SLV</c:v>
                </c:pt>
                <c:pt idx="13">
                  <c:v>  URY</c:v>
                </c:pt>
              </c:strCache>
            </c:strRef>
          </c:cat>
          <c:val>
            <c:numRef>
              <c:f>Fact7zona!$T$31:$T$44</c:f>
              <c:numCache>
                <c:formatCode>0</c:formatCode>
                <c:ptCount val="14"/>
                <c:pt idx="0">
                  <c:v>-7.5469848724640176</c:v>
                </c:pt>
                <c:pt idx="1">
                  <c:v>-15.302645051354354</c:v>
                </c:pt>
                <c:pt idx="2">
                  <c:v>-10.540040992936838</c:v>
                </c:pt>
                <c:pt idx="3">
                  <c:v>-6.604361268187251</c:v>
                </c:pt>
                <c:pt idx="4">
                  <c:v>-29.594133068814166</c:v>
                </c:pt>
                <c:pt idx="5">
                  <c:v>-12.294752547543904</c:v>
                </c:pt>
                <c:pt idx="6">
                  <c:v>-15.87080951134015</c:v>
                </c:pt>
                <c:pt idx="7">
                  <c:v>-5.3439368139524932</c:v>
                </c:pt>
                <c:pt idx="8">
                  <c:v>-20.127191041062837</c:v>
                </c:pt>
                <c:pt idx="9">
                  <c:v>-30.991407223196873</c:v>
                </c:pt>
                <c:pt idx="10">
                  <c:v>-5.0490115448540083</c:v>
                </c:pt>
                <c:pt idx="11">
                  <c:v>-27.511543020536898</c:v>
                </c:pt>
                <c:pt idx="12">
                  <c:v>-8.8152604160028609</c:v>
                </c:pt>
                <c:pt idx="13">
                  <c:v>-42.883192323227107</c:v>
                </c:pt>
              </c:numCache>
            </c:numRef>
          </c:val>
          <c:extLst>
            <c:ext xmlns:c16="http://schemas.microsoft.com/office/drawing/2014/chart" uri="{C3380CC4-5D6E-409C-BE32-E72D297353CC}">
              <c16:uniqueId val="{00000000-C0BC-4C64-A282-30F658CC20B1}"/>
            </c:ext>
          </c:extLst>
        </c:ser>
        <c:ser>
          <c:idx val="1"/>
          <c:order val="1"/>
          <c:tx>
            <c:strRef>
              <c:f>Fact7zona!$U$7</c:f>
              <c:strCache>
                <c:ptCount val="1"/>
                <c:pt idx="0">
                  <c:v>Urban</c:v>
                </c:pt>
              </c:strCache>
            </c:strRef>
          </c:tx>
          <c:spPr>
            <a:solidFill>
              <a:schemeClr val="bg1">
                <a:lumMod val="65000"/>
              </a:schemeClr>
            </a:solidFill>
            <a:ln>
              <a:noFill/>
            </a:ln>
            <a:effectLst/>
          </c:spPr>
          <c:invertIfNegative val="0"/>
          <c:cat>
            <c:strRef>
              <c:f>Fact7zona!$R$31:$R$44</c:f>
              <c:strCache>
                <c:ptCount val="14"/>
                <c:pt idx="0">
                  <c:v>  BOL</c:v>
                </c:pt>
                <c:pt idx="1">
                  <c:v>  BRA</c:v>
                </c:pt>
                <c:pt idx="2">
                  <c:v>  CHL</c:v>
                </c:pt>
                <c:pt idx="3">
                  <c:v>  COL</c:v>
                </c:pt>
                <c:pt idx="4">
                  <c:v>  CRI</c:v>
                </c:pt>
                <c:pt idx="5">
                  <c:v>  DOM</c:v>
                </c:pt>
                <c:pt idx="6">
                  <c:v>  ECU</c:v>
                </c:pt>
                <c:pt idx="7">
                  <c:v>  GTM</c:v>
                </c:pt>
                <c:pt idx="8">
                  <c:v>  HND</c:v>
                </c:pt>
                <c:pt idx="9">
                  <c:v>  MEX</c:v>
                </c:pt>
                <c:pt idx="10">
                  <c:v>  PER</c:v>
                </c:pt>
                <c:pt idx="11">
                  <c:v>  PRY</c:v>
                </c:pt>
                <c:pt idx="12">
                  <c:v>  SLV</c:v>
                </c:pt>
                <c:pt idx="13">
                  <c:v>  URY</c:v>
                </c:pt>
              </c:strCache>
            </c:strRef>
          </c:cat>
          <c:val>
            <c:numRef>
              <c:f>Fact7zona!$U$31:$U$44</c:f>
              <c:numCache>
                <c:formatCode>0</c:formatCode>
                <c:ptCount val="14"/>
                <c:pt idx="0">
                  <c:v>-8.1683886900049139</c:v>
                </c:pt>
                <c:pt idx="1">
                  <c:v>-35.166998004909424</c:v>
                </c:pt>
                <c:pt idx="2">
                  <c:v>-20.067683011867043</c:v>
                </c:pt>
                <c:pt idx="3">
                  <c:v>-17.792869039383508</c:v>
                </c:pt>
                <c:pt idx="4">
                  <c:v>-32.224989913229649</c:v>
                </c:pt>
                <c:pt idx="5">
                  <c:v>-18.169044353415892</c:v>
                </c:pt>
                <c:pt idx="6">
                  <c:v>-20.836466751789725</c:v>
                </c:pt>
                <c:pt idx="7">
                  <c:v>-22.048939461825533</c:v>
                </c:pt>
                <c:pt idx="8">
                  <c:v>-27.235557648328609</c:v>
                </c:pt>
                <c:pt idx="9">
                  <c:v>-33.495980645866943</c:v>
                </c:pt>
                <c:pt idx="10">
                  <c:v>-10.921126064901539</c:v>
                </c:pt>
                <c:pt idx="11">
                  <c:v>-40.46079193437069</c:v>
                </c:pt>
                <c:pt idx="12">
                  <c:v>-18.361887782873794</c:v>
                </c:pt>
                <c:pt idx="13">
                  <c:v>-44.978388626926247</c:v>
                </c:pt>
              </c:numCache>
            </c:numRef>
          </c:val>
          <c:extLst>
            <c:ext xmlns:c16="http://schemas.microsoft.com/office/drawing/2014/chart" uri="{C3380CC4-5D6E-409C-BE32-E72D297353CC}">
              <c16:uniqueId val="{00000001-C0BC-4C64-A282-30F658CC20B1}"/>
            </c:ext>
          </c:extLst>
        </c:ser>
        <c:dLbls>
          <c:showLegendKey val="0"/>
          <c:showVal val="0"/>
          <c:showCatName val="0"/>
          <c:showSerName val="0"/>
          <c:showPercent val="0"/>
          <c:showBubbleSize val="0"/>
        </c:dLbls>
        <c:gapWidth val="219"/>
        <c:overlap val="-27"/>
        <c:axId val="1668536719"/>
        <c:axId val="1668540079"/>
      </c:barChart>
      <c:catAx>
        <c:axId val="1668536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540079"/>
        <c:crosses val="autoZero"/>
        <c:auto val="1"/>
        <c:lblAlgn val="ctr"/>
        <c:lblOffset val="100"/>
        <c:noMultiLvlLbl val="0"/>
      </c:catAx>
      <c:valAx>
        <c:axId val="1668540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536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Rural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Fact7zona!$AC$5</c:f>
              <c:strCache>
                <c:ptCount val="1"/>
                <c:pt idx="0">
                  <c:v>Extreme</c:v>
                </c:pt>
              </c:strCache>
            </c:strRef>
          </c:tx>
          <c:spPr>
            <a:solidFill>
              <a:srgbClr val="72B5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Fact7zona!$AB$6:$AB$9</c:f>
              <c:strCache>
                <c:ptCount val="4"/>
                <c:pt idx="0">
                  <c:v>Piped water</c:v>
                </c:pt>
                <c:pt idx="1">
                  <c:v>Internet access</c:v>
                </c:pt>
                <c:pt idx="2">
                  <c:v>Mobile phone</c:v>
                </c:pt>
                <c:pt idx="3">
                  <c:v>Refrigerator</c:v>
                </c:pt>
              </c:strCache>
            </c:strRef>
          </c:cat>
          <c:val>
            <c:numRef>
              <c:f>Fact7zona!$AC$6:$AC$9</c:f>
              <c:numCache>
                <c:formatCode>0</c:formatCode>
                <c:ptCount val="4"/>
                <c:pt idx="0">
                  <c:v>51.524744417055189</c:v>
                </c:pt>
                <c:pt idx="1">
                  <c:v>26.60223543705327</c:v>
                </c:pt>
                <c:pt idx="2">
                  <c:v>78.00322953039111</c:v>
                </c:pt>
                <c:pt idx="3">
                  <c:v>66.418735777460086</c:v>
                </c:pt>
              </c:numCache>
            </c:numRef>
          </c:val>
          <c:extLst>
            <c:ext xmlns:c16="http://schemas.microsoft.com/office/drawing/2014/chart" uri="{C3380CC4-5D6E-409C-BE32-E72D297353CC}">
              <c16:uniqueId val="{00000000-3DA5-499B-A52C-A1E0B3F0C0C1}"/>
            </c:ext>
          </c:extLst>
        </c:ser>
        <c:ser>
          <c:idx val="1"/>
          <c:order val="1"/>
          <c:tx>
            <c:strRef>
              <c:f>Fact7zona!$AD$5</c:f>
              <c:strCache>
                <c:ptCount val="1"/>
                <c:pt idx="0">
                  <c:v>Not Poor</c:v>
                </c:pt>
              </c:strCache>
            </c:strRef>
          </c:tx>
          <c:spPr>
            <a:solidFill>
              <a:srgbClr val="D9D9D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Fact7zona!$AB$6:$AB$9</c:f>
              <c:strCache>
                <c:ptCount val="4"/>
                <c:pt idx="0">
                  <c:v>Piped water</c:v>
                </c:pt>
                <c:pt idx="1">
                  <c:v>Internet access</c:v>
                </c:pt>
                <c:pt idx="2">
                  <c:v>Mobile phone</c:v>
                </c:pt>
                <c:pt idx="3">
                  <c:v>Refrigerator</c:v>
                </c:pt>
              </c:strCache>
            </c:strRef>
          </c:cat>
          <c:val>
            <c:numRef>
              <c:f>Fact7zona!$AD$6:$AD$9</c:f>
              <c:numCache>
                <c:formatCode>0</c:formatCode>
                <c:ptCount val="4"/>
                <c:pt idx="0">
                  <c:v>53.773658737336262</c:v>
                </c:pt>
                <c:pt idx="1">
                  <c:v>44.325072024562651</c:v>
                </c:pt>
                <c:pt idx="2">
                  <c:v>87.91150575954866</c:v>
                </c:pt>
                <c:pt idx="3">
                  <c:v>83.096693062890139</c:v>
                </c:pt>
              </c:numCache>
            </c:numRef>
          </c:val>
          <c:extLst>
            <c:ext xmlns:c16="http://schemas.microsoft.com/office/drawing/2014/chart" uri="{C3380CC4-5D6E-409C-BE32-E72D297353CC}">
              <c16:uniqueId val="{00000001-3DA5-499B-A52C-A1E0B3F0C0C1}"/>
            </c:ext>
          </c:extLst>
        </c:ser>
        <c:dLbls>
          <c:showLegendKey val="0"/>
          <c:showVal val="0"/>
          <c:showCatName val="0"/>
          <c:showSerName val="0"/>
          <c:showPercent val="0"/>
          <c:showBubbleSize val="0"/>
        </c:dLbls>
        <c:gapWidth val="219"/>
        <c:overlap val="-27"/>
        <c:axId val="1677861423"/>
        <c:axId val="1677862383"/>
      </c:barChart>
      <c:catAx>
        <c:axId val="167786142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62383"/>
        <c:crosses val="autoZero"/>
        <c:auto val="1"/>
        <c:lblAlgn val="ctr"/>
        <c:lblOffset val="100"/>
        <c:noMultiLvlLbl val="0"/>
      </c:catAx>
      <c:valAx>
        <c:axId val="1677862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61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Urban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Fact7zona!$AE$5</c:f>
              <c:strCache>
                <c:ptCount val="1"/>
                <c:pt idx="0">
                  <c:v>Extreme</c:v>
                </c:pt>
              </c:strCache>
            </c:strRef>
          </c:tx>
          <c:spPr>
            <a:solidFill>
              <a:srgbClr val="72B5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Fact7zona!$AB$6:$AB$9</c:f>
              <c:strCache>
                <c:ptCount val="4"/>
                <c:pt idx="0">
                  <c:v>Piped water</c:v>
                </c:pt>
                <c:pt idx="1">
                  <c:v>Internet access</c:v>
                </c:pt>
                <c:pt idx="2">
                  <c:v>Mobile phone</c:v>
                </c:pt>
                <c:pt idx="3">
                  <c:v>Refrigerator</c:v>
                </c:pt>
              </c:strCache>
            </c:strRef>
          </c:cat>
          <c:val>
            <c:numRef>
              <c:f>Fact7zona!$AE$6:$AE$9</c:f>
              <c:numCache>
                <c:formatCode>0</c:formatCode>
                <c:ptCount val="4"/>
                <c:pt idx="0">
                  <c:v>83.331815527547732</c:v>
                </c:pt>
                <c:pt idx="1">
                  <c:v>51.746971074755969</c:v>
                </c:pt>
                <c:pt idx="2">
                  <c:v>90.39733792404104</c:v>
                </c:pt>
                <c:pt idx="3">
                  <c:v>80.237809882683564</c:v>
                </c:pt>
              </c:numCache>
            </c:numRef>
          </c:val>
          <c:extLst>
            <c:ext xmlns:c16="http://schemas.microsoft.com/office/drawing/2014/chart" uri="{C3380CC4-5D6E-409C-BE32-E72D297353CC}">
              <c16:uniqueId val="{00000000-02A2-45E5-9967-BACB565798BB}"/>
            </c:ext>
          </c:extLst>
        </c:ser>
        <c:ser>
          <c:idx val="1"/>
          <c:order val="1"/>
          <c:tx>
            <c:strRef>
              <c:f>Fact7zona!$AF$5</c:f>
              <c:strCache>
                <c:ptCount val="1"/>
                <c:pt idx="0">
                  <c:v>Not Poor</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Fact7zona!$AB$6:$AB$9</c:f>
              <c:strCache>
                <c:ptCount val="4"/>
                <c:pt idx="0">
                  <c:v>Piped water</c:v>
                </c:pt>
                <c:pt idx="1">
                  <c:v>Internet access</c:v>
                </c:pt>
                <c:pt idx="2">
                  <c:v>Mobile phone</c:v>
                </c:pt>
                <c:pt idx="3">
                  <c:v>Refrigerator</c:v>
                </c:pt>
              </c:strCache>
            </c:strRef>
          </c:cat>
          <c:val>
            <c:numRef>
              <c:f>Fact7zona!$AF$6:$AF$9</c:f>
              <c:numCache>
                <c:formatCode>0</c:formatCode>
                <c:ptCount val="4"/>
                <c:pt idx="0">
                  <c:v>88.229464377129489</c:v>
                </c:pt>
                <c:pt idx="1">
                  <c:v>77.371142064974109</c:v>
                </c:pt>
                <c:pt idx="2">
                  <c:v>95.720159105702379</c:v>
                </c:pt>
                <c:pt idx="3">
                  <c:v>92.862731976525311</c:v>
                </c:pt>
              </c:numCache>
            </c:numRef>
          </c:val>
          <c:extLst>
            <c:ext xmlns:c16="http://schemas.microsoft.com/office/drawing/2014/chart" uri="{C3380CC4-5D6E-409C-BE32-E72D297353CC}">
              <c16:uniqueId val="{00000001-02A2-45E5-9967-BACB565798BB}"/>
            </c:ext>
          </c:extLst>
        </c:ser>
        <c:dLbls>
          <c:showLegendKey val="0"/>
          <c:showVal val="0"/>
          <c:showCatName val="0"/>
          <c:showSerName val="0"/>
          <c:showPercent val="0"/>
          <c:showBubbleSize val="0"/>
        </c:dLbls>
        <c:gapWidth val="219"/>
        <c:overlap val="-27"/>
        <c:axId val="1677861423"/>
        <c:axId val="1677862383"/>
      </c:barChart>
      <c:catAx>
        <c:axId val="167786142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62383"/>
        <c:crosses val="autoZero"/>
        <c:auto val="1"/>
        <c:lblAlgn val="ctr"/>
        <c:lblOffset val="100"/>
        <c:noMultiLvlLbl val="0"/>
      </c:catAx>
      <c:valAx>
        <c:axId val="1677862383"/>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61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rural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Fact7zona_conteo!$AA$6:$AA$9</c:f>
              <c:strCache>
                <c:ptCount val="4"/>
                <c:pt idx="0">
                  <c:v>Acceso a fuente de agua por red</c:v>
                </c:pt>
                <c:pt idx="1">
                  <c:v>El hogar posee conexión a internet</c:v>
                </c:pt>
                <c:pt idx="2">
                  <c:v>cel_chh</c:v>
                </c:pt>
                <c:pt idx="3">
                  <c:v>El hogar posee refrigerador o heladera</c:v>
                </c:pt>
              </c:strCache>
            </c:strRef>
          </c:cat>
          <c:val>
            <c:numRef>
              <c:f>Fact7zona_conteo!$AB$6:$AB$9</c:f>
              <c:numCache>
                <c:formatCode>0</c:formatCode>
                <c:ptCount val="4"/>
                <c:pt idx="0">
                  <c:v>132267.35723975496</c:v>
                </c:pt>
                <c:pt idx="1">
                  <c:v>468253.27106164175</c:v>
                </c:pt>
                <c:pt idx="2">
                  <c:v>1171980.7623100162</c:v>
                </c:pt>
                <c:pt idx="3">
                  <c:v>1153204.5525870165</c:v>
                </c:pt>
              </c:numCache>
            </c:numRef>
          </c:val>
          <c:extLst>
            <c:ext xmlns:c16="http://schemas.microsoft.com/office/drawing/2014/chart" uri="{C3380CC4-5D6E-409C-BE32-E72D297353CC}">
              <c16:uniqueId val="{00000000-439E-424A-8004-9DBCC6117B6E}"/>
            </c:ext>
          </c:extLst>
        </c:ser>
        <c:ser>
          <c:idx val="1"/>
          <c:order val="1"/>
          <c:spPr>
            <a:solidFill>
              <a:schemeClr val="accent2"/>
            </a:solidFill>
            <a:ln>
              <a:noFill/>
            </a:ln>
            <a:effectLst/>
          </c:spPr>
          <c:invertIfNegative val="0"/>
          <c:cat>
            <c:strRef>
              <c:f>Fact7zona_conteo!$AA$6:$AA$9</c:f>
              <c:strCache>
                <c:ptCount val="4"/>
                <c:pt idx="0">
                  <c:v>Acceso a fuente de agua por red</c:v>
                </c:pt>
                <c:pt idx="1">
                  <c:v>El hogar posee conexión a internet</c:v>
                </c:pt>
                <c:pt idx="2">
                  <c:v>cel_chh</c:v>
                </c:pt>
                <c:pt idx="3">
                  <c:v>El hogar posee refrigerador o heladera</c:v>
                </c:pt>
              </c:strCache>
            </c:strRef>
          </c:cat>
          <c:val>
            <c:numRef>
              <c:f>Fact7zona_conteo!$AC$6:$AC$9</c:f>
              <c:numCache>
                <c:formatCode>0</c:formatCode>
                <c:ptCount val="4"/>
                <c:pt idx="0">
                  <c:v>565796.51962191891</c:v>
                </c:pt>
                <c:pt idx="1">
                  <c:v>1614906.3379224879</c:v>
                </c:pt>
                <c:pt idx="2">
                  <c:v>2897471.3262936333</c:v>
                </c:pt>
                <c:pt idx="3">
                  <c:v>3033553.5941207884</c:v>
                </c:pt>
              </c:numCache>
            </c:numRef>
          </c:val>
          <c:extLst>
            <c:ext xmlns:c16="http://schemas.microsoft.com/office/drawing/2014/chart" uri="{C3380CC4-5D6E-409C-BE32-E72D297353CC}">
              <c16:uniqueId val="{00000001-439E-424A-8004-9DBCC6117B6E}"/>
            </c:ext>
          </c:extLst>
        </c:ser>
        <c:dLbls>
          <c:showLegendKey val="0"/>
          <c:showVal val="0"/>
          <c:showCatName val="0"/>
          <c:showSerName val="0"/>
          <c:showPercent val="0"/>
          <c:showBubbleSize val="0"/>
        </c:dLbls>
        <c:gapWidth val="219"/>
        <c:overlap val="-27"/>
        <c:axId val="1819750879"/>
        <c:axId val="1819769599"/>
      </c:barChart>
      <c:catAx>
        <c:axId val="1819750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9769599"/>
        <c:crosses val="autoZero"/>
        <c:auto val="1"/>
        <c:lblAlgn val="ctr"/>
        <c:lblOffset val="100"/>
        <c:noMultiLvlLbl val="0"/>
      </c:catAx>
      <c:valAx>
        <c:axId val="181976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97508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urbano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Fact7zona_conteo!$AA$6:$AA$9</c:f>
              <c:strCache>
                <c:ptCount val="4"/>
                <c:pt idx="0">
                  <c:v>Acceso a fuente de agua por red</c:v>
                </c:pt>
                <c:pt idx="1">
                  <c:v>El hogar posee conexión a internet</c:v>
                </c:pt>
                <c:pt idx="2">
                  <c:v>cel_chh</c:v>
                </c:pt>
                <c:pt idx="3">
                  <c:v>El hogar posee refrigerador o heladera</c:v>
                </c:pt>
              </c:strCache>
            </c:strRef>
          </c:cat>
          <c:val>
            <c:numRef>
              <c:f>Fact7zona_conteo!$AD$6:$AD$9</c:f>
              <c:numCache>
                <c:formatCode>0</c:formatCode>
                <c:ptCount val="4"/>
                <c:pt idx="0">
                  <c:v>1208626.2596039732</c:v>
                </c:pt>
                <c:pt idx="1">
                  <c:v>1528544.6764673686</c:v>
                </c:pt>
                <c:pt idx="2">
                  <c:v>2151745.1230060859</c:v>
                </c:pt>
                <c:pt idx="3">
                  <c:v>2142820.2014765982</c:v>
                </c:pt>
              </c:numCache>
            </c:numRef>
          </c:val>
          <c:extLst>
            <c:ext xmlns:c16="http://schemas.microsoft.com/office/drawing/2014/chart" uri="{C3380CC4-5D6E-409C-BE32-E72D297353CC}">
              <c16:uniqueId val="{00000000-9D42-4464-82A5-4A165E7D9EB0}"/>
            </c:ext>
          </c:extLst>
        </c:ser>
        <c:ser>
          <c:idx val="1"/>
          <c:order val="1"/>
          <c:spPr>
            <a:solidFill>
              <a:schemeClr val="accent2"/>
            </a:solidFill>
            <a:ln>
              <a:noFill/>
            </a:ln>
            <a:effectLst/>
          </c:spPr>
          <c:invertIfNegative val="0"/>
          <c:cat>
            <c:strRef>
              <c:f>Fact7zona_conteo!$AA$6:$AA$9</c:f>
              <c:strCache>
                <c:ptCount val="4"/>
                <c:pt idx="0">
                  <c:v>Acceso a fuente de agua por red</c:v>
                </c:pt>
                <c:pt idx="1">
                  <c:v>El hogar posee conexión a internet</c:v>
                </c:pt>
                <c:pt idx="2">
                  <c:v>cel_chh</c:v>
                </c:pt>
                <c:pt idx="3">
                  <c:v>El hogar posee refrigerador o heladera</c:v>
                </c:pt>
              </c:strCache>
            </c:strRef>
          </c:cat>
          <c:val>
            <c:numRef>
              <c:f>Fact7zona_conteo!$AE$6:$AE$9</c:f>
              <c:numCache>
                <c:formatCode>0</c:formatCode>
                <c:ptCount val="4"/>
                <c:pt idx="0">
                  <c:v>20196416.968044933</c:v>
                </c:pt>
                <c:pt idx="1">
                  <c:v>21788005.341934938</c:v>
                </c:pt>
                <c:pt idx="2">
                  <c:v>25047662.779390585</c:v>
                </c:pt>
                <c:pt idx="3">
                  <c:v>25689061.64434617</c:v>
                </c:pt>
              </c:numCache>
            </c:numRef>
          </c:val>
          <c:extLst>
            <c:ext xmlns:c16="http://schemas.microsoft.com/office/drawing/2014/chart" uri="{C3380CC4-5D6E-409C-BE32-E72D297353CC}">
              <c16:uniqueId val="{00000001-9D42-4464-82A5-4A165E7D9EB0}"/>
            </c:ext>
          </c:extLst>
        </c:ser>
        <c:dLbls>
          <c:showLegendKey val="0"/>
          <c:showVal val="0"/>
          <c:showCatName val="0"/>
          <c:showSerName val="0"/>
          <c:showPercent val="0"/>
          <c:showBubbleSize val="0"/>
        </c:dLbls>
        <c:gapWidth val="219"/>
        <c:overlap val="-27"/>
        <c:axId val="1819750879"/>
        <c:axId val="1819769599"/>
      </c:barChart>
      <c:catAx>
        <c:axId val="1819750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9769599"/>
        <c:crosses val="autoZero"/>
        <c:auto val="1"/>
        <c:lblAlgn val="ctr"/>
        <c:lblOffset val="100"/>
        <c:noMultiLvlLbl val="0"/>
      </c:catAx>
      <c:valAx>
        <c:axId val="181976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97508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Age_comp!$H$7</c:f>
              <c:strCache>
                <c:ptCount val="1"/>
                <c:pt idx="0">
                  <c:v>Extreme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Age_comp!$G$8:$G$13</c:f>
              <c:numCache>
                <c:formatCode>General</c:formatCode>
                <c:ptCount val="6"/>
                <c:pt idx="0">
                  <c:v>1</c:v>
                </c:pt>
                <c:pt idx="1">
                  <c:v>2</c:v>
                </c:pt>
                <c:pt idx="2">
                  <c:v>3</c:v>
                </c:pt>
                <c:pt idx="3">
                  <c:v>4</c:v>
                </c:pt>
                <c:pt idx="4">
                  <c:v>5</c:v>
                </c:pt>
                <c:pt idx="5">
                  <c:v>6</c:v>
                </c:pt>
              </c:numCache>
            </c:numRef>
          </c:cat>
          <c:val>
            <c:numRef>
              <c:f>Age_comp!$H$8:$H$13</c:f>
              <c:numCache>
                <c:formatCode>0%</c:formatCode>
                <c:ptCount val="6"/>
                <c:pt idx="0">
                  <c:v>0.37342642950231325</c:v>
                </c:pt>
                <c:pt idx="1">
                  <c:v>0.21948259142710039</c:v>
                </c:pt>
                <c:pt idx="2">
                  <c:v>0.18921869192191013</c:v>
                </c:pt>
                <c:pt idx="3">
                  <c:v>0.12245929465631085</c:v>
                </c:pt>
                <c:pt idx="4">
                  <c:v>6.7087063677819234E-2</c:v>
                </c:pt>
                <c:pt idx="5">
                  <c:v>2.8325928814546316E-2</c:v>
                </c:pt>
              </c:numCache>
            </c:numRef>
          </c:val>
          <c:extLst>
            <c:ext xmlns:c16="http://schemas.microsoft.com/office/drawing/2014/chart" uri="{C3380CC4-5D6E-409C-BE32-E72D297353CC}">
              <c16:uniqueId val="{00000000-1A3A-4D20-B3CB-776CACC5BE38}"/>
            </c:ext>
          </c:extLst>
        </c:ser>
        <c:ser>
          <c:idx val="1"/>
          <c:order val="1"/>
          <c:tx>
            <c:strRef>
              <c:f>Age_comp!$I$7</c:f>
              <c:strCache>
                <c:ptCount val="1"/>
                <c:pt idx="0">
                  <c:v>Moderate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Age_comp!$G$8:$G$13</c:f>
              <c:numCache>
                <c:formatCode>General</c:formatCode>
                <c:ptCount val="6"/>
                <c:pt idx="0">
                  <c:v>1</c:v>
                </c:pt>
                <c:pt idx="1">
                  <c:v>2</c:v>
                </c:pt>
                <c:pt idx="2">
                  <c:v>3</c:v>
                </c:pt>
                <c:pt idx="3">
                  <c:v>4</c:v>
                </c:pt>
                <c:pt idx="4">
                  <c:v>5</c:v>
                </c:pt>
                <c:pt idx="5">
                  <c:v>6</c:v>
                </c:pt>
              </c:numCache>
            </c:numRef>
          </c:cat>
          <c:val>
            <c:numRef>
              <c:f>Age_comp!$I$8:$I$13</c:f>
              <c:numCache>
                <c:formatCode>0%</c:formatCode>
                <c:ptCount val="6"/>
                <c:pt idx="0">
                  <c:v>0.32844001972927767</c:v>
                </c:pt>
                <c:pt idx="1">
                  <c:v>0.23295514677531837</c:v>
                </c:pt>
                <c:pt idx="2">
                  <c:v>0.20459478592594402</c:v>
                </c:pt>
                <c:pt idx="3">
                  <c:v>0.1336291471362438</c:v>
                </c:pt>
                <c:pt idx="4">
                  <c:v>7.3269734480923845E-2</c:v>
                </c:pt>
                <c:pt idx="5">
                  <c:v>2.71111659522928E-2</c:v>
                </c:pt>
              </c:numCache>
            </c:numRef>
          </c:val>
          <c:extLst>
            <c:ext xmlns:c16="http://schemas.microsoft.com/office/drawing/2014/chart" uri="{C3380CC4-5D6E-409C-BE32-E72D297353CC}">
              <c16:uniqueId val="{00000001-1A3A-4D20-B3CB-776CACC5BE38}"/>
            </c:ext>
          </c:extLst>
        </c:ser>
        <c:ser>
          <c:idx val="2"/>
          <c:order val="2"/>
          <c:tx>
            <c:strRef>
              <c:f>Age_comp!$J$7</c:f>
              <c:strCache>
                <c:ptCount val="1"/>
                <c:pt idx="0">
                  <c:v>NotPoor</c:v>
                </c:pt>
              </c:strCache>
            </c:strRef>
          </c:tx>
          <c:spPr>
            <a:solidFill>
              <a:srgbClr val="EAEAE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Age_comp!$G$8:$G$13</c:f>
              <c:numCache>
                <c:formatCode>General</c:formatCode>
                <c:ptCount val="6"/>
                <c:pt idx="0">
                  <c:v>1</c:v>
                </c:pt>
                <c:pt idx="1">
                  <c:v>2</c:v>
                </c:pt>
                <c:pt idx="2">
                  <c:v>3</c:v>
                </c:pt>
                <c:pt idx="3">
                  <c:v>4</c:v>
                </c:pt>
                <c:pt idx="4">
                  <c:v>5</c:v>
                </c:pt>
                <c:pt idx="5">
                  <c:v>6</c:v>
                </c:pt>
              </c:numCache>
            </c:numRef>
          </c:cat>
          <c:val>
            <c:numRef>
              <c:f>Age_comp!$J$8:$J$13</c:f>
              <c:numCache>
                <c:formatCode>0%</c:formatCode>
                <c:ptCount val="6"/>
                <c:pt idx="0">
                  <c:v>0.19164107878261763</c:v>
                </c:pt>
                <c:pt idx="1">
                  <c:v>0.23535729895994245</c:v>
                </c:pt>
                <c:pt idx="2">
                  <c:v>0.22018512721832659</c:v>
                </c:pt>
                <c:pt idx="3">
                  <c:v>0.19042579522537414</c:v>
                </c:pt>
                <c:pt idx="4">
                  <c:v>0.11922146502265338</c:v>
                </c:pt>
                <c:pt idx="5">
                  <c:v>4.3169234791085635E-2</c:v>
                </c:pt>
              </c:numCache>
            </c:numRef>
          </c:val>
          <c:extLst>
            <c:ext xmlns:c16="http://schemas.microsoft.com/office/drawing/2014/chart" uri="{C3380CC4-5D6E-409C-BE32-E72D297353CC}">
              <c16:uniqueId val="{00000003-1A3A-4D20-B3CB-776CACC5BE38}"/>
            </c:ext>
          </c:extLst>
        </c:ser>
        <c:dLbls>
          <c:showLegendKey val="0"/>
          <c:showVal val="1"/>
          <c:showCatName val="0"/>
          <c:showSerName val="0"/>
          <c:showPercent val="0"/>
          <c:showBubbleSize val="0"/>
        </c:dLbls>
        <c:gapWidth val="182"/>
        <c:axId val="794491120"/>
        <c:axId val="794496400"/>
      </c:barChart>
      <c:catAx>
        <c:axId val="79449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496400"/>
        <c:crosses val="autoZero"/>
        <c:auto val="1"/>
        <c:lblAlgn val="ctr"/>
        <c:lblOffset val="100"/>
        <c:noMultiLvlLbl val="0"/>
      </c:catAx>
      <c:valAx>
        <c:axId val="7944964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491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_xlchart.v5.11</cx:f>
        <cx:nf>_xlchart.v5.8</cx:nf>
      </cx:numDim>
    </cx:data>
  </cx:chartData>
  <cx:chart>
    <cx:plotArea>
      <cx:plotAreaRegion>
        <cx:plotSurface>
          <cx:spPr>
            <a:solidFill>
              <a:schemeClr val="bg1"/>
            </a:solidFill>
            <a:ln>
              <a:solidFill>
                <a:schemeClr val="bg1">
                  <a:alpha val="99000"/>
                </a:schemeClr>
              </a:solidFill>
            </a:ln>
          </cx:spPr>
        </cx:plotSurface>
        <cx:series layoutId="regionMap" uniqueId="{B0A26ACB-5816-4C08-8219-38D466E2181E}" formatIdx="0">
          <cx:tx>
            <cx:txData>
              <cx:f/>
              <cx:v>Rate (%)</cx:v>
            </cx:txData>
          </cx:tx>
          <cx:spPr>
            <a:ln w="19050"/>
          </cx:spPr>
          <cx:dataPt idx="19">
            <cx:spPr>
              <a:solidFill>
                <a:sysClr val="window" lastClr="FFFFFF"/>
              </a:solidFill>
            </cx:spPr>
          </cx:dataPt>
          <cx:dataPt idx="28">
            <cx:spPr>
              <a:solidFill>
                <a:sysClr val="window" lastClr="FFFFFF"/>
              </a:solidFill>
            </cx:spPr>
          </cx:dataPt>
          <cx:dataPt idx="31">
            <cx:spPr>
              <a:solidFill>
                <a:sysClr val="window" lastClr="FFFFFF"/>
              </a:solidFill>
            </cx:spPr>
          </cx:dataPt>
          <cx:dataPt idx="32">
            <cx:spPr>
              <a:solidFill>
                <a:sysClr val="window" lastClr="FFFFFF"/>
              </a:solidFill>
            </cx:spPr>
          </cx:dataPt>
          <cx:dataPt idx="41">
            <cx:spPr>
              <a:solidFill>
                <a:sysClr val="window" lastClr="FFFFFF"/>
              </a:solidFill>
            </cx:spPr>
          </cx:dataPt>
          <cx:dataId val="0"/>
          <cx:layoutPr>
            <cx:regionLabelLayout val="none"/>
            <cx:geography projectionType="miller" viewedRegionType="dataOnly" cultureLanguage="es-ES" cultureRegion="PE" attribution="Con tecnología de Bing">
              <cx:geoCache provider="{E9337A44-BEBE-4D9F-B70C-5C5E7DAFC167}">
                <cx:binary>7H3JcuNGuu6rKGpx4tyIAxmJBJCJvu0TYXCAhhpUo93eIFQqGfM8423Oshe9uruz9YvdD6Iok0mI
EG12qBaSo9vdBME/85+n/PPvN+3fbsLb6/ykjcK4+NtN++MrtyzTv/3wQ3Hj3kbXxWnk3eRJkfxW
nt4k0Q/Jb795N7c/fMuvGy92flBkov5w417n5W376r//jl9zbpPXyc116SXx++o27z7cFlVYFnue
jT46uUmquBxed/BLP776KXdu49KLr1+dDP8uu09devvjq61vvTr5QfytHbgnIZZWVt/wrkTVU8PQ
VYMT2bj7Y69OwiR21s91PNeZwjWiy3d/dA387XWEH3jSmu5WdP3tW35bFCf3/956dWsLW0+8Ipmt
sDBLhgX/9OFuhz9sY/m//y58gD0Ln2wQQkTQ1CORDuZ1/vX6W1KsMfHXyUDoKdFkmdIVjmWZbFNB
M041RZOpItMVlYw17BUVnrKicSL88aZAgz8eiCQwze+ABEno1d4xBYGwU1nTuW5o94IAFIuCYBBF
0RUB9dMreQTz6xdFxK8/38H7u+fH++KmAufnaxT8dc6XyCmlBtN1g9/zvsD6zDilOh4birL6Ap6v
tN+K9Z+wonH8P7wo4P/hcxH/i9nz439WfT0i0yv0VCaUUPURtcPlU04Vzh6Mg76N+6nVjCN+9ZaA
9dWHIspnn78DlLteeLve9xEYnpJTphNKmcIedPmmomGQCMIZI1TE9tRCHkH36jUR36tPdxD++vkR
bubXvRceEeNEho4Z/mTo7k1Ua/R0pVTYvXMj6vb8uti/knGUYwd37wk4X38sIt388PxInyeRF3s3
1/HJh9u0+hp6N8cjADFOZYOpsqIJziUDYWSFy1S+10CCbsdSfv/fYS3XJw/r26v+xsnxyM8I1Hnk
WyKx5t+BFZ4lYRJ9Pab7o4JChkF0A+79poQw5dSQOYeJuDfPok56wkrGifLHHgQ6/PFARP3su0B9
UV6ffABLHk8+jFODcQMh2NogAMmbRODqKTE0oikQlbs/QU3Nkqes6TEy/PHuDiH+eLRDiu9AZX2E
sprlXlH+/v++Xocn3clb77a+PWZUxk6JyjnCgj9cz0266MqpxjXGEB6P0uVPLHCcSI/+kECxR78n
ku/y7fNbHKu6LpFcCY8oSEQ7RfxmyLqubkuQAUOjMZnJBln5XHwtvasg4klrGafNxqsCNTaeiPi3
Pn0P+O+uj5lKUk+5SoBhfR0/C8Ze46e6SnRurJMcMDWbgZxVTa3nMQKs3tvB/urjHdT/4/lR/4ir
cayk3ou/JWRe7xhnPCk7+khM+J0l8bcKPv2aYf96FEggLYpCYVlgyzdtCtdPNYMZyAXiP8MfpGhT
Sp6ylHE5+eNNQVL+eCDKytl3YCbe3LbeTbJGwl/HPHIeBqWaQfh9KhWmYJMARIZVhxYb/llDXRmJ
N7//c2op45h/eFFA/MPnIt7f/PL8Ours2it//9caA38d71BKZMC4thMEKne22aD83nBoa6ArtE8v
ZBzr6/cEpK8/FnF+9h2Y5CsY5Oj3/1nv/68jnZ9qxGCIu+8zTYbA7EjwIbrTNBXIv/sTcP+EBY0j
/+FFAfsPn4vov/rp+Vn+y21821e3x/RI+SlqOZyRdXXNEJwiXT8dniEHe08hwTF90pLGSbDxqkCE
jSciGb4snp8MdzxyxKjgRQjuC9B3fCK6QaKvc3WbV8dTQJJ+ipIabClf1xiEyIxpp7KKKFrRtZUE
4Pmmv4Pl/P6/64/GFOI489+/JjD+/aci0199F0yfXzvVdbdvqweW9uHpUAK0UkRld39k29NBQDYk
/IB9wdG5up5eyyNof3hTxPzDgx3kfwfx2CI8+Xgd1setbKKmz6gylC4Fnc85ZAJGWSf3LC+4+E9c
zTgFtl4WiLD1TKTDxy/Pr/nPi/C6OPlU5Tf4V3cyu4bnf8SgS0HlTSFM1VVRCZFTTVMYl4cmjOFP
UEIHr2ucNo/8jEClR74l0uvT7Pnp9fn04+nJFy93vPhkWHb87YjUIvyUKgwNF/raN9pWX0NnEvQX
0Thy53d/a925ihtWePzy+7+Grqnb4uQ/F4uTz5//z/pLT7clj/7QKOFGAIqk+3L+/KT7CQ1ksDcn
/3Edpf/3ZGj2qb4d0ecaumkga2imuZcowfboBPkPSmSV31de8XzT7K+X1z1laePSNvITAsFGviGS
6ifr+Um1zG/jG/fEqrwj52uHJBPnCvyzuz8hNtRQ+hv+dHIvX4KZQnp7yLCeLPPr+Oa22Ms84xTa
/QWBQLtfEOljLZ+fPp/zCpJ0TM+NKqecaZqGsHBb52n6qYx2Uw0F8zvaDPH8ptg8YSnjpHh4UaDA
w+ci4j9/B26beYvWgNs1BsYU+mEeM5QWMThVCR13mOG4ob4xuHTjjtv0esaRv35PwP36YxH15q/P
z/Mfqxx9yNERkY8aNxCPHpG1NUdQspmXHVgfTVGokd+X8Iw14Vfm/n5F6w/HuGEc+w8vCuh/+FzE
/8fvoPb9U37URkAy5LzRcLYuZIv9xzpaFGAHVG0dxYvmemo546i/34WA+PtPRbT/9PPzsz1Ck6C4
95lW0cnx/d6XKOXI1bu3aNa5S2js0w0HWgoYaFWlGtXXmfVtZcWR1aJDz86GMtu0009a0rjMbLwq
yM3GE1F23n4HEcfsuovQsXP8OBEN4gpRNULuK6ZCqMHJqaIYChrY7n0mbc0Hm3EipBmVl3j96Onm
YxUdPrwu0ER4KtLl8jvwoiyEF9dHjf0UVPp0mTKurJxUWOpNS47YTzfQ8amsW/6FdjYLAcXEgsZF
4+FFgQgPn4vot+bPb1Le4NwYOm+z6oi+FLoLdAIvVjHA61uol2HHFRmZrrViWjP8ShbuF7O/uXEc
+RuvCujfeCIS4M375yfAUBD21mgYk/sDTcNLnXvn/ONOjQmHIstk6KI9YmMH8oVI7lKu46Dc3Z9g
B1BqhYOrDOddHp5v2uSrpy1qnPu3Xhb4f+uZKAFX30Ew8fHai8sh0Va6v/8zvI26I0oDO+U4P6pz
bZ1lEhQSHClFQzit34fcSHhsEmXoaB0WNrSZ//7P9bMxKR2ni/i+QBrxsUgd8zs4DvOxPD259Mpy
HXe8va29Y6bZX5qc/41HhZHB/HYdVukxjbt+qmgK8raCJKGGheOrHDpupd5Er+opKxkXoo1NCPKz
8UQUHevq+U37JySpvG/X305QmTr5lHy9do5pb+RTlBLhybJH7A1BbxXyJUwRyusPq+qesKZxioz8
hECZkW+IFPr06fkpdHEdoch7vU+xH+h+wQtA8IG/+xytEHwwBi8ABUVQZhWcCKXeJyxonCQPLwqE
ePhcRP/Fm+dH/5Bi7o+pm14y6Bj0cccgU31WYlXZzNFv+z8xhOGYxp2fqgq4XV1Lg1DjQw1dp2hP
lFFVuvtDvLjpfv3JRY5LyN4fE6Rm73dFSfryHRRpBy/tdXVzzDOZaCCCb4wSufqIgUEwD9uD6Qj3
FRGhQAvnFkcVsajf/7VXwY5Ta/ttgTzbD0V6vJ49v2Yb6PHFQ2Eakc2qx2GV5/LQCrLm8bEw4kBr
gwPkSLIwddcZg0ApTFMfJQ1WNyzuFn1OQ9PTKkeFmtre1T1Kqj2/tku6PV8WSfnlOyDlShc8ZFhX
+ukItHvJGz82qepJBuyTe4vQ3IUDt5dlDxMoRT1ljOqaasAv28xcsqGTHk4dqvMrSyUou9eQoSes
ZlyAtl4W5GXrmSge5sfn13RDDHYbJi8x5nrk2s7or3/vMDD4bV7hQqf+29ogX1y4NWn/rZScPGpw
mCp7OfrwxEjooTx3NMv+UoBcTZx8kh0fcuB/xhc9TBoQzLx4ypji+W/VYOsBU8cSJOllctauiywW
Mx/6BI+F9ZdOyEPOK4408R+LEC+HGP4YXjxqSg6wMg+zDo5FnJc5Dk/LM2+n6o6F/ZfcpJjfP0AW
RmpzR6PLS1HykajjAPogo/Lkk02HecEYs/hy5mqYhf+Xzcmqa/KoleOXpsm7awpGSbPj9D65L+sw
AYHL9dIvtn23waG3E2wlrI9lV17y8ps3eTxJRMQS9hPOnx8oKy8H5Pd27j1+AQiSMCsZm1+X14u7
q1Q2pGz/00devW+bGC1LroTw/NuPrzS0gj3czzIA3+q22Bynv/727XVR4poWhqQAhrnomJEmc9wC
QlBwbm7vHmE6MA4aKUNPoIzB8oyg4ylO0Mv74yvESArThwPeRMHnmDj/6qRIquERxrHh5LeqGDjC
JKPeRh9urrlKws65S1StcHT//0/iKrpK0Chc/PgKtbl09a27ZWoyfokPpTli4Mw/HU4PpjfXH3A5
Dr5M/ivJyjIoyrK2ioJ3y5wSZ+65Sj/fQMYIFPSi7EAxqKJS/JeMfaKXZRNKKiUsbfSwtqS0pmab
JcFMIa4/9yRqLP4aKKB0E5TvG43MSFRbuDnnRiuJMbe5rc6cPJAv9kMafklAnUYx/whFTaYZKG5u
Q+K8CdVQUSorSSRnThJNeh3VTZGZQemmVm0YqRUVcrHElJ/iH42RU7R6PHDYCFJHSKfhoMiAVUYU
Qx6QvkE6ouS2EUpNZemVopuyZPgms2lyOOk0FcM8cCQOk56YLkApUrcgdpBVFkkl6ZL21DlXu4zN
KUnCCVBjG9oEBYnb2lATcamX48oKCsqXvl+5C9s1qHkw2jCXBMyoUx3dVUzgxZhWqcOZXVqKbBvv
QrVkHxVDj1fdFIfIFZDFFBVTmgxZGYR+cy8VazwvTNXSSnmpXnZJa7/vjKKdgDKsVWBBHUOsMZhR
YXcF9m0oSanwJmmU0nKUOD/PiFqaaSbz87AM2YVjcDarmGvMI092JiCP0EpHi5OOkcGyil0KekP2
JRaVcVlaVdVVMylR00Xj6d3Bwox5qgpU59D2CR4UOIL1cuJlkZJasU1w2VSbSa9J6+kzkvX5auL8
owQb+HgblTieDmWosqHrziDQt5sEsw2tk4u0Ta2MROyiVyp2HiV6/jZjWnx+KAcyg6H5C/ZAVTXG
BZGqa6lK01xKrAja3TRwuP6NlzjB2X4oYxvahCLgroxrV+0jL7UYldk8LvJolkiKv5R6RTqYGbY3
JOCOZm2nllEIUGVBzxI10C5bJ5pC2+iGyDDSneFGIajebQp5kd9FmeMASu90Z5qrNKYhad7clyNv
QhNNgRJwp1c0S5PeSKzUj7jl2hUz3UYi86Koy4PVEXC3sSsBd7XtlnbhgBnsjvFz5mi9pXvK7X5e
GNYrMjfuKcB8dZy0hbAKpgqDLu3Olnli+YWWW04ZaWeeXEZLj0c30IbhBOvtKgfsCc6EohNdHVTt
NqVcR+r9krPECpknLaXSjWeBxIIJIu1CweRTjD/F5QqaivnlAj9ktcTiKGKxFbjll6qtg0VqqM1y
P+Z2OIES3J+nU5yDghziyoDtrSSlr3h2KYdWyet6phO3/EbdMlvaaa5Hh7LCHSxcJoF5ZhzIE2xG
z9LA9yhgZW6o/GI7dm0WatcGE2DuVNkWNwCOIgNjcDzRQzz0a22qugRn3yM3LkNL5oH7VtIN73Xc
Fc2iCbTodZ/H1Tuiu+0biTbZ6ywMlHeBwbWfqyru/RmReGIW1O3fsEpy4XC0/iUsQPExpl16uR/3
O1w7rBNtmDA0oLLB6PY6baXyNHTwhBaG+Bi/5qWtvSV6klmSo7K57Nf6oWoM5/6HcZdACoQENN+G
pypeHRcOCy2FSF86uaHzUGbtoVwLILgiahhTrWIOARNEMehjWwvkLLQCO8yXLMrqha3V1QTqlOFn
BBoPJhMtyGSY5jUcOdqkcZhVVJYqKbAKkOk6DV3azXWJxooZqzw108JP61na5PIs7qP2F0pdw8o0
Xf4E06SYrlKkHzlxlNcNfL3XEQUizEyqm8CM6qJfEF1Jlk2akMSU2zp9v5/uO4JNFdyXojGi6jhr
jonf22tXaNcnsIqBFYQdN6OqTM5yqeMTkr3jOwEKhjwaqg7fGR68IAWSY8gVz6rAsvPU/keX+mSW
NJ2z7Grdu8zrPH9tN90t693y4/7tkV2dMsyPxyEW0AZTPEU+oymLJa6XvsVc12/NtvXpR63vtOsk
zTtv1lSM1SbXafu+8+UgmWdplwWztAic/nXKDYidXRbGr0HLs18dV+/aWaAVsuNO6Ild8UNsAf9O
xdwkmChxmZUWkaZ1vMDq9ZDOm9D/VXNjasZl1M26nlYT4HbCKdADAwHl4U4pojPR1wsNJzFyufet
oLLpjBtJ8Bo6qjCDxI8kUy8929KDVP3VlzzynktMPtRoAT64QTPQwSrrZOgL35QYV8n9rnAr32pt
PVmUbqnPFBVMOEH84We2BRNcpzIGd5Zx0F6IT2Mv0RsvD30r8/M8NkOZdKZeR+2HomjVC+bl9KLr
iPu5d117lvSOet5kta3O67hszzFMwzh82xR4l5GIGI5WcUEMvKQnJEl1zyoiOYAESA0u7qmmeGlE
pO8ucdOQsEC8IPJS3ndtX4WaZ1Wu1C4cJUoXxK/8CRaagjKI/GZE7NldlcJmWE3HokUAo24qcSBN
KI4x+YX4ciRMFMxiwJG1bTB2oma86lTX6uroHY9l+tH1nDwyNVfLQtNlWVXM0qxTdTOVdO9TmMjV
TE2UxF1yX5fPPUNPYvxPQ/mmQLJ+S1vm8fl+NhvDhIbTJ0PySKWqKiyxTDyJODZ3Lb9qurOo5/2V
GlJ/sR/KiCKjmC0FVlYxgxXqehsRQdYTx/d6z/KCqLnQjCwzJQNRO9z3eoK0g+0VxcZQOCauy5g9
ouxIZxMWSsBL10KK5bfWZ+8KT/XNsGSf09Re+lz5un9rZAhgtwFSBVoPM5hxKFHFjR/be3M5qfu8
jV1LKrPAiiqvc0zPdsp5hjj+HSF9Y0m5Xl62vpyYvebEyzSh7hVIqf28fym7ehjXH0JwFFmnKjrs
Bbck6Wnp+rXnWgoc3iUzouBMI1VntZ7hvNarTJ3QCLtU3YYnSpGSyJ0RAF5ah/0nnftk7vK2NKmn
RxOgprYmKEOiFrWc2QAld3Gw1JOUfvOCoJ2pst6auqHQCdHdtTGIRgYHD1MNNHh5w9Y3FIQPh6c0
5MS1qGuTsyyQ1dD0mOe4M7uryRspzoNZw9J4btsl/0fo2+S3/bQcYytgF1eTwdZwXaPCjl0aSFlB
wMdOpmTv86ZKvjBkuWeVbdPLBlhfZCwKrbBTgwvDyexFxV0jMNP6fP9CxohMZY7rSu+SVCIm3DZh
hhPmrtU2RDJziN2sqqvcdPRQntBFo6BUpA/lIVuKM2/bSLfbOidO4rhWnmvBrO+8wAy6js9CJe0m
tMQYP+FmHhX+FeQFxnAbVJn4La9C5liZ7LoX1G2bRZRr9sLvPMns3NCf4KddNQvvFJEUZhlDNXHR
hwzqXDIyjzpW0LvJZZzX5DeZxfFEampX9wEKfAakmqH4YKm3d5W1floWmexYcmLXP6ehpJiVQ8lS
YbU7axGczdPcn8r7jm6NI/LFjI/BTRa0gIOEI/zN2LFCKqcf+6Rq3ruENhMK4C4PKqjZ4cw3TLGK
gcLITmzvTZJ424aS71h9qEbvgz7obhyohYvOp/ZbpcnYRdExd6HGSor0lR/P6pi1V5glE5ksifsJ
/hmGtIpaH1MYVFWBfGoqUwVd62Y9FIgfAdXUSN4F8OC+xG4vwYIW2czwA/pB5rGWm1pHs9vEJ3Qh
R516Fti+/yZVHOecxoE7ZfvGSIE4HfE60VFCElOTkUwayZMyx8pTg97KclzPIr1uwqnN78aMFNKp
DSNScWUlYG3TomtoV+il61gVSlNfEyU1FmGep5dG1GuXaaUn552Ru+eGU0iLNErT933btVOe4l0u
aocjuII7nlAtY7IiRP3gBaOymSQtaef3v8RNrs78JK7mpRsWs6wqOfLARjAve99/23ssNiPPSH7Z
rx1HMI68A0ahUQPVMVUTJK5mUFmpyqVlJLPgvYR7JhfcCPIJ5h/RVqjiQbWiIIZYUBNcDIgdc/W4
kZZOX36RyrZ447nRMs60FvrLmIg6x4BRgsCcyjCBlAkJe+qltA/qUlq2flAtEZeyBey7dqWFMb+E
1g8+HI5ClD6QM2M4BA3ltc1MruFzrQorbI4a/bwhQTOTPBasJis8mrUfIxR0I2gEHA5GdRtKFTdw
nKpcWrIqCc1U9+EL2u1UzmZYq8CSmBiJIizmB+tQh4JgOGGXV2WPQMIve/VNmTblZVZ2hlUXifqV
0cY+KzivLTu12YSBGVH9W5AFqqHG4vZ5hv3VueZfOR2PFkYxaB3ZKWZVkjWXeVJ4hyN1qChhGpdK
Ef6L2/V8WhY+ctJL4katJdfQ+r7UFNZ+BhlxC8CMBhKRdLjBwRC43wt00mh5ayxJpIezNu+dmZYY
ipl4xJ8dDgp2jMDMyCh0G4JbUNs5CRs3N5auW/PPzG2NC5/6xWsuu918P6ihZC/yCnzLYXg+1DUC
FsGCKGUi530eGks9p+2y1RM3WhDbT8zYa+UbSpp42fuy9033edjPWq12bhK1Im+VXg4spgf1vIPh
vSoqKjkm6VlOzBTacFbUffrGjTU+76qqWQ2/elSM7pIrAofDGyXDdWMI5zCSc1uOZEQ2NrM9Y6kF
YfpWDZvCtnpCc+6ZPKqiCAxQuZ2JvGb3wQt7tTYN2fVuAikJPiiBZl+5HVM8syRyn5sh6J6auprQ
eNY1TuVc7cfxCOfgXuthqDFuaeEoNGwvtkoCxzdQ5lxWcp5Xc6ZInQvnIDHe2jzSF38CGOqCSIIN
VQZNkP0sMCpdIhVfSnVMFkZqeGbXSOGC5flUYn50XxugBGGXG8PR87LlS1547TsYpuJcUdrmTdb2
9gTBp0AJwtfVjW2zpORLN+DFpzjI5TOGks3rzK0acz8CR1Q07qmTgTzoaDgOw/ONmEtC2qduu5wv
S63sZ5LL+4XRsCnPbRwKgysOi2OgL2IbSgjwnZ+DTMjhV6YRF5KZunE0oUjGhBvXXqDkBMXFcVnx
NpSAa73chhlf0jrLvmRthvq3LamvdaRhTaQp7cqUck+byZUeVaauF8GEPRjd5sYChG02LCS2Khfg
xhxJUbQEdKbdNdrENkehYGA7JsEie4QLBre32fdGQLwgBSMSj1j4fy4wGjkT7s84FCRcMbuco71E
4EHe+Z1dRzFfIlX+m9tmzpLEWT1RCBlldETaQx1EhUcp6gpkcRBwQldgjKv61nWl8Esjcc0qUnsq
5zYFatjvBqMnecRzR4dMZUEZXQ7Xe1ml2vQzv02j+X6ZGgOFboXBeiJ2ws3M26AUvXaH1h++rGUn
OetKv7hou9ibG03JFvtBjVHJgC8+VHSJTGQBlF91mVE74LheVwIzq7gz73wpmoAy8K1of1CJYdrd
GFAkLrc3ZMdFGcS1DzI1tXaRdZ53EaJn7UzVCTU9heeXdeymP+/f2ihQuPhAINqAkF/bBlpXRIrr
QGdLv27SxVAHWxi22lwmZdm/Q964/LUKqDeheQcVsbNTfUjjabBhhuj2pLnBat6B61M/0N9GTUOX
CpfShRZW7A1zaXi4xoALN+T3jWHk0HB/1iZX1oHWp3IJWS6TPJ5XXpnMtaTJJpT8yK5QzsTtJmhV
JBiuLsiyrEQoF2XYVYxQYk7SLJ6Vkp/OIs+/UsJaneD/sbQB4GESHMWdElBzAr/4SZTmNXC8hDn1
I5QmleI9rRKpW9AKsYZZhVCPakrjK6dI9WXqDSW1BlWfyzhwlHMJ7soEBgaIAl2hwmQMRB3aynRR
m1G5UrsOhY+lkdjevCyRr6A2qqSYbP5nSKppREX2jlIDPVjbJFXRpZkHcIyWaZB77+tGc03Vqfn5
fukYEXzk7DiccxmMqjDB1OhS0sgFEtLLkoE9K9mP5l5VuIebGgxhQkyFBCHgaIJr7lR94ds+oKTo
y1r6rLru8zq2Dt+KLuu4LhEJfaQ4BB0WsFpOw4iwpVf4/YJ2ITdzTT24CwrEgBLBP/pQ1xVb/rjR
K14YNmxJjTyfGUrCzYa71QRZxvgMrQmUIyEIX11M3FIihbnuFmxZFB0/aySHXNiSG73HpeT5hJSN
gUJchu6g4XIXlEe3+ax34pA2ncuWDQJFC8EONyUEH8vYldUJCo2BQlkH4SZqzjISgtugApfUrG8d
tlR5W1h5x71ZrEb5wim0KR9uLAWPEhImfw0XLHOMut+GRYiPRmv0eSxJrp17gRSYSiItkKD+hUml
Y0oO+xwbvJplsQydUSi/NmX2dT9Djm4XbSZgFBWFRLF70m48OwhQB4T6quJlonFk9AI1XuSZ0UwQ
ccRlHdwfosHgoPdcLDhoLS+DSO70ZZEq0qWTaMo8dRTESzYhbzRPic22ibMFmtLr9zwrnD9hflBi
0Ay0EA/Bt+B/OUYZSBA9fRnyUDWZGpezGrpyQvnu0hSdvEO5TuVMh5MipiwSyYg7r870JaJA1Wxi
z45NHGZj3ySSKZdaT9R5Wtj6Ik/85HPVqPXSi6viSvV7pZ1Yy47exFKgNNErM7Qv4W70bfbqM6K0
QVvpy5LL0aWqe+GFXss/72cg0d6ihw8OC5pg0P3L0AAuyIvTGU3Ks7q2GM+SNwX86FlZxtnPDlGc
DzFSYlPJYZFj7wAiLY57G4fGBVFPp5oTRArBOQE9z4qFH4TOXC9r2Yzzoljs39tgWDYtKTJ2qDsw
pE5QoBrq69sINFzJ1ZS4r1G7VrvfkDP81stpOo9yJzsLdO6ctX3RXu+HKW7vDiaHLWYEgDGWcRum
y7o4V2rgUw1zZd47rW/KbsJn6P/qJiyeSDokhtB1bqg48IFuTMQl26A07ksOjfXMsqHmlyHB1qpE
Bn+iJc+U9Ng48JjCAA9pZnS2DK2YO2GW4iVdVNdVZrUxLaykVfrz2vGz1qy8oF0Qt/FNVJL18xZ2
5RKVZled2LAoEHcLGGJ/JE6Hu1wEemaGH3JbDzOrKwsWmLgNxjcjuY28CcHb5RsMdYaZQnIbBSsu
drLwCre1QyBTy+CeE8/SWKlvWr0eeuKT2DvnpKLzCI2OB5quYXtgV4yMHO7gQsFgm56qrcAdRLnA
Curw15Bzf5an2aeesKlDNCN4RBYDIQPF5jB2X3CVaMobKSNdYrVw+c6jTE/MzpG6s0MlAa1wGu5i
QH0c2W5FgNI7jayndZ5YyIM0PzfUls5Rp4jnciwFkz7zoP23RR0Hn6Ar725bRl1eABZnNjWq2I2s
NMbhgVnTpV72Xq2Qalyge8UuZnGTlPYicFvumE2dFplJQNd3Q50O+W+76b9CcMN61sl2F83dRlGt
NKVpMivDlF3IRVC0ZuAm6VctYc63wEXLIjKFkV1e9npRdXOj1yt9FqGS960tqfepifL2vEuiblHL
Sv4u8JucmhKhhbp0wzyOrIZ1vYNWiLBOzqS0p1/ksmgSq9C6fCbBK5x3NqG/ZhShLDqeabRI9Uy+
9uwmvJU6Ve7mThnaHdJuOA9kxm1en7uZ1JFFGVb2mSppfbZQ0iTqzTpgyAwrqpOYapwzb0LJ7jIT
MI/eQ50jrpc1RdBCPQlyw+782HKlqDBVVhATjZJTJ3p2dR36+RA6IBjB5c07Xahy0skeUguRlTmV
PzdIqc5Qc7MalTizQrLzgzUNwA1FLkjJoG6UbVFs/TwNYtx4bElJbczQS+Qsw6CdahMe2RSuv9UY
0Aelhjz0NhSgzu8jV0usSg9+1qOezvxAPSvKyDcbSann++VxhFCQLxX9iHcdZ2K+oPRKpsFpS6y8
lfv3tEy6ZWPIh7bcIvaidOiEhZM4JHoEQVRtSatJRhIrS0P1dROS9gtN5GyCPrtWFlAQt8MPZOib
EJvpwy7u8rBUcQyhl+0lTkchl05q1WojWkwYgzG0geHQl2YYd3OWt4nky1oWBJKcWHWaV6aMtkCU
76t+eThxwN3oa4FhhRoT3DAJqW0tbEOcE2kaMlPSvsRhBGmqCDjGcKh1oBEXJ0HRly4wnNEmUMCp
EVtNkPFf3K4gi6oz9EVg1MEsZ5l9fviucOzKGAw2kjliyiisSBRkSh9blY86FmeSO4tc6U8IKxgB
u8EBRjZcNLNNobZKGyVuwthK0HK0iIsQPf16wg5nORX9vPC2oIeGEsQ2FKrKTk48mlhuU0dniD+i
RQ+0oQ+1NCZA7XQuQIgQU2IvyEritIiYa07D0oskHwYaedvS5D5faAX9GXXjr7kb/haF9aVbxR+T
zrhMvfzAmu0dbJySwFV5uD8MWdHtfTa5HTbIOySWUTndzCd1ikbUeGqLIwKMn8fJERTbwe4iFAVq
sbDVBFCSAn3CJRSsX4TvPZ5Pqb1B4QieAZw5XFpKAQbbESTL6DNdwkGJxEKLuru0s0ozeUEryw4L
/y3tHWWWoO3jDN2gzocsVIsJL2hEfcCpA2j0kA0cKoDXYLTSrPISiyVGN8slRVuiPFpOcMyIYMP/
hwlGiy5CATHBgkA2krUaJ5jcUiuu/F5C77fXqxlCcrgOZhzI9QTEXR8ZLd5IPCs6/FWUQwQLGZAo
lmroYSssuuxST6rWTJ1EfZMTv3dNOEOKiWaHLJ/QxqOiMdz+C7UPLYmGkG321FqniCXbhQpre5Ss
Kk/67ORxcMFzRb1pE9Uz4fTRK1y3l18ocNK/VGj+mVjEyN7h53CYA/jpXBULkZ4aNaSSjcgipSFd
+K0fvlFlZMILrcTZUl+p36BRYKr1YISR0Lo3WAfZQHWcDc83ikIy4WXepPCAcjSUnXWBa5hMcsrD
2VUb/B20tA7n+MXmHg/ammuRElly1jnvezct5xKSDhM+45C5EGRSAxH5wKugoygULmNxFYdNZNlZ
6b1L+lR5h1Om8bwtSndupziP6WeuZCZZ5cz3W6QRvYMT9ogSwEDDaePh+QYWy6hSfJpnkRWlSmbK
iFHNgHbJslfkZiJcvtNhO7tEUAfpx1kUdC9tw8Kn6Clq0siSdP0G0cZrTSrflJ4x98P8SinrM72J
DHgU/Dzrsnkg+YuMOmd5mvy8f88jnIOMNc6/4TAgTlqLDVRKnDlxCaOFE9Y5NGAUR2YZBP3hnIND
wsi7DkEsrsQVBJP6OFYUOj3OHKrEg7dMtaWjF1MtwCOKDshExDG0PqNsLkCR2zwjRYS+ZrVKejOO
Q+lcQiuaa4eOybh0aJUcxnA4YQdOhe7GGUfBYaJ2S6oyZYHl5ak8D7M4/4daN/3b/QQa0SdDBDUc
G0JTEYZnbDNKxJzGoyQI/j9nV9JcJ881/9BHFYOYtuIOnuLYiTNuqIwgIYEkQBL8+q/J6vH1Ld/y
u0gWSSUyGo6O+nT3OaZl57+3Ph73y2oNHTwvb4S20Q23TXRJJBqd2ReI3CDLoiEizsQLce1a8r6F
luMImurgaDB34iih4rnKRTYdOW/cvpZL/LhGMtpBp4AqdGDEwY0kq4K0EFWDZ+sxrXV+IQV5UZTD
tOMqC8G8BuKxgVvPJ2QJBG7sFsnVkAyW8qDO8fbuGzCByruC8Pu6ZuwQh837vJV3vHf3Uhcx5an/
/frCnJmhMgIdG+pjZJYvjDm46YlNNYRrQTZFN/NY6sOyzPZCNDw7ChwQUPLbcLXTwriyk5/TPuBH
osGNE0lmbuop/fX6p5wJfAB5//W+zJEqn1Z7xl4UiiwZP9arVTvftmtVjtBNzeV8YaQzRxSlHmzk
DPU4sD+3z/1PiE08KLkrX/gx82tXNQzxbcwbrB4y//XL2nSXHoMvMHtsF9xVYFQBtMfQp0WQsXed
sAxKuGJlzU2a+H6gsgnYRzc16VGVXuwCz8xuFEVJ/bK0t2YZeLVmTF7YueeWEkj9JjQGBw7P+uff
vmVKPqolP0ahNft1kEEVgOV5gcZ/bi3JRvQtUA5B6W67Xv8zw0XeNqIdQg5J7tAcZmn1rgTJZreQ
PrwQml5+ECSMqA38yyrxAD4JgOHSEpfXUh6hywquSe1/jo6EF56JZ5I6jIJ3AMj7KEeXxUkAXELN
+RQnkDJztX6xpsy+aZ4GVREF5lHJNnoXSVLgPjHxTd6H9S4qurcWDpFW4WcAiAXa/pbZnbwi8R4S
8cJThMBsbQ4+tiv1Kh3pRPJLufO5Sc2BmJGt0olTefK5s+vmcCwhz4911u6Hpe52SDPf/vJAW0Kk
OgVU+ATX/sk5LFWS9ro04th2dXKVSmfvBeRYb96LCFgotgJaAocAb6jne7GNF9Z2i8PSMY5KGS+6
o2JZW0Ex/laNzLZC/x3q5HCRpsPqrRhKqOEptJAX1LUMLmRtL88WBsGrZmujuYn2Tr6nb9Z5yI0V
R9uEI0RMuj7UoDjS2S/ThaFeBkoMBVoJMoutx9cp0WMFq2QJM4EFMqq/GdUUQ/M5yLASs1EtFb2/
VHt7mWhgRKwS0AXk96gxPF8sXhtWGo4RUz0m73Kg/1W6uHxniiGuNquSg+XJ24ETDAowcNPmwLQr
PFm2ruOIK2Urjpll7sYOCaM5RAS4FJZLhZszBwsiCGx4JFFQiJ0KHAvv7Nr3ZXdcmHTvhIyzH53O
g7dDglB0bMUwHN5ye9s/n8Z8lEMYmgTDpLG7j8dh/Db1jbwQFc8sFk4UbjUku2BUk5MojywXPaxB
QTryQTRVq3R0rVkY+QrS3+idsyzbWZMXF1hlZ0dNcbmAmpoDKT5ZLSj35mzRS3dsoKA6aJLoKpo8
v8/qLjwMDeGfs7VMj68nJ+fWDd+IQhCUUrjPTg4dqqjxhpJ0x0lF9oqVU011zi45ab1EgrBsYDBs
+Q/eJ6ejLFObEQ/7tmM6Ffw6Q0KUUz/JX3Am6Q4lG7Oj4CUI8otsi5tkqskF2ODsV/5n/JOpxVKS
aBym7uhW3dx5VQtJh9QOFyLymRUEby4HnwuJCCrEJ4d87OOlbnXNj2tPpnubLmHlSaMrb+d4Z0di
rgMpm8+vr+CZlB3VROR7gCcAcr0gebFxkVxpDdOF1DK9x0VT3jNlcjzNxuSvKwrzy5owv0WRztI4
5P6qDYL4mEGJ9y6UXX1hR50J46hIRbA1BLUPe/lkR0nEztgHih8hv3YVdIFi3y9RuNNt0l44p2eW
FeZ5mwUHNi/QsO3v/5ONyaJeYuHxSEBWMVHe6m7f8/lSme3cB4GfAbAErEAw3E5iDmGhCWuoA491
10J1vK7q0Ie8eJek7lJZ6uwHbYVbNGvZnFNOoL18COtIpxiq1eX3Jiv6m5C1l6RB53YpCBIo3mxC
RKATz2dt9i1kEkXMj0lRMzCbtd+rfmnuSLsEVdtk2TWoiZdeCue+DJd7jKQIIMULcjCv5TCXmDYI
0mtHUWV0H7wd9KfXz8KZex21KVyyG70f3MoTjAJGXzWJJR5Aecrc+65pzEPPa3hwzH05VVOdpBdO
/LnPAnsTNg3I91C2PB1w0WqyjcFDPhqKYxqQ8RAs4SULvXNZOl42CQFPdEMhT5k7IgilJZ3lx1JY
dxO2zl87GbG7RM3dQ9NAVoxERlyD9Mx+jOMK/KeV61C9PrlnzgGmFmZgYODjWX5q7gI52dwXa4M4
U6zkcxlwRnUIcwVT20uM/zPTisOWonqAj0ar6JNpnd3sfCEXduyHsP9RMoLdOZb97vUPOjcKsjFU
chKwofLTZILHjvXD0sHQJIi+awkCYaKhpn99kHOzhvIbdKjY++WLKgRgTry7+5YdfdcEFWAmW/VR
tlAZJ9OF7zk71KbOzzeieHYKjsvV9ZlReXuM2uCbbny9Yy5+CAJe/w87AR47G/0dNbL8tOyH20/Z
JYd5ypBnTTUsY7hPPGtpVL9ZuoCXB9Ql/6AgPFIBbz4PVgSuIBD/x/BpIRp4lAHVkgRNsX99kc7k
J1u0hQIVRWCUi04SPm5SK+O+YEcUpWBtAIJ/zQ6wcsvGPaQHfu+WLF+qGmyMlToBHQL4HEF6Qeby
Injh7ZOj1r3d4wjNp154G9VxakacL/gwDu+Z5WNlQTKlEX7snZR9/VbYeBsP3gAb1Ifn1un2L6fI
wBa250eb5/JQhm6mBZmaC/v/xSFDAgkWJchceIbgZbdt2v/c0SSD/Sse3OwYle6XDma7CyNTX8jv
/tW8ngH+2yjQEgCGytGm9NScGOA0IE2m2TEAlqDogk6iRx7Al020Y/KhYGV3nzle72JigmPOo5lR
aWL5Lo/hh9eMYyerMrLzYR2bkQoNe1KTOL/3IBUeRBoEO8PatGr1vAZVnujlIVhY9vn1Tfji+G7f
gEcNbq7NS+E0yEtYIJp4wkyRdhrHndZgT9OhyASjHnnzhWARb3v6+ZQlMd5S2PQbVgEK18nCMNLx
JnBwD4lj+BA0i+b7ogZkdxMCO6lvxtwNhArjQYGvvf5t1qW5Lwc3wF1lGQJa1FFxA2Fx/7vNkuA4
LLGXdGzS4R3rc3vfdqTZq3zWt8g1UAfFyaUWTshVn6zkepp4cextaK6kI8m1roMfYP9e0ny/3Hv4
xI1QjOwYAv1TRIFFYR+hTA/DoUGk90s3ctoRxS6co388q9OZBH8X9Fo824BfbQnXf7Z4xpMmEnA6
PtYxK+m8xodQxR9aPYGgXX4e5/iW5PUDLOMEJZIc8Cq+LomwtO5N1fbLg+/tU22BtLvQhdQ4c9Bi
TugCS5kh8Regj5dzAuscIEbojb0B/KeCKYiTy4Cg8nUgvV0s7QciNYUiILiwv15GM4yDPAw0fYz0
otzXdLB1gNS9OMh6TT6ynPc/B8DQEoVjIT+s4AReGPDch23yAzxiQU0Cbvp8Fbox92bG1XCoSxtc
lxzvrsS34q0JHzghG0gFssu/isHJfZSWrLBA/CDdUMZdk3liu80N7n/5FhAXkKDjBQUu3PNvyZJh
WpXEt/Bpad81oXZUyY5deD69DDh41UDuBJQD2daL0JyOkyAMjPpDg/m0OxWLsKPt6JKOTr25RJQ4
NxoMYiCtAWUIC3Vyx7ZFPNjOQS8xaaV3mW6pLYY/PbgZFybvzM7bcscUEoJ4q4qeDDQlzTS0Y5FB
x9Yst04L4ApJjpeOTd0nvWSXosz58VCk2qh3SB5O3oeMpBNkc5BHyFVM390M/8lMwhZpgh/l3g1R
+vn1e2Jb/OfhZnuIbl3v4aO2oQ3PN8fa9VMEp6vsUMRTfFu3Kd8DofKH10c5u1ybhzYKJ//sTp+P
AnF5CUOv7asSEGda0DGuxmTxNF2yS/L8cxOImw9hGiSvM2WrpYAZX7JC+AFA+2ZddfLeetB017vU
cHVh07+cvc1QDz5sqCtvtpgnT4uJpcOQ1Cw5mHjJaGsMFsoFyf6ts5fiboVo55+0F6ny89kbeLp6
DBMfCl3+XLMuqoArlAcTzuICanjuezY3MuTiuMahSH4+0qStQPyJ44MpAwF6fjrvZCPqN4c9fA94
n6jIYpmQiD8fZUma0DVNEqMIyzll3Rx9CsZofnrzrAGNR6kLbD8kJeHJzi5hytgOtYsPaoEhIDxS
2IGrNPw4xml9Yagz0wZWQbzNWgl/1FMW3ErgETwUPkaWr69HS9LbWeaXXPjODoLFASkD1ta4CZ/P
mtd1COdeDJKJfkFtIS9umAsu1bReAoBb3oG0NwLwiNLWKUDVWwHXUymjw1r05sm0ExgZuFqm9jEg
eEY8RLUb4cEaqg7qrbpXIVUQGzfXphGCAZd07YCKbGovBcaXnw9a7T9mHBocIPKfbM2wkZNjUHQc
SJN1fwT4hqh+h/pCnfRl9ABIHwI3xwDFZsX7fJJLuchRpH2ISUY1rygWWLw34s62WlWpFObCyT47
HESOqMtCQ5WfGlqHPIa+RjbhAQdmve4ViQ8sg1tRY2VLfSgvOZW+mMRt5pBuIJNC2Acn9fnn2ZoR
Q3qSHojNSgo2e78PV/Jmcg9GgU8E9C+QvOHmPAEeVbjCkm0u0sO4sN/ETnllxoVATz/9CoJUXnjp
nvsmQCJ4eGSgJuMIPv8mrxgftQnTg1dEVDBnV/umTMSFSP9ipfBN0PLCFgCsYdzMJxtDQ7/HVEDI
oWyz5uhLYP7Eru56VDkYk6S9ZEz575H57GLe5KhIAjbXwo26cjKJbEaRaIaD6IHrGnVLtdqpRluN
UZhq1QQqFkKUagGEx7A9H1cRp1Sbxn1Gj4qU79qgIJ+sVPknAcZPRIvWTdFeDFGQ4PLQw0RnN4GT
LJxaLpXV/mG+L390+Cggdwb8cKrFj8bMyKWvySFNOFjwq54jTZ2R6G0hnIO/E5zj/6CAErQ3iBaa
UDh/RDe6GLuVSuEbwCKERX43uQF2U3YKS3u06dj/HVzepbT0ORT+plb2Fjeg7qhbos5+9CYOP+Uj
3EP3Ntpem30a2f4CNrBtptNPwzMQNHUkS2hDcrIqM8ei8UiTA8Kd/9KDUrFf+iDbJQoCQZgkFXfe
+eTCoC9jMvYCXFfw5gRXDj7fJ8d29sUa5g1ee83aivthseVtCXeP20IU9qrVaE1Bu2xwu7RRQY/1
zYoDYNXhngy8/mmTbL7wSD1z5AATgW0GuTS4WqcwTBNaZQmHPL/sW3K/wHOJhmIZ35om4KthEQqJ
MsgkUPCepAkAHyd0lZlghzGR5Y44lQETzOO3hw+kIPD3jkC5Bh3xJE0wSczg9tGRw4IGH1Vq4Xk9
E5yg15ORM+EDxLAtIm6tSlDUfh6kOOCjkPkiOfhxbIoKPmoBSLNB+HHyS3LnuoJ8eH3AM0uEtYF2
Kt/IWziHzwf0Xb5EIkFmGqAgS8G0wKmYSnNh8s4cB1DGwRXd2P8oU56M4noyh3oO4wPZXLzLCOPs
YawW7WqHTIUyhHsKGsn0+fWP22br5BTC7QB7I9y0xxj9+cdliyDw1lyQCkW+ofPixRN3Pt9HaikA
Ddbzfijq8LEulr+vD7x9z8uBt6ITJB3oGXUysI5yeJQnFvlxPI/7ycr5voMP/fUyZ9HV60O9RCFR
QgfSsdEfoCN9gah2ZmYKvZSiQ89CBDPTKlHBaG3EV3sVdLsa0OWvlvB0Bxp2sUexf95nPOekIusw
7eEcZ27AgVl3E6Ix2Oba3IimRZ+XfIKrb4DCYzkP7FbjaNB2iWU1s0iNF8D9M9sQtWuQ2xAtQII4
ZYiX8OAKsTTRoUxNdhX4jlc1ak8XTtfZUeAYEsO9eDP0OInKoyQhgKgpOgSZeW/GOn+Yah5d2HRn
jjDEcAA2oHgHlfiUWDaMwIR9OEcHFqwItcz+LJWMYSpmr5cRAMTry3/2k5DowqEHjhBIO55v8Z4l
7VyPKjpMaHpCwynJr7sVzaheH+WfwO5kQ0P0sT2SEABxhE+iX48+QEZ4FR7CPu3TCmJz8w1NxICs
AlAqfgadbD8PbcxZ5RO4tQGS9W48CAuslzZ8DiF1LKLxr058raiBu+efJB/XH642tqO+6BjZQ+Jg
WBUYkorKgDrNjnDQw40lyLwq+GqX2Y9UqrLckWSBexl+g455SCLL8LKok54yTvrv0tXF7xLF0T8R
HvZPlhTuk58CRsB8Ssg3dGjoPIVgPv1CmhGSAMhapoiGzkUgrMYFWICCNKGvJBxtPxSdDYsK7UtQ
YYJec/gomOu+NUb7pkqIjG1lw2E1VaQK328iGDFR/OBLuv+/Ysjzthj76GBrwTOaNeD90nAo+p8X
luZFqAEdFrEVuB0C3QtHkLIQagV/LDxEeDrsYy8U9QFTu3H0l7yaXjLIscvgHwEtDBg1SHBP8osw
nU03rno9IBmzfeUCgrpwCE8CGknJzLU33AZVl7R83tXJTI54WoBVJ7gSAl4pTt7OrK/nakF6Zw6k
64dfb54MPMdwgQJpAWJ6uk2914oPUCRBQq3jqoTWcYdSbERjpS+VMl4ePHgcbW0/wFbavI+3v/8P
/m6HXhtJ2HoQHv6Wqyj5jYLr5ZsvToyy4RK4xoD+nj785nAKpmJIF9hr1nhOR7pWj9FKFmi7SRM8
wKQLTXeaJYFp1eszeebzNhhp62qCp0V5mhekUyramvjlsLhyvemG+m+ZuvDC1xX/UILncQXpDrwX
UCiBDAlVqOezqNZ+Mj4qx0M9uK680uW0BHtJorXbJ/Xiv5NUQ9IfDk0y0Gwqs8+WFTzEPLgMrV70
WNe7dvAi2tlU8pjCVjcglE2JZjSKXNTufanSeI+b35N9m3r95Mt1aCtXM89hGwCTiys0CgQUp2Xp
9aERIxTmKQyH9z3k9snV6lrVVX4EikwR8oWhgLV5U7EaeN69khIdT5ZV5LySadx81YstgkoVti12
Za+KO3D5GnKVNRqU3NwMJVWdi5/CedYNtU4GSEFq3ti9xVuo29eNZI8Z1PwSZaummKp/Du67eg6b
kCYxEkMKNxXzR5moFrskWjJFuzqWX3VmxBP49+LRFk32W9dz8BHMPkDrOlDRx1xH0Zc5mQuIrFSf
yApdu3RP9TikGcjVsXtHRBSDdZ368n0/m6GmZZfztFqWIfeHsdUC1sF5sA53Eq5AqE2vAwQqlgVz
g8plgWemVkXJ7vGqlCHsxXL7Ebs2jij87cNP2haCVZ1KbAcLkVVKurJU1pQlsC056ky1ErKsuOY7
1FSjD8QZluydiEd1JVszf07SNvmBgvIEs5PNgoGZzN5nQdAKWjQwA/9UMzXesnaN170mpWs3pdeQ
HCd8bF8VYZfteOFlQUnakL+lqbOUhmDKgQZI2iZBS7Alem8dYiztmAs/o+cKMQckIU25x04xj2II
7ADv/Ai9kqI1noD2ZG050RyOhlejRhWXwrsxqBHm1+VbN3Yak1YEOKbtHCxonaVGvMJsqXCEGUNJ
Tgxpqyo0zB0A1DbrT9vopcXDvECa5tZuvAPasyYHNdrkydpSzEi9wnbCUW9cWWWxj7N9lM3t3z4Z
yF2cOvaAqisMGQJRsAeBBPRD0WiBTLDMe7ubdIEKRMgj9cusDl2K5lw4fFAw1kOFJNbBOHxO7M3Q
dunPDoQKlAUBZOJ7ZLmSfcOb5a8yXfoxdjbLYZwe46W+TNnidi5Hbl+hLyoQVDS4aRGZhmJer8BQ
GmVVT034YLMAcvMMZIcqli3AF+/a2lNZFB6kIc7U33hI6+9pVupvfQGlIB1dkTyOm8V0FZd4N8JU
IzLvxux9bps7zVT95JQO/hbCj12l7Tz2FTxV8z+OePMN/V/j6GhKQZZDbBMpb0VGpok6xs0vCI3S
Hs3o2qI9xHPbMWoKy+97kJN5lZOl+KG0tn8Y4KJHzE4Nyw5sHV+FcDb9M5TtnFeoOwY9dehd+QPW
8vPTsrhQHQdYIeNP89JOu0RGyVDN8Giu6YrefE/AQpmoQpQGI9pDIP9zLAHc7Bf0okx381JjX3Qi
rb/inzFQ4maX0a5xvK1YqvM9OJMZUvE0yD9McCyer1PeFTSJxulBJAoeXGgHmmMzju3mzc5KrMHY
562iCZi8t6WLa31dw/PbHnCQyvdZQwp0AvMLaAUkGkxDxyxGPZbB3y6nwPncE1Kg1VAsoePIm6Lk
thiy5UMieVg5GGADeAkXcqPXMsKmjdrC3YyxU1Co4tUzVbBNbSTFBzo0hMuz8TZIM/ZYZ5Pvd10v
UvRLsSH5WLe1fMxaPWZYwiHqsBGn6CpFBeNhKDOIeHJUfZBWwf1H70eCVgJBOfXgDs7sboVf2ZMm
cbQeslyl+qZHSzldjczCRHcZy7WsmO3au607C/YGcZk/DErm9rD6aeiPduaqBzLXF/1VB0dIMG6Y
BF3WD+NXgZLEWIFIGh+LuiGIswpNrys5uvSumA2k1SLW0X0IglhWOcnnd5EeYdsl0dzwiHaVCJ59
myzsBn2Pmwl9RFoXHdPMIlRq+LQ8mY6LX20cuOaYssI3h8nynh2FW0O8f5DPJkeWuhK5qWoRkXjD
1HcM4IHBtshHICMto49ocNFZigWyv3WqzXfiEmOpJ8HSVa3Ixdckm7LgaGaLfmdosRq3NMVKdlgc
puLKl9KnNJnrYqBAt6evsmAhbAd4CJOaPifrV7SiRiOzVU7xYxF34jqZwZegzOnB0ySBmn7P84aN
VzXicLiLmzkPYJw25B8b+HuDquSz4BucDKS6znMVhBRvmC0J5L34I9hsCLJ+1nwDYcDcDnBorUFV
iwxwWZUjB19WtTzU5RpYdHzpJcK3qVNPc84hg+YB6bHUsOy+Fr5O6YCXwHHWeVitzXQHOfj4YF2Q
hocVCRynMXp6jYdUKYspgHsDWns1Wy9K1NTnB8J8wynIcs23MQ3kXKXGQj+AGhu/CedU/R6AqcW4
Tqa2Q1RyAkHTdIHaCd5zjeY/i45oo7KB7ZYlD+5mCRdPYClp+y0hU/ZuXbRjR0TLxO9UEOMqayOO
ibJEZtVkdNRd15r7h3Tm4zc51GKokiFnCwJq2sG5yEWq3q2guXR0cC61OxwaUe4baacfK+opR5hG
LwXgUdZdaYP7Y8dzNTY/urTL1j3rXBNdt33Qfs9DS9QuadOY76aoQYcxL6Pj5NlwGJmCERJJOh1V
/aLkHeaS4w3GhnGo2Bo0qophSXe/CqhHf6Kv6KCquZuyJ2XS5E9bZhCsZqNw4V5MBRzfe3zsTHmE
m5qGhUGImIZsfN8Zo/9MGrfdEZ6BILwlY73gYYfQO/5p3FzgagoBMvd1uHyJEi//2DUCiafTZiFP
nQ3cr8n8bsUh4nL9jYbLxTcv1h65nAKc7esJ5JYYLAx4Tdo80zusW4p6rgmWR5gPT7+mWdgvA9oq
C6ohwf3MfG5/41GCxE5lkXJ0iUckdgRmgOLjlpk8tvMStEcrWjg9luilZSkEEZCzmHSaXQVDC99W
q1+hgwpLZp+MifMvqkinr13Bxvkecv3+F4S8XVYVY5QbKuvA3Od+ZH/TqY+/xglRpmpIXf9FcMP9
PMYEkAu6pcqG4v/pP8ykjz51ocw/Wr2E4BHJoJ0rUBmE3nmEumCH0yjKayRQmd93Q+SvsxXbCSTk
bfd0UFnAOaSFALRopvwRDbI6QX2rWogh4TX2GA4iaXYumPpvqu7SPx3MsZA+c1t+CtK4TaDIT+Wf
sS6D971Z+ndA6f2e2ahb9n1k5NaagM0/pBz0r0VPULTJulbrk4OgL7rJvVNfONLqqyEZ+TdfJuQu
b7ooR3NC2HdRWwO1x8d0C4S+/dB9wsx19sbC7uRzOwRMQBgyBOp+1SYKdjYEQLnLEfwVBW6F24l3
LM2PKoqAW8IsoUl3oplihrfKKPn70GXL8GlkiB7VaBKy7jofgjKKkDA9wjPcqKov82WiEnv2vjcm
fFxEkKGLROgQ55CH9QtVQEIljVo0RaXFzMuFdiXsDCnKi2lzFZdo4YbWbt4wilK1mvfdVDSfQRQs
fw+onoF9mPt2pRM4hB87naHjzZSFwXeJbiMrsmnRfnAxrlTKGOAob0i90rhFLYH6oRkGGtRYV5zL
vulv0inyLdpB2OReAgyMj2M2s79+6uef8RB39a7kXubQ4/nt+cGTaKrQDELNlYGHZnDj0GuKwWmh
aJ94DldlBMIl8J/RsnexV2WxTste4iGI1odhplFqR1NR3DllHKRAMLNZHbJ6Zf2Vhi7iLjbTtOy6
hAMuxrO3O9QsHkYY8yXp362tMhJT1xfp9TAP/jcIq7m6kSRpDB2DvAY+Ezey6iDX+JokA45UN+W4
UQYz+/F9jCa98qoxsygr41LW7SK/+s99Ms0/alA5m6qbbTtWsZvUD1Yy01Rgeua/er6iz+nc92tG
C4H1qxj6VqeUBJP5MoUo+4FyJosfYphhXwhzN4BOUqbNHRzWdbAPpyzi+2RULZq44ZpOqAe9vtmJ
jIfNLlgbi+lZ2eZ32HSrPNpYQvmBJlqcoQcJ/DmOWS7gMeGyGahrw4fE3cMMoncPdsyzT0EOP5gq
XuRqdoq4+Ae4NC55yhUe8JhuH1zpeJmeAOM1pApZIj4WgcPdCyApQ8GkLoBwwVIWPoHgby6g5wIz
q9LG6vBKjyKJvwm0Dpnvg3FURQWLov5duzR6uC67pb2XyC0yOnc96SlerNM3WO5MDyZCv3Dq1yHl
VRkgga0QCaAOXNN4rqs+m2BsImJU0mmhF45Un4vuI9yWREJn25fokznOo6MZ/Jf7Shbl6I4TdkVx
ZCVaUVRF09r2Nu6TcrlFNoW+CrmKimuhFYxx+x5Wq5Xgufkoom7+23eIoDvXLfqDgwHMo5w7PBR4
g5fkLa9HgVgDEQe6dqlhau8CFRiPQqBRFi0jZWcwYx4H07duMBTOO+QHlOBju+uyVD14j44jVwHS
hmPXoRK9H2xYf186LMjOIB3sqmLS4aOaNRLNxIUD39vZBmabmnx+BFY9lLupm6eRFmupE8r7BBM3
JXGjkIOGw4ycx2O/pe0KHgC4hml02zHEp5vWmmlAxtKoL3kQTuy6g07qWxHCZGC3ro1Zd7Ls0ahb
uAX2ksi4puM0AymFn3CNfpvTkvs/EvXem9GmeOfaFW20KKR4MN4JlZY1olohLYWyvXk3Qof7ULQq
e4yDAiE+0o0M90uh65jaDBk3IFfe5YBUWFtirLlTVdkWpaLx6sJfhTWwVouVn35rDtbKFQR59WHw
a1nvsn7sf81jYsLd/yWtHRQ6irlDt72dhy5GsqkDH15qI7GB1s9RIZS/QMoCMQvQEPhmz1EhYFpE
jjF3sGkRAGQtbp6M//K1xcs/+Aa1Dbitlwi1L0s2Oegpm1II5LbN/u35mGIO5TKF6QSKKu+qSPJg
l4OdU+Vl+WZZEnA8OIwgIKJOAOb9yefF65iudTotB4JmEpQhczquqF2/GcHbRgHNHeR0gi5wJwCl
4LJ3M9GADlWw7nGdr3SNhjcb7Gzfgl9b8+PNR+ikstfI3OXR1C+HIPQZTfGwPrAJPdjWMbjkf3tm
haA03DR+kCWhrHwybRn6h9siFoAkGzATcHEgFciGYgT7Mb3kV/YS/kRROQE/dStbQ652gnTPoFC5
iKvlwAaLHG0m5fvWteL3W0FWuCbCNbWASOGfndfzPRcxuwzJ0vuDseQd7Gkz5JkjqgZv3wk5zhMJ
NyXX5sH8fBi+zIFVUegOIaTZINJDQdiHy6UmRC/rXuhNjR6aIIdiS7+wkkISMbYNvP8PJSw730ne
ygcjS3ET1Wly0EORXPDeOMN22IQz4JVvvhiQDJ8Q3VamkzVNG3dwBE0dU9w40lika4n/HMDXhha9
JpWGbzdNVzxLJX/kGd6H5q0NL+GwBEozGMYJKpgFUPrn02smixS1iSdEK+6unEJ3rh72s29eRIwC
JyRQ/sEvgl77+ShdDH1akzjEpzyDPYHJR+S76BX0+o58ccZQ2UHhEpKWENp9MNyejwKwV7ChsbCW
r519xwXatyAap9tDUVSvD/XiiBVbIRbcMaj3Y+hcT4aa/KSa/2fvPHIjydI8f5VC7i3btAC6amHK
FTWDDEZsDIwI0rTWdps5wFxgtnWx+Rkzq4t0EvRO9GqAARIJBEj6c3v2xCf+Yhmy3K87o3WaqIiv
2ike/9hi//HGoaz9x3/y759lNTdY7nZH//zHefwTM7vyufvP9c/+69fe/tE/Lqun4rZrnp6688fq
+Dff/CGf/+f47mP3+OYfHpa73XzdPzXzzRPkqe5lkPCpXH/zv/vDvz29fMqXuXr6+28/oYl266eF
cVn89uePdr/+/hug1VcTvn7+nz+8eMz5u12bPbZ/u//n/27Cp+Kp/ZvdxN0//1cR/3xs333K02Pb
/f03QVd/XwlNEKa4m7gNV0Xq8elfP4IVQHse3VqoM/TMfvtbUZKn//03yfyddY9eioLUxNqB5kdt
2f/5o7Wzw64wUfFSyfp++9d8XP1x3//xqpifP//9t6LPr8q46Nq//3Z8wCA/yHGssigxlcWT6Wi/
zwuWolOLUjKc9spRxwmV51YnMtr02V8FcKxjAW1efUVAar1zlxVbUpsBgxG3K7Se+lCYeHotVp4V
tSfgAu/wGy9DveBiYBCzt4+Oj2kpLIh/PBatJnhK1mEw74t8Gl0JK2c/b8gup2HY6WkgAJepHggM
3SUQr6I4LL/nyvMQ3giSmniUr0Q3mG2qKkA2lVR2BhUZ6egUROkYy7N+X+5ffF6h2piAht4eEYkJ
QI+6lEXdmlrI0taio4xlZRvjYtgVeZcrAMrxXq3dD979i03765AQYCOLEq7dqp+MVMXRywczjM/R
nFtuhT0onb/yOqyH50y2smt9as5HJCLtXBjL8ygWJkAIkof6lXU+qBQpyCpcGsNuHJvXkdoR9INH
UFo6OmF9Xg33k5COfixJs0OfV6P4aMS2llNjNEPr+6zpdpZW5e3Y6NfT0E5epwrwpKJFdXrdjDzN
AKmgiQgZ5ga8ySpA9rOxWgDxldeWVfa1bQRIQUN8AoP/7v5jSjhAVxYlwRCKIUcLpxkndOTSzsJk
vZ/cxsg1R5nTX0WGQH4Mg9bFq+Qh78gkpTY4EwO05djQdlWF+ubzt/NuZ67fBOgxtFRK7mAE3i4J
C3E+qtGkSpZQpXao1KE7KI3lKP19M8J1/Hy0d0KLLw/+7+FeiOuvWu9zmRpqPlSWS9mtXLuorTtX
04yPnpmDIk2Aq2ai5cWyiz2MatMn6ZxZbZxRq7/SvzoFbju+yNavw7ok5Fm1j9F8ffv0VJCpbwyY
add1kNk4qQ0eFeFTqnEvUodHO4BreUVRrgL770SzcrWaMyJGy82EjK5LaxEyyu1eM5fNTGN4X0WK
YAeStp+NanYXWzcAcbUk7U5UGu1Gn/KbSlkz62zYFoXxi7S8tQfrvMcZ8Jw0MHQEpfcDzA88UIAb
QRVgqsytYFsDurnx4NSRdddo0iWFCvVQ4cvgLm1a2XUYJbYVg+irqJDMet5dSLOLAWC/Iw3NqViX
jZsLxkYWsQNssaWnOdA2jpEFj4KY/EqL8RtqAvWZCVZasMLFNScRo2yL4ySN74Z4DeV0yux62S4O
g0VeWpgtlY6iPHHKfLiyVrcLUHRgXFjMb19lhEXjqKcZOXJG3WGeUHcFZawUWrntNOELVY3yIImR
7uszeqUGjnZE8C6dpj0c2h+fL/PjJHhdVpx1L1AyCNMv2//VKjesqu/MALNBo2HKlJaeYC6Woi3+
tKhYt2MLpKwTT+ytDwcFjo1JJf1i4rK3EyAuI/bcOCi4RXg1dJ2FBhuwJbWpz5e4MWwzpeoXJt8+
f9IPTzJMg1c9oFU26pgyW4wQHwZKD26r9bsWXWXPnKd0M1DKKAfBcoS2/26Ui2APpfEdl9v4kA/a
1mzRFz/xTdbnO95kkLQIgrBt5n9HJxk6jEtZ9aHlhs2oogxEsy8QlYg25pg7Yk3PfgHw7aBzgGhj
k0xu3XamJxvCBZW9aW/qrkDd055AQm0//2rvIHjremBZrpQeGjtwb96+mjQGSaKhS+Na+TfFqLPL
bIZd3NnaqPvwOCT2ztqGhtisKDBrgvmcOk9iD1rce0mudW4acj1JVOBmuUFstLK+tbmiOVkb5U6i
3MRyQ9ezTSxYCzABBJSgHaPQHcXs7WBIzmtzNHFvF75NMWYUVkPynT7qACrx9mJ1TNlZOiZbaxVP
w4G4wGQ6TuxOqCt71KNHOAyiHS2z35bSQh/gsjaKyUGZCHBESIcYeLALHCZxkAl2Qmx0XGSpDDem
NedINUrhqXoCNv7RpWWQeKwyZdDmjqHWGlSdAr940x0Ta3CVXnAA3HhyF9/Fsvwngef/pyG/vdx3
//GvsP5dGrJ/zB/JOV6nHC9/8WfKYWi/W5DIRER6IJOtorv/lXIY5u/wuGgLr5wdTofXCQea1Stj
ZC1uyfIqz/GvhEP/nfQYUVWU7IEpkrH8lYTj7cVOrAlTCFEpGbU+NMpAJr/dcZlOy1trxYDeiOjL
0ggm5pT139tF+H6IowunysIpXsw58IBI7pccqp52FeUXg9S6J46PNwfbHwOt4uWrJAwFtGOl0rYd
cnNIeZaFYwpDJ7dLLCes9RNE/7fn5/thjqoUmsg1CXov8Lp+IxB2tYPpGNH9589ydE2/jELeAbCf
ywL0+rFU3tQmRtSAM/CFQ7FrftVO5BYH+vp+dRE61cY4MXcvlaR/3wp/jLeKpAB9RuLpDxTjq6tY
V8DwSpUV+YM/3hu9PXuSm7i0CfGK2ahXqr04w71MMd5J3cwpPTE8UZZ5AY0ffYNVOpL8G14PokzK
26UoyMiKZCZy3skOeJFf+bhRbJsfSGL7+j24QddyUO/bGY/QtvalO2/rbbLpNoIrnyA+fvCC33yR
o2CX9p1pTGYdwUR8pi1cJ/c9MeWJ9/vBxnszyPolXs13PoDrmhWeVt2E23Sfn9d4RniLI7pYNV2b
Hj21U8nUqedaN+qrIYXBHItEZEj9fPRUZ5zs8aLc6DvSB6e70Q/jbeSdWldHcc/LuqKqghgCkHrc
MY7RvTS3lEStOibTBrzigiawgx0thw1Wi5voRL30qNDwMtqqgoiX1BrhcqQdPaKggb4389hvvfRC
dtqLzEWv5qq/TlzhJnWUTXoluqlbbNLL/ou5jf1TCk4fvFao7xzPq0Qt0rFHr9Uy+qLUStTiDe3n
LN+mpwS8PniHqGrBf6N+BXH1XcQcmXM/gb3w9eHOMvfl/DCHp7oqH47BfbQq64P8Pm4TzcvY0Vex
YkgxXQ7eikZ+Jc8AIdoTJ+n7yaIDYaDNpHH3SbQh3r4tCzfR0EybxNfixFUMerYceSeOlQ/GoIpD
iU7jZbw3pKpQgTaVSU7ABapnSS0CUNCgqZ7Yzesd9vbswp0bTQeED/hAYKNvn6TMMi0J5SDzjUvZ
iZzMjfzmoNqir3jV3Snlsw8fCXgWyiKU4hFFeTtYEAb10mPR4RvCY9mLdl+d6t69v7K5CtYECWk1
juTjVTwppTYhDZD49fQdRpUtdLum7WhH6Scm7sOBcI2gvUDiT73j7aNMqRwvBQJSfgE2SC8FW8qe
k/LWTL+ceEHrBx2/INjKRDkKoRZiom8HojxiRkrDQBIwl43qZS4ej6PT2RQAbvDA3uTdiUc7YpKs
Z9FqKouMOxJgCDwchyNWDKZzyfXEH53J5SxyYi/YDbZqWxvFaRyM2E4d8B8tjNcjHp1+mjwbRUMb
2Z/38r6K7eQb0EoXBKxNkVR0i/1/43xf9+jxxL4e82gPq4uiUycxEj8TlQQ9mPl+TqszY+zsyJwA
Bi2qZqMbc5gN3TeawafWmLvKTNcZ7KFTxaoI0C64zkJpk6XqzVIgo4x0jXziZjgxNcfkO5wh637A
K8C3yHRb6bY0T5xlL2yRdxMhrwqO1CohER2d/AaHQ2QVTETnmkCaZltyhR/pPnINrzxrz+oveGpV
m+QvlSX/XGTsUYpl9D0h471d15PVLc2wsFO1sfEA03IYmA4MEdcUTnXnPrhcWdD4lND8JC8x6HS8
iR9AQZZc5ELC5SrvkZ666Pzgu/EQOZAm/eCM6mS4AXa1L6nme6GTeIVz6np96RS8m+VX3+HdQasC
Do153mQXbnlKh9neyE5S2QXhKqAopz0bz6z7FY27Tfx1u/G9jH3oFNfClXSSjv7RufJ6To7OlRD3
nQQ+Hm/9wbwOt+1G8LIDlpsEqiUBzik9xQ+X8avHX3/+KoSrMKLpQkoIPog5R5pi0rWT9aF1Cj+b
4qOFPGt1Fi/zyxSb+8IPduFOcgJbttfA33ROHMynRjsKSuUQ3LBaFimn5BqU0u9KHcupXW2vb9NL
hPo+H+99bPN2DR/dnXGVj4lsxSm0k33V3rbWpZGcSB+sFzXcz2bw6ByWBF6TmiiJX4pSdRnkUXtn
VotlZ0g0QHoANaL2ccdV1F+DEm09C+a7Y1bFwZgjcM/VpdnND0HfKTScCtfIBcCDUg59C4gYgizW
+hk5XmTJdpCjX1bSpBdhgAg3GMvkgKzFeQe4zhZQ6LuOaytzDGG8K3r1a58XV6Gckj8ZmldV4+Sn
cWCC7+131mTtIHXODmEn6HNLRLYxszi5Bx3Ilxk4YgevV7KUhzDU79HDvkLqEbRNpBU2nUOgdI1w
r2TlFfRcaE3VTQLPZy9m2vfEoLS79J1HPfmylRqS5VQbNwswTE+1kNCH1WuvSKlrFPM2QyR7KRf1
VmnAiSfNBHW2rM66Cca3rtF0KeXItUL5ohhyH/9yogV5dOqugJ0FbtGFGtXbSAH8AKx4m0ToKrXI
VloJCoVDpT4kyRBtQSy6HZKTfjYKxaEL+xuQBvdtsTzDxHuCl2usqooOoiPECE2+HfXmvDeQEwl7
k5+Mz8uKMR7RwsnV5SDglbZfiqT02sH4LmTVaoJloVQ+X5jBeNWN7NRa7w/qUF0JUifAD4B/oCVR
50WqDsw8R127XHUrJqEFK2dKgZ3linCJAda+seLMxg90Fy7IQ0VJEbqqjtqPAax4NrOzeemfTPhd
dqHE4WXc5a4stHvA+0xUZAW+SlvEqXrloUa22p91JTwMkbQpLcqny6x7uWw6kQSKtyXPzYfGFfL5
Qp1WXXxD/w6HrDuH3HYo4+hH2/zhSHqbL53mmyo4SXFY8h0avecDIbYzDOalJQOLoUm4zctoZwFx
XTHKzmjJ0TaFm5OEcMkgg0Jhq9jneZgGjqkvPhSWnSQArSy6DWZmD2JZPYtyDymxC7bTaOHuFcPx
iILqJoOadCi18LaNkpnCMNYS6EEqaC8BM7pS5emnjrmAPeXp5Iy6nIAZENKtnjQ1Zj1kg0gKwe/B
gFgXfkEwAYtf5pErRstVbTTfIjGrHUTc75CucEfN6OwGPyknmwxxx+tRbXonAA1oyfU5Hl39NMh2
Hcz7vBXEm75sFBicAexOc1KfJhC3bhUUsQOzVkE4Ks88IWOwLM/3pSC1zpxaEaDouQJ91fc7oRTN
+x76idstPbAekLCoGQ+PdILVTTIZtR2qyL9PoNsdesH3UOTmHdycbivn/caKlvRewUzMgcM0bom3
nkrYoFvy0cSJRbHYlbIynguQYjZTJ51NPf33mda5IK0wcGlUt1mlfm369AbqwmM19c/zbN302Pfm
zbiXEPAFpthGdiNZSJWGICujckzAopdbcokfgPmf20Uad8NQPZeZOIPyD6Czxw5ymHdAojs3b7v7
1qyoX1WSQI/FvKuK4VxcpMqO69TyzGIR9v2IYF1uzboTVEnloF4RnHUBzIGk3VtieTb0YmbrjfYL
zcPHHjlukPUZEQDNQsdAa8nDJVK3mw49WmWEDGooQ+z3Q/IoAFvCu2m6t1DLUcHugXQfq22dddtp
UL/EagTNFUln6DPAy6cNS8Vl4GdBDaBAhVRLIulqKftNMnd3aTqsXUVvFuCI5sa0UzuB4KtRfi1C
c0jF+b4IQbAH7XW0IPQapPPPqZXseEkMu1ao32n9XZR1ThT3h6kvHhqsUe1c6g9ya23hEh5i42sb
XTf5nVF7QEJugcB/m4jLGr61udiVggJONt11c/uoZgDdUi2/HgsQEVqaPExq71VdmXmLxN0RUX0x
lum7qHPfSBVO4GiEBDlyzJJ2GzXTVpAqH1/EEnkMASixWd53uXkmFmkKlVPcz5OCsnzdOp2xBpYG
VBH6W6JdZMpzMfQ/KhRqHW2JN80gfR/z4E6Oq4dFyh6FbF6BJWnoIHk7ueiVNo4+Znvsjlg2+Z0y
Av6PpfRiVJJvkRB+6YbpKoAs5IssbdtsqsvFMHaLmtaQPqXZbupu2uL4w8WzdL7Rk5MWWYspJo0a
dbwBXw/c14juFCFR6ctUhQsBK7LDIrpNZu1Sa+ZtkZcz1DC4nRYugnCcMRC2jbb71lhd4rbc1V+S
LtlkpRo8aaOQ+ara9Xs5LXUPrk7hKSlOQJPW3QVaf9aIaMnMBjbkqbTkZ5ayiLZQaD96oZQAFyMM
US7t6Cd9GjlCKis2O2t0h1y5zFIt8GYxazZ6xgrSeu2L1A1fp6b0ecifZdta90kIFSsbNC/FmE6L
BB/hUgy45NZJFuu2WJLJnoV+2xpEEP0Ma1vPzrHck5yYjy2l7JteJVshFx6kQjBdvRoLCGnJLcBB
X5GiTRa2oN6xffE6yUpotzY5Uk4C55+e6di1pdRbjYLETo/3WhP7lW48i/38nBgBHILYVF2JW2tb
Tqq5MVOWSNH3BnwJuK1Q0ZMt43WOVjIlpZLcaIU8+SKCGeoU3ErC/LNWtemcg2Az5zAHuuVamMe9
rCmMTPKEOGZ5US/LVSfIlzlqcMxaxFElnysZSKEwlu8LaTHhE+X3U6ltaN/e1mNzZwx65svhErpV
T2MTGus3MQdzKvTtBRdE4A11k8JsRpphSr/PTbHRov4a+YoLbZFTp6uqnSCYHJh9et42enkJnLS0
TblqtmK/ZHuh1J7ApF+BzRgcayyUXawu1xEnwyxHP9ApzpxllO+nEIoL4o6RbZVYmbWQQey614fb
rlsipwJrAyxBfJK09Fpsm3Mwyy3X/EwiVXB90BJy1ECvcSOs6MbmnGxpKe/iGGPwzOglTxamr+ih
Db6I6K+bx72+UeJct0dp+gXrufYgnIRbToKDEYmREwrEnUMZ38CW8JKmvYuwMWALxVzhJpflUK9f
qpZsK5fRPE2s1F465ayZo68dXS2AGGgdNubdbOXZeWv1qotU1FOWNM5klod2tVI0830eybcTzmBe
09Kg1WCO2ou+iDujbS+kCuTOVHaJ30tx+ivLCs5tbVBQns+jr5I8S3dIytyXo3Cd0nu18VXaR4sB
QVSd6PiGw0gsHLapLQf9BZpUTl7IUMJFaM55czkryZcag2A7bDXZEc3husFLzh+y8FeiaDcYBNwV
tVBCFAq9tLccNRV/FICJHdFITQ89vt4xCSuXGMpBgkSwT2i76gIK16qY/QCHD61gkS5Tqahsc9D3
i65TRjTbDNRRLtrmSPCXa811hD9fIBaCizVgYw8ZdOthSH7QgYWeLhoXihpdT0u4NUfoBLU87lgS
10U5PCHDcGPE4mVUyVfcercNKgx2prWQFZPlkgOUmkUlllAZmjMYCptCrr52xoTyWw0zr0nnQxHC
NodiCwsIx2AnCEH0Fy3IFohqk2MOmhNk2q7Dw6DIgweti+C0SIMnyOqFWQSHBJofIUgM+888M1L1
Xmisn1Y259449ueRJSE9o0d7ZQj3ijmfS3hpJ6kIJ1YzyAqD6jlZDAoARuEqYU+FvxZvZItXXJfx
6ITzdJhloFl66kaIJbiBtLL4+/rWVIsrXYk7e1l51NSAHpU6OQuMmMt62VqTfEhWKvuUR53b9NPd
pDaKM2TDs6GOsdsvFHLrEEgNFZAWs68CitZglIQ29UbQGn9EMQGq930wmBQvq051Kin9EbbNddNC
y1pCE9EahJqvmi5dYJ5xH1slr1aIdFR6NClzuqz6EYT1xZDAfJmir0tXfUnR7yUONHed0mjQsRG5
c3PN6A9BW7pZX8J0SeieyeYvJEozW0i7yq8M5BNm0/iuC1PhVFbzRVlIRwD7D3uhFTVbD1CiIE1f
nGQcVKcUOyQJIDfaadszYqp8G3JB9LMu9WNz9FA2vy/hV2D2FMi7NtHDcwNqEyVqbCGzwi3USdqH
fZWzUdTcjSWr3k9B8kM2x03dEqoOWuOuahAHOTdcMifWbnooZPOGUjy+IOVT02aqraLmtFfqtN1J
1fA0Qswc4D/bkTKhu5vFKdEZgUaNBqukZssWfh1aAsTmTYqJahlf6nmt36AStB80K/RWxQnXDPIv
edP7WhlelFn1Fe9MPwsscH3l4CZqNvmRBpnHVMJpJ2WS6TWBELqanlaugASTHTS95CKbNTjQ41Vq
xtxaOTAfJ5E5BfNC5zKs0UQUh6liiae4NUWmcYdOyK3QjNdDEImbMLD6HW4fPgh+RL/IT4W0zM5l
qTedJImnbSBmizfKWntmzcYlCmvtAR0GdlrRLy4HLYkz4WOtxyZ54NRRD+ui5RuPo27LSj+UklJj
3cuku0THQmyb3LDOKprsSuVs/JSnOvWHME7O8rZPv5p6yOVpCqEzpOoI51zKAP+kPQEeK00tYpLk
ZiZImGN1C0HhV68bT3U3nwmSgRSRLJa3tQA1Tynne7HLHss5GmhOV8upEudat3hf10AemwrnCho4
KjbGUBwTVaAyNPiDK9iRU97V+3Zj3BhU3Qovdq1vpZ+6+N6fqBK94As/GfnYfwhiJs4NPSNLt+T3
0RVCiB7ldDd2Fmc8U219l+6HrXYR75TvwaXsitsGXh9Ttvu8fLQ+4Wff46gE2sSiHogR32Pt2rYb
fM989C9PVnU/6P5Tplph2StRa1Vbf1vnU+bOxBHeeikmN/5LXfFC86SN+FB/GXenB/yoLKYyjqSA
jqL9f/RcYZCYUd/QUqJJsi1IsHp8bo1p+/nsfdgSeT3MUfU2MCNE1WOKfcluvQa441yqOQ4KfZxR
V+SFTuyeWjsvLdHjd7bqBoJuAd+gHpfIYezoJLW8MyyoPd2hbTa7A+uG1tza9dG+fP6QH5VoXw13
jNxdec1RXTBcCk64QGpdO9WfPTXC0ctazXERXGJxFOF9Xl23yqnW1Uer4fUjHL0mg/41TFceAYtU
14SKU0UPefbwP5unoyXe97B4EY2lWUX5QabUYQmnltv6EZ+8+Zfl+KpaTsDe4DjJEMVZfCOdIQXs
vjT8Wpss2g3dU8yij7qZr+ftqHKO2fjYig3V+RR4ulXd5tlPVLqcBdr853P34hb+2ZMdVc2hU4ST
JPFkiuBrl/pmOIuc1BMumoOtumynDbKM1kb16cGc7EEceVP/0XN6/ZhHNXRDLtNIjnnM4mz2+k2+
wd6HBkG3AXh94uA/tdTXG+nVG8wkI4WhzVD5ZB40Yh27R+nnRE/gw6bS6wc6utcqS55QwGJDCVvr
Uk63sCYU/3sCyNMN94H79evi6P7oKhvrAgWfzLE2aKsE8CuczhFc5dfnL/fE7jvm/ElZI6vLOr2A
YTc6ZlURoV1CFPE/G+boFCmCRW8xwGaTd3dtFGGdXrmpeKIl/WHP8NXUHgMjWgHFbhP5Nz9TSbRs
pGzgujOrmpf5tEZB5EyeAuwJsQuEAFb409oZP7WMTn6No8MmQMXQbNe+mWYPbvQrPJBbe/F5Z0Pq
3Qe71Bn2xkZ0uw39F984M89PBQ6nXuq60F8t5MlAWmWumAeS2o06PajBJjfkEwHaBxA6oPT/vupW
QOnrUXLMeSQ8NZntnYU3vFduRwc1hbNmB9CbArgLjQdtl8ZGBCvfnUle4s22+JVAqQXkcfLqPXEe
HsvEan2Ldcb6dTo0rZj/sygLD2KR7aPpFEHlw9Di9aMfHUo5vSDTXCOz7ucKXawdEuNuazhUDQOb
1slev/lr9irvzsFj450kDxSUkRkyhJNj1NTmDNOe08u1gfT5Xv0Anbm+WGDEClhgCBNHTzfUZaGm
KkNpdrZLEW/qnemsv6j8dRepv0bazeQ87a6AR+Jne8s91ej+MAJ//Q2OTuIOhZ4qX4EGBxo7lxPh
f+aK3gqk4Qu4rRvYF5kX2bZwPrqh02xCevOfT8IHCAsT1goYahzT8R04xh9UUqzCFxHXVrHodDvd
yScb9iKnhsT5PGxyv3BOaYd/sK5wmtcBFGPQArjrOHpUoykOAxWWYuMuvuRmbnK5InFbV3JwaLzN
Nqc8HN5vGkjQyK9boDoskBZHEx1oldZlOhpQav48hVfqiOte+2XOHz6fzfeZDM8jAzGWV4Qfc/r2
qMDUfsljtWWYTbfL/GE7+tH2dGLx0UsDRAhkAXQcuKtj4JWJmiGgXjXzs7PqIdmZm8onarlB/dOi
o/KSPdFdrrefP90HCZTJhoGzK8FyEleQ/JuTUKJfYw4Usl9gBegFK1vBUxlPciRveTqdZXzw1jCO
glAMfRL86XGCCoq/5z8SKAleRU41dwyx5Wvu12LmiUd7f5WYCFSTqVnYkcJgOnpzi6j/GRNNfn0/
e81l7OXgXhan/YIY+0tge+r+fB+GwZeGhQkSHTomqf/b2WyLsh8nWCu+Ue8y8WfZffn8md4vRmud
OYv9xRnz/vONSEnHeix8cR9uCz/dSJtoy2i7z4f5IHJFG0KEW4RxFDDNY5WIET/2qsOpxzduZ8Am
9blxs4YAui9/PQXM+uCRVrwhS5BJYysfXcWlrldm3fec2NLztBigOOLrwTCcJN1pOVgLXXPTUynV
+0W4Sl9QMVgNst6/pglVzRyjD+oz2k1Q9I5Qx54Q5zCabj6fyPW6eZt+rAMZKtYfOjStd8DdMIxV
lKCIZhTNDRoKzI1qUzhDC2jeKqgLfz7cuxXPDsZSgY2FPDv1g6PgqSkor4WqUAJKEP1oSDehrnyX
5fivD4MyBAwdCNjoah8DNpdoCjuV5N2XVqp3XSCujVqYfPf5w7xbGDCvX49ytH1LISlradaq/yoh
Nd661tsTJ+C7LWuukHuYIyinY4F2jKylyxLC5pZzP1h2bSE+S1X39PmDvD/aGULmXFDYstJ7HHKa
FUCP8J+ksGLus93i0piEXOtonrWBn3FAffl0jv3+Ql5HRUZghSKq77HJeI/OcFU5Kxp3clfAWIhk
GhDX0S2vhk22KT3l1LHxwfp7M+S6714F702JxhD6kevxpD9HV5Qe99aFcL9yGMStesDMwT0FdHy3
lXnKlQSDEpCu/UENez2kGGuwgIsFn7ZEzj3K9jgAzFNrR/jNuAggfv38XX6wWmCZIdCDmBLyDMe3
dJyhck1zsPKD9kzpn+LsxAH/UvV6c2IQAXD7g+PiwuIKWXfFqymUOgvORssAyS7YrDWDlpC1I0o8
Jbnywbt6PdCxiIKSLtncCXAKrPgsahs7bs6r9P7z2Xo/Bl1PBGSgVEKgfkea0zodyTX8Dv2AHlOs
u7V5LqLY9vkgH0wZLELg4xbRrshRe3Tphktft8oiE+Pvup12MHfqpWmvoXX94/OR3r98OImwQ0kt
APvDx377btB26xTg8bU/GT+S4aoO/vj8v0QM/X9NeQa9pVeT+I7yefXU/PP/vCF8rr//L40Z83ed
CwQ6g47IGlEvb+5PjRlT+h1qEMmEjEMQ6ltrsfpPjRlB/B0uNhY+OEkpsOBMjff0J+dTQICGVIBQ
dj0R/rLKjPJimfLv7bjGBujYGPJ6N1Dxl48v8K7XQlGb88FLBSEwMk9U+nI+j1BYlm/lBMuX0JYF
IckPwVTU46/WopP2c2ymSC7sVl27/bQGs7ShoFNMIh35VAfWhVQJKmV93iA570qRJIQ7HL8HQHga
IBnBMxuI3L+iBffEyR4UtUXOGTFmTMLkaB6+CkFpoX5QRGPjRnO1zBdSupSpcDBiIeuAmcetEsZ0
ACcgkkmeVKHfyw3K5AD92sz4RfE1Nu+tpizr81yKs7R1UczutZuxKRPrflTzVLNsKyzq9BFISTQ/
5xqSmQ/mDN8WbcSqyqEHgVtQ2x8tjo+kDSDQylpEf6NN0utRqaYsv5pQMJyUexOUk7gaPUVC9VAm
CBD/jGIjl0cK2ZFZo1WOu0R+J41imtyEUZhI55NZlaXuqGHcaMb50kZGf6Em6RjcBnKVDhDWh85M
d2kpmIWF0GnVZijaj3MXPmiCqM53YTYq+leMxqS8PJ/HOgNp1w5dcdVngdTeSr0Szo4RTrl8V+bY
hoeXWSgvOvjGLNYTUB1RJIPBIvGc5ktRbIoGhQUi5fHMVNOl+a6jKQq8WEuRfX2YO5QQfKuKC/FO
0zNF+xZPUZnTww/KxjgkdRRbF0taqe1mXiQEV6PaUIvdbI5t/0zhVilv6NKX2kGfZ9m47JF4QOlQ
QFa2xjaHr6efJ2YSBI0tp4tW6ngjT4t2k8bouPppUYuTYQuC8lToZoVeHPiwMfgaT3MC8rDvGlTy
O26UqEGPhl4lOuNdldS+Bic/rWnxTshUYrYcCN+KKJyhVqooVp8lwEtkd7Fasz+nKa1kTpFXaY/J
AiBC2c2KRL6uhHoC7Z4WAnCPrkBbIAaNhOZ7MYXRPe0/7CIwak0Ap+dBU8rni5pn1b7DGmXe6Z2Q
dy4qU+rs1paFRpqoD+G8x+oAJGhrRUpyRjdT074I6LyiBa/WvfXY5kMbfwVmNI13SThW3ClLFGtX
Q5h2mr5PAGsjiolx9tSfcfdU47kE+k9sJLtHI0nai3GimAcz70WcRBRjRBgpSDrtEALywbNGx5xm
VyqZIFyqsmCgUZIlGvaHIrKwg5MnWq155Yyuj92buIs7UqpNKW2fRB/Dy1FC9chvuaPUy25AsOlM
mbIoumJ5dPKlkhSS8b1OJznbZYDGuj06K7L600TJVNn8X/bOZDdyJIuyv9LoPROchy2d9EFyzYpx
QygmzqMZx0/rbf9YH0ZmZUkulRxZvWs0UCggI5FhTtJotPfs3nONzMmjQ9Vma0bkNCut8DPb7c07
V2uQg5AcUGXWER1uZ32AvwobH8VIN8FTB3v32HWJml2jSWqmzUr75zCqrR1903lep3/VrUYzbkXD
9dy5Za5H91Gjzc43w2stcaknTqZcTfzo8igWdt1o23L0pIsnZXIBVD4qUJnFSjTczDU100U668N4
26durPgtyrPxy9JNHUkQhIk5zmeta8sRwm1UiR2caFOEJepO4BNmQyLhxxFcI6q4xllI3sqsyLhK
TcqHq5iYlFbfzMSQrQzowfToCXBHn5wxFfoFeUEDEqTKVZslZVbLbKaVaNozCwvVULNbdJt33ldH
FAXkD8acfucQbryAhIss/+LWpKT8sMeosn7Oo2FmyZXUzUxGRztGB5IEIpnoF9yaAKQ6RaI/7Zyu
D5Se8Mxmg+7TaQ4kx9o0EHNPWPeOR7IsKkhpAbyZE9VLfuldzqcAceEyGFyBPXR8AxBZRjZ5F3G6
ICQbEPNv0xZZ9FUjnEa917LeVY/QZ+08tIEK53dIFRZCqAaNjAaLdajXAK9TidswvF3XYWXxc8dT
6nLLZ0OpSB9sbac8LsUijHUgxXGvmyYqjQ9WOXXuTTRppXvdrQUC2k/y0JLHUkLDGja8vX17AUwL
a8MVJNSmexizdhDiqhr4ZHRh0XqxEPsu5Rtw5aRVX9+WSznjn9KayYVAq8u5Kr9iI06UfQRoPXlo
YYSRfOHObm1eIhYEBFz4mSAJAiiVhypO28VYZK2FQBzO7lvIzhBtA2kWuaPejQ3BYoY/LmUCSKft
MyLFRnRgyQ1LN5fHHnVZ1iSBKHHXMJ/WC6cefOqmmcyq3s8Dp5g/SSYrZphdrdKrArCQaaD6FyWH
6RjkW7vh5hpuRpQdcuhhtC0+w6x7ho/ncVoVmaLJxC41s30yxhDl0O5O2QBOzJPAjLMBQOu85q+k
Np4iDy/ELuulHn9Qe7V2Ap5ZniO2JE3MuuS+xc6nYvS6RPEh5zfAU6q2oc13MBvkSl+XGpf/musB
lZ3vhxg55x+byr43lmHS94pjZvOhz1LDeGoyhF7YN7R8PBrF1I+PHWlDc1AWs8nmgw1RG28QLg3N
x9SqRl4hoEQcfAZpoubmTz6+QOlZN1RcKvw3VeeTgeOocpdSx/c1cv8kFzt1dhbX2QF+noUWUoA7
Qwlpure7DZ9wsi3GPJqLwyyz0VCCJI6L5LvM2I00QUxCU22FM04IE8a0AcVa9YsIXewP0B2ec0QD
S6aFTw80IwgDxO2CGJDf3Wn6mfbEyaHvavb16E5QdazlNrTBkzJUJiPbp9pTwyR3brV6IKwE5bGu
o2jyIkkXPHPSi4w0dHYoB1dpNk1ki62Wi9iPMiSIJieL+6aGmjZq8XDZ5PM+LZrbqQP38GwzfPvn
RvI/Ywx//1Kb9OE1FBWgBMXLy4rCs2VnmsR8hmmsikvNxbbiIK/7osSFtXrWyvju/QHXEuXZfpb4
MDbstPVQsNCTQjrzcsBE6BV7wGwKB5K2DlpHohXTWMF6Y/altyubRV6Thsy79v64L8t06M14vQkN
hFeEr9jgn16Oq/fWAEpJKIElMAP01dzdtq623KqTPoUK6M9/dp2vxjuZAqQeeoprSSVQZKLf2/OC
dMIRFXCyZKbBLsh9bPpZPdNLev8qEQi9vMq2VrrWTuwuRPMKDr7gGycny9yqayycFudV+P5dPXma
61Uy2UFBgdsE0GqvBeuzZkEJrolgbqMNMyPp7so0rdxAiTzzpm4T5bbNgNHhCnPIOHt/3Jd1/e+n
ybgW49Na4nTkZNxGS0xRIYsPq3opN0MyZfdzr7XHxmvd3ftDnRxQrDG0ugFV1yYPlG4WbfyX16jP
huirPOpQFuNzSnskluhp15yQ2Z4eDfxnBBQApyoDZcyHjZ0M32oXQ8YyO3+1TP5Rff7/KD+Wmfyf
uU1+XRAg8vS8jF+PqP+q4i3nDwjprOHa2hRToVD+XcXb3h/AQTmH5YzJPKni+Ve2u8b/0qkm2UfV
+Bv/VcXr+h/wZamu2JCAHl6r/39Bpf5aVN9jxQKwYI48W/XMlRBlsN7R72elZR69nEPuyF5spGEA
0L+b4jBTHReYGfE5dn9VYZEYHxU9n9ULLAGI49WktpegqzVz/mbN0vwWx03kfJWazOKQk3oFG51t
zwDNvEraxIEB7v4qdbv8RrTXJLdqQ6GE7j1bVb6qoqIJxzcyKddt4eJtZ20a0fR3hsULI2gMtwQ4
mG531/MPPxpq3XofDR3ZVyGVo+mQalDGmDjVaImdr4lTRt6+MWf2376pEnIVQkDBrujSLSi3s6LY
MfaEyuKs2ZVowhFiYt4aCjG0+8KQnpFx5BZ13TEx2N98iBzU+qMv7cSpdKw+saX+MAupWAGWbRBX
kkiDSr+eG3vUrqTslfSqUseS7D4cJezfMowemJcGqghUxsagwV25cqWZ2LckqnhuHWaCNk/mx307
peJ7SuluZfsYT5Kn3yYEV44x2UZS1dIL0Vk4kdhxFxjC2UeTfGB0wrt1sQd3QZ73unfZLUlN9g7q
64bvOA/b1zIKhE0umX8bI116zrhTOfQk9OU4KsK6iQpFfDTyeRABiRYcOdZGj1UHpSN2KWKDRH2o
tFzn6892LpZKKFplWvbq2Oroq/Ec+ybY8s3Yxt3WmG2oslGLeb7xqvYmJyRvWfw6n71vXtJGe23Q
SP7q5n4sbxPHo3ETcxLVYOzSJDxes6SBwDhJlj1yq/FYUKWIdOOOY+T5YPOtJnTz0d3FvYESPnbm
6CbvXf7daOSZhn0Nf8ku7oaObL1Zr/FpDLLO/Nrr+nIXJ9X0KNq8mXfRNObKRo8HpNo9LF2SreaW
io/mESdsB4UugUq4B3/nYaoXQ9lMrUmcyagMuqhdH/zYnLaEROgmUSBGkoq2uDCoj8mhM60lywmf
rIAvfokbk2iWsm+NZEeHNpsfh7rFSUyYd8NxTdPn+eVSR8mnmgw4ZSfmxinDqZ7NNrRJsvtCsUhJ
0wza8NUCvodJcUKwRwpdilvWmokLIVtJ+dKY2CpDEpbnJBg9tshC6uzrS5SR7mVnSVpjEI71IZin
VB5aLy+mXTEOc/GlAvuQ7MiVqJNt6XgEzHUKKN4gU6b5W6JRCmIDqxbwp3Mxwdbo++jrEhHXeOc4
EVYeti3dU0J3QDl6RHQ+pXk/yF0zO9HAs3Mnd1cRYfgza9KcurptysAh3Y5WWDeRwetGHKLtMsca
nxaV/QfuJtvieVt2TxSks5TaL0MxItRHE2r5TVnyjAgkXSxvC2rdopdiz8juZYRVbduLmceL6tjE
Fil7faMM8zIcs8irnoS5Oly8YvKI7bMm2wmqmkmI74F6hcLbuVFJPkr457kDG2s7ovfHJlfHIyFL
sesn5RQbm6j0XLnrk3FB7zCQcWARyRiTS2VT7iw20QTYcyfp7WdFJA+l2uQKdixNPLlN4+UPdqLb
06GYXeLtas2SaTAMpkacGxie7ldWAm0P7IF8HiJOHcKJKm/KnU3pVMIFkRxb4kPbUtlTmSX4ehRV
IfzMU0RlEBTjtBE+spiYp0nl+NY3UpZQEqLMdgk9s7X0/RKrVRwmImLh0Hl5Iz/JR0en9Wp5SrDo
kYKeeignO+T0NVL3iqUiOlXYreI0qfBMbxUrmZN93RVEPZJfqTyISrc/gbGMNd+NxAR/1Z7tX5GW
S5zFKRS29TLt+CbPozw5jNFcUXhNXq4cCJsR5s5L8Z5smnHOui3Ambm5iCy9IoEDMLGHJlXJaXVl
9TBh0hirjipqqL71eswbOOQlNmo9nalby95xo4sOb0kdjFOWUwmLooaQS8FL/qGCM+MyHkezvbZl
UbZgqLXiB+2YRV61ZqMrF9x0DsZE2trTxVi6dn8hidgmnLBUmHiXMRlHCtgA3a1vxwV+70409EEO
plpVLLC2RvAkOYeQcpyh1+eAkDiAd3Ufj79ijyLQH3Q5FKHmzCNQweV3yih5hSmNAptbmWeGM+wi
R2JDXUriwv02EcMU5FE73cA81B9jG0vQ0HX1TUmP6R4Ba5rh1VTKYyrsSQ0brTTw1EQd/nClmgak
FQT3ZRynx07Kn8wi+zlZ1KOb1GziHyT79AQ0OW457pdmoeHuxWnOJ0RfsQIdX05jaR2NmL6ORlBa
ljNpPloyV48qibi4zFUV3xefm3HGmF/phU+4r26QVTokZtglKbfUgtmQHqdG58ZKrPziOIHo7X8W
/KIcv7auNpeWN+Je74xJlg9K0+MVZitflk+C2wtsZWJV8qO5t6ZHomaL7gnaeJVeZizTTdAlE97D
YtBHoofUZMYUF9VFQBthIBlRiZo4jE2rkdhgSrO+maWuyotRK7WfnV2OZVDPNom1U1KJdic92vt9
6KqRWK5WmUIyPph53rjF9WICDLhNM0ftN2Y9RX1g9oaUd1Wb8v1pRkLTQgytIy1cr/e6S0WOCzHo
HNqUB3xCRh4SLuo4QVYSufUARUNZKp8WvdEFVaIaT1mXFgk3cVBxGcmqVu8oSAhrAatqwG9oVnTA
zDdguuJDmk4XqTFU+ZWSdWp2GQ9u+Uuai2P6EWnED3LqFBODUV2BG9Cr3N52taJAd+/ageOWupoL
4dODjFoslJVhg0tweEUNXJ3kzCbsYMJccGz0AU+1J69kXzX61oHVU9y3A62aJK+r6GGyxIR5rNDx
ehakJ6WfqzjxkG7TFgUWUvUxfkhyQ9tHDUpDsstoxwOG7oF5EISZdnPuHDOvLONNYkZYeVNbur6M
9ZHLna0eH6RUR3e8j8uZ/YJgO6d/d5s2E9t0sEk6gowbVe4W4NiA79fhQT+4g+4gXapoFfv577Mj
VIaCJk5bDyxz9LtccRMrtP/xogz98hFLqOb9Ip+qYKWUdUl0R0tfvfsMyXj6pY3RwCmRZ7PkCfJK
7Ou6WbLkXoymOgY0PAGmD2R+Y67l/zDZtZLY3VFEWnY5LsLsd0Um0s/M7oVIMmOgxddqhQMgw0yG
baVC/fhuIoRswsioqiggzsuUoVs3Krr0Rai99lknG1fbVoU2abfuXK8XT9YvRlGw9G0BQHmarDBq
VjwW2bq5tq883co3CzEbREsKmTs7DuhldAmHw6Sxay64gMvYM6PApMkLzsgcZea7sWl4Hz1t0ue9
5hIsHAow+WvCpTJa3mGRUy8/O53bqwGPNTUANADQD7NxhBw48V0sEW/msdN+HLuRQ0KfjHLkX+wt
Vcf+WJdOyRe1GYvlGIOZ7x+Il+M/bPo0v0x4piQfa1YJWyxSRXzIbbLlwjlqCWsFaalLjssAb2xX
sv+nkbOwZmNPilyd+W6p7wp1NcMVThzXGykWoyz+7Mn8/3L2f64isv9czt7/bP73//pWQCL+HzQ7
0zUGpXpR3K7/+b+PqJFRrfogjpnxHa69xr+OqB39j7//lNChv8+nNe8PpGwer8+qeFilwH8Xthql
Mu1IgIGUu7bK1uAf1bUvqlpYkJxzo9GDoKkjTjXXn/C8+wN83F4kwZdhNO9nN9oaTMYVmf/s3rzR
olx7Of+unf8ahbah5ejwADkJfzmKllqNKpwIAXNWAqXoK78uqSHfH2T9qa8HcaCl0Z5E3XjSUKoV
yW4cXlxoAVhQpuQiHfsAW/WPfz4M0gEEHIjW6Dyc9JJYYMrRHp31WmBOGvHGKzCcO2e8HK+VV2QB
ag5aWqQvJiLKkwcTeZlCQqteh0kcJRcJ6IDR7+olfTBmYDwbJWs8iFcLxZPOMUDYab19TaJpvHVH
Y4SJRkYkMmrNXoCysOdXw/fvwsuu4apm1ogQACaKlhQl7qnEKEdO0Eszb8K6bLYyNeBYDB8LEkra
pWHfO01nZtCZ8V4pjfqa4DOKUnK195H8VsYXA7IGd760kjNEsZNm4V+XhnYaDDTXxUW+nKycZHAu
AzUiJKinAnzHEeQ36feBvs2uiY/fnxMPru3yf8/bf43HlFXX/73SyRLomwq1bZpwwntabeVvcXh+
VqP48vX4axiXIArTstiEryvK8zcdnz/bnCJtQtlMe05L7x0j20WJvPynEwOfIoglqjkU6KxRL4fJ
BomyLVbbkAQX6DEtFvmebQLtkWTeJN1Zc97Lttx6WS/HO3kdZ8UgFrlhPCsOV461uIrv5uxy8L87
uyr0xk1yB7gARPCZCfn6dq7WbFrLrMM0lE+tCnQ9TMGhGm3zQZHwxqr+i8Wp34eOeNKf799SbV0e
X84Quo9InByNHj3Yt5NH14I9SHXiFMLVVAtlAsKK3x3NjbGXe22XXS+huC322UV8c05Y/VrErZs8
S8d04Szbr7VLHuqWmgctQtoFn81w2ssLb5ftO6x451SY6/p8cpXkdQCmRRPMx/L0HKuN3YXjd9h1
tVoB0Jm/Fsm5iKM3buSLIU4mi510RjZqgwwlVelWG8QDVBSsA8nwkdr9o8ahVejI/AwO9Y0VhRgu
TyfQD0QHes+T56cvucTzWPThsMVNf2xupsskaL9z7o7Swoc3cm5y/k4SOL2XBsJPMtc0QgdOkwYE
cgy30CnXzJ0BVMlf9m6QXoG+2+UbsbUPFE8TJgZCr/30JquPNLDOHUv+9r+d/AZMGrTB0boazisH
UaYYWaKA8ArHTXTnXtWhecH2cw69bZX47kF88ULnK52bY367cu5XM2IS9vvqKjrzrXrjVX3xQ06e
Oh2AeHSI1g3FkIZxgh6nT0M6vf77r+kb8/fFMMbLlS+BGLno6/W2XXFb1i7ux5xt/vuDaK/XO95G
vA4Az6F5v8JC0FqgQDLaPnQ0fwyNQJ939U+chof8cbXe1ZU/PmDaujy3IXnzJrrMJ9Y6Ph+nFgtY
GTKuBtmjeBp9075PtO0kz7wob10bwkt2tySYI5k8uYN5YveJQsgsMpYmEGm6VUUI6nk7lPGZ1fvN
24han9eRc/71TOflwwKhaCVOPvfgQDfR1/heDduL9kMUEFZeQ5W60DaQH3J/3HuP7z/At+7js4FP
iQVdIWPhJJDzSuMqa6K9k1wlbn7mI7wqW0/XUgdzFGUH0oXX8Q59NNdFu5JJVhy2cTS+RQdvUx9W
FHYx+ed2MG9dE4Yix0Ytu2bPnnzzjSVDAzDlQziQ5GNMJZ0uEGfnQpzffGbPhzl5jzkcbJrJYhjS
xT+aF/JgHP9EWpDP99Eh4Qukxbg/Z8d6vT1b+SsULsiBLUyJ68U/Ox9vyK/iRLAewnnEMw31NOGA
oW8P8XgdDZq/kBg+mrv3J8lrAyjn8VDhCUBeP/mvvvg6JqZaWadndly2nn8lNou+mQ4I7ek7g+xt
wnlbpDji58vEt/fyuoR/vGR+RI36d1F7++dq/Vxb8loXf/JDTio3j2asSnuEH3JI9/gxt+muPKxO
jLN2sbfus7NOHg5gvDW++OV9RmbTxaKBpQg/QvgGfcPbMiQU5ba7tI8okQeg6oRIaL7+Tbnt99aZ
FeGttef58CeTSwi7HRDlUUnlRwdqoeE9dhEddGs4o3t4azfAYfa/L/RklYPB5Fpeaa/fxSng3BJi
ZQJMOz+MQNE2gFd/npvCbxSTTKdnQ66frmdzOMZ/BaiVIZOjDHBs896g6vDCwjcukv1i/lfWoXXm
PBvz5L1Ju1xJGriNYT6DAfB8PRQb4JR/UkGc2Z++nt9CvrUQPR9zfcjPrrPtu8iKXMYc1GmnZjtr
wITan8n5Wm/W6b5mzUzE5oXU0Tt1cOD0Sh3OwpgpEk+2uzMS+9wUOTfEyVvXj01GTCtNRNQxh4kc
F/3nYO20exPXeX/j1Vu6NOdo52/Oy+fXdfJJ1AGoOYpkkvCqr9/Du/SrF4Kv/RhvUOHlfr8/s7as
E/2dG+meRLDaxoCc3uFGWuxktOOQEFazcI3tQX1kUd3H51A7r8kUzMlnl3i6xhj54BW9sjZnD+4v
9Snfz9frimYf28/uDUcz1xf9AanEvtqJT9lKuw/fv+R1o//eFZ8sMlPbOYqlcMXqmG4MIIK5696k
5j1C5t0MVv/90d56G55f7clCU1Oii9LhgWod9FNO4JVj0zhn5uq5QU6WFsscWw7UGcTQjqaYNqgW
0CncvX8lb+5nnl/K+iuevdiSaOAFjXIfRl+r7mp41PYegK5JHpt73a8fzk3NN98/m08+xh0SEn+/
Ks+GI8AiazOLedJEOa6EckNS+n9z354NcXLfvEVNddF5fahX18v4C0yi2ZwhlLz2jK7T/dkYJ3et
QACuGCJa607lO0yb7tEkLScOlY2zoTX6a/AwuJ2b42/Vni9GPVmEXdJ5lFZhVH0H/gWN+EHHN48U
FcdqkP7saFkotGbaB/E4/ujuOU8/s3s69/ROym043MBnEUqHKlYE30gAyw/uOZv0uUFOlujCnTsU
XgySeiqAeds32//LyzhZj8nAbm0wfFRD7Q8VwigpB8H7r9WZaziFH4kCvLQRcQ2RGgUxIgNP+fhf
jEAph7APByfN1JfvbdSAG889hZo4pwmnXRrLuaCUN9efZyOcLKnG5M2p4zBCY93Tk/Y72s9Jfvv+
Zby5gVol4WuIPb5A62RKIRSwNGnEAx/kMSRVHc6l74SrDxoGbJiE3m195uu4/o2vPhXPRjyZX0OC
Hn9ZKzjLFL4dP0TJMdVv8uFQF1n4/tWdG+p0ovHgwAsgAixAd85XZeFdpVXl91m7Gc4nNb210X52
K3/HUj9bW6M4K+FUcWF9flHc/o7vCpxrOQc1AqabPsCPEACFb7XN9M9OiNZeMevhv+/pqcl3NAaZ
TDZPMYqvEvo/wJEwVJ756r61j6LoJrhn7ZLgvjqZ84pKp91Bqx5GV9Fu3MUXEJyBbsFs+53meK74
fqtF+2K8kzdgwai5RAnjzRcI0rf1btkZF7oPHP0sY+o3dPRkVr4Y62RL4SWcOaeSscZNmu/ZtQXN
xguUvbZde8NwwynSsqDcVfwMEgDvKGnClmysaxC2ZBRF12c5RW9Mpxe/aF3jnk2n3Bo0dAr8IhS1
5p3e/Yk8C5VQOr5x1RGByJ0XD8pt8uH9t+aNhYcyVdctU+Uo7FXIWaX3hlqSLBMiZz3Gq6tzHgi7
GM6h496aTy8GOrnCmvuNBJIEk3Hj7sp7L+czyhc81B9QDaWfcZrm5+bwuWtb//3zm1pnpdVMDImE
GN3xnWM1vrCe3r+BZy/sZKNQ61HeAhthlG11aG4NeE/llX6gED4sH+bLc03xN/pHaMRpLKw8H47V
T10AvTIXSxyP03oj7yLqNn+F+QwXXmj74th9XN/QdBuLMzu91y8oHDETrgT8Ao41aNu+vJtt3mmK
JNaDEHJ9UkiP0UWyyeTQhoWsjYOLHzlMCmF8tWoLGJ7dksjaKW29EYZYznxWXj1Zfgt+CzqQ9lrC
ni6BS4f/uK7GMRR5jhr6e5Pp/lg+vv9k12/Ti1XiZJCTFcnTSa8pqx66sp48qYt3HMR0uUTUc63R
/fT0FotFdu7KXn3FeAlBALBd97B6cPbx8i4P0rUTsNb0xBfSPcbE3hXwNfS4vUys9EYhauH9i3y9
J6C7ym3UdCwI0K9e8f9Kc0b4mKzTaQ3TykNxNXxiPkGsJFfiKr1pz3V133h4L0Y8eWGSHhwyirJ1
xDXelRSDT2vRDJi5Bwk3PwCCO98X4HD49eM06YCuJ62au547vLyzvdFV2iyLMVQ8A7Y7JyjQuZeB
A4iocgZxqAdT+qgCvTiYWx29sFQI4+jqyN0Oi6p+iiQA8Y5FrNrkTWJDI1DRHN5htcyvMhkbe1eM
eocoVW/nyylDJx600zBvy0GLt4mUDRfqNskFMUPjDUXTbAdLMU4iaGaxfE0I6tpLR3E+OwqufYAG
XrOZh9GMCL0p7CAHVtj5YOXq/QKGc9O3S3TbNymExqRt9147f89JYZPIxbvmMSF4VZDBkKSH2cvL
jeauEjBI5/kFwhZp7XKrcQM+gsM3IpGaemP1lYVs0EGtzPri/rCVDMSaM1X956KXqF3Vupy3hlXZ
vxBMF5GPy2i+XC2wR6gHcXLk7lh1OJaFWsKeS5LIHyqNeBvNTfurcXaH29WnjK4Pwvl2cuP412TE
6Ls6owKPELndL1tmQ0jqU3IJAh5/SoIFdwMrokJFNsWlvCF5g6AS4UntcsJf/qXWZB1zd0R9qwHE
R0iWtwfRtMq2MSb1g6sMsg2FNRuPpYbwec+yOcZbZemKa4NwMKzx7nLrJLD5d4rTuDvFaOut4zR1
FgyogIVvIUrHwWuOJPyU7AIKeyMw6d2YhbBjfxCxFSRKzTGg15jfbImRuC7WgAj5KG0lTKvmNs50
YjT1wiqOcZVlTzqxZ0ZoKyAIAkwU+r1Y0nynR2jyliWyrz0Oi/exGRfX/aiMPxZ3qT+Sc2Jfy7Rh
3TGwoXzAlmxqQVK6TUcDv3OfuqJT5WaxAI2HwCkMYmy0JPm++n2/CCy2dmC7KQcLY5+zoqiNmV1i
TKw/dnqa7mpzwqKwiJQn1iil7lflSqlxVbK9N6AQksAQxPttyw6R/mgILKKsIhqPDjl1oh1GkoEc
n1jj9tjlRXnfzsZ4FB0aHrIZ7BnEV2IUqKeFeIrVvLwxWkItTCcnnIloEP72qI8+lZ4ybEtz6MK+
SKfJ1yLDOca1YoWcrw+/7KjHWuTNmIE0yTFw0yvLz4iz/t5XM6XTg5nMlm9zbw6G3xZWc48Fy+h8
vVEVzEjEMViLppIDokXOZW0owIREQ6zmGBef6ibGC4TF9JNqFWglhVH8bC0NBfCYtlRHbTt7eAYa
5WeEB/xXFVdEIE225TftJO5lScKaNmC+dqw0OS6c0G1mWTnKAR1jG8ykudKotq3qUAmr3Us3hTiZ
lTZhIXXTbepm0vx5brSgH3P9CdtB6pe1oV6rg1sRrtGk2qGuNeenWiqpviHTBcmZ2xkFn+BqOsTe
vFwPfB2PbAf0iyXv8bWzX+jyUCvBRHi9212VLIafCWpofU000W6I4ZRFY1vdNEpNCh5nGMnOidVu
PxVGf9uVqbLvvKQOnYEoix4Uw8/IUfG7kI9318xEWOxwM7eX5MvZmxR7/kXvCBwW5QqACXoFtTp6
2TlGiUyH8pdIuuin3WuRG4BY6ttNO2jaI8EEWoLRaS5uRTEme6NZJv6wW1hZPVd8XDpFuxwWiXw6
brBChHrE+uYPnjNdOEMWaeFoT2La453FGVNZ+MI0teuRl8f1Ig9R5/4s1MSKApgro9xkkzPcR51S
3XsVG5WOefEtwxADEqTBCRONtrZsAYzITZk7mBZsKrYoFS5hM7pRBWYnnOtaiYpw9twBPHtaAsvT
EfN3i/ajBvXpdwXy8cIYll+eGOoN76aJi0jPpq9e3RBpKFU3sPqW3rfbDIdWxwTfDHx9XNxg4eQK
LQ/SUW+f3MFIRh+/7rqpU2YJ5EGKOOzMGTh4hMeC2KU+Cx1weZ9cS7GuNF1TLnSW6sAmAzJIWPhC
qaTYq1Rj1h69nmgTn6aG/kPBYnwP+aF+igk0wQumVm1xybxIPUbpdLJPY0S9Y6fLvZgI7/PTrK83
XubqH1NwBTnyEmU5zL3rbixyZ57GdBkeRrOOLqZxHDm2HGY97A2Bhwg91UbpdTfIBhdvBHGLfl+U
013ljsqx8uLej2KcN/ifyLBoeK0HJ1t9QGN076lpfyhbAQCfPBO5UTsZRnqy6QY3MKOYyJybxQ5m
UT1Z7bRD9cKXyOjozmEqv+QlonOSKvYm0QX5lrNcgqwySdcmQO5LWtnZrhvkcis4l9yKXnCDll62
LJdT+rV0RhohSTHeCjnAQlFMwiuHbBl/xu0sd9GSZvxaRxtJfFvm+C5BmRhw1CqRvZdzk+O91dSg
GTXrrol6ckmQw14sQhcAO1YXSduzJEZVZVBYOpG4Jpql8CuRpUHRdOOh8FJoOCO+fJEN8aPpVOCH
YRAFkIvS21zJe1x4hbPTcHxdxZ5l3gzrF5kVwQ01q5n36OGSixmY2rYepTw0bWReTEpxWaWoC+f6
em5r6wOnTn04KZ34mOlrOkjTd3cxCAjfHh3OS1CU+IMkx7ORPwhd6APRWhdZRcQCAU6beXQxChWg
WbSZXxSbqO05+Bv6exw+ANB/aIkcNm2PUK02hwHZ/pgFTgHhA5WiE7iZTYyS1eQHN7GcW5AbRmgp
Gt6NlhtnzJ0ddCXEDHjU4JF7lR81JbAwGw+HkxvFtq+NhlcChW6dwpfSIcxDT7RdmcTLFKSFs3zv
I3JaQZTIvNm0nq0c6nQSm6ie5I++rqr7wsGzYruZzgGe5Zrb1O6Pyki8muVN7a96KpyrOlKndtM7
s31v2rj7fOJzYq7KIxUmb9yU4hyzYtCWqvoddF335BZNqoYx/ZKdmnfjVQcv4kPMx+0w2zgwd1Pq
ZB8yXalxiLZa+TGqReyCU4qdDSqbaeVrzACuPxNLGX1TZms6LBpxnZ1EtU0kqxdgzRoDlciZgDCv
4RNOTDYCRVxf1llkpQEc1PLBxfnyJZFuxzGlF3HqRGQ2Jha1NK9rGa1iycG4swjrgAw3m/EtngyW
XZAL94QMUWdo40QUcSM7EcaTrcKNqZU63g5VataE61Qt3sOiRJCTNdX39wuQN6oBi4YWugTwjNYr
CUuXjkM9T2AYekrFVL+0nAae1jkd8lo2ndRynIJgzVbR+qr6qSZHlW3TJtE8hvrdmF+QCAVgpHr8
P+ydV2/cWLem/8rg3LPBHAZnDjDFYrGqlIODfENYbpk5Z/76eSj7fK2iasTp/m4H6IBu21rcee+1
3jDxVsfnEMu375xukg2XxqkP8gUuRdPTx818l6Qmj/b2AxbpDwt2BU6TEzZM3jGxMi4RKwHeZZAW
ARbPm4bd2lDTOQAnvqun2Z/yzHhBJjW0VTVZeYC/L2Utwi0ecUXUw8Mx6dC6R811w2UAa53OTjL3
l8PBGqzyfZplEXCRfshxPfYagYDDbthCg7Seg5vZBmZyjMHOvq37SKw2cZG75qJVBzk8PqfZ4r/k
TPvYbnfBvUL+M7PX0jpnkg08ws0Z5sgblX+fvk6LBMmYMJN6R1db3IiVTt76cQJvCtvdKi8dhKWc
rFTXfGEWAjEkk+nWt3EXjQy4w41hQdwJXTAnvQ/s2tXLTenOCAdcgycb9f8BtfR8JxyUp8D9eFnI
Z/IdJ/EX+Q4tL5TCnNstuqo7pwPkT7K6wYuZAxUEltNuNfBBzVW++/4r/Yy4xTZyg2/CI2rZa7Ps
3CpFlXbG7SkIJSxzXJWMKkDh8zVZJ//ZpH+2avjp4waf2e6oZf4VYdHfRcbVHwA97cVlOfBveX6C
J1/Z7t4Dr+ZRRSNkVgmhUvDa628ynwUiu2pZz+24bEBYp0dpj1Gd75i34tNgY8fW7pRrzeXmCrBc
uR2/aAdF3QZX7Vp2SXm37xqk6SQoM6YG4PJ1+r35kKT0UxiDyE2Mx+qgv8xF2/CQXbfgZMVNuFX9
lbLFq37F6UZ/EnBZDASs6+XCQMDgED32x9Z5lRh+SG0V7oO6I3dnj99CPuNHSS88AaxxMAXvnOhK
2aiuucbCeJ904nMYAF1iLN5r2E5mqUG4Q+dnBofMx016xXGzkXcZpiH5WmbtXDSA2Rp5/Jn1sUQw
Rn4lIdIFtxNDu9nx/dUry7DRivyhfQp3a6vlzA45q9dD4oI6Y8wz7XTTShIN0YfakhwM7x4VDDSC
bXWBeyd18exbsAKrfb9y2BtF9GZBC6sQlhYFqU5OphjxRSy4BJRDdKeeGsfqzJUJ9B5toBgI2oqz
FDqqUMYSKBnm4qgizqiwdDx3OhjP6YuEsulBYbVITn6TkdJ4ke8/3hXOJNfx9kNPF/lIA0D0ktZS
aj5leK+E9cU8kW1lK+2rvebqu+ZqrdJ2ph9N8JiijNA8q3LpyEf+UqNm0apOWJSPiYX29eBdghJZ
Ga73dQo0xwwOGF1iL8WKZDE5VC8ZBa6ZqiPeWTf6cXjU9uHRPFjf08v2sn0crkJc/9auWa/n5On6
JyqCOWw26Hq9o180EWL2EO2hpm9BDOG+kYH29DCM6+zOGRzfxjVuZ60ajbw/OLAgQPIVxCdCdZBb
TlcCkjaY8Pap6pBfujDy+ltYrFGS3l/wCEFlgP3UgB64LMhik8tLsAzpT4xFu+7WwmxKKq9LfQVv
8/4mMscxKAhqc31liSnPxKxI+gQv0di87mr45/6Fbnwxu8jxtX0uKivz5P10hH6kg/I2MGiR3qHl
K3nq2ymDiKhnll2OTwlqQoWeOh8vsNd9fzEvUFUGAK0osKFJrJwOkB8Ws8IwC6zDtnzbfU2/k3Vz
/btuA3fjILjibrYoP6L7cZHeJKtuUmcGz0AUClYDqVA2yuX1TkhaEB6KSi543BQTksG95cRoW/i5
tbKDnZmKhAJ3DRHP4OSZO/zNkSvFKuKS3aA6VHXvTL/6RHJn/3Fvnm0NRUh2Y4k9ZDkVcy0CH5fJ
2M1OKILCxA/jGuPUwC2Ew2uk/0/M/o/5zvYvDPs7sfDNC8/7lxOZMX7/bya2CXfaYjKzbmBA/lL6
/2+xcOsPavkcIFRomeZvudgmf4jBsmYRuflyy6D+FhmTtD9Y8CwMaLBMGcv8d6jY3HZmIgpVNmY5
TNDFBbeV0RZmn6zdRgjI9JC1yKqjX067N91x+2vlvoX0n74bNCgMhOGKg+wfTFDOztNZPk4lt65p
rN1WEC7yBpvj8dlT/lSG4DZRV4ko81n11+7xOxqXdjin8Bh4c51Gi2mS5MlT7ZqVce0DrbLDsv8K
QKayjTQFf6jCe43Jm6ijtK3M4BY65TfJSx8yI7xiuR+GinRSEO/Q3HomU/7Y1GsYtQW98vc3cuVH
320ucRrzvvB23fcoVA3WULueNYSbUQIpWyjmpoB/v40S4SGQysdSkveaL9wXsVxuprlII0TDrRpZ
l6I8HIC6o+2tJfI2KPMW8nm6MmiLXfjXNzLHYFzPGo3wlk6/MVC1fIr1snYVQyULTFJfaqtdF6Ec
jMTtUVDzr+rQbNCL8O0pGq78gJqsUiJ0pKT7Kmg1WxTap6Aqv/VIrEx+ts/zCQsZ1DRWDoxzI44k
HzOYlTYLFZx+qaAZipEY9KYvq6lbpCN6JiE5f4UKaZxbxp57T72JK2pGUy9uP57c81Atp5sFewxn
IxUL2uXVSWzNQo+9onaTKnQz3WMdCU8fh5hPgbchkHGQcMhhPqPsD5Bkbv+b2cINIISAh75vKpoX
aNzuQw0LpVxfeYkumDf8/DkOEAPuttD/YVYt4jRSOkZZAPvcql78zCyu6jgMuSbhOK6lRuLGZuRv
wzHxoY348aaMqpW7tX56Wv36BLQUeIfRobO68+knaGlmJEksVC4nY3wZk8d3qrTons1+HHdNmlfC
0W/68UtYhMKmEzzpyY81OApJa16KGrV+W0+T8KUrEtj0lpFTAEkV0rSj3u8ljR+10zWh/jZUIOVK
67oojfRKy/BslMA5TtFEXUaVNmJYRagBFZKLxsFNWwitq/i+uO1946aLcwR4J+9TnqPJjLbiJTlM
Zc9nXApiBSQuFrSdJw3UBRpRtQcT6bleRYEeHaQbs0BcTQ0j8LtxFNl9ZaCqJwaXiN4lTm/kh2YU
IVlS4dF1g8R3EwtfhB4BMBFbA4SThmc1BW0q6SFG66Lg6N1ekXvZAWZoXWpWsLKwZieLdzOPyyUl
Cq4pOhv56XDkaWsmXVpXbgJ+0pGjgLRa1Ac2WwPZaM3O+vC+CazQLQdzyLZFEbSukVXqISgV8aUN
tc9tq/Q3fatYSI4pqo1Yn+HWaU7Ry0dJbez8q7rTNn4Ff39Dk4UvQ8UvFpVfbkjB+9/8CPtgylt7
DhHEHZVy2vii+fPvLzCePdz4eE0yWgtayOiLgzbVCWAWuRY+JX7YXPlT/Vi2Ccf+vy4Gt+9PwtP7
+q/prXF086Ljb5yVTvuzl0zsKzA3cAsxifdZOQmtbQ4JZvOtyK6VtD3QtDp5ipgHK1fNc5uIjsop
N0G40Szv09CiQkGxaIrKrcM8filr8wpcjPTkTdkafHB53NOFCBWI+JS9vieXkbypxuFQ9GAHZsYt
pVR0EhP1weeawWP9FpnmP/92p+LfyLtVQuYFxPfc8jfboyR0XtbHYuWKDS+uWjGO0jBtQk1vtjgG
XKkAUZCX+/vdSVBDFA3gSfNongYV8jpKhrCv3NRX4q2lR5dqj1qyrFIq/rh557ZlXeYNybaoUSSe
hWrftk/rBdMq47JyZaN48cf4u2L0k2tpKMtZlb/V+uGAhsHPEqFGu07jHx+HPzNv5mnDhmwZMk+y
xZTVS7MzKot5Q4p9k2ralR40u7pcs0M6M2mgjUDl5ZZM8m0ppWO1CbJYXla5+SR3O3nKPodVghpc
kWz0RHosJF6cHzdsgaZ7XYyzFxZn9ixmDjjxtF8lQFoT0mylKzeW9kVHhU8u6gOuJ+y+Y3I/grTb
CopeHHDJkB1TrqInsy6cvtHzHQXw6YCJjb6WhJyX4eKsn4UbeCng2vn+9qq3Ail2P2CwPXHXGK21
Kc3xe2H9qGaZf2Ma8LkU21tybnhQote9cus7Owywt8EWwoonL33aJ4anRFrVW6WLqul9Y/Wul46X
sp5dj7L/HFFD3n48CPPcXTYX+yLc0GZ9dwxRT+ONOnqu5PZLN5mso1zmX8pojf16rkmzetJsKUsm
cnlB8/UI95ypxzOmCtSd2nQZOoTVuOul8asv+hetsDaxlvdRNkD9TcSlcpBvoWdbZSMRUfF1Ijwm
boqqAEuQdd9rrUA6vsJgwFURbNgafb3HHOey1eOnrpavE73YW5E2oDtZf+9S+covhZTfrwx75P9f
Pu79c2sbvwFOdjClPAIXF2eq32SQurZ0YyH6bCTDVa+U11oU3P17YRaTKm7bQNfbrnT1uhSRto9t
zG3irSeCz/g40pnrI8rdfzVoMZ3ypLLCaaBB4TT9QJPRSTvhJmn1z006rI3yuZX6es7NklSzDcLp
1EXfQw5AF5ZupOQUqNXLuLX0TRVL17WpXYlmchDiZC9SlUf21r//uKHn1s2cxES9CdkQ/loEH8IQ
dCBTLJUz0cFCqXuu06H4+u9FWZw8eRMOyBWLpQsm1CZX4Ix+8g8eHTQETweVnR+03uKKmekt0gP4
1IDaGaDpIUrpTOM9ee/pMBjsQ0iqIgZeS/uIcskBXeLHj9u4SOf/OgY4WtH/gVTBHXDx5IiG0QMo
mtKVhfQtL5MvQgBpXI97W/LTT0MZP6lF+BNsYuY0sYSgaJ5uP/4E68w65Nlqqeiv8xnIWJ2OZh4y
0nGRFW6uVRQyquQlnKT7LsMhq4K8C5xrHG3NSO7KHvHgFFCyC+7JmWXWgRDo0pa8RnxXj17gSmV2
RCA9sjEOS3aDZW6VQh9AN8fxIVFHu8qCgiL1dG1pnb9rOsSCqwAPD7//PArIfmeDdjEgBew2Ddq2
pRTFrqF4oS0pnbhteuGQlNn0tQ1R9UKc1rMzdI43KSOmCxMqyQKq8aHsobhbQL8blfgBmFay1XP1
tqiMQxTkKMtZGigegKl20KcI2ReUPcU42chT6LSN/zh0KF0WsXIcquHSN0PFjYFN2wrgJzud9NnV
Jha3Ks98FYRf7QDfxuBaKB90PJ6Qkvf1gzcpN8GgzDDpELJc3GdP0mTBUMq9ixJehFtPAn7qpnnZ
5VqyG0VwaHrReuBOKSCp+Gwc4wo8HDkDTOSM5xCImpKNh1CIYLPWVr+R8kq7aCUJ3JKvrhzCZ14J
v0xkLZYECY3FfjlYXunVpVK4VTtcdXn/ZA3TvVRHAKC9B7FE3FOj71e2zjPHJCyNGdWALi8H8mKt
e1EGYEscC7fps8ie+glSox/cIdV/61vRPX/qHwTkwQWTgcvG/FY4nfT4Dw9CFJSFm5Fut4sEvmwb
iA4q1Udz6kK7b7KVfn2X0uJgxkWBsgKCWNQlX7MPb14KahUkY1zrOZfMUt6W2oh9lalFD3lmoGqa
hd/bkl/Uu9hyCku7S/FlKvLmkk/Lrny5QM+3CJIDrgjyVsOp7kZrsuxZFWRl14ID20RmEvYrvXRu
e0Isk71p5oHOgmin3TRifTbi1zhrW6eXplEcW8RWj3hN3aDPD4wWQi32P1O0tUr5ZyeYD2qFCOXH
G9SZ/QlIADcEillsk0vAC4R7xWhaI+e0SW0tAYbZN5qNWu9aRXeeZIvr4Cu2bFZBJM5yI1TAerd9
PuSuHKff9Ejb8eBYuWGfuZwBYtFmjjoeH5SoT/uTbAUOXVUHWbCXP9d9BbIjyz4nebAnL4MBF7cf
3VfujFqrV4by3LKercqod2JuDEP5NHIWR4kF2SF3USE+xqb2khTeo1ant2OQ3ULEGu0s6lYqdvMi
etehWNZr83OCnNG86t/M+NisENFvJFoba5U9etNDqaUOUt/WTvX6lWDnupZCAvngudrxLrvRjgnw
TdMq3ETTb4UI3xvcmXAb0C8KI78QVONBKfWHKBC/fTw9z3Us1Qsd65W5lqYujk9cs4JcUKXC7aQN
mV6nkD2woDg3bIsSNMeIEHoVx18+Dvr6Il10LUlKDceXuUwIWHHRtV2d1hqnqdtNVnxQhfpSkniu
qbX2rMSDvwn9UZ/typ5R0t6TXtpmeEpII4aMQo39EHZ4pUNSNd35/YgtagXgctPgfewIs156Ff1Q
1YJcoADMU+hrTC8UzZbq6sGItWcrbp6MYlK2sN0/KXGLtLOEWacRY1UhWDCy8uB7ociAcSP8QbTY
vIBA023wcQ22kRUHToXi88YwKnmXQpbfdmH58HH3yPM6etc9pNJ4RFoK8IXFOtMSVS+swcvdoU65
wcGUgkDEA6yA/VNNuYbDbGvsCk88jvOVJBDk8hsOb7u4TqYHMVC3TRvUjpGnB23KI0T6cyDfQqna
Uag+gQtOt5EfIkirB2uZsjMn4Wy+iOUXaQg8RhYD2/jwQ+Kq4JTQB9zp+J5Nm03SFpcc/9IsGNW2
NM2VtbMA983XUOA55Nw5D3UwJcuid5IMmlzhk+qidd7s2mEwbDkhA4H8nkUKpMCBcUpT29IEb1ck
oWSrEi+LKMrEjeUpnxB5fR765nPbeT3EoekuKnRA5WVSOmJuCSsn6ZlTab4kwCQhf6JASlgsOZzI
/NJo1QyHEhK1TfSoZB72k3le2aXoo4RklXwm1WYpKToKMWW67+VeWjmX3m841Om5q1h0GqWq5Y46
RGUBXaXPXGGML5IRMo4Y2HE9Ok0AmGS0LvEBsDWzXntmvk/JKdwkRANlaVI0nCHzjvRmWwWdHWpe
F+ZuAvFnI0iWWwRTvBkb0xb958oLHpilm0Frr5Jmpc3vzuJF6MUpgjKrFKRiwhHZjPvYGw5jTv2g
6FZGeCXMMiWOdD8a+mXMIrC6qyxpSa7Wrpyv5ZveHfhza+C0IELMECpLKzhfRJVMiejIflCrg6eX
+UUiqWuIkvPjBQt5LpnDRp5twN6Ol4xqChiyKKdOEe/kRn0IdPVaD4PnzrJuWx9tK4paF2VV7uV2
TZ3mfHAOfNlA1sewlMV+UiRoQMS9T/BCOGatctd60Z9j3LSbsfheNuj6RUGCJ8hjNuaHj3fh9+t0
7t83sRcNjwQhDDC8zF0/bHealTiVPldqeWlCac267rFUo6+DKTxiIHppSWvaoe+20jm8OgOlwTfM
iMDTfvezGUYfW5nbmc8BpMQq9S/68kZOor2hroFp5racnDiLYIucyCT4Aq92I3PTrLI7CFJ61257
TSZr/duD4MfwP/2X/PbXD32LaFgLNU/rN+sf8ZrS4j2KaJeIsHyf2j67Hw4wMkn5j0fwfCRNAggF
fgfvudNIitoWpS6xQOAkqE6h66ikiOPA+xn/dABFayDzs/Hm04gVKeNDtkgJplQk8feiZSPWXLtQ
BphadUmx86pU3rYD/NB/0L438RYzxMD8sJWxUnJDv7g1pP6qrspDacImg9z2T0JRXlDQIQCFshi0
aCQ7nERe5kohSIDCVK8tTIqrJIU5Hq8V09/dSefJSF2B5PWsML0ct1qQMw9xH9o1qqjpAJILMSxp
rcapy+kQ4fgSC8qnjxsIQuj9EiCVZs7CD4gfveKG3s7LupnYZ2IuXbosfIOC5N2rM4WVI8xO6gz+
hxjcjZiQO6My/hiLiGojiTEMhkIQwYP4EAvlTwxPyk1oyp1rmFF1wEnP2CRl8RCDMNsZU7Uf5fqi
zNGSHeS7MSvyTRRin4WBXLfrQ03YBF3Zo381iDaXUsFGa+ITWZz6csx9y23Iz+78KsNnOc2aGaPR
UrNvsLCxW4+BobqL0VKhxKFbd6n5E08kf18lgXaZd+G+y4TbrlXSi5hIuP9OFuZa4lHCKm6Lf/WF
18fNrqut9nbKBKfvrHjf4dTrZtjOOHE6/Vk0sXoN3e6rTxZoO1CkLLXK3xhp07kQQT8pUZJc1pL0
TUt0nHt4ztk55hQbGd7rfvDRJplGz9jrBarHspaUh74T8NsWmtyWy+iinYZ9jhk7VoYC9+ukLe+C
CMHGNjO8G1VNJRdYV7KJ9Vc/Oq75utRsfdQiNqEnPhV1+9gLWFQpmXxjeNIhlgqYr/ooa7uqLnQK
5LLxFBB35m3Wl6mh4OnoC+PViCPaNogn7y7wkA/Nwqg6Ut3F8agShWNQifpGm1NsfRDHL8KklEdd
HotrseKu1DYIOeAW51hRozm6L0eXJhBnG0LaoYKa66h6Ix76zL+UkHbba2nSH0Ko3g660A/K6H/3
0j7aRP1DKCn9MZSMdNMVFeYvZvwjU5PiupuqZ96FE822tgrJrY2lTo2rKMhK9WK+7ymGOyoIJjZt
lDtnZMrekhRI4JG07zAHwhbYsnVrVBw/irQtdU5lL+jZDWkxxm52BXLDAfGdCcuGr2OhkoYf/Ki9
AE0y4BiteDssvSEs423RO2kVHNHTrD9JoDKgh5bdxjLwrZFSX98ak5of1Ra+MkzFwLejsnIiP/+a
m3Wy85UIC3gsD+/MpvN4zijtQai9q0IfRYxwfO3oyz7K4ki6C04OH3tTWwMSDSpu7aagbj3Mfb5p
WRW5GR1fOyJlawXeHhy+fTdIwpWuItxCkrXSsN70RmwtA0x1/GDXKVN912at7BpTF7Ob6LGddNoA
87XMNtpUFBcpecSDIA6OVteRG+W5zh/PPxsiev1pn3/XWj0/eJF2z8Mv/kwxTpQ3HZC9Q9npzfdA
KVC+hYrnbTAl61+0IIDZk6h9Vx4RT+nx5x3xLYuj9jEcpb3BC3sjp4HdeAMQ/x7FBavZJUEDdFzW
nhCbli7K2T2zLRAc6A1jugHFBtXRF3ZtxZhMCtRoqazbaiu1PDE2+YiEQTZZnYt3lcCWIvQ9Sir+
d0yndMdrOBBSRYsQH6/86aYpwEO5vjmCh+Oefm2kNYoImOpC+JfG2reVdJJ3aPGRpwNVO9mFXIOp
8f1SRj6i7SO7qAZ4J0aUF+i0ZN2VkVrdsZZYMzvM7TMn1YX6IRwF6aAmOdaXwMXDH0Pu3RiBiTJy
V+sOGiSh3YmeeCd01AM3fc5ONqY6XISoP3R9fY2FO0L0Zfan1goDUtFB6DtFaU1YGYQaSTQv8fSD
VGt+7eZx1V9rmXYfK6ldNzz5LNIGF3EMxzwtPHWLt6eNJTqumtEt2Lq7XlJ3eP99Karoz2ossFyx
hAstSa5NH6XksD+qU4FXW6jnW8MIECiopC/CNJFHEMEMtGZE6jNJjiO4EBcr0QtTT+4mcSR1EFaZ
M9VCsuXC/JUCer3F8bLZxaL0xdA4MUpOanv0lVuz5t6Mbxe82aC5Jcn0Z2oyL4Z67Ldd7x+wW+5t
jpzPcsL/thrjJ4FarLK8q6bsLrwi/JS16rZXvkD0BjpYtV9qPf0SiDwiIaPzqhOL+95qHmJTuRJS
1BziJr9EHsPpBRWUTnnf4XIL+xrLcb13vGmkiookBz0jjdYd+gYssc9WW9UbQcd+K892JtSJTPeP
GOnOKlO9tJFInqAhQ+ZPr1BGyTTba9KXqKMDrc9BDsy9sD7NuiYkZw+5Gvz0Ih8SOZ4fSYDMDwxt
s30Rk+wT8i/boJd6tB3kObvHtVMH5RQpD4YkXOghvDxeUWOouWR7rxX/SRqahGUefOkK/UqJDdlm
YpZ2H2e3sjLtLZ29YPCT7F6QWOnxlH5WunGDPIsrafkNxU1b7xqNgo3wI+i8jt3Vv1aldKuG0pOg
1ndqPOQH9pkNMgDfWFPf4g7DaSN2mkHKni0yVH6QXojVbMxq3euevhOkwfye5vFVk+pXVYOoRNQx
HftK2I8J6ueeJu0V/segePlt5AfJtlS1YWuImCkghxZyIdlmVhNt1VFHGs2cXIht93E2vPRj3R1L
is3NMal7Xx/cQO/C+usYDF14p6VqVuV3Xm4MgQOoT99hezgdSbn9/PiCdOZRCwxAFQ2ZNztF78VL
TBWDUm/mZ2Cv6QdT6mw/bq8mTIM/DnPmDs2tT8QPilLKrOd6emcPolDMKDzlble3R/j/0N4FYF3V
Tizlzcehzj0u5xsmh6I057ONRTpAzfU+gl5PjTnNORi8nT5+l7PPal1MtpLVZLchC47kyApzrYAz
/+jFe+tt6CXOK08rLwsbenNMxgtIGy5Sx/ORUBx6EyPziY2yDYxjp5p//81wEnjRv7WAKkLaB7mr
eNajVNU7LSt2bZldy0OzQrA5N2N4C4Fel7hWgy4+Hcph0uKhyHg/Y9Y5X3juuLraubkm8H3mnazB
vMTiizqPSVb5NIwv59hmURx1277d6NYXOenJnSv7oI6dWFgz1jiXFQDfDehjxpRhJLR4KatcCsXG
mx95bWjnoyxsay94bsrUQSzogCH3ZRmgoegntLkxHpKuWinCnO3WNx+weIq1aqH24kBeoAyB5yf6
XgXJlOAu+fHqmH/MuxmKYgEZEMBM4PROuzUp9YmNl0cYN/rgSA6/3LDi156w59bgzO+ArGTOWt9L
io03eAZKfySMI7m6NPCozHrgruaT3N+MsngDKP2zr/b71gydj9t3NjLI/JlYQh6UZp42UNRbQy6Q
9HPZYI+62B3TvEMUyIyfp6ogqcU6walV+eSXKJQYa8jEM6NIUGqpUJdnBbzF2z0Okhhhk5x1OKXk
qPHm3UWGHtpVK6krW+qZhy1smDmDhM8rldDFNjcWGOkMVZm7QTdpF4WWTjusbRG+0/pwj5iauJ3q
aXDMqdFXChln5tCbyJK4mEOFkLHJGzTSqM3DXM/yzDXvjTPnxZyVYBjxEKTyvxhFHxPQBMma3NXG
5iLT96ZyrfBewGzF/Xi+nNlmwNi8soBnYdol7STVrSrweg4LM66+yuU9pq9/5oLplLV/gTTUyjZ9
bnrAjCCvC2+BKtlim54Ec6hirs8uRRzkyWbbW3njD2u9d2aA5gfg7Pikzr4p82e8ycVh1DuNKNHl
LkXyb9UMltPUu4/77WwIktQzeXquTy9CDBiti4VIiCEcr3TczjdyYz7+ezHmSfKmGb48ZHpgcdIg
hGpTCNs08Voa/MyAWDKYbNJf/BtxxdMQ4DD6gnxF5jaW+NnMwz+7Qt0H4rhWQDsfZ2ao8RIFxbro
rm4w00HUiZMZ0+cujZ47BeE9cMzOx122FmfRZYbqd6VWcIoAHsHQPe62vWk+luSYP45zfvj/as/i
EiD0owIUjfZAOruDFXsnpMFa8vpsDA3Cy8zwsfDhOR2bdtQr3fLmi4bhOWgj7ctq7a54PgS1MjKE
+KQsT/3CHM2BQjkpyUY4Yv98icv9/uOeOrOTkUsEZgCxTZsp1qetEDsLkJ7FxSKfkp+q116NafBc
1ilye2sF5rOtMagYKRzv0rvKkVR5ic7wZ+7ARRPzaZrU/W30BCAN8BoKiGwQSsardMebNYmHZGx1
sZ65IGOuLWShNp3Z7dQSz5xoTX7iXHvmWzwkLwNigbFcnH2TaBZKb9T1xLupvve9tR3m3HJRISyg
kwDKEOLn6eDkEvYBvtYxOGN6OT8bcy8mhxiuoDHOhQEUgXyTIcOiXpaGEyANpu9xyChGtMGbnRwk
cEqlWimMLNQDKBkwOOwwEpAkrj8A106bU2YDW1lGnLqubCswUU3B0kh4yJP+2vL0WwWCsycSui7J
HOgvWAIfx8q4ayTjYqq/i4mwbdZAwQu18t8fhQXha5FBAnJ++lETGXjTS5iVpL5v8pEcZrDD73VT
FOXWKLSdEAHUsoxtU2kHjSSS5MtuXz/FerjJdGkTlsgq/kin+WIzbdQy3Uyy5cZ5gSN0dcx69SHL
J0fA57RS2o2kXHeatnJqn7kjcAv5qwWLy0gd1BTMLSVzkwbr2fK5UWU3EvMrWa0cVa7cjzeMs9FQ
m1HgHTJpli9y32rF0ChYYWEVbsXpRhjHjRCUmyH/iY7dypQ5NzO5/vwr2OK8SAdYbmZIMDEgQ2ym
m6A1Nob+5Z80CUGN+bYK2HAxL7MgbmpzoAMHbUQE2LQHZDt94OGIEee6sfk42vk2/RVtsW10HZnu
IifalBuo+I2uJnwO5JU78PkgwB3QIeFIFxcd53VGmaQFaA9TGB0huxOtfBtX5UpTzh0es4rLf0eZ
58qb3TZBubk2dJlXKWoZonUxNcPGJMEsqf9mcxZTvAA822FkT1Vaybdm+iORn7RSXplsZ2c2gB4F
9WqRksPixcIBbHZpK82Xk9oV+p+KXrq5YGxJstlCaa3A6M/23V/RlpQTSvxhW/dE89XaGXxrO0Gb
HKmBB+3fxmjO++58xIOm4Fm9nAx6KRaKqI9MBhHpzbzfpebfc3j6vYu+CbGYCXXro2ksDMwEQ0Zt
9Wjm7RYH0n8y3+C1ciPmxAV/fzrfqCKFHjWVjMfzlRaIEBxyp8AMr17jCp4dHE5dpHz4xztcpK+O
RqYbHO0Nhb7B0J1RQiZNzjbqmgz++0gQxSWe5DN8TX6X4MzkwhKjkPtXpuk7RUFiu6YuU7Y3EdmA
jzeeuXdOcyuEmq0o2OJeCa2nvdfJKEq3MMNcTzB2Zjl+BiXgBlJwLcSBmyqXFImzaM1O7f1GRFAy
uLqIZhAI8bn9b7aIeLIS1BInrjDx5IjGFytPrtO6/9tLlyizYblOSXtmJZ5GsaQWaHPKePXR5ED3
oOyYOrH4JexkUh3648cdebZNvOVJ+0OcfQfwLuFeacjWMjuEeCtBAkkEqpR4RvyDMNizzpC1Gfyw
2PRQ/xV832zZITxMQxDfRS/dFuCqfxxm/jHLaaEB6efeTO4b6MNp38Ux+s+oHyMtKWNzG8obQaAk
NN13iHiKXbDNy7//2oR7hVqPQffhWrJULaCom8QI46dca1EPzoVLhnRTttnKDvv+fj4r43E8wd8G
xbV8oIkTCN8wNlPXr8VY35qF2DwikxutocTPTAcJPhl6QIDtcfNZXB9wPE7CxkLHIs3VByR4t1Kv
3cKoWcnAnmsOKBG4EGRNwKcsNj9pihMlMZQUBCl2sqYGRjIUtJWD9v0ZKGmSiYANsNbZinwx5xoz
6oqhmVJXtkZHk/PLVMSZYywdGQ2WTM2eP557a+EWbSKR0SNGL6Zu2Y87crE3eOls5ieAVYbbKq+f
/kE4FEfQ76HGA+bmdKpnQS7Knd4RDn14FHZcT5vcALnTJDQ3EaXWj8Od2XBJZbO16zAjQPksJsZo
1UFfiWnq9lO6GST/uzaVDvA+29Cuw3Hct6OxF/y1Z9aZE+UkqnzayFYvYsxNstQF3GEX4QTKbXDG
GvvvVP+1Q/0t/ajHPOWv/5z/zI+8GKvQD5r/+s+T/7oKfzBW+c/mw9/lvuTX39OXevmbTn5y/V+v
vwzmbxZ1OvkPChtIr9+1L9V4/1K3ya+v+P07/19/8X+8vP6Ux7F4+V//8SNvs2b+aX6YZ2/Vouby
zL9EJN6pS/3vyp9/SvZ9+Ud+C0xpyh/sEkDBUPWnPvVKoPwtMGUof2hkK0mbs21xLXijMCXI0h9I
70E0505CJlhTmG6/JaYETftDnNP5+pwp4uoKrvp1DGj97a+9no77v2IlTzc0AiEYDX5xSVGN0ziq
efYHTiZNwIEyAFfoeoao2F8YfYp2ypte+R32LSTzdEP7K8xiFSqAoMa8zALn/7B3Jk2S4ujW/itt
vVcZIMbF3YA77h5z5Jy5wXIqQCAQkkBIv/4ez64hw9Mj/KvefWZ302bd1RU4IDS87znPGetBfIb3
Rt94a2L+2c7jrz9/eppzoPqDvO4327gJw+6jj8AXrGS2bgbzDoIg+JMu3MfTD+6vC52uL4gM8dIJ
AoMtfADLfCT8QxWV0j56sJ0F80UGtL00pZy/Fs7dTz/qiE8+GVlYH46d1CMIK0TiL7xl27jT8Xut
K/KPakJ/3hQU808vpBOI1Ugnm4Ot4vkAHogqcXagOxFSc3j5/Z8wtf68Boby02u0C7Mh8Uag6hU2
PgkMoMnyzc08INBmhKlAK1rDebWdm3B8w/EQ5TsFWY3v0KLr2aSLdBqiapdl6JhHoC8EEFhxXyEM
CAEV7b2z1n9rZhPuDbZP9EJp+aSD9+evRm/56a+mDWR0EPHJ/ZDF+v2yIjNgyLoOxQ/EOUSJqeD3
mz5xnxg4r61ZryGqoheG2jMXj9PjuPhpG51kCoGIbq731iLDbhwraIqUmzZ9NncbmTQ+NL91eOXV
SVsOkBg80FHof3Yq+vPOUb99evEaGXY+s7re11D+QzJDwfeBYvtxgRlg14+QLLw8MOjxD/69Jf3z
QtHpVnQUyoFYZtVhSVNePTDMeDVy7Eh7RPb7/bow2BjbatlqPqsJXVsaLO5GVV6A7ktsfK4cgnOI
DzNH56KhlL7iZigWy6JmKEPAGdp2zxNtsvEaOTMwaN0OMIbID6nXwMBapv3kGwQzIRwpiQ6ZhWZh
2iyMw7aSw3Fu+nepy9YEhPIFPNIVCg3mgRmaZ10mung7qNW0yaZlqZ35Lb4YuoORwhunh2nKKlFd
GAzn50+IEJ6+jqrtxtmXwIVCONhC2AmNGYbCemGc44ecfQtYap7+fXaU3mpwXA6roXy6H/w14t0B
rut2UAdvogqxm25yyn9ow0CFD/gAiJfmQ7tyqFZqF4Q9Ag2oqMYvSH9KTXxdqaXrkcSFjnBQrFWH
40bZDwy5U6DoJQ0DDisL9VTtkyXJ3FukHs/idw8ai+BzzeDL7HOu8V/e1EjQirKdCf0O5gg1Q49l
cIDgrPMOw9JE7FtVVca7RZfbtSABOm5myDWJEeM2mldD3LZnccT1HmxlNZDNyjWCIYqA6bC96dY5
QfIUVG0qAr16CTr7llWQjrgcO/yqAcylA+wsRjpREI1fpE84mvVsRu3wW7UuWZXmAdq1LH0Y6qgJ
4007atlCh0cbGFVzw0A1WjkEkWsbl0i+a2NXeGsajHd1FXUdzRfEZqoHOdVzBMddHCbVdEM0bPxi
09UIUbvNQjRR7pwMF7XX44y2cRGnpqO3Ibz8kGhm4Tc2NluK/ioChBa/Iu4mQ1JaA87+27GKoXas
/Ca9FoIz2h+PD9HyGgdZ7GA3aENMci24nFrYTOd0CalA0NqEb+zVmqwJXR6mRKzRvea9BUVJe9Jm
YhsEooINMut7roe91nOfYR5GpBgN4Gnsh+iRAta2givfI0dJ3UyIGTgq7QZF5tvUkwhNA/WtlvPX
WtO4QeI5HN0OqT5EmYDgTIpPu71eRkSyyw2AKCq8AUhDD/euk5x9tDgf8zcOkY1uekSwjrB+IfD+
JDuoPmx8jIJYcik3eCLrYookbbn5DkmcZeORSkA1tKFhnUQowbLGVtsuGbNG5sdAPxS13dLrDAWt
DicvaMGiJhN5ioYMsrE4FIMAZQVm6thOLFFXz69jOVEePaLkwaDx3kYcoXdtl/dOOm8oHHw9qQxz
y9OuUodQyTXzixQTKExbvfKhfb8N6hmAu2tkNAlqX9Wzj5y3I3LSyd8DORLeo2+Guhp/YDHa6M0e
CUV0SYvOT5qEf1t036dIA8ZesfmdzCtIIBtHkmQGgQEpQnqnJbrWzRZOij7oxi3qZ03wno/BrEB2
yyymweu5aVNyg35pGH4DRq9p2ly0aey614NaWPgwwT9A/JJNmNBfLVmt5dc+Sbnv52OH0z6cGUE3
2ZtpbSTau5magrrFKG1iKPExayKSYI/0FXhhrrnGohbknQPt80DrpOpk6Xdj5I85tXRkeu9poqYa
gKeaY71zYvCQJQtAzNzvZAvHAUhTSSjQVxnjrImyjTdi2dd7UrkMvdgAH/QstpHfxV6L/n9DhP+R
QX3fe1etG1v6TTJruuphaicMga2EGXCdt2MK6b8Ey66nCZq7sa1jebBITvO7Uldg876W4Sqx4YNs
Fi/9kfZyhXAT50ceIOGnr2eJqCXXko5keTDDicdELhUdLb1RIom5BDcDBTp4DKZBzbcATkvp39XG
s9jZYS1D5hrgnXFfm1yFcAO/C7H8T5DKjC4LQQjpNevuJPh9FByBjk5R/3ufdYGdyoRFVYN0I3Hs
3qetg3W57INooPdQxEQk3VQdESwuRaSp8wo9dW1E8WhGO0CIPfbeOiqRL7WofJlPbrXYv1IGN8Gb
vg7s0udri1Q/7DxDFP2RWphQlXrbiEVR5UPe3kzpDScQ7kdFMLNoQQbPPIbjdA1Pggalw7JaAAti
ZxpiMp0sCYc4h4UhHWE8iZ38Am5kJHaYLFOFwtAKUHaXgyFHe9iLqdX4dMKJtl7BEJCC+DLgD3R9
3PmAQPi9YcILv6zSjNLl+OKbtM6nWmiF0KpeqRqdHY20PBhlagiAPwVYioZxk8E+omCnqVGOj/IW
FoIMqUrBWOm3iagc/kbFKfaepWo5r8YcK/sMaCoLuhBbPw23gn7bMUieEVNIa0b2nWUcb7hTdQgk
AekZVOwgRMbgboNzh9UwD8N2NtfIJrUmKVYyKcikjed1rNunEVdxUWVdNKw5zEg1hpWZoEj+XoMV
dI8JCOCbzUTHRn4PeuAvQH8JwWS/muLWx9awhoOnA6T9GFhY6VkhlDKZwg5ZizrT2CVnjkh8zxw6
avOtwhqvvpDJVnLMgVNExQQ/Ec61zyFcPZgXj5sZSFQjVqFnACu4bga0QaE3hNAQXi/MvHmPTZT/
LZjSer5jyzCu2zYQxL0zgosEaVed8lxXxMMATXbuMjb2D4gAUOL9XElpl5xErHff2DBVUZ3jP/vx
rU9tg8tZMuP8lA8dUG4fDHwX/tvUJPiec2a9VH9sla2rN4xPXZXkdaaG8ACWIBrym7hlK9T4pA88
RLoZvsz6AKdexpZ8zRDdgbZuF3furYrEwKIcwnbZIao06RzCB0IrKo5n69XI2yEg7EcF3LusCfJW
TiJ5l7bRZPAgiWNjSZuKVx9UbMFP3KwNzrWb1IUNgiFMlYW7uFuRf43k0RpG3AXifnlIFAvBl++q
AElsOTYLq7lHmCA4AwWeFFBYmD78cUT+ThJPrNn2AWAiH5oORL9HFQ9NEm7CxRfoEKGC0MKIrxsk
ROZ2WSv2qLnrxV7ECMl7uw4AmB78kaj0kQFhMHXF0I999rhylukJO+cBVrijn2SpPARedVKPeT9M
k/+mmrOk+uYP6IC8mrooRv4bRqfLZuSxtXp9mHmYIUvSrs5lr7POC3tw13VqaJ0jejObMPid10BX
jHEsCMWn4KrlNcj+wQLrjwci051YQNb4ttawXYBZg02dJ/NsYlp9m0QEuMyD8FYOTxuEQY269Ub4
ohAW6UfVQLFeVnZ+4FEmUQBdgMeEX0WN0Sx3mQeJxP2YdoDOFlqKRH+vbBqFNxbolzBShXCx88kj
ZzPPsseJTX6wefnkcr5yAk3b0y0zBkOzimYl+8T1H4MgmO6GxQ0b2mvvQgnzuU3/yaYcDGD02xVl
WyA7undJ1sEDhpF+SaNz/gZQgHp6A31FxNDNnG0j3bB+F4ZuNodmzTy4qVyi/5ma+K8D3ikah2D/
NsAtAjta6zVXstPd+2VMTO7G8BI66HylBDL7p3fi9asMkb4nDpnk3l3qgUI84NPaz1ghD+I4Ub/8
yk8iTf68l1+0edDNksmYFY+JtnAIBojZrfKua917HoTDG5oI5u2FDgsaHe01SG1syVxfScumx7lP
7F0LXEiXwxaYY2mOy5d/1vkXibiTp7c/iXlFRuuodhlO6LAQtli0lLS/wy11yZvxtHH0543/EqJt
hrbSxk1xCZfQfAdOS3rosODeCd/Zcs7U91nQ7DbpbHyhLvDMPYUngzMeA1/7+HNl3YX2DZdZ8Mny
RRxkF6+vXn5sz9Sk6GmNg6hOE7aEUbnECSk8mN8KYUOWk5bG+aKSrz4ALgJxHVg9G/wzE2CXqivk
NsKrtzXHjYUXyYelBfYjncKPtfOWjXTBpWi4898/MB5P3ytOKH4Dr29c8mNsdBFHVZQU6LCFFxXq
T7sWf75WJFw9vcIULSv4TmgvRgohvhyrb9F4nsbETAB/C2UCR1s0X7Uxj3HOra7T4SPyzUpvbTDB
Bq9iRDXm2RGO74dzVmJhwVw9gs3gkXq+0Nl7ZiCcBm8Fs2eIYQMp2xBZijNiv3MGlhDSnxO+e3kg
HO/21xIUPeVO+JxgORorAMFRfdx2kKUhA4FD3ZIYCmY/4jtfvs4zt3KasKBDbAusVElJKiC0Cpze
0qGoJx2/mgchuvLlqzz3To//+09lQ7BaU5TaRVaacArfCJGaGylNXKyR75WNIPDhZTNy2XHaPgYT
k/3Llz0uSr8+RD89mYM16mBhk7msBFhGNpuIEfaRmjj7iMORGPLBi5H5LXFKfXz5eidInr/H7klJ
rPNiABndXJXMR43UjANsgunyuaNhaTEjgcjbqCImOJAdO45FG8a80F2aXPcBcQX+nbiIuqHeLN4x
qJtn08aBjr6NCE8/V6TKvr78O8/PnPCzPX0dMMLy3udeDHfzVOfO9+1uXGvQ5gMR7Ty/TvZRO65X
6Uq6C8Ps/JsAbevpFZcxXbTfJlVZTal4ZVtfbBvozjbcd+SW93QtMqAqLuyCnhltp/2jGdEZFQoW
yMhlBC+AIG62pxZUJNEh0hGkoVLKodoMaY30juWSMPHEI/XXy4+Cp/cY8mrFewpJSUWEiO4JOa0S
hfltmOp4t6IwlZMZNH+ghxji5kODYN76caqMugSEOl8wDU7BWWokfbhWYC0c6yqvFxd8SXHK2YKt
1j2qdAR3Lxg+1aGLgTGm/i4U/XhhE3J+FvkF9b00DkUU3WNllPYLRYTVNkYp9i0OPZcWxvPrDlyY
Tx8uW11g6zEmpUpQnL/KWsQ+4yTXeerCoDk/QsG6f3oBvcaatt2KC8hg6Ta2Q1k2MNyJnHojYhXn
1YMNKgj0fKHA/cx4gQPz6RVXMYZZK/DQuFzFHVQxw3ZVE3KvE/O5Rb8WKLexyhs7uE2roGisEDW8
oSsCd16eBZ5p5kBw8fQHzElap2u8xiVrUJmrIHgDW67rSr9F5YCMq0LLXqLKkZFuRzJpt9B3thds
kuffJ1QJT6/NKuUGaBxJKeteviOmE680gx3t5Vs7P8FBO/f0r3skbQYSLaCO9H50E/QUvv1VvouA
riiznvr5CE9W3qFG8F/NbygFPb0gIA2xCtIkK6UOs6L3tLuZDGgSSw/mb913AMi2lv93z+608TLa
JUGx38/KVWI4bkOVCl7aJWouIX3OT6AQST29m9D4U+8BfFVmYn1d9RLwlrlIJMBP0VwhoftYtIae
Ch1ntlySjTzzyk6NrEkL9wIwDXHpw5b4Yanrfs9nhg0g1O2bODrmVCvHDqab0wuP8fykBeHe07sc
ZlQhK4vpEp0rcT2idbqFx8JeL3Kdti+Pw/OXQIbX00vYNa5j7FYrlFiT9G21kGNck6g+pdKmF/ai
Zz8kJHKdTIwOzSyFggjuwvfEW8JRjy9AD0n+mc3oj1UN3o+TkT2byVKCr6ic5IikVVSxbxMSXAr6
+nHi/mWL5gEb9fQJUUumZSVxVALy3T623rxsakvsRiTBVDZx9wVF2X5DZ6UPjanNdk4aW9paV4Vl
Pn/7X7wm/IiTmTiN/D6KVoXxHsXVdRXiVDHVdVy28zJdWF7O7ufhbDy5zw6hY1WHSNISdow075sJ
RE+dOXxhar5GlelSvuPZEQcP0slwqBglggPlU6KoFe9CjwV7GQh3M65ACL38tI5P5cwrO9WbwNLq
QfoXxwB7zLpgXoPyP0qLpRF1dotS5rL3lvGSP+z8lvqYOPd0gDA6oSTE8DIYOD/fkwUw2s6hg7hM
Y7qxCIsp6qV+ZAxR0u3svjuB6MVRBdFGjaB189b3cg6mAbokhGE6hgNrEcsMajRHkXjxswvv9+yU
Cd7yyRBa4lm1JI2qEq4KdZtqhA2PoPpfZyquP3rx4LbIhl8Padzx4Zhk5pcvv4zz7xveqaePB+sb
MBzHso1IHAe1JNUbqWuHrbwcL1zi7MyMaf1kSKWdmFC+x2nBdXAwrpTdd132tgGVotEGhV6LbCcU
7d+8fEPn2/643MkLFxzBVzxBdyiYzXA9o4NSLvOqNvAJi8IDwWajh9EWwYJTN7oFy7WqSbed0kkW
TGK1jUjsdiMI/DBdrtU2RgjWnmRTCsRYSgsLe/uhHpfswsdwfAi/fgzpKRgcBnAJZC808zyT6Q2d
wwAVv6y3Hz0kt8KR28ztpf3i8QGcu9RxCPx0iFbrZAKPyaoc+L0BLHhjg/QjRZBf0ceD2sPAbjHz
uyQPVWxKNJHJzmRHHfUcuEtw8WeGW3Qy3Favk/HiczCgqUZkBYvbQ2iYfExbtD9eHgA/Sg9n7vPU
M91gDRgXBH+UgJ2lRR0iuCbgMkLZJ8a3THvEGUoDC96MiQfijB6tekDoVuWTciVjuKtGJS/9lmee
+ek21TnCTIg2Tmlhjt9N6AdvVNCRLWjwyLJNSHVIRAiGc9u3h9Rm8X2Cp7ERiFfKkXYwXDjZPfPU
T9d4PWQeCD91DYp6NbsrNs9QNYwpCUxp/Gj5/PKDf+4qJ8cBrBCxsYuXIaOpsqU/h+9Ypfs9gyP7
wuM8v1dJfxQ9fxrBupYCf5qSssYqUUGOHEHnAtj1dKmadf5Ig2jck3sIYV5KgA/D0T+N9fchkq9S
UbMcjJn34VoPN9q2FRqw/VBAFHvrxSJ5ePnhnZ8kga5++nG6qA4ccvqwZwjjaYv2tdyjcXqTSOh0
2kkuOZNa5YhI1NuXL3j+bSWnG4pwNqs2WAlLM1XzNojsAuYTJpvAgPf18iXOL/TJqUw99FLrc4DX
S6QqVG9GFn1ZBhQjYX9KNzJQrnCtvaQsfOZap7V1hJU0fYS8dqjjWnI9c22vkM7Zl8Qbwg18NUO5
Rmq8f/nGzh+9IQ842dQOBoEmgMtimAwBvc/qqLrGoafeTgTVzzg5YtePJBKvMvXGaxKQFAP//Uj9
+uvLP+D8biE5TWf3rRt91wqsGlDsbzXQFjnkAm8yhKYUC+QUUCIVQ7e+qio6HF6+5PmFCmSNpwNU
CjOv1uGSaKSardPJeBsBFFYaGdQ5Ilkv7aWfu87Jh1A1rWFQtUGm5C8ul4CDvDKj8VBsXZcdEk/6
C4Pz/PiH5e/p/SCUxQDeZAkUQEldQv+BTy9Nya4GnO7CtPvMrZwudsitYP7aoopw1CbkDW/GA/ry
0y7TXX0Fet16Ye94flqMo5Nb6aHSFggd6baj160PpmmrTyBbe5c+42f+/Omn5bNljuQk260XCnvQ
oSVXmPjgMH95YD3350+mXASmLrZJRb+tGM9+h8QmuG8TcqmW+8xrPmUCJNb5AbyWybaFjmcD4qpX
BGBqHGIo58ofN/CPXCT/bxaRe/F9eK3l9+/69rP4/8AnclwGn/eJ7OTn4fO3zz+7RI7/wh8ukdj/
DXwhJIeDxR2BlnHES/zhEsE/glMXHjCkOx7jXY6H92GE/uZ//u0Hv8FmiXTyI1IYzrrj5/mHScT3
fwMRI44wosF4iBKP/vceEeSnBTE6vzF+YpAhA/W0FmbxPw4imdiGorlTcLThtnXjQe6Cos6Fz/OH
6ezvDel/roWfC1c2qEHAZp2sGv4IiczaK7aZoozc9vOCg28FfW2m7KegQ2cn6Ppm26yIkjK1eJBI
VYARFDLCYUVjPoxqcFD1tDOza66DbsAGkjuFYgZCgg0fS76MbCM6ieZQQATaExBMOReicd8Lk8eN
4EWfjQ5MfU0ff3rhD/+5h58tME93LT/uDIRw9EXwEGFRPF3pk6GOM8CfGVSafl8CIuoV/qpGbCsg
BQRRCkRXHGaByeWXXJ9PZ40/rwyD0XGIAfZ0UmqMV7forBrYxveHehstfNg4L7QX5qZzrw5vLQaE
C2QhOD0wiH8+O40G7aU5y9oNHiP76iLTfJKzZVeA+9I8hAKH5p5z/a1GPLQoEOVVfYXGsv5ohXs/
GYbmkd+R+HVC3FViuwBR4VxD1tCP9PfGoHC1Zk4DvRsaOW/aBbhq6LFndr2ChPqJgRi7gSd5lEiA
i+k1nTp9mE20vv+/+Uvbw7f/+Tc4fD+N51+Mbq8/D/96136F2e37v+y/+s/qX/+Z0mB9Uz/Paj/+
zN/TGly5mH0wPR1d6EeByt/TGmziAFb8AHGkmKj+ntbob6AyHJ1tGQ1QC8U/+XNWw4QHYgOMb+DW
gBdI/X8yq/2ooT2dauBLBt4FgS4R+i6ncM4qI6jqOAVbN/qYyGtFFRyc2WwBdl5AhIsuouqCtyRe
u/cZgMtQr41N+gDdtXrrgQ/smYAjjW4MqhJf3RHr7JPs1s7Rfm1WvkWuxjpiMoGIECK5dwJk4n0v
o+TeGypFNiGxyS1V0YVtVIBF5KfCxfFbh5MX/wnsDmS+v3yEbQYJeMiGbmNapVDmTflDKAwUy4wi
GNwqlVdKJW9UprH1tmN/S6UKH2cYsXYNsEdQgGTg+5LxFosL1LHMVnnPRtBvG/8tGLYRQL7K7vUg
1f6n4XRmejxuwE7eRnhkPQBegRQu2B6fzh6pPKqWbYeuIOW8hOho3daGv4P2FxYrPo25ri6iBE6O
sD+eFjiXIFT5iDVGZ+1kZkQNLKNjGoD6s7AA4l77ThhYqYBOyIoxCe9pVIvtGii66dPMlGIeskuV
pqcb3//8BKz9AdxB4MP+AqRJJmFssuAniEEm25hCs2vRpvyw+hQ05qhJbj2Vyk2zouLmE0a2nQ3Q
ybca+fKxBeUYYPeciu6r4IbkKE1fOuefmdfDGFR3BPKlKWwlycmS7JKBcCDy8ZDou3a5ReWokGSF
HtPPl2HO0bMoenYfq7Zw3noV8Pimp9+wyQEmHEFa1bGGtiMoFfb4r25G5GUCtWQGOwcUV+F7gQCD
SUHmk72Wc3hhTTrzcJE7hv0Jdk+IbTqtHE4NGwYexGyjyOjnyJPmG6QJNkXWoVq3ECcuHPx+Sa0+
bpUwfLHOAhZ7DB86GcXREmYzjpibMCAIMU77a4Q2st24GL7teVfdBjP9MmvQ5xESZLZph953YlA1
V/5M8lTF8U7DMXXhZ/36GPCrQPqL4PX34XU/+VVzlsrem/GrMrki4KyRQcEblJUx144bqK//6O//
3y7/33h+P01rv66Ss8SCyH9eEH/8G38siHCDZ9iwH5GbxzxZrIl/LYhR+hvC6sGWABwG08APItEf
+/z4N/ALkGF3DJqEMwvy379XxN8wd+H/jxURk30AdcGJ9fslKzj8Mk/nYMy+PkidoGegtgb8RHJc
XH6qHdZBIGPmx2m+QpE+Aosm5tJgTB5Vqxl8kelQV4eR0eoR41Y+2hHBwFR7WVOkfi/u2RQMJexm
NYejLq0FGOvDel0NSn/t+yY4YA8430eRYmCU98BBruF6gImq3ne9S76EzK/fQf4OOwvtj9x7ntV3
qQ70YYTT73cv6/xNgJrwtb/6HHxZDtmmHNvslvuTQKsihD2ERbot2dLwKOf4HErEdCMudUmFu1YE
QRRee4ToBwAbtEXXQLgU2pZ+TbJBAXhv3Dt408zXUGTia2Uifm1xIvrcu9lVOV3hsst61d+EdUy3
DkvppsK0uR+mJXnfpGaGw0rRV7BPTh58wlGw83iNWPAlxAkjshF8ZqhB1XlAMrMZ2lncj+uUvmlW
FV7rBcspbORjuGXjKpG5SozMx1ahrMoCp6eNjpNlKRzhSVL0MJZ9ScEW0xszusYvZyROoOGiEkwh
i2f7qUDyqesew6p1WY7EPMu3Idq5PDcBnRDASMb3NrWIUM4GJAZgLX6smmbdh8TxLwjhgSUJcS7F
NA7eQ1WvBtEPvtmbJGh3kOz0B5izlut5rb8A6u9tG+TwbR3UlegPpfEr24v6facogrygxl6X3DZm
J1Qmd5VAVl9m+LpZ/C66czQJUC5J2a23+m2NLDpago9U0ECAid4pc+2JMLpteDhtMY97Ba3SdEtn
8xCP6ZtM+0NJQz4comn+neowKlQ/zzUYkIjJ6GS1qYQP2LJLaOG7md0NtOb7qsGOKCep195Hs13G
PAAF92YR8ICSLIR7xa4FHF6qzSsywoE8piBX9jKu+g3sxR1QJSBL9la3B2GNzWcpHLzIXbBFolD1
BTyX7HODhfRdyBJErMAhHn+YlwhZydR3jxmru0ffUFWMAaO3QP0u8K35jOWTCdsHPY36MfMnnUMm
mmyrRFawTk4Nkmoy/nZogA0LWu2uR+t6xMmu8a1vnN1TT2nsWlrynQGGDkqf5i0AOxwwn5ku+ai9
9gppCOFWUhLfNpTHr6MJNg9joqumwpFpUye+fUDORQVZqEduh8qzX/WyEBiWoEfi2q338yjTQ2zg
Q1CNhR8E1dsdXZWH7CTTbhugzIq2GdCnmln/oQeFaYPTudlghw+h8MDjugxIP13FvFM3MyyIV2rx
9K0SpsNV0qi9X5tKv2oSr4f61g72GmfkSQPrnqmDSxKWlROF16Xo5opuli7Sr2H3VbdqMsgxbBPk
NcHHx+5UUtl3CCCi/AZ4i68+WAMgN6bew0rrIJ9rP3s9dG68M2midih7SYE3nDBQKJNIbBWsUmtx
LK6CaudCf4OsO6aAX4ZvCtkzcDnmyEo+MuKWaNiYaULTlFf6nicedqfW8r0YgAZC18PDeGph6kMW
JVniuoDBtrtG9JOADldzaG4cHM0Mvfy9D6ZMszVYoVkOO/p7v6ukt4EnuoO5JeAMEsfKO6RkMe/N
PKpbR0My5TNbyNdgNYvahkgC31XSn6G1VAgPyTVCundN5RCWm0y12TcSwuxcy6D/CoNNd48o1klu
aj5/A8ICYjCgSZL6SiBYCFs7tPbgCp6/abjPzKu6F4JAJA8rEezA2SNTwQesWc0rkAD1Z0/Fidko
rWWSE1o3m6F2g9qwoZ5fk2mSX2bGWlIg0+mY4jtNcwh33EhmbB6p7r28w7wNh4bKAn0HK1o1XNu2
NskVGt8SfP3Un19RBuh9kAqzDZ1tizCpV4bEUiq23hAHh1lIB6VCIs0Af5WzBpk4ZJwfPcuyGUce
KsIph5zOmT2E6c2dGFNkX/FwbDR83Qo438zguHRTZXh3E9xRCKTzvObIIwVGPq9MSufN7KBPAfx3
wNTiD+vVhJlS3vO1RX4TpxXErloSqIyzecc6Bl4FQd7D8VzYw8BVT/7AS0ifMDsCHMDvEHDWDSXr
Q+ZtV1sLf9vTinrY/g3BjoPNiwQy08GqFg2OrnnrR3VdLF293LQjYnSul+kVgC0kKXgsYhzNYJ4U
Wzn73mttaoiaJamtujZwQb5B+gMGKDCHS64Ejk40jGtdwszpfwdmuME51FidAxSHmq9yzqux4HRZ
ToMP8ZQcgsx7TAMkvBhkOtVLCGUtHIrJfZbCYVUAg9wmSMhp5bWL53brD2HzYWBUvncq1Vtivbpk
WUU+IAYegULUDuamI3ZmedLQ4BvOXBpGSJYtWNbDeI+SG4MrNEuLFiWyW9WT6msLm+AORpvwsQmI
vln8ad51RxVGniBO+CsFIuVjzSssU5XnvaF13fE8dQogCCUQQBVFHL0Xm+3TNfiq54Uj7QX09SIh
S1TA0Uhft4zU+3FI4z1KhOZAltne9zZLuwLW6O4R6Wrm2qBAt19DR2/4kFV34zCYbg/lHrzc2LGt
B5/E7cMA0eqnajEKyT2AQXwdVI+xsUpXXwEc3x8YgrPuLRz+3xB/TMG7mMPt6GrosZGxFT1MyJJx
uwxKKw+DB/uifgwErKCw+qZYAZu8X5KaFKPR4tUS6Ijm82DURqgR/oHeiGurcMZau8GSbUhhuc+b
aTUQ3MX9Z2+ORhhPbaTzKRk/zSNO0rmlDjWKY1bCdnB1e89gzZUf2y7Yq9opesTnBOGWe2p9hJ2x
cTtHEINJR0TO5I0nhMx1tI5kmybWIuWmusaYe9MfRa3IYGivhWVkZym87CF8mHukNgV3C1JBvCIb
8TYB3oy3OpLBt6ltp/p/2XuP5bixNEz7ViZmjwp4s4VJRyadKIriBiFRKnjvcU9zFf+N/Q/Ymmkm
ks2M6t1ETEQtOrpKOgngmO+832sciWbJba7F0esg6L1qh1Et/459uXVBXtQ9yr0icIbRt658U/J3
/sChFvpG/zVUOr+Hq2s2j13fLrnNU+EplTi+ZJ2Odi4z9d+4UHe3+Dfp3xTyLDK7NfJ6X01Vv4WO
K30prGlchK3j8AsNJsVZQ/jabvR7bedndfqrEVrjtpCK+tXq1OY6N6hKXHkSkxu9NmqnyJPMrY0h
2ouSsADS5nSvYQ6yZDordYKKEdpCKjSEBfR9ehyqsgfP5JXv1bYefkej2H0zi2TYZWbXYgraKeFt
YhEzYBsZZoZEkxER3fGtRWaQjCOFlm5lNVQOg0miPCVSsR/L1PfMVFVBRGvzKjYLy/OTaPqZQHz/
6SOYf23zCURH0bKbdLTCK1wbolcDdtcOdVp2U2tiZdGtN7aakl6PWt160J/Lo4pk9sCVWttwusFq
V6XudYKv4GIKkh1koVddY2zLJ45Ccx8I5XiYYlP4CQyb7UahE39NfdDvjdzX9pGQqW4idChm0yja
6BVyLgtehdOhyNj3lta7FU7JO3wVzIMphGwNpBfpZHalRrlHI1o4uGqAIhg/u1xuvIbLiQbKXwc5
cQ/+6GhieCuNbP9i0En0dTEyXO7pr2mp77va3M368ILFRGrj7LrhUN2Bnrh+bBL4hNe6WqibIBVo
DXQHUazdJKyz18T3bypNfEArux0HLZp2DSbkuxjcud3VYWM9BTGRbaFsDm4cT79wfwj3rdGzc0t6
Hz4S0TVdm1klk+OoD3ehIc83rZQVTliGwa9GNMdbSdFa/1ptErg22VQ+CF0lHBKtgX+u1jmy2Cnd
0bBuvVGQDQTGE/40uMF0VyUrxKNxKoGqIKOdrZlt+92t9QMw7rQTiFkZjRccRci9sHBJPjN+LqI0
NwXifh2UuS9S4ViNtgmLafP5KKfXTRIh+MvpWr3FauBwsg68UBrMS4YAuDXViL6dAbn+cIr+HxDx
P+WF2POf+43A9e2P/3Hdvf5//+vHezTi7Y/9b3he/Ms0MOc3VdkwUEGewvMQeyAPgSmQTW4tyto/
aISk/gVZXQGeB016a1b+G41Q/jLEpcEEuEFUElb5/wSOoIF5AkeA9JNzaGi45y2++MoZ8JiM8TQa
cZO6WmM6ghg+JbPmBRm7nLSvyuCuLeR7DW85otwcXAMOhdJ+JRD7wLb3qObFTZb0V3WrKLbfRrt2
KghvbPA3LK9iUvi6Ltu3TbgRwnkXlsqDheO4H9V2008bsW53cMoPuLgA5D3LSrKJom6b19BuW85m
1LYjVZMeCZtWtp7lGcOJMb0pK2MTqpS80atW/4CpZKM9wxnnNRtE16hFL68DsiTlfaAl4CSGxw0b
z4Bho+v9NQGSTmoY27HDlGr0nQBHqVL39Fh2cU2CRpuiVK0B48fdIHzJ+6e6eZzT2dVQOvnFV+jC
h2bqDwN3oV79kaA5EzpSJnNsKlTFxvSfK1/mVAN57zH92+anVZIb19gKhh/DSwHRF+LrXsuCL2oN
BB3NXkxdG9Q3SdduZ7yCp6LBzmaikIicJVe9HfqNnHyjsMdHveAczDDZmR0D3pdePphdtO1TTtRG
35VpSeuBuAGyS+t0G5s/ezHZIl7eNpp2nSSjXWs/LBVnfcuJUU7R4rNx77qbcQEJhHovZZgOTYmr
1z9ac3pokoDtrz6UAmK/+VULkk3eji65CRTT3TEr73o5ezDaJ0M/xshq9BYjqniwK6iNRf5TC0Zb
yhU3Ue96Ykw1+gt9cJ2GPqdM7mLO5AzK0ZKuQ+nLoEtXGcZuU/U6yVd6Vn6ZdHHLtcuRxKNi3gug
ElI5bqUAVzjR3If870rMqKASIPmdaGRORIGR4DYaZb/89KoT5w25f7jGvPrN94LnnOvogN2eHYmk
/cYR8MH3Qf+eVO2rr2h2FwZ3ZSISzpv+UiKuqGlwL87obnV5K/MzrPl27H9hVAP0nnqcaNdoOm66
gURJEt8aYyL6ut+QdXxl+jdc3W1FyrbRLKA82llNfb2ca8iNYFE79VAhHNRdfB1sg7+g8W9CVb3u
wvhOH44CRmz4+NqS9lvjTjgoXHnmwg5qZj5Mfq2ghhi1qxbh1JLoGRmli87xAO3QTsv2Rs6i72q+
WASxwLT5WKXjXStzY+pLiLVM0wEb2D5zU7psMnY7SohhVDa5I7Z3AR2RsT424CRCIB01I+D+e5Va
xKP12754nqfbokudKZps3B4es+pOk1pbj38rA05ueuJGwW8Lg5IkuYuVRw1EoQXJqa3bdvrdjDNl
1U08jpjgPsTUs1X0UmMT5IuZkwFPTtXvKKrdLA8f0xC4SFQctf/ZLO7Z0SFUf1ThVykYN0IVOxQ8
CGlK8K6/o3zYDvqhFUvPaLA7FoQrSyQkFzvYQfuCg/u2k3ZZ9TIFy/orvBFVUUUFJZWbOqFPwTcg
by3BAPKpio1d2F0p2n2nEL9caSR8Gg6JpZ405Yc2E7wqHg7EctuFzF/UsZb6nW+Ktt7mbtL0ABM5
lelzVDwawTO0rX7mokciqZTfqWrgJKl2r+vf5+kbDF+MyAxbwkY21Gb8RnpWHdtIXB8FhaRlVdkq
ys9SIyaKmRDIXJH058jYj2boFPw/CirTQgI/E1xR6yjkfwjGdzgv3BPBJfmbs/BZqnuX8N7DYGnM
wQk0NHcz8sGI1Myq0THYqsoS2ISM3TKCgE7uZFzchWm5z/rneXzg9o2zDWjYo8VZIMuzW1rXCfLz
Ft12j/Agla1NyAYnF18T7pMT0Ew8g5j4jZO22ZE+4KbpR2cMfwzwzVDDeQlJk0lUOQQlb7KcQNx2
cjRti5DoXkwVhxWDTDufbYi6j3FquLmvsxTyTaS/kBmMG+Xsonq3jVkhR+XRrEc7xuKkxqNEY0Lj
hlYmz2Y107+8TcqQZFI2xfFrbzxiv+EEpcKPSO20xbwufAn1DoF2ac84SFi18JLmg22FgyeMpMXW
JiGed2Z0Y0QPbT47bXofNIM9lD/yWKVEc6Mq2/VKuwtTEgKjjbawK5N+o3UzDO/ZgbV6i3sOUSaw
L5hMtRa7nf9TLdDymyW7xJeiSD3dupW0b3IGpD6MiT2NR5Qu98ko262YeWVzZ7atU1H+a4rEXzO6
JnRs2xRaQCYRF1Gl+HsuO36OYmsRB4nxRczvk/AB/wDH8hUPez27ihTOvcDxa6DdEjCmPeKScYPx
gYchzVVQck9fQtgzGDuCNHzxw/oun4obfSzhpUPfBLWkDY7ZRXFtST/yHLkHABS4DvoJaze195lc
uDmAk8CxqUxkVyPDTTgk2qbedmyV5JvexYXqdrH0lGM0FkekfccbKAH8Z8IONzmcdszEVXtipufq
FvvLay05YgrqBAZQCR28JzPDkoA8TSEEKEgzB/4wDYrBtYiKSZMRnT93bfV3Hr1WXeJMoeVMdX4w
tecaQKzp5m01qZ4pX1vh7xRPrUSzCOWNnJHtmYbEHcaPFCPxLslLQl6/NGbsdYqOe5F/T5I3DXIa
DECFhQjkxyttn+qMMzvNPMzY7KkWbbpNHrCo48/dlRT9Vke8ZOEtKKN2H0ziscJGUEbkU6pfivqo
iY1j5vjm8NKsEouT6j7K9LtSze+jUCQoRwOpAwBNxW2Oin3u95N+PTH1ytZtSvNnnjwM6pOpwr9C
zmY3SBjn+Rl4/5jluA3Fd02312V+M793VEpXTfuNz8ZRy93f6fyIq+02lZ+rKHQXH04idpK88wJQ
0TJNXgcp9ayudARg/d58FmLdrTv9BSXCHk6VPcr+dZ+bRPJNV5E534Z1/CXGOjUNZhI3/Lsoz49m
ZB6hqtj9VBznBJ4m6FpPBqqvtm7bDp6GA2BL7QibI5H/VgdSiWlTWyJqiDz8rajldTc9zxjzj8Lf
EIrdLr8HPnMDDjS4EAALlF+mfhXTJlc6M/MEqz/WnfGVPfYVmdjGyKTS1tRqh0QfLM8kXQLYOeRR
Ve2aHA1DCW7Y8X6m6X4gXDv2QzZA36kQiDYEmPvm7KqTeOjRW0UZQe2VdUcIyN/Q5XY4WH5JyuhO
HWS34BD1ORU4wqtbxQocdYqP+H8wY+vkCfsmO4usN3DennRYHblwTby6k/vqz1TkUm2kO7lr2IOT
jcqWJPfjC3jNvRDKbuqHt538YITLwzWummzMTN0IufYicRDnk7jRBvlb4CfflYLXVAJ4FzvdSH9Y
c30Peu+OwkHo55fM6BxCvN1Rtw5hSgBGMNyps0HkRnulRNjvjeWxnHynJTCA4E67U35Awz8oYwnK
KjlGVW/IbJdi1W2Vp+XHslBcVZ8RKi2y2WobadMhRflQJR5Gnp4sYCzXFHdlbBAionD8TJatZear
Vnzn++6yQD2GVecpCZVPYpLKkXCYk6qcgSMsKG+YZa4pkKtOM6szm0NrDLhkMe3V8vXdHe2Da/fS
yX1Hgnm78eA2STOXFoGOocuqASsFgBGK2aYuMTGu6uRuulfu1G2w065SgKor/7G9ylRbcHRb3IA1
46jkmK2dby8l1qyIDP/6JQqUG4VrOSTTNS87nROtSzDl45dkP4xnYxMdelu1xdfosbxJvXQrXeAo
rNSpZyOuuTiRFcPTr95GRAXvSLt+l+9GR920W8u1Hj9/0yvh05/RZNGE/kOyImG7p61uMZQbs5Kk
1NWPrOJdvsG65GHealt5k22CjXRBsnJxvBU5UiIIgzgtxhsclAFu6rbFTm2d/m9r2zqhJ3P7+OPY
/x+t3T+4PksKoXVc4RVFhUCwekTMbw2EkikGINMuFgSnsyoH8oqtYy0WU0h9/krXmNEblvDv4d64
Vu/IA6xCnbYawwGkO6UMpaVy6VJ4n4/y8TQhhk+VFEOHQ7h6KjrrU1M0feqKh/yOlsC29pSD4hCh
7dBzcC6MtnCb/s1K+9c0gf0EoU4jxFQxl4d+91Di3Ol+QhfT7TfRw+w2TuzmHNVOalvbYhMmrn/h
+U6pOucDrqg6U1R24igwYCMKdif9GqLUkSKoF6FwgSr44ZtUyVaS0V4vQMuK1yUXEXwtUUvd6SA7
gh15BDYIrPFib27C++ySuuDj8cgjekuFBFVa5uu7dwnDLqXZxXj0VJ9kr9rW3/Jvo5P/QFh75EZy
4dMtK/js070bDgjr/XAWaWgl+cipG+9xMXWabegmjraNd/HBcD8f66OpD0P//zzZak52GrZOI21o
qjH1LR3Wjx8K+evng1x6f+sNsqIJks0TD6TZk8NctGM3OBiesVW88HApaHClBf8zEflI5GqyS5Il
dfr6RNLQOpbgsmGJTv8o2cVLWdijK3rlpvrqu7RjU0d/pgepbEh8usAG/eiNLk1W0mnkZX9ezRVw
6URpBuh6JV6y/nhsFM754dKm/NEUIWKddY3wTjrbIbNyMiJV0JdnRNl3jRfLlXg3bWRX/RZvL3y9
j57IUqA0i5YGP1BcTccITeaiNuBKyFt8FvmAxlXxO3Hiv7nuXotu+wJz6cL29SbcP10DuiUhASHv
1eRFrjdLXQ4TCcvXzI2e/CPWr9mP/lr18i+hW15F1yJl2oGKW9xM16kXbTqbi7rgXhItfVBLnPyK
9cnQ1XETF0GVvZ19+HjT5HtbitGduVF30ZfUMb0Lb3s5Ts8e3EQeA24M8/GNJv1ur6kFtassur5u
er28auXK3yfOfFA3xW3gXnrNb46Zn422OtwHKRYxhllK75elbMNqzAXDc2jcbdRN7Uy79JA7F0f9
+BkBUBRFsoiUW+06TSLWkKM71Pg2CIEdcjb1V8t+kHvhffWvBfmPOin/t0myFN7Yf26R2PWPJkrf
N0eW//5Pb0S2/kJ7YGJi/qfJwb/6d24PVEw6V5plSFC2l3CuP70R7a9FlKDgsEKijmSJi7PkH+0C
CNlf+DbyB2SLXGRFhkj6D7iap7sJdQ/CBQoSiWwwjm6UWae7cyblcz2IwfewyuN+M9L2eYCOrGWH
pqSX8O613P1rHr8XLr2tz39Pb4j+jCWyTeIIpsm6vF5Mc4CD7zRxWRanvnRb1ewPtI3TrVmq3aYr
hvDH1DfgA8iM6HiknjbO4v3nv2GZy6c/AdSEj8GSJrz6jFddWmIBtazrncXKeMm1FNyM+5o3tXJ6
NeHPsdgXSfe4wLUPi0vIheFXr5s3gE6FFuUSt6TSFFu97jKuTQsz3s7B4z9yYoVkmIz8ihv+zCUb
hNOqfXnZKCBMTRRN2q+oZ5ZV/27nSiCpoX+Fz5BXYBh2H3N4gZ4W9fdmLvJfGriuvh8Ei07M5694
VV8wMvxEjVzwheuPguutIng3shSC982mPIFASeZWC8PYGcIx2udVJjlF3UlbS9DDq6AVAHjnRLyN
Fal67HtdPdL3vnR7OS2E394Dmzc6Mq4uoLLrGR4HhOAhKh8cbbD620gEAsq6oHJwbQsh39TN/vPH
P716L08vGTw/+hk6mwgylinw7ukTCGVqEI0EYrd4ndgET8hfJFW45Fy4zJSTibwMg2U+GwDzCJHm
6TClmmmoc4C6AYr13zPpiG4LR/VazQgpgBI1T6D+ouT0fnVJxX22hhR0ENqy/bCEeaGrSQyMa6aj
YIxOlGqmAGlLHgUfd9ncKn6lOrGxx6DEx9GdtKIfcZjHBQ+wpCRX/fM3fTbD+R0aZRDOEabIklp+
57s3XdGokwpdhWlbFyn+NsKxmG/AMTNgzkHdEgc17T4fcZVG/ja1SeVD4MNJKYtobE+HpMEcGdGC
QKNxApg2Jh2LCj0QoDoragBWK2USoKzQRYtNaljrqTPE2Pvj5phMs635MvRDUSUe4Ap2lgnBUuiS
Z4xyyulaMCpUsbTOgofPf/XZpqPIElo3Ulx5VXAlVuIknUwCneWPzxBH0VYAhvoekW/j5AGBPRe+
ydncINteZbVZ5Dsvc2M1+wvVEIiAS7GHjRUkWHnWETaEib+tDabu5Ko87wZxam59ZfaPZS70F6gg
q2WhLzJBFcLJEke3zNHVXTQX4IsN+FbbcMujY+cHxpM1tuGRyLPprlaFeJsmxA+Zam1dqJHXpxuF
E6pcgvkswiLRZqwtIo1KBpcBU7ADrU8Tz+hTEkRKlumPMiQdCl1gLKaOli+hCnAY0h9zWoSPTdro
7YWfsvrgby9B45BD6oFk8iwSK9AajVw+okDkfppfLN839vhCUkUSynBht1tv9n/GQs7FDU+F5bPa
DJpJaaSOlDOiOYbuGoDYaGEq+I1bzbr2IPtFbldLvozSiNXGHAvJMwiBuIny0nRmLE8v/J6zR0du
8lZV4dFPX0pdzXVWQDuOGmxOuQzUxjP0IYcGEVfwt/18ivoLw622IB32qkSKK+cLMlLKp2U5vNuC
xFQttMKXIGckjXWs6cHH8ZC/Rr2RHKtsUl+g4cGl/nw9r06Yt1cOsWqppiDVmGsZfVnriWFBCMct
V5f2cTeaBDYVxgVk8+xNspIo09B7oZ41EBSdPlow+MM4k5tGtAtcz7TLoDf06iLOGAfvHz8QawZu
Ng8js4Lk06HiOYKKYJYT5PtMkj2VjL4SoUkwWRegqlUtsLw5+uMmdDFFWiqj5c2++1xzpmejwU5s
l4JOf7+ytEnC2QjVx3ESgjh4xU01+mcO9NQ/DCpxQnNtRjoHqel0UD+ZfbJhKhqv3QT9SKb1jjOJ
4HHbvOTMuJ6Ob0OBaJrc0tno15EShg4AEviY6pkRDQsE/OIzwp5ua2pk50Sa3+xGude3n3+9j7YA
TmBJ0VHAGny91VvVany7LWjDtkG0dS6Hv0H8D35Tf60i6RDF3TGq4m99WY0YosP+kMKc8reuLvyM
81VBr4PlyPUEDIbr1OlrLiPymrs5noih7ttbC33E1Tx2w4VR3hbXu7qLr8k/Kj1pHpZjRlqWzbsp
VNZTbdZBOMLlsXLOGSLZJMWNCDIyj2UxhtGN3s9fAyulx6k3T2RuxGTAweqGupoKcFwvvPzlQFv9
HllZDh6Id4Dm2urlm0LX1jkOhjYGXc1GXpx/hznUt6EKdT6zaLLpfUBc1eIQDK9Hd6lN2s7Oh87f
ocbJHUuH6/75j/rgU/CboGNSBYCtK6tDWEs6ISEljNgiofTdqTWaYx/l/7CsWb4EsAwLig69CKK+
+uCgY21MqtZABhCtLBW92yMSHjIFTWX8/vkDnU/x5VjhjoxyWeQqsS6h5jRPy6JDsIA232GtU6ZV
vp23JORVNKjz+WGeYvhO8XQf4o+ahGJl6/r49+c/Y70lvx0xZK6zG6PnYT85nXt1KrRygPOFHTW9
/mvogmBvSSlhcRktoQs1xNlEfxuMOpfZLhJSvr6qVrVVpDV6DZsUJGsfdpCQnLE1uZWXJeTkuSqP
Q44cpdTFYK/KokDjVcRYD+uoC1X3ejpxyMrUMjjH4CjK37Sa4h20yRpfb/qWRRsiHDHVhzquL8Hi
673zbRQJ1AUAjH1SX43SAr6RzggDJJnrLy02t3aYcJWocJ/3qqF+RR7of/n8ey4z9P3a5e6i4ojD
vknJyvpdHbGJnhEHqItksmNO6EJCQTWDBpVExLZFuxmXlzwClglyNiAkWPZolT1y7Y0QmfAGrYoB
BUW+L8bpe40YA/ve8Log5jJuWrhVs+/1EjTXUL5w+K5L8wWwlrivaVxEIASv11BSkaaXsUNCS1Ok
je8nj8RfvRIauG/8vHaRd1nOnJp3n7/j8zVzOurqxtbJcpHHOWLdYVwSuSy50QvIRJqFFS0mEZ8P
9sEH1fAiYcsD5qFqWubYu8Ohbs02Mqo5pL0fVt/MUSJDshq1Aw1TGDpzE18onM5eKTsS+5LEz6X3
wOl/Oh5YRNFlRoJqEB0JjAZk0ywUwVPM9Hdqiv5DUFSCV4TzPwSX3u46fESelSsvosZVxZYRDyKo
FoQczRzI48vabvw5W40UO3EhlD8zvwy/4HjIHvn5Cz5/YPY+0spx+BCXibRaMQGlWq8ZkCO5+ViK
O5Xw4raot1r1tmopIRH5yXNxpxnVZJHK6gcXg7vP5hNoCx9YNSRe+7Ibnb7yNB7GsRerEpRSRFXZ
dPm3xkrM69BSL4UNfDQUt3Z2oyXUHVDpdKjeJwoMAQUPW5fmK/zgztbVtvhattOliXS2xdJ0fzup
eW/w99e3uGrG1H+UoUD1eVbeVqIy3HfJZF0yjDx/osUiBWcCcGeuTGvD62pE8EnID/qpIq4PYqln
GbzpupjtQcUc+vO5crYYcRlZyuAF+VgcgpZ//24xGiV+kdHYIFY3G+l7EKfSbinpvshFH/70RZIp
/4vxZBB93NckA3eM0/HaqYqjiOYND4dEl0hg9Lt2W8ok8cZcPB4yto3wwjOefTeORklckA42dQqT
1TrsiqTtTQvGfDtM2iavfX+POK5//vzJzj7boq+hIcHbhAAChnT6ZEYt16NEvqMtEOqnudxg1JmE
i6huXRPAY/4vHkollwRRGHPSOqvkodrQjSJfEegvv+/6WL8pKYoujPLReQ8jiWa7hlcpXILTh8pL
AFZTwOBbRk/9FCGVwKtax12BJINHJdI7ZAhTZX79L14lKwxjIkMil369fYiFXghTAGl2qqFDovAN
92k7WlSx05ReOI4+fERKRVMDkQP7Xs1ITSZPtu4sVoA6S/TZBT/6HmYTzPAs6Eu0EEg/oWByTWz+
6VpYZgwVOq0A4GlxXWi0kRhVFQC1TXdA+JYlZfoYYT/YAMrW7Yva0xDb/BcvFvsSLvcshTMMocqa
JWCWoKigkIONEg2lV7Vq6OIw+sd78j/yoc6RvreCVF/64CpXbWVVU0ikh5cIdHOOeav+3ouQmBEy
SiRBjbXn1wRJjbnU7EMBzSzK0K9xEg0XcjDOy3N+Ax+Vk4GqGPB7tfJJkEc3RZaIDbkBc+8OmzEq
heDQKoGLV8kmE0CgGd8v83FjquO0k8RA3/3zl76Y0DCf8VfDI/J0DQF4Ex9aYHQVcbsnQkua3SWT
F/ajHl2oHs+uYEt9ziReTA9hcuB/eDqWHDRjkmE7YQNHSZqtNiqcbvwMbF61bKuVMXuNUQtwvYUm
300C6dnPY0zTQVOLdtP3TfZPYda3X8TGwVcga4J72ekvMqK+6gPIcSRRdjS2ujHZdNWYOP7YXUrw
+2gHNlA9c7agiTPXLENfGQYda8cMEUwEm5Xj5HdMtwvBmV9f6tKenZvLi7bATjlPcNCkv3xybkrp
YCbFhPrIQjlQ2pJPnucUlpC2p0qgt6PNBlcFS7sLR3HQbL2K2ngJvZO9UJjiXzqXdeFgGK36RNu8
uqonXJspi6OLN9Rlip/cZpa2JmU2+ww2f/L6hhqP5Fh1JYnCidCLTiYr9VFTw+6OoDRYTZnwzEcL
PAw/JTufRcHtpAY/ETOWN3llDt8/XwofzU+8k2Q8VOmIYZO1WpAtNjRJMKHTk614vu1qtXqa0tzY
4JKpuG3Wi1eRShyKiFri22ws7HHxOMqsWt7v9sJv+WC6QP3Fpwz0Hw7B+pRBWZ432GKyObBCvooi
Eb+60iZbAwXcNimHwYl0HyCjHtt9rg0q1Hciy+kUpyRJD6pOY7z3AeqBkJShtbzPf95Hvw7CAa8J
crJILX06waLKqnSp5wxULAQ3QyYp+yGtZK9ue//CqXB2XwBXfvNQw82QakFffZTUavXKlxsOeR2S
Ujj0GGrE/UEx/GtMYqC5F9k3woUz+/Mn/GBYroAyFqbcVdgfV6d8ZUapgKMCB4QvWWQ2a6MeuZXa
YhSUVs34MpKMoVOX+uW3AWVtfmH41QvGdAutqwRtH2SB6mZdr1lhAwWjMjGPkwwMJGNULkj+24NR
4Yjz+ZMuJcTpGuRwX5ofSwGqsA2efss40RJi8yq+pWm1nhalqtPofr1VuowGY9OJXjMilBdr3USd
LaQPnw//wZP+awuAx2KoMDpOh+/wJUjbXojdutEgtxr0oA5RlpZbYq8ufdTVWEuvh8MWPzPYYFy3
16e+ZTBHC5Ja7GAoZ2DAgRXVP2Oyb2my25linV3YUpZ1sHq3zF182UTeMGjN6uGqEBZFnRPnrlmp
lntlKHbj3lcbdJ2fv8UPBoIYQbNWYuNS8YY+fYvpXBpsGEVh11EntncYs6WN00uTKF7YmM5fIZeV
BTSH/EN9v76+t0EO7QYp0CIdVjCqlEJPK8Jymw/yJev884m5YHmivDiYwmpbW+iTIm51WUONVvYI
GMuQk2zpECA3jub6hkwS62CJuk6yJXLEKBMvsmA+eFY6EZTeCyjPNrw6Ron24l6RhjnmwrNcucSF
YkcWwmnH6CHVZhDVEQlIIDaTg4GT/w0HjvnYh10xu0ludQ+Qg0YcvdRpOiAxz+59HzaP8/mH/+A3
cvdBmw+MvtDAVjtx3Se6FDdgnrkVdvukxnzOtwb/Puuy4EL99sH3WBT4Gu1o2vLsyqdzrO17ow4L
QFy4wIqXxbi8JNRPu2RK2COqIdsKQljaPco0T8TY6ubzJz2/CtHwezf88vPegQG+iQVAm/GkqlhJ
z21YGk+DlJWt1061QeBUagq1U2e49V3Yi8/XFgODW7NfsEXR3zwdOFG0UO9N7s6I6iNtMyVRiipE
gYN1YaDzM2cZaDHrRfRDKb56wRiR4gVDaCqboJH/Lbdq6eRWEj7FvHQnlbTcIV6r3mmEfrmfv9uP
Rl4gFpOWI3cRbXXa9aXe+JBicuwRiL20EzEVd5hopZsIPuFilShjWSgnrmBo8YVQkA+HpkxlXoHz
wA4+fbt9EMtRM3HPJMo3fMIxcNzNMdqzXmhnpyH3+bHUx3ifDVNx4eT5cGRTpfp/+2cdK41/ZzuM
IkUMFlY0nawY+MzJZlkmpnYaX+TQyv+OTKm6r2SNTth/8capfrl30FFmOz197ExXkgDJJftoRZrV
XMQoSAskCjT82jJ1CjGIPfJlsg2ki8fPh/5oIeE9z66BQQfEwtXQDb+qKLHHsmUjMxwzHNVNnPt0
QW2ly83ia9sFCOyAvgrjwg7y0cgAz/BlF26svEZeiyFPpWriodsyGa/ltpi8kabNfaKQMKYI2OC3
5ih6nz/uR8t3odouajoO4nXvSQ8LgC8ine3B6PQrzv/goaTg2H0+ykeTCVgZW30AKQ1mx+n3HEoS
P/SSepGo1c7DgCnaDj2pkNrQJFd5FRDoKEbaw6j15dfPR15x6pcuBUuXUhGLlIXUt57HQxHHVSTj
WYL6uLVnBX2i7Lc/8VKki+FLpiel40sdySQtLvabKmBmEtc7UqAjJ9QsGE7CpVi+83fOT6LPupCm
qV/XvL7azAc91gA1gRt7lL1LB83DuzG9FKZ7PqNwuuXevgBkXA/W7RNTjHOzL5lRo9KB3OAtSy+1
C8qpsmO8z00smIrMsvtmKi9d0T56xgVNBW4H4QQOPP3iuTIXgqmwcSmln/0IKazJa00xm3QvfN/l
LzotInnGdwOtphbC2FZJMkSfw4TnRFK0/kveh+EDPiaxnvRe48f+tybGTKDOQNLtUqRMkcbgQqXx
No/Wv2Ohi+L8De4P9r96YKssohgDcDhpEUZalYrjW3ydKPJjqOBaYaQ9/rpIN3GGQ4ncF798s3vG
PeCY5jTsUlP6WTb1a5HJT6U15xRSMUozgqUdqxM1TymItJMzCx851cS4ZpYk/KgRJk9Tf5uFwgWM
5Hy9LkuFLIKF7YvJ/KqayIkPyzuFh0nSSVZt7iXBjY9VwhfFxG4e8jicAMku/GDafv45VwXbUj9Y
GmJaIGsAJziWp2+xUEsRGzu4RBX2cNoWMKMSDzpp28lBa/uyvbAvLSye1QQ6G3L14ay6bsuQVp5X
4mEXNYZcES8c4/Vn2sVIfLu5gQFH1oFtjjgaDNjnEdiYgUgKE+BcX+NR1DlDKhfm1uhipV88dQ1q
hdyoCoxBksHMnqcuaPDL8WFQqQbMryKMMrefqQ1bbgmNULfOUNTieCcDb2pfxZQQ2MTJp7HHY5oj
D0zKMX0cwBC0m+kcY1uDf0RJUEHTwch1OMeKUnH6Os+rZWKouRJuu6H25btcV5veRhcwFJtSHxof
r4XZTNAoB4M4YsMUjJ4QlfE+psV6NZUy7i21LsSHvJqVQ6W1+nUuBpajyilmm7RjHwh57DAnbYtK
sfski45jZs0Pcl5Gi09FdE1TEj32MFg3dW1VmznHo6OUoIaZVQ4az/l6qNNKeTAHsblOo47AOIri
LbF4dFfLwt9XvZgRt4sDuz/7maOncn3AGXTajZkh7Bva0l4ECn0t/P8UnVd3o0gQRn8R55ChXwnK
tmU5zwvH4/WQaWgyv36v3nbC2mMJQXXVV/fCid4NhqUCsxDO2WGowuhbm91fzQQcJUmmPbEmUZ9S
eBC8YjhkjCUzvnpLLx5IWvlfAA3Lh81blh2JX+1tI543QyscizlikgdqbtLy16XzjD9Fw7K5Tv4K
xAicHVv2IJQrNerR5uvzQ00sNPZ7p36ZJzf/q1WSjtSSL68Zo80ddGmO095chYVTFUE+DfpbnsBx
cw2t2sJpKxoy3bWU357Vpac1pX/Vn+/LJF7Qzne36LqW07c1V3BghZFAwWwGK6AcvqtnT2odA4B3
/h9rHYlYeHqXRkAKzEgpDTy45auHtBf6cQKz+FRDqnt3Fh+Fe6vyC+cvA4DCMDyObA4gFgO+909r
9eLdzUCF8j364VxUWrsCPGKrwNV8Vhs1dwgqUoyBVVb1paqAODsFuT/HWMw/JGHbBzcZ1Q5Gqfey
VozuRZ1UB6WvXTSvGUmaTLYIw7dtirw6IzQsNeeQ4Rf62ox0BJjZmIGfCMUozsuicVnqB01tdyO8
xVVmqQkcmZP6sTn7QGgKopR7OTjPA3LKWC8GF3lBNhxmZoYnIYrdnDnx1vZAhHofkF68eM3ihGNp
LB9NM7g/9VKQY9/0JM4b34uSzoBEuJi5QaCv63b1YuLTGYxsave0t4xbsk7k45byCveYBsn4rzbK
NyKI8bTlP1slDp3sD8VYAT9q39qq+1Wr9h/nRgcwBxsxYqsJKoKBBjqx1FA5untgpXvVHLBsHssz
+bLN0BtXdXI7y3ywQalp/Z06ZFQpH3nxrmUN7wLgI8hYoLusFz2D/Wu1XhcvwljCtdPta5HUT1WV
L2Hb1zFtuHsnsmdyw3fTNyfSbPUpx/zNzc3PbTbAPnuyDLVBSyMz6Y9TNj9QA7U8z5pvBrvvNqjs
IDXSlXQJEAknK61jR3k6QAIOTLN5FqCktrp5yv083eUygUapIX5hRLEGNsK6gxQbhNJO55okutE4
zd7UXGvH9KgP1yb/yxSnhftIsjBlpyYiW0/8sBNRsUJvkgkOjARSD/GE8rTdQWvl6MyXdpquXNIs
vpp8Q/yBYUKEIrKWYePzaiBVMhlgcNsC7HkbMmPv83oHHWFn7hpsaWkOcI5kdtN4cjczQBhIqr1e
FY7f0WV9wKpMfmKB3rXzjYXJT1MGla7pJE2N/0ow/Kzv+02wQlkf0zLbpS2IcoD3WVT4bInngD2p
Iaui3XtEkUH9W4mKoAqpR2O1lmtddNTBTGO36zKl4qnTSnDqvl/ilPF/Vy07i1o8LUbyxK7cJ/cR
rm0GjQHLSbc59Q++xziq6uYHljGuPZsLYUfOaj8srRsyV9iziQYFzD6siR2begnXyDq1DtD3pIcU
0wNOI1uYzuByMLZDPMglay/N/JN12xji/Nkz8ngt0uJrdJfTZkO3cZ3y4q3+vqD5zCFsu6hteUOO
89Ca7TPrbzLKdb5cRb+hWzQ/dOvqXK3WubsTD+gK52SHQHWmT1Dc9mWa/C4dDBdUIchHaoDQ5FJj
Ma3XWg2Yqnw/D6VW7uaaeh1cHYRWV4e7NZlxI7WHbnM+67n+Az84tPsqULJ7li1I+RZKoFZaXEoc
Hath/RRKHsA/BVWlR4ZHOdhmyxtpLd7NtCuC2t1+0xbLh12IeGr130lP8CEMEkafDT3VC9JxvaAE
Mx+6zH0x8upTutscSZcE+SLyG9R7FcxdvhNWjr+oPHC7DxIjOzhtf9JWAHq14FqGQoE2x/a+vSa/
rJrFoY7KINj07EfPttj0Jn5cskabbu0lfNi4HMtH0doP49gXwLM6c1j3rpG2InJHLSnAl1ntk94L
+VONefof7rT6bE7KjEDRfCi1sR2wKdg7/I07hvsy9H4Ms/60tSUdhHyZ/qAfVXE5Zz2p6nWXO3y6
FLQILpAi9W8Dk4XDuLWg0LW53ymQwRH0p5HzeF+HwkjPHfczfpU+Gvyl0pCYLpKnuoR+SwETujLb
F6KM28LkMpZcYibdc3s9yBJqu0ODjsdP9TgP5s4e2TJa2R2Eyc+EJ6yK5lauJDAz47HS66vXQMmT
S8piv96rUAxJGo691fMXrInpF/xxvcj2GssJjP5hofTmNa+NmJxP/ogWAOJSn5962ghjdzZEd+hl
fkoayGZ5egdGSjBqsAKLqUDGkFenTaQXu/TtoPTA4plV/qHX7D51E61Wzd5lG3GiSn32oIdmT+yE
W1HoVM5PCh4q54HpbdZHk/fc7zeuIP3L0NddNWdvltb3NFRgizgq9qZtN0JH9+f1z1CUHeg67XlF
aF/37qsAjiC9VAZebh5SM933MolXG9zWCLhasx+bMuGSTrr/jCT7mzrmu6MvHs8JlUdZawSE1wjt
Lv41Gb0PwwKti+sY3Ji9s4b+pZyNG7ECGpNcsVb65sn1qzbJd7OZrfVXvxKXjblk6BjtsfDbS+cW
ALMc8acvp+fZzuIRN1a6MHzZrGApzINvDnHVFmdqsDVQdwZmrqcvi1596XnuBEyqPqaVMIGskq90
ba6bsR211AkTc36uhXXNQCMGFm6BbDb/FBgkcNr9Eb1fcW5vpiBt8qujkl92bqjAVvMPQjvWEDMR
5Uq7Nj78dF3dE7psjnTGN38IbalDePjl4FjogNBFvlNfHGt72zJ11O4j30EujzJdWOKC+D/+l84T
l7Hx0MJz0FnrK7Ba2yt3izFBKFXwLVhvbdErGKcpU3Fq0nCV9rXp5E7UzkHYyT/X0Xmu0SeEhhKW
ykjoIJS/tZ7/7QSfcDZb3iq9gf+0roFbm0+sNv46d4FxUatDCV5UyDHyFS+pU3daUPYF77zhhmpj
mNpohhZURg5reazQYWQImyi2bLuA6mSfzMIsoOjrD6pYz2Zh+welice1rNnDa85FPd5f6hdtm/bW
5JzwdWHrMGMHY9bc+YKDwXRmJPOr907CLTbb2bl8caR+rVJVH0SV/9cCxA876EuxVouX2etgyRY3
xyr+WduM7AaqR5vtOq09J1QLdAZYm/pLqpqSy32Rs/YnNdrTQrWfNO2BD89RZXm09vlhTDUaL2NU
Fk1s9H0RjNK71XoaWTzIqnXZE6lJYIG5ZCKc4zC7EMzH2PZQhyQu3Cq3vK2OFS+Vcc4mO3YS8ThX
6mCSFmlJjbKxyjAacYm9cTtvCnyJZA5205hHxJU+fDj8ERNnM9AbLhgMNrVUcQft3gHFXy4uoock
NjjZD+3ISsSb4BmGmwHGqHVbFmFGZlN6+1W2H4LsLQ8O9TG4fCD67VQXdcWbI0MWJF8Ia4FNVcMz
4b2HkfUjYB3sWjjILwLbmiMYBtw6eAnYnq7ka9bbt87CgZXQX0/VZ2n5DHmr6E7m0rKUqkntncZ5
bSwZoVhg6+GnRRw2lmmUCvXIpuzRbnLwcP2jtXjRuubRkows7f3yIYgniL+buwSZ2V0KDcQEi7V6
Xuz9vIWxOD7Lqbxqkj/PHhY4l1ldvjh1FUsYj5pGI0O0D9JTQate3ZRHrrW9LvanNn9L46Wt5j1B
2fdh8HeSSmzMOU2Ld6f9o/d/+6LkxXNCMkxcj/ZbPh5rfkgQ9EG+fCXlJV+qd2vzTwgwI6/zA0w9
gSEf5fyoyVeR+VwxazQPc5BOTdS0P9zv9pa1HXXUzs76pk3pIdHKJyLiFahd40LRE2wzSDyUIVP/
axd66JUIT2QbWdZVa6gb9OrRlm5YuJdM/x4Z1lM7hiywvqA2f+yNJC67kSEsy61sN4KwCPwOSGgS
40s5dTVdNfGbEo2c3T5O21uuvMtstk/a8J4k1wquJk6Kx7zqY795l+BliXbEHtqTzc5xia/wXFVU
adCFFMBQCeZSfll9+cDwJgB5TwTo2eb5XII6yuv62KfHdRgpFLQzq6C7dPzZeJaWG4cUzEHdOp11
/ECjSHZLUu5Xfs9vEC2IdAcuPvQ5xhVlE9NwOBXWsz3sNFJHVoojwLhJ7WgUb2P+VbG/6AsZF9hb
Vk46Hbd+d4fRBYjnf2DYI2ebdpp9lO2jUT3Y5Ym9BXa17aiy8AeITmLBuztr/gB8D3o9CcDwA6o3
dm36ltpPmunfmuFjqPeJbUaov9f26y4J6jOf/oPtH1edZ8F4ZzFm/Y/rPtcccntH249ghvtOPiJq
2zlpFrt5dyqmR50EWmdxBqq9s7K9i9YUabAsSzTK4dVbQUq6HwmWKNUztfmaxuExqfr33v/L5jz9
jjzOiwR+cTaeGm79kDDjsn4T3XpM3PzZaeyXNdV3SdF8GKANpQDHCfh5pmzQkpJifAzHOyH/Hr1f
Uew6Y5iBq7ar8nAPHZc+ToPjpg2xrNfdNq/A+k3iRuaEM/F16tkZTV/9+RfyTVzbL63zuel2ZJVX
6V7T8bTBNBSlRivTfdDyvWvn557NDdVyC5Uz70dz30hlCYs+lJPtLL89yW7eM+TmpOKfPEedsSEE
SVanUW6/OP70Nk78q+uZIW0ap9Xfpn7ygJH5SX6xuJjLznrW5kPGrJRG3K9r0pixip1DLZ5XCjke
0px0PruZ8dq342nu6l039RdMLmHNoMQRMeO7/6j+DQLdy5Uw/ffkOkVId+OaG+13pcub6hYO+3S/
25YzpqZVJAmLW+4739wLDvPdgWgkw7NNBletFmV/nnLUkhSnZf4vW/HXJihZ+PdMr9LgL+tJN6HE
dB/MxD34fnXhv6mbKu0ha7Sw1B/oPh16RgBYR4KulldFYsrmxDcC3BX5Y7fEs+HFJdacgGdZqBAt
GOPymKzpTjrGW6FynjDe3s51njZTPOBLk1VxyvP2ojpYwUk7RY07wRn/Kht0YPnr2Ex/l2QOez87
CH0J3LaPebxydP5nwVNW+ueUrFRvRdx2rhmR7jyPCVUuF+RsUzyro93WD5UwL8Pq3Ep/3jVVysHF
FYHeLWNYQ4gd3K/ecM/ZllNhsyJRuTwIxn+oHMNM+9Xc7aYJKIR3J+a6xMnMEWO24nSy9hzVAvQ6
l1byLIXoSAPCKP8ruFmoQewM/o+VyHozOrdBLSdNM4PM/+lMg1cnfxDz1Z28gCNdWy/0qAx2dZ+9
msLXHnnXTX/EG4FwR2a7kelh0fCcgKi3X4blZUq9U2P6r4unTlTgL471Xhp62OGx9yYRLXoW2+Jl
4wRtNkbsNgeLd3Rrp9jjpqbJ+UFO3Tstp13VWEfTeGOOl0XG0F1tazyPd0jnKqI6sb9T13x1OzpJ
BoVoqQ5awczFSsuzl4sHaouDZbafDgzihS9A3PTJTF9VCVBYZFCULdYSBKJsoNNGMIs5bEHELoIE
AWBtBt6xW3Y74gxB0/yYrbPXfF5y9GzcTMLBe1G6jHuDMZ55bKT8z2hiKzmUuryThIu88ngZh4OY
jaPhW3G1mZGTQwLUFOKWJWjYSB7cJPK0MaqdCzGPiuHBTK3YHCSXvlt82CMUqmQIRu439vZHw/eV
zPUFzOyldLOYlUk47nQSnKPiPetysL46xjTrXeT7HJNXmh4yfpO8ZbClDnj1JuzN/1hJDnTuVRan
f87fp8RsPtmPo12wfrIPtE/9NzaMWdDTf/CPnDoz23kjH5jkXe+4h27budNYvlyW49iUn5LPNx01
aB3WeDDwlwWjyfE3b9xPojKPRaddyo5W2iKG/5I+Oy4s1cZKrEbUj+atW/t/WVewYIlHhgE5nmFO
yUys/yt0+92y2xvb7y9pwk+6evNTyzAccePNsupHvxV/tda4wfXmqbG8jRnWkmEnQCfr48vo3mwX
mGXzZHqfFc8Q1X/dUejsuUeJUR3TlMeaJTiUl5Gwz2J77NmIHAAL6suKY8HeT5nYpXV1WNW/MRFR
52pEkfPQYbWM/qQ7ztx4fuS0xfUsY49f2g58BB4GPvgp+y86uV3qfI3TfHB92Dioznma5dw6Ne/f
wGtZzpFPstfloXtH3/plF2JD3tepdSoVtyzcO6w5u8Z4Eq62l526pcWTM2Xfic37rGGP0rhq2uIw
VEtgqrE+uO66PpIxpn1EV4p7lFggZDfHdsOMILQdcp150ODI4ze6v9BQtrcPgdsyc+o9J/2j24mD
m356Ijmt1Xgu4JgXYxewthiuvofS6y9ruAxOzLDIvEPN0VtbWgauzvJSZ9vrZpSnifCoVZwyE6I6
KzFO9qolxtl1r/nAmXX63ZInsfAco1xiDh2m6y7thkNRcFPRAYWpKtrm8eAXtGWtZ5PauTQJRjcP
/fKC+IlC+ztRWK9YWq6n9wxlkppecg7rkhc2z09WQb+ifOZyDvLND6oVZDFTLLP7qM0hVP7FGaxo
HDmueJGdHSrtcF8taCRH//W3sl5t2j1JvpxpYASDyRdQvw0Icnf718hlT2f30mz19+BA4qm9qLAJ
5A4pMlsrbEuL/IJQx0XH3mNdm+pae69zJffNRE9TBR3DhF48Ns6bg8RplLT1k72niT8zfoCxMuKN
rnirnKDoOMjSaKqdsz+9m3X3uE70uHzYpXVC75ckhicPujnvsTzFPRVzzlg7zweIwoxTimKkVTvv
hs6/JXMPwoHHiPTlPqmyXeOWR9K/L9XgHMyiOZSudktcua9NpuBZPz+ournN+ESDYr6TrukcKGDY
A5tkTMppG25GrOlMo5rWPrNUdyha9NoMJ9yQWHv+kKm5jKYm/Sm7Dh5V+lEM3Y39nrNLjwfbJ77N
9LAu6WnRje+p9a4b7ZhDnfmvTsVhUuhVTsMKJV1TrnlQOc6/alK07nCk/Uz6PB1bnxoZqekQlkV6
IlyyX2oO6EIbW1ZtAM37Wo9NiJrapEM95226KxXNaaW6m8vmGVzrfCPKmXH8G+2Kosw52Et22Bzh
BwnLskSfkwPLuq/T0JrBNIu31p5psDRbh/Gy2i11t++V+qwN98keKDd690mi0gy3jHdEWnwgNbf8
2/g5k4OGb2AweZJVDg0s7RH9ja6xYzbHcy/n7jtffAuP1WaCUk9WTvLJMblfkSVDMsrL5tFcUY7W
yOSoF9bvqjS/WuHRxRN9/mSUGCEmw7x03rrrRuu4SaR2rNGY0VSAva4Hsz0aAvo98ss/KPIQNUpn
wIgn/+PQ5od9y3srmT0Bo+8ZoHePibfcdOU5z5nenAgZvginoO51ZrbbHI3zIeNvqggFGCmvChZT
fKwdySDojlkOkxPrrp9ZmiTDjyKH2XjxMFi+KdFiZWrEPL7bCX3Ft5JXmovcNO+E67QkStcO4j62
KM6UErN4Vc7iIT0bB52hj6J77aT6cRZp+1c4CWyI2s/ag5YVznvt1bZ22caxra/0fLf8b75Yyv+R
mlTFzh7ckpYCnwl0Xr310PlcVquS4kF3Z7LrOoOKbBj0z54gc2QOPgdTjhUxs5bsxLhTfpmjnRzw
iU1xCnzihuAPlU2fVAvbkrJ+KHOLeReaj6BCwgkb3HCPqbbx0a097vz1whtCy/mib6yYmUWdo6gY
7fxeJhc7QqvQtOfxNnKqPeYph0XRVNbVUFIWgU7LLdYMsws3t/XCtZo0DgHl/DsLDBvtjD1Eekhi
WO4+I9MzL5viPlAlDCjGas3jSlUOFgfTH460lRqi6fV0ZuoMAKD2q1dvYbDJZ2oN2Pejb7yO2XNh
LLoXawBbtsj3luwyZ5bghk+El9KOr7bKwm2DcWrKoyXwMOD50J/t9u7eLM3uRUvm5onr14z0ycJc
AuA2dDIDs8ZqM+iRRo0LZIEV5DXNxEHc6w9l4ioMgCK5iMT1Qtu9qwH8pAY7nqTmx3q/RBEKDHwD
NwkbDLFXUd3vcwugjtIEZ9BY2nRCN9QR36KdXDHAWtdza/QZ0qNt1AOVid6lnON2Y3dGfdRpCsZ1
m2X7xNSTv4lrMXJlp6F/S5t1OIk8M6J7gIamMqbiUl9oQKy6yQRJx5+WDfVFjXej3zQ5gb8KQoGO
GJhnwXBvNLq6BLh5oPi9lyBokN0ZRaP1kJqgLdZU4DHwmyUei9yL13Ssz3N5P5LQcN61W1PG1kQF
3BBRfMfa+McpZy9wGfBgBxqxF0nfeHWcSYVmomhollP5biI5xRbWAAVkssU0Z4NxGmvNVN1sgsn/
cm9qQqPqU5zArdzpLeYjE+0f2oZhQqaDRK0YUuOlqhuSrNZUt2oPuWHmMTuaXWV8rA0DQXYlfQBQ
b1tvPA1l45DDz8vsQWhpiUGDaObdXFTijkIbZGbLJC6t0kvWtywDg2NKy7DKqjMua334RqxLLPAt
I4GQjoEDlwJji67VU/XRNbVuf7MitS39zra3Adli6iD5ZYLkNd3Hpm3JnV6vKe91E8rlf2T9cADV
6vBGTB+eV1vOP9scHBSLQ6kZjPP8DVHSiaUmv3zGZ2GKUyFmW1CNJA46GI/n42VUWnUfE+WsARjB
sIlc83GVEGFgtAZkqPoyWta5flObcO9fqaXe8t8GMY1jgoU4kfmTS5KSMjixpj5P47Yt7eGbZseo
HqZ+U0kXGc5CtYZIY9C2K2zkWpwMt5sl28NCLu2HXrZumgRsCpkIXwZbqJSLSM0FSpKusQW9PVpw
Sf1Vkp6n8cGNJxt/NY8ZGif1TO/1/7jYPLrEhEz4JwWtlw/d11h1zfjs2tMijppd2OojSYxeHCsv
NZN/Hpf++rTKZFk/LcfurRMmv2QI+8FL2fu3x8Y5pM2kXD6NbZ6zGVc2+rsUDO/Ors3hImY/FOh+
v/a22jHr4FNj6bMnv5y+M/tb5U1LSyGwsMRUjwT0yam5Hoj5gZjVY991yormDpBYnPfojAmk+Km3
N9NV+1pN6X/1tu9xesHLmORxYW59xkw8s/G3hXVqiBodMHwW2oeDLZt+Rqut4VXkctfL8R8/cufG
kFU8JnTgTP6N+jhOv2oRWpFj7Ugn9VUTOaCYtBdPR6zVJ9uQv2n6OEGgoWvB26G3rfvpC274tOny
fOuOw7DolOCF62zWq7Rk9l/vm0t3Xhp7ubHlOFp7PIdD8SRcZdZxLemD0/WzLAzSYesTVvGCJl8N
Zs5mn07MdukYt32UStRhX/aEQG3taEFzqdKa4TCMoqjVq4CtbZlGoLVzgxN46q3nRKam95JyF6yj
Xk36Lyvp63BjWw07+dAJqzvNJUO6fyvLcIApigqLYecSBcVd7U39AuwFby2HNBPDdZvCuN7ZXk/x
rSZzLc7+2hodL84ote5vW/tNvpM65KCz1jnKidSyKfNfN0lviSyV6M67SPUt+UH3OT14alPzdEdH
Wh6TnJSfbb9ueU7PC8xNQ5VhlzKLurxqtV/YTr7/7urLgjws1ejs/5VDu+kvzGo23Fv6NGYXBMxl
djDSYgQOseXmio64mobvjT/VPr2m4PYZVNuUKNiFeu2EBpzS7l/SO6J8Id215QffJdlLoM7VRa5I
HlUtmuB8rvTxqa8cir9MekX+MbYMhT/TxVtQHyWD5V188tHTqyNXGP5ZOYy2GxSq6No/Rj574YwF
htp4HLo+XHhL/quMrE/3fFnHDlYUxmwxJXRstkRffuxSZPc1U+Oz6ZWYd72ZmYelymb7KJTvn7ci
7U+mVWFkytOObFTRb8t8rRLJFk2SNP5jxnj0kRslYVrZmZ8iZ1ANOUklIUO77H1a8HS6KbVq5aO8
jed+hRZm9B0NoCrT4DP6o7TJsE25j/2bPFUvEv3s6QbxNptwf/1UlHX7t+h961PJ+zxC6z3vtzX8
cdfwUXx2Cru8WWxY/slK1vKUpmjYlv5UUq9MnJXZje6Zouh28mgs09of2RCnNb+O/vLS6kKzOY/4
CQY9wRQgHAm65IGRlfSsmzztf0yoGzPLWHJBE1Yn1o5gK071ZO0fu27MwT+Wlf/sDu2EK6dSkhxo
1vwSj8/R10w22tHcl1tPDMmwTvXSZ0/Q+rqnzNBUrCXJp52OX5Rf763Xd2HfW6TwMCgGjc0+g4Fv
BvHv3nDHd6feCP8BAqMqEag/BgvLtaN96AtDNjd1P3LhjRfVrEgyTNJ2cvKuFQlpzpNLc0rd4bvu
VbPT5ea9Jc6gfmg5p7yR1RznrvxmnvykNZwKNTFvV8+T2RnK5rbnOdhcnMRSfzhWZJT63SmpkL30
RatFTpHQoZpQaG0om/ZpYhjv3aD6g2pn7VrwHNBDvdDn6tErE2acrrR2gz2qMxECnfgJGlrbqJ4d
GnR/V62e37turbubpZd2PDvJZBz9gQ9UaC1d/UCWgHBPzaVIsHfpxG3VTOs0uKM1hobL7mpAxqWP
stTqPwiU4K6Sw28+SDfa0CBF67SNe/7l/6YGTV4hxEYXHbk1C/sUCU3Z75q2McOe1/S4uJiBO19d
MrpZbo21aek4GWkG/agVFBuwNUYOVk8e0XBY+5StX4fDOonYSOwPRymm7I3lPHjAx6lbnObaZrQt
Zgu7QkdfU/fkdlZmkt6GbsNR3HLTb0zrYajMsy4qTicgBMO2tmp0aK4dtJ143ozuQj1DNiDxuHmJ
ZXsfRxy33GS7MEuMnRxVivkXBQ5PaT6cNic3Y2H1dDSz67YxDi8nBxtZrZ5sVTqBdO9r7veoxlKR
OSVX5xJ38zr2kX0nakfPPE+jc6UG+dYqSqOUQSNXZL2FhEvZTCxbCj+PKn4i0hs4zsbhQjd4VQtq
Nmt2gVAXPgSIJj11k3UaU9RKbl82odJFmEzosOi47gs+04Hhl14kGl0/LXJzdw72eP7GuPDAoV0A
Fq7hVF/KcOYT+ghF12OSW2ZhzbOHaOXzIiB4tR2fW62839gZFB31IS937gKHgTXmM3PJLDQ3I+HJ
h4uL7TwRsUP0KYaBViU1a+z7DbbbrMNo1X63jbdctNJ+tXuvZ0Lcv48uErlez5yQePISszRUHjGg
dhEPmSEq03bY5+XqnKH0anvyAPObZ9+3D7TBjglInNtppthoINd1JbfPrG9DxZM4bLvZDKRlHmES
yP2onEOXMe9YJPnBoi6vKBYZSg4jqkSOBcNU8D5rkxVvrvFH9YAwieIzsGp4gWEKbWFpo6mipW6Q
EigZaKRUI3VZYawuGRjk0wXTOjMvmtYMYdXFTnqGi6VjHbmqtLCqqYyQSX6YE5EG+/6UTrfXbCnv
VrDhLGvtxTMZn7feZ2HR92YqfmA31QmEl10Jeb2NNo2JbW5vibQ/M8r2e0jBxHHXTc+p7Ai/WfV0
LUQx76rRtCJdGVGy1Es4i+aD+6wVy5x7c16ynSnIMoarwyxFT4f0mK4mU2p+D05KinAqL22aJhyJ
6vtIuFrL39HQ3aiEJhNCNLKibPB+EnN8MvIVm5Tx2bbdlxrVk6n8xzwbn2hd7Brq4GAAMuo2mvae
p8ZT7TVMDf1mha/q0xga3w2V3DKlWztvM56MaaVVlvfLPzmz+W05OS3HpdYLvgwFCojistI5NvXF
0VYmvQ7T3UJmTfVxqWnNBtIp0gfPLjFEzTqXhQ8lbBws1tiGQo8H6Cm0GPr8RmusZ6RgVRhx0/VK
l2G66USV3xvRb2/Ktqfb/xydx3LjRhRFvwhVQCNvCYCZEpXDpkvSSMi5Eb/eh97Z5amxRALd792I
ocLcjv5YXRrPV7saW9Z5HkXiwpfX6KAgtGwvqqasXR70pueldCYjnUPfqVo0Yu6LgSyHaNkFez2r
oaPqUK6VASrUlJTdtXp/6W1zF5s0ra1jjhrBsNRdPrfaq9KdZeulOsWGyfAT6za8n9uxQhKUeBjZ
t1D5TSstm+1CgSObZw2uE9XsAKFjD8Qt2Dy0zkLpJhFx8ITKo1iRvIO978enWdbvBCbkQYqw9K3s
IECmYmkPbMJNNOhOd8pLdvo8pwMMKcs2HUqIGNpw7ZnqQ7V2N4JgudKcZUVSM6YtcM4+XhvAXUMd
Uhkj/QAsyDy6ghPWiN1SufqmMku1R8ktWIDKL8io9W4YYs61hnrKmtY7ffX8wwJEetRJAr70OR8L
n6pB1hplQxw09kvcYfeoMphSIZL7JB/uACYRdmsZ793YoXWIkwdrnSkFi6loIfGQv9A5I/xjydaB
wOZ2QlNPniSy9Nmkzyidf4uhBw9f56fVNwcgPbdDtmJRvVskKE2UHrk3vLM2QKe7uqF8fszvmL4B
mya2LttfNnJq9vZMhIpUh1wfVywC3mevxp+mp3+xY1beIcZAApTEvypNbuGih4Zez67otqZW5Wdi
Ie/XEhLGbnGjuxz1oPCodwC+2XX0mdLf6XZ6ImWy14mgJp/SWjN/FH585IwOh0T8ZH3zVozg2UW/
XgcigIPGpj6+besPt2ysbV7bv8ac5tHiWj9VwiO0Dq0eJDMHtD20B0GZTT7CL4037YicnmOZ+BGb
DlELdmdMaEaSN1vR1hXfAnQ2TVW8NrbxZHglyrHcR7G4LGd3zN/yqd+XglV8GfSfSc8jr6bx0Hfa
+NWRHNDoN7LQjn0wCVXs1VycCHnQjvrIwUAAzUz2T9GdvQzKBIfxA1fsScXTElS5OmN6PVYmA261
NGgSOlg30ctjkYJged4nT3QwusVFUGe7zN69nslXY5muQzHvhQXHvSTGl1ksYPdTDo+EfWpL0k0S
ug0dD1k2F+iaM3IUp46fs658tLFDFhCVypNfIWhKjdFB5WKC1zmJi5kG0YbtKvdldmODrlVHWkdG
anKsfVQCQ9de2tzrN25Sp3ikkYUmwj2X9NfPiZaGXWNq7O/8JHmevwJKIkbzeiiWcqUoZrwpQrEg
BSv3tpGVbEzrCVyJnl1juac49y8VNx1ijeASZ8EYOBN7k2yWe8m4GojJeCCc0Izswghb8GBEGPNX
FxdDSGwiZiZj+JV+494TnELggxy/lkp95iU8jUC9H8SKLbRrxUMxmg9x0e0Sie9Mn/ynVCepgMy7
Xxx/iFJcVQQp0oNgGKhDVUoxtqT9+8wWmfakqySWSZMxdvm2kzNXo2i3MNhUfPUC2WXRRqPb2NvJ
L4/E4aqjp6GpNqWxRjrGnZO61SB1hfWH6x79mSdeGooC+e0g0JLqrxLZzsjsSwOZjsUCJFPGyX5Y
kiMr6H0zx/d9zCDUA6ln7vTpJfKxY1OM1jb9VzGhg2lWh24dP8RayM3a+nTKKGPYGF38oKES87Tq
rh/dsyWMv5mwFGKltS+kdQfOQZQCtrUtMpDlJPcjQrypJ14wZZMPELfdd+yhiR+JHq1Xs3t0Vwv3
k/9jJqkfQMATqV5bb0ROXc0iv8z+GJ/6VH2k6RyTY2O8Z2BksCPs8E69fmCnoL5cenuJdv5hXKZ5
O+B5D3QPS36ZnifWiAcMP+bFY/MF6LUD4cwnVVcL1gnY8xjgz4+LDSGbW7Krd91A0xpHE59LZf7T
aVDGBa3tEpBLI4BbtE7FrP/L3P4jXiuUkk35vMbJtTaXd73CaqHrHZyaph40/lyg03lOydnBnbOT
WqsTKW99gBdAv8alf6g0JaD2UgRaIzNHM/kAxaMdA8NOWTS26HTyJjtmkzpYtUHfZoklmNy9x0TW
3P7C+5X59MS2vuNovJeGNuN1mP9IkLq1rghz39vAb/w+zoR2gbuKRsvxl2v4roIAivyC2XCK/TvT
8NBlaY9ObAyUUVUPrqoU08+05ddD8CI/3Vu82sADyWRZc4JOB2NEAErJNX2eSPHXpN6vMQ2zkhrN
oNWkCMtV/SZtGofG3H4qbYpwCr7iBkMyJu41Obwy51zc1vkmHZVVeMrrqNNQqICPaedqIvLGapOd
kiWUa4ONFooIvwos9+glVZS2qr9M/eozbmWXXDePdizQDk0/xmy+xxX7suwllAA/C6KbLIjBWW/a
VhF0LOQcnGBXY61CFwQI6TwqlXwBQmxE/pwl1sMojQchG3pPLSnQofL4uouNzCMzNwmD2U0BXVZ2
ekgyT0Ebc/pYJWtfrF4Ty91DxCFvi4tbUf2Lr9UnrbP2rkIF0ImDLWWYlx6jb2LvuiZH0FZ6XA11
KAqF0WF1PmAU3v2lp+Ig45VMDksKto4lbUQ4sW7BQKi7Vf6T52RJCNEUh13HvKFP+7QW8NK+dooZ
BYLaRKMwoINQnX2eHftmKVmADrOfujacDSUKh6oruw1Jv/oBJ8EuH0gU4orJLl6h/VrOgF9n6J9B
cyhOJ5xLas6pR4U6tiY2QSR0Zo+mYzrzCkS2qUed8y2T5kGoJvTV/FOY7UnzFK+cuOtF+TiC6fpq
3DVifU/9OAIVi+ZqhSHvl6dq0EKz4FTLxPBpC5kE7pQeJ2sI/dLSdyzUD6T47QCkdm2doZ6QATxq
pOVis6LxnKDBU6LwWscly5Cj1UyPxfLr0xKBdA3bGVfvc+3N74acaNmc7SdlD7teJ80mbW8agKFf
LrVq74jQdOGweezaEpvC/Ie75NZ7joE5zigaz5a3xRNPdoNmwO7tk0Uw3m6qq8eFpyigL2RfU5Cg
APtwcNj3TupCiJWXPkYw4SWYg5T16VXut63s90U4TmBbPCz4DyMyhvfCRMBWgwmDF+vlXqXloSvB
wFXXbUXj/C1GySvdH0uYr8zS99XqbtpufPGKap9N1gks/QLfy0Na3qU+VerK2dF+lKOqdY5tQo6r
YWgI3mIvsLXqagxWFckY4YafTvf+Ik/KqA6ZtM/mzdSJGgZFkdN92qi7UGAeqxh0v5jvQOYoql/7
bcYTqymUMVVSP1ZV99qY41UaKqYl4+ZekqT3TbijBzPblcOMyq9mbPFebBQDjbhz13FfeEiP6Bnn
sgbQ19qDY6bnTh8PMsWn2Xrw6e6DqbIw9bVomOMrg3PJR+k9JM2w0wQ1nx6CR2Ilig1LQL2hgfhV
m28OshRHAbb0oC7nu9mft8sst2C3BWcZ8oOVJOeQg/8+j3Fb6n4J9JH9uD0P1U1NghjQ71HWM+nJ
viAj2zjF+fivyfVPMrbOplW+avr4aK/zEo2eq4VGXB9Wd3oy7YFKeQ4Iq3zX8jYEyI+wQDGjqwQ+
0GCjNkxzX1Lp1DU3O9YYLY6FIgeLg+7Jq9lihFybdJ+Xzt0op6/Vn56BcdmIy1MjyiO8zrFTOC0X
709ni9uIld75vpOIpMY7RRxcUJXune7qkWM6HJvxpyasv3lUTw6moY05Om8AlXZg6unfmnJEdp4B
1S0IroyRFBLEPkZ1b566Hkl3Z7tHU9ltVJrWoZ3FtnHz7bLa0JJ5gFttn+hYC6zxI7blIVXpMeGQ
KVuwQtsFtQa18BakUd38pTfmUcz0jxtqm2rrn1H2IZv+2WCi6HIRTql5Hwv2h8kZt2M6HjN9+YNM
tDeul10I4YDvQRYYf083CVlZI3FV6iDL6XERT+RDvlm6zljthQ6myJvSXCDpt/vVDvpJfjatDk81
neI03QoShTlH+2cyjh7A6WANs+ForUWUlOA50wwoJWOUwRAgboB2AlWcRMAlp6EPR1kegL++M5lH
XUfwpl9nT5a4+R/6aevK9eqPxuuU0KVSrc0+nrV/RlZRmhBXj74uz55eiFC18YudswGWS7FVSRM6
q8MgNzoXb1m/Fse++jkgCQAFii7evgbx0WaeVqRthgEYUVlH1xgPCArZU6qdqNTGRFM0iqIE5wOa
qJwGkLxipG9DRsNHcu3DBNXAmE4c5vYlWcVXExvfcY2c1FfbeFa3J3iXOshpVbeCSevWLoeP6j0j
8mZ/V0DeZmV9Xzikq/Jynl238KIi7kOVjT9JUz7iTb3LsMfhHGgPlLCHWe2G/dy/1qI80F/R8YIm
OrqxlqBbNe/nof3uauvmBTL3OK50BFm4VkV/pw/V2cNjbarHsafmIF7FIaHN3c/sB61MPyekNK0P
PZp593b8PpfkjsvmVOLAMG+/qGNtSfc69aW1r1sPI5z2RKbZUWvmPYl1F/zQycbBBtyM1qNw9TCx
OoZeTzswDrcBnm6FzQ4xjlHq+bZHE6zWVwUPapTy5MWNGU1l8Zfm3rOjY9Ws8GuE7pjRFOphB2Ut
qIK6BhGzm18CdfINMhponor5zYFvAb3tgjkDPRRyecLxjPUbq0Ba5XicLGiEVua/XuPdrT5Uyeoi
XeeMKXLjYZL+yV2b38HNPswqP+pGxTsI5Wp6uAbbN30gS7sdr+1AAxu/EBr0KRUf2dDDWowUGxRj
GbkermMc8hCFRD2yK/qsA4jEMm190oz+2ht1iAwWDcEg//QJhdjckvGMCBRLtO/ZL7z4UZm8NbG+
K4S3Ty2eJo9tKp12IJIBRk+EnoVBdZQCMGORLbNvYSIza0TYmx4GO2eCk5A2hkW9CuPJUqFZTcld
v7okpMzgs2gLHPhKFjbDGnloDTnfjwk+Ht9RzGGVW1/aOFWIPMRyahdl7jyn77ctGfEPfYO7EhPz
zxg7DQrLKg6MFoCw0PXqy8VfSdA4aflFJ7JQR9pz0UVXoOgCfZI1bE8SoxUo44h6r79Cq48MensO
58idvudmIkPF2Y3V+ttldM+DZsTlDqL40EH5kKA+4JVALIFdkfPbcBtGjWlTZuK41HSqtPDdIHlg
5pdEkeVRx0PQz2KPCuzQYKvIcwagqkAjJbt+ZxfN1jfUHXVHG8zAmwTPoT3Wke0uPLD6tSIwQ/K+
y7K53AzxjumGA6O26Q1X/f/1c7yoBNzVImcjr8Icu1KVz4FrTH2oZcUBOdAmM5Esxeqr0eVuGpvf
wsalicWmFM5GK9LnamIdVEl2trP+3a+cCy8HRj5zI4n1cGtcMZg+zPgYq/QUI6T2WLi0n3HSOXSt
QIuNCx/WOS3FvrEwybIaILHfe4Tpp575VsbWj2+0lyprI7APxnynJgTQzPOfaqqHAMY523ZzH+XC
32ajQKfW8X0ZoeM6WxbboOhK1LnpeYaDwff0UMVXfqptNcNfLJP1p2XGAXVUoNRwsVAxypgfTJOv
bQybBtzj9nk44ee1511egB8B/viOfM00B/XiSz0919OPn6GBd8EJ++KaAwxBCxEsPb/nzhgM1W+f
us9x69DC4t4bs3pxMrWV6/Qbq3FrIh63xzQaB0zH0OSfs0zhYXGUADOMNxdC+ujU1W4wyr2pCpJy
EKVWRs5Qx0PcDB9pfKn0dDdws/Tz8OPU6oIpNCxiZgU4bOT7tR2slb5zkXLdympWj4XCd4/wJIch
H3aj98LvHdb58jhizr2FOizD1+AukeJBbof05HXNnVuXpzpmQyvTp2qNL/4wH9VknohSPNfrcsEs
65sJoyJQNyimypeT5ernMq75OifzyMR3r8dpNHteqDdQHcn8hOcVR1t2bHzuS228T6yFrAf7glTH
QFTqXmYLqFtbT3L1vovY2cRkMvp4NDUcrP2sP/eJcZLGn74WB7E6p4G5ugEEzBeCPlrCLDZ9wxHo
jp+8BL++rTGEZlsGpPtiOQzOFRrzKRHlRbb9JSM2ramWKw4LyOWjD3DiUe+w3LhFKXYpHMHig8JN
jQlRq+06t7+anfkiXPakG1DqTe53pdKfppDY3mynAg2oDqVtnPOh/C685pmDKZyLYVtTWLD8X+Fj
kJTpRX2qf9040kEWJyNLnpZ0wfcEZOtMxbtTF28i94wALdSlkIhHlfbkp2QRp3wxy7ptBm4wsiW3
N14FnVK/YSJB1RifCE/Am+TcQaOye9Q7A6okz+tTTXa83eSh1w+AdfBI1Hb2mLD5eq48PudiXv4K
p7BguTAjtPprRYqQa3R/MQKIjbb25Cskn4JBJy2Gpwl8nvKIvbqF1Uzu+ixt7q1EUPLlyLf2BufZ
/TMZtdB8mLjbfp8iy0KbIXaNTRhjidcuBY9HIvM49NqD2c5Xuh6izDIeXP9ztFb87XWgK/vVSb2b
xRwZTM7WYNqcrrgASXrlP4Y+W7+aVNhn+ACmPnllmTmUWEXK7lEO+VeTIcpuHibd5N0ojgYISk98
sd4toSa7qEFrX2LZL2FdHTltnSY5mWi0B+84ZAbrSyvv5hZx1tjvXbN6yTPzuOCDWFIuFX/YakhR
5YrRjUQIEz64s19aOd13rtagTVDeZpT6FoK0NbR/mGMCYBFMYunvbFnXOZvOevs2UlQQ5zFfYnrV
++KIO3LPRnmn6et+Hcu7EWeYv5g4kGnaQ1vB0oFSBoKHpcEviHyKGX4zgOCxB3bOi5+RADdg8fYw
wCEMZv/DmHcsLeYLQoXwflhvpjHuOqHQ0msPulgPbVK9OmomzQT3HNJdrYpmZE2idR/cbt5j5UL9
dcCbY3NSxpwnpA90699alGS3rNtOzVFTUUm1MswWp3p+5aI4ckn8ScJGRKNtPP0l9XykosgDF3YI
XGh+6794XFwszmHmLypyMvGaz+MuqYx9ZqqDM+Rbrc8DY+aWgM/2mD4MzE6UxiWpHeaj92ABf8wW
LHz3lTVrmEqfJ9q7ML8c7F5uYjlGVpl+MYttrF4LTIS2FlraBtCsZRLMKy2s5jyyG2OboJbWUe0a
C2teM5OrrvsvStN/EYXsipIB2SEUFk+zdxKFv01ioPN2uiJoOysbUMdGX9OTilGZVsTBF3api/F8
7EAztXNt+W8KXe2Q1HhCnH9zjbF+WEPg6UOm0bKCIxQcmSqX1T7mOTxjp0eJf9Um691M0f16A/5O
XCeutnUFPeHEQNSxv4XrCDF/gRL/shVwf1c7ozf/xkGeOiBPTXvxSBkJRTNdrXI5WigjaqC2CmXo
BrHo3eSOZ+U0D11mRYnKz1mN4qI2/92oELIdr5NlvM1GtSfHdSdqc7f2A2Q9OV6kRTlzfygmH5tg
FWWoqlc7PtKud+zll5zzOy44aD5CKZqKodF+8A0D9XUV8Wu/mVb6CGj5QXxjt4ldgDSMLwD+VlSw
/rdzuXXjnpzqlwUv3myTbWCvKDCmDGuCFdFpehJtSliGQJM2WgwcXYywjggelKU5Krp4tSCFh6AC
UYEJLaFj0sx8namR2UACQx7z2MmPpsKtPdzfpE0dXp5F8Ao7z+Q/IbPSRYCuOPIBCkS5q+xu5zOR
DmBtofQuAlagVxdzuaT5V9tzErVVYHp/JiFIFgeTKesvMbMETb0RrkZ2xFD3mUz+gahwCLBsui97
873WHGY6JA2E/2IoWs515gWucyo1sbX764Apw9L/kYF01xdWNC7uX43fgW5IwmXg0oivqDp1nqxv
K2v51znKCGRYpNyYyd/QLMijFWToH0scZt3uJ80wskr37JBgr/UqLPsWBCy5FEzjHppv9v6kMhl9
ybnCm3XGVrYH5CUIkjNP5f1Rsl95brfLs4PUkxBFAyc4b5YtTkv/rroy1DoceaRjPcPrUYeXzndj
YX47HffyOtR3zMEfMWLrhbOAIwG3q2cxwjrt8FXY3dXSbm7LNrA9lxgN+e1U6NTspGUucupgGIfA
t1H6FXzUelIG8ZDhWBweZpW/lGSeDt0Nrs6JhUDvYqTESPXJW8v/murs+6VszjEf6CSQX2NpR9EC
psFp1pGd3fWPsfxu0g9upsC6MXi2B+lvoW/icBlWfq51WHZ2mdw+1OVtTo3PBOh9Q/nFr93qyGXd
WyYGhvckZpxSzVelY6oX4tra7UdqeJ/28ApurUdikTuZ6dvSTt5A3T4T736u8j+1LC9Vueu52HFX
ENfxQSzZVrAJNekTCWEf+lSdfaMPZW18qdT/18uGY+xEFW/QFfJX0819Re6W7XZipysyihyyeAKf
msIQFztXW0lqRH6OJeNYpS13uM3SR29e5Gd3eyTzUr2kqemhIIQoRC22gA+LNPIKr35QjVaG0BpL
SJtmgkZH6Hgte+9kN551EI0ijoMIqkjl5glZkxS8CgnvLymP+wrzYNhaigANl+UepTi5EiYpH7mr
cNEXbXxadLtF2q/aYDZMfCSatSDZ9b7Qwn+tSw6H4zefruDLK40bpC3qx7Kt8610l6/JNrD4+TCB
2oyPuZpda5Mu8cvQOvybNlBuKtrLOjvDrrWAQPtMETRmzqdk0IaDrSH/AWKgZ+KW6KRa4oOB7a6T
Ae/tDkURxBUEhcNEOdrpFuUAf00Jk4X28X5cvEdvTF1g1NJkFGsjKTAaJoORbrKlEjsvWc8OyCEn
Lc7coR53Y+98IbrvmTgJ4XZj2h4sZHO9G4MNVt+ucEguMPgNLIJeMTeXEE4bERtXkfsPow14bTv7
vIHjymbs08qBVveGJ68a9o3O/wJQlfaIreN14ayqA5lOXx5AiQsekvXyqmlQp8vN6zOYZ78bbsSV
9lwwUK6tG8J/9yBE6hv9IiTSGCSFANbBT2VVd/zVCNj5TGNpppuhsfGmqPU7n3lhujWZo7Vkt50M
klMSr4TtmzvMgPrVEt6Br+cf2VQOrkvtUDnFw0QW1OguD+BkVdS5JF2ZNpZ/VB6gq3mztUVxdmuA
MWjN5wlho53Pb2kP4JChOgxmq0Am5w2HMl19mNiGgdB3vrtxda5lWYN7ya6mD8SNA/JkwpXjKCUp
jCq1k6cztfZJ/09mHOwJO3SwWsWzofJfGmovWdFjS1SPg9CfdK/+Z63L7RoCF6NNA+PY2Pw4poZo
vkoOWArCprM+pYfzwrLxvvsZLFXaWuiDy18jdQx0ghgU+prJoK6AlC20hFXn4FHEwOH460EkCwIC
2oEOc9reN05yQc/+b7UMcWQt/eZz/SHCWqc0D9u1Ia7o5D5v4FZ9G0uogAF/6oKkJZTBsDDdLq5B
WCZcx9R5ckOc6hhMyZQESTZ9Gmp96/Ggzev6ld9c360ctq2wCAmS8q6u84tIOebYYtLNWKYkBA1r
jqAy3hKYqBAhEGTYGHO2FRnREwancmDxam0yVX8pKZ5WXu6KF5tvkSQqJXgZExKzD4MJGDyh1ocL
RPxWWaRvzI7+WyJWj5Yeowt35avf9O4GHRkywYwgGRbeSAmga5oaSQnDfIam/jetkNm0k9uS0Ya/
y22J0yoRWBC2vu/L+RcEYNp3vcCDlY0PNNTsYbpZj/KDhjqRXLUp7G8Yp1VogPPoQkiXOUJ8fRWW
FzX8A7Y+pCvTzPhpaRAVxXJJ3BK3u0EwiRx1Ru8bpz8J42yTuBSu1ThxKAisvWzObsaBa+baFnZn
m4w6t3NhnzI7Vju5NM/1XHx5Pp7WsjF2BSHOm2xmwBzjO7NlgyPneTORhxLERsnOl49bR8qXdXHu
VeX8VIPPJVWHRVFdx675bBXax1qDhiTxPEwzdhwhnhokZYTnVFY49TaJyYnU0O7Xp7aUdyjvz90s
Tlln7E1rcIGWP+jX1rfF4jyRO/cyeggvkP48Vsvwkw/J/TJQHZK5lywD4ilRujO27K3EuHYpWIgQ
xS5thntlWJ99Gb+t0/hqtOINXJ85VDdPMKVbXWlgzP4/sYzmIZn6OVwEMG+aGcN+9ZDBF+vOTPRf
KK1NZt9CHTFrY3PGtmlvFmJQsfITPDj3MaEAGXMNh6W0hkPf0GWCXvCDLczEYITnzzHbryaHfNIz
zklYsbt5Kh+z7DYershPdUFIX9bxcGR2d1/lXrn1YSBTUelh7nLjaCgMdC+7y1nFNm5J9LVQKSps
26JIspreCdXJCOfqPkSMMX8lvcNWfbmhBgfvkDu627hry2CpzTbqkunAc2oFMPRPrfAQPgCm2liF
onzkAazlwiutsPXgu46X+MpBdOwz8e31+XnOcQEQP0TwUeGPkWwruU0aNM+6QLwj5lNK247hNX+r
Dji/uAyqZHQiWCer5UAe7aXnv489vEdvHmTjLHttpL/JtQn2MluyT29s2poRZNVm4OpapU4LSZZh
avf3k6OOJllQK288Ypwd8RcpDOR4Kk2njAgvw6iTdXQrQIvbmveY1eIfSfd0cNF/CXCtMYbKG/YE
V7BXDnd0PXLOLrnicKoI/gF4TaPBdh+ThHOG0Ih95vNM9lA+EsUPmilmw3mMkt7/6DX7zSW/Rqby
gnFp76b6g1+mR1uDZai1AjqXRib8X8Yj6fSnibjSzbiwqTZOERaqJo1BAOm0oEF4i1BJpZ8t+ouV
jVuL4299JGFoFpxYwNsIMcWBKRwmdh7SJ+WRKFK41XtVgoriS4sGfvXyJtJdhhGwpgCHZT3MnAU7
+zJmW3rEzCCJe7XvfeI8sed051gfWcEblDmji1DMnqR7RRzu7jvZnH3XehDCMrZG5bz4madjjSYx
bVUOkYQCK0udklU5Vq0eqtLKUH+z3Lv62pBqIv/8gXweZvMAuW2+zQwwYMyd6BrbWxgCKGhjc9JM
ncZJph67ZmJ7jl8zYJwmcz4bilI3Fq0M1FBsLdQKgVmUl6rIXxFS8dXcOgQSwi6042CwHpnoBBLO
fHTg66L2ytWeV09cR9d6paptY8P7e6v+vpBZldcpMcLCvegL2e2q2k5dHq3jEC4lnSBOdpOv39pM
TdId27p56cnIazoskHaif6pmOtC3djBb972dlg86WnTiUwZYec16KXPSSK1MGPuUDgTkKPEtMXaB
EzHMMfImQWKJ35xH8qad2G03XVd/QDbcjYDDmxiej9A//SlPGBAbx35Z6/6pZyqwqv6gueR59Ov+
tnxmdfqsJdodNu2XJHEu0tfY79XJSsyz6O7dBQSKLeeWKRAYTX0yNMIfRnuHn3TdNKC2QU+iEel8
W6ubL06FYS4t56+4fvKz7oUo8D1M7nEo1seq7tl0SNbI6ZVzNBBf4LhSgVsyZg2J+8Iz1QUTUlSB
6wy8S15Xe3n3+mrCMGj/2S1htDE7mA7oCi9BkHLmsOJbAY92fELk2N5U2i9jEd8vuTwl8IQDISwE
Zm+4lEJ3EC80CvzLl2Qr9fJOgSOo4StXy8UiHyrLvTcgoXtV+MhW4VxUvx+GLxjgTdrozHFsi9Z6
lkU93mIiv2uQ3FAT2j1AHXrZ7A3dR1BUn4tL1tVivNjw7qk+netWHTsXUw+5X5tqQM2Bthpj2Lnu
9W+po5PxuIQtUz0PtUOUMmGNxBHEEwOp3/+BQnejfUBhuZG+vRVuH9Yr+rO5cE8ah2mDgxkR1108
FqdlSs+lX+0SYtG7GpOr3lmEt8jyVTbDm6k5xwJ9TTJqb0TpEbRp308MLOC5Hu+qx3hQDmiWqp64
x65LQmnp3P3DYu+UzTpbqV1iggh02ZtE5kDHyjHxVQhiAhDbBJpsduvkEUD4SZndI96yPb7ST3nT
HKGTP2RgAC6Zv742P1tI/KzqSwdNMxpUxCh0emMlO8MxcTkgYy7jfTHypCwxf34KLdTk2hoDilTv
bn31uXHjOA4ti3gE9VNjS2UEblCyr+nbqKwvEBqQ4Vl9MzU8YSENyULe4dB77F0vql332hbuP9wX
pHksx2bUfhlbo0ECqxne40SI4Dioben4fOFVaMs5KDmGMfCukbNaBwf8kNWSuQmtU5z/iRx79pIi
LgXGWPPp6FIgd1sGX1r2KO7yreGMO8PLjtLCruVqVwvlcEE/NlMPok39aazMGyTMCUHIhEEByDYD
jyDrzKagQE5nZTFs1ot3+Y+j81puFYmi6Bd1FTm8SkIoWsG2bN8XypGcQwNfP4t5vzUjS9B9wt5r
d6z0h1K5gevE0Gqk7I3nk81Jz/I83dQJTzwfwh8yMCKlDi9wphCbW/mvqy3fEDOVopjfsYQwqtV2
ohEnzM83iRIixDzGNnaKNnA9dyiJj5PdraekeQtH1GNKTvMx/OnUA2trRD9Q1/kuqoKzipoMe9ix
dMtj48JpDfKOXlw1bRYXfUIGNhTjNCcQzNbsnRmoO0fHbUwuYAeSt1urTbYWI/4zdiGAuBqe5gJj
aaUJkEXFcQRLudGm7j0sm7co6zlyRiocApN9kXEtWnl/irRkX1OZE2fPkBOansO1bOtI3VUGjcCa
U4/h+iMnLGll2eZauhAe8nTSvCzStCNd64upGvjxEaBx8+BoStcRzv61O6OeL4d/RlFepT0h5m5W
vaM9oVNtV1oBZi+qm1sVu/+m3B3XQxK8xBYEnYpWwI3O1QInx+i+4/h+ZSq9CWxS5u3p0A7GnbKB
5l1wrIqVm8unEgwgDjpbBTuL+lIKeTQQjdGrb0oWZrKCh2x9mVBFqhz+BwKYmequRNeXgsdwnpX8
Ff4Db5mDYb85Fg3NPvtLBYlXlL7hvgGKxEQbCBsYo5JuKVfK3TC3R8fqnl3kcEuAOsPsqbky2kkg
BEV0bCC6RuophrGWy23r5uWdiSfh3GhApyg5FtGEEJOfiIkBvsDKfAsEENwSNFin2lCyoleK1bXa
6R7hWx8qtS7SS0423cW6M9Ri2qM99GOU7qvcirDKmOBzos69hVhMrFS8VUl+B5ssKTS1G3E/YB6s
70mN90PDws2GB8umW1KKIf+IpJX5jtN4fdUvfEYWL6Pqy1TE69z+hW7O6cUpY3CbVml66AuqBe0f
y0mvbRKmgz+A9TdcMOsgU05jDS+PNGKySxaotn0OzIT5dSMuM5iilYtAZRNEY7lRtP7NtPXL3CPP
CWzj6lYujbglqM6S4GCyYe7R62461dm6sub8nekKrWdFi54JUGa32bQQRSyghZNSUaGNxpc1cjMj
St6AAeHBnhUqYaOJqRXLu+LoSLLV74Yxve5ID0Mq61F8SyO286bGm50aTxVZH74InHs2FaFHKXqN
MsdXerRX7A1+whr/GUT9l0akDuSFJiUpKoJIkyoXOcS3wDSfUOH7SRRTPSAEY7rW+kZKTdN39G1x
BfOlGxiM5NNrqbm/1VTSCzB0ahEblREr3NDkk5VwvVCqmyFGYpB0pXmzGNuuy5TZiW306C6iF4xi
31GWbRvoYV1lPGu5/erSZKw0EOS60eyg017sZWNLi8npnH24Qn2ZbP2rV5ynSYyUlsFxxlbGVASH
u8SlYVUEKwSMtTsTbHCiETMmB3mNe/OFPR/bgwi7QG79WuMTzgvYwQ3GjcqOGDIHybs1mre61M9B
nOzxXG4KC5khiyJjkOj2+QyK+jbE6i7joA67ZavRNjRufDkaxXLQcuCZwsscY6tIC6QBPKBpmjmX
kKIUmzlXX6oZv4EdtD5+fOr7YBOZtBNQhRXZfCAFGXm0PlQjWDuts2PxafiaxsBoCMNTNKtciCEj
bbYxbwVXYaxGAPmmQxbkjO+1u22UPEAKTU9D7TI68xn2PghW69Ia3amvkVq5BAqUrMSzfvxteJeL
OUFYpSrcnspbq3MVMHt4N2dyLrROPNFLbgJFoJ3PuvWI7XpS7rnU1gw4ykXItBZy2EgutQShcBAN
ZyfWT4Z0d0ghNqoB7Uizr4EheLMtjuaU9Tlj92FgZoO+MGb6HTMXoLFQdwGis6jst45+j1D8hwN0
EE2jlg1s/YEV98KYLDlhJyuPbuv+mKO+w0l/wASI+TBI8UwgwbO+9XryxwAo+ZDoe1knlATpFRbK
L8oPrnkRvA8GUkk8KfO6i5u3Pmjvc/Bex9M5Tca3MJN3tUmKra0BySBT+5q0o6eFCO1SnbqZNbhU
lKPVjDnztBR8TOmsDRiiWo5UHTPBJpiKeTPNWKcU99bMhYdTxhsNm99Oxl4+Dc9kysebqmhYKBnE
xeht/qdb/b0N1cCvg5FKAjUsXqwczTS6fMZcNbLj2aJmte7hVH8rMbcBczq6dDeyVkivt6ZenEKn
/Qo1JGWuU67b0M5pQ/j72X27Q/dR92oGK1LzaNx3iqoSSYTEscrzf3jAKBZr6kme0BvT7zvfxBpO
yqFfqg+dxZnT7WzVPS4yXFlA77aQq7imp7nFP4E+Vun6vWzrk9vFn0zN9nHZMBFh20VYULTRhfSn
tnoCar0nZZChgXlHf6muFRzArOCFsmX28FujxSBHqKSCrfxeV3cGAsqCXado2PqW7qjCEmk/+3Ff
aBhX1JmXNiTRJJQwfYa9ZZZv2RQtaBDE9BMRKSkbf4bGCFTACSd2s61rZ6dUWyPEX6t9qwGCQf4i
c8dQyFmLxoRkBfF1kgIBA7TK3ngeJWLxLn8KA5hpSfPCqg9xHZBerLVqkN2GcbrNuvmM1NYXdrq3
Qyb9iKl7nhU3m06TpDAzY/0XPy+KYXnpAxpSTvptwqOqNEgDlwovMXt3rU3cuvziWChMUVKtRp5S
zFwGpLQ4zSAAnid8IMIQGIlbWBsdHOZz/UnWV74mJWJhAbdccFXBN8eWWqO6BeOyctmcshUAu5Zz
nMdF+2tyLrOG0D40FTpGG9zdLnylf9t1s3mZI/0ssCtBzxfc8JRaArPOWi2G92ZpTJHcvFkFEiB8
Vh/xwJhFzZ4rl1/SKtnh2MMKFRm1yi8Jq9s2CU0/DrE+jWId5PiRdGG/lRPJKIDuvtqy82QsN1kQ
cPcOMdkVosTzjn4HhKAnR0BhA3bfqEafFX3lGjrDRIDeZwvYcRertrIObZWar/JsPSGzlTXINHfs
p5H9mZ0LHLhhC5Zy2SpVcpIhTqEqmU7ZlHmzEdCVcQM3KT+y1M7gHPYGcBgtIpAnTsE9BnV67ARS
wcmgNNQJUGEu5nzW2IR6YziiMaqQj/Sw6KNF6l0U5PICVHak+ZwP7l2tOIbDCE0wiQTiSjyJS53Q
nABPnUwMgKVsDr2Op0Cpkd78MMteC4UJd6r+o1FHmCXw8YBevo9a9100ZYOrGMyEGYp3Z7Se80pS
+rSmNw3ZFssv2rkCBXti+S5F5wrjOY3UYP9gAX4t5+CRq+33FDATY8Jy0PrvRmcQbKSRP7OiDzBJ
agM6izi2yNXQ5F9RfIgZZ4LjPBd0IAQw+vlsHnX5nNvcUyry8SGmJSZ/+8Q/uAcdNTy6laulyH99
5jwwfiIpAjzim/HIcxgr70mqXobRPjvt8BeRgsMp7ZQHMzBfKqf6HhUc6dWy/tL5dsMAzEIUHXOJ
09Jydw7NRg+4v27YzZSdvo0K7ZEp1S8220OqP5n4/Av3CCzovWCuoHX2TxCLp4IvuRnHg5UYb2PF
qd2k+0DjB7AZEYE3bUPlaofMIUR+jiULV8rY2Wk3QJJ5ABlwxc1GmV8tNuuKqvtGx/heHKfoUvPX
qUgeE2oogkZRR+/AHi1HHkZIe62jxUzKmo/+lIGfnFg9lqhSc2Sxc7bDr4OnbNy2+O1lNOwJt96E
LV0awuZB5ciaa09Tshd3UclwyKl0bjPWuIyhMvG2UKU7HsimW/ehcVMY4RdZ4iHYkuHnsDi3yleN
8qRBu86k+V4To9IBUOSBeShjcpgXJaHI/dRCiK+P4amPP82EzTCvVU1GAbPXvhI7e8y58Ry/NIuz
MRtnx/jBjcEvn6wy3K2TTgdjF6vGfiTsDiwT3Vz448zuGlzVy5RZn6zinTBbxPQgJAle2Q2tve0a
bOZOx0hO+2ILvUnGzoedjzb8q1iA5q7cRDlr7u5lYPo0cQOWwt6lscmgJqU1CfxU53kvqKsU7dPi
liF9h48WYTlkkcFU6QHA4lwU1XaKPqe23Jq2vR0h0i46b5TuYAdyr2XulxtsMm13YZGuRmbhzqCt
tR5vb50fBAuKrGn2NWv+ciH4hibzJbEfCN1qGLH1zilBtq4i8OtcpiXQuiTLdnZ4SFboDaiNquKr
0NE3hNgxGRiFwRY5Hm7U0G9Ef9CUD7NAIDDrqxJmUqwjjmw/hH4CbMrPDwRgeJlwwgwchjjIKT/3
5QQiFosobDww2pzOXPGt2vo1sE1Qqk99+cgFpmmyuDdRdGobA2mt/lNPXHtcK1XOQF7QcLPInZ61
/pTJ50LuFIxtrtzN/T4Z640poFgUAdMcrh0785Mh9crw22E+kYIcMec7iRZbRdA3LKR06wB/5Mkx
iq2FWMGNwn+OEp6mQv8zwI9PLthmoRbrXus3YR/CKFVfzLxkity4JC7YSJ764YcAulWIIEkZMo+I
Os71btrmNYP7UcOa2xCLQBMaYg+sDgBLTsSkX818ooFKcZSWP00zXdrxLKDsmENw1CzhjTGR8PDG
Yna449T4LXevIZ/pFxL9yxkjVlu7kdlcJQ2qMNWT4OzoseHMUM/KGj8mQ+6cF5tl7rzMgVqiK6p+
zziS9QdJkggltbk6ga/sDLlKQ8CMQt04+I3KOaessHdz99m5DD5Ndy/lLe4AuSFrSnGnUzAxX5/r
rcpb5LT5qcUjajyFESi/mh5f7ewbjmvyEC5dfRiUF413UY03hthy4DCl/0xCEMfqW1PuRUQIj7xJ
yovwOravRfrUGRppCcve4hsF06piHeSoXrgsDRzDUzsUbuYjYTuDJdIcs50mWdOTDQkvZhP3xmq0
l6aTHImy27ah4c1QYjVk5DkCeQXEWcgCAzARr8u3MUAQS7EqLyjpaCIqXbkbBfkG9kmxt3RJC6he
jb7m5q2iIQpnRnXUkGPEt5tAwcK5JtBa1XuHC0JHxC/17TL/VPN/qOuy+lRNnwU66gqP1xz+Of+C
Cqtn/FTQnTIKdpAtqlyCIAPgBq1N4BSWZ4//YgW69oXtijVu2U4zOcNJ58vGh+EY1md7oYXDAktA
lUE0tGgSzWqbOy9t9mI1mwEBstXCyY058tuTGf4aGP90MsnaeTMIJDDuk6PNXheOBxNFjDAwyafF
oeSm6HKXxIKGmePoNcTzNLrLOYGNB1NiqOPxYRnLQNOrI+566k/C+iji9qXmucGPZZKZlz5pru6P
jljnzDAc9teTuch8Cfab85Ph7nnnGDzj/q8ZBGIO0Kw3N4LCqqU7ZL6HNgb1bKW/ZUL2Wtn89sIE
OqigARjrDhEfBvI8V+/LzJo8j4hmLIoANczyywhh2JdASckMG7cQmw6OG766GgIk006u7PNhCoCx
gaMR4wMpR3tHrtwmZ1xA2bfRY3o3Z0skWjTdukDCVX4xKmR5OBGGYjVrzxmEykZJPGDVuP4BTPbW
IWr1tdJ0V5tKki3EW2lSFLATLaJ4nysXRwHj+NKZ13A4M5VaabTFYianZv43spHqDXFOy49BxQqB
NhBXVm7Gb+3E2V7BabOqozk8i0R4DjpIYIObLrYPFppGUGW0TRtpvis4CRCiwDFa5TRpzFqMcpdb
71DA7QA3crMpmHQW5Ucn3lr0ImrceraYEdPgHwTZG5JCpSxvGfdF+FxFD1N5V6xjEzwNMmRe+TSB
bu6w7VVswTYJxD51OlCvWjb7O6bDxjfBm/tlxQEWkwXeS15NLAXSfTu4Wy3l3SUBJ8f3apLAkxkv
/ewb7r0k80inGS0x3Gk4uAfjW61HzK9PRgIbyCfH5uzOHxJHKxIkD2jYJoZc3dOAM/AszKcJqWP8
ajv7TH12ynfopSYJ8hLAo+XskuDZ4gE0k/2sbpHrMIZA1OGo72RiMrtAX8Je9bDoDxeRrwx3wwgE
lxis19h9slio42Zx+2wz9lvGbmay1RH06qw8Y8y83T0gdMlESepmp6gmT8JrSYnhCZX4ZwNpb/Ef
nSouVJgRy129ysAtEK3HzM7cqsl0d8tegHeGMGbpXF5O6LwzRpCkKPD+MI4MYqzL6HJx1rqvsz7c
FEiY6sCQTnSHvkkPtcSwUl3KvKRvf2ZTf4Caf82B2ESlsh7jeQ3Mh4FCtYrYf6qp+y9HkWlTAUN8
ZIBvb4zpzCIQ1q5KNgK/QwsmM262JvF9jAr05lEDrGr3LblZs7hK4xTWL7K9jNghM7/Iiq2jZd9x
xIMquvI4CjxZUP7Y7K51xJdBpvugcf9NZN+QoWZtUyX1CwT2Nrp5d0CsmKinLk//HGwSrSlvFHYH
Qa5Ng32da55tlLor2JNJpuNhdmoqeRhaAlQEg7klINmYOhDENX6pcc1/Z98pP4ajbJTYAolFEVRN
P7Ou3IdieMxOfFbb2bcEA7Wh5tQt9a/QxgoM6GvOzZUhoFqzZsejAiI44HyxicKRwYw8LdHw0f2G
orr2k6cypug+Rna9lruKNTgA5CyySJn2WY2Z5DWoqJemTTfVF30cYcDdlmYZgM0umBKP7B7SIXdz
Lj9JQUR2gui5LTxhD4eULIKwy98cZVpLlSjKXdIOHK9y1RT9tU3gVPO2noH9MUnLFSZ/yqZF7cnC
9D0XCP510+8V4KnG71AdZ6psOz/Ps+ZbDHWc6STUyhvqSwg0RgoSsDA3sLseEgUpa/uU4W4isSDQ
IMYeRLAtaQrTST+hZN3J6oJPnhMFBFuHOGpGHhCb8hkp+WYgIaruGMWlylW1pD909Sucs5OJCkxt
UfrbrxgksyWukhZXQ4Fh6uJWueJh9Cy1KMgCLdql8MAKecWZ8mMI91pWIyViDpiELD2Sj3UbitfE
wwq7hYoJuggitmBDcXxnjwoXYEECRb4ew5lqjD0zfI/woVWZ/vUMJaP2XaGCGPE4oRVzo4Mh3gt2
N434lmOx15QfCy5wJslqYCLRVOehegDH5+WmzDeCg4ytk8aiGG+tP0mY6EzcB4czk/llLNeurW2L
BfcOH7vgn0VzAiJj2tYGYre+2+Ujlusm2hNJ9ZIYwT3uzn01b7XwhxMICTieC4kMcKarsqi8M+4Z
cTINY5/Dz+mHW8cloTwXjb3n3Vecb4ViMO/e2+ZRmvx22T5tXiPM8TH1ZxJg5anDlwD1b4YGF4mE
l5oS8Xj/VyxsBBlRQgHxpbpF8JRBFm8yAxCq59KXW1XFvHUgYsHa1DpWK/mBgzPSDk2ochWJPZ6l
sWJMitjbqN6m6DGHJAKF9CIRfWF+JTeM/4Xu1fzMsDYvfYcaYUZW7xxaOpgYW1usY2xM7xjn+Hky
L8BAOQx8U3IkMJKwJNW9j+ZmSl47bT8UE436TZS0p6rwIZx6aKls0Z3zCC1vTutu6m8BXzU60KL4
cuybA8yvRsNQlJeRtaCbPdr6o9XmTWvxZI/vMjm0KKoqMuBYNvBppl9k5BgLTE4Qe7fcuU7S7MhP
XnouqhaVu7sdm80kkTZLuTJhprGSXSsuyCnsWPHUbitYw93Etg8HKQmOWPRm4n203RJ3Eohym6Ay
p9WnlQJE4JTH1Kn8qrH8ALu+oitnhJAv3BLg4wR74gndV7yXve6labDua6YtUbMu8GMtqytMJRv6
UPS8Z7s3bzHMbRX1j2OOu5wXvOQEmiHdzUIjGcY4YFfbgV45ITDcKwFlV5U+MCA9x+QCAuddjwTa
1pMLD4bBL6SsiLisqOlWg+t4cYYbg7et0phgWthaee3L4Ueh3OVyQV/UBnu49JsO8U8yYy5I1R3Y
4v2QuzfF/Wcm8SUiISGUYleZgMQbSlwdbgE3/GTk9J4KOFllk+Mu1JMYtFSAHXHa1KHznNicjTFY
liDxsYyfcKfuLdzWaxv51WUO2AarBaoWyi4rTt4Hy2bEYdMt1BMxGKyrwlXnZOAJs/S3hjlb9IAO
h/icauPrjLAqtQvCNuuLhtky7zPf6PVPkWD4KR6NOb9k2W9ThIi15NsoSSVW9acQe3itJ0clCi9S
tvvOdP/C0X2L2NE2lcJvslwfV3hqXpje25zj0lR+2J/8duqwcSzV6ydJul91AKQPr6hGelgjA3gU
JfJCd5mOOhRt7Qzh2579Ju09FBgbx8iPw9A/lV39aKaGsdMpNSAaIxlwQWaZ1hbKvBAD1Jbi4DBX
isrpOWKSRka6b9vKrScddKZwbZWBua9+x1bjw2BjhP1e5dfBYu3vHjiw0TtNqgelfGtJ6RmUzZwn
X2nMZ+TgBR33C8zgkkaYMTHXGzpPOrOHhM/hUKJkQ7HrHeOcqout8KxKd8DmpFEjA7oTXxG2KN4r
+2NG0t5pn1RAGXELdv4zIbjNErGJxuy14zCJ1OQDQieHIKYSJbRXMXA5i/9kor0hF2LA8duZrIzt
jEYyphczrUM/PwDq/d/wTCPmQzV9igIPve9vyFcve2VtcolhbwcgQm1tm4nfYLQq4aiUhQo//nvI
XkbyzAar3mpY2mRgIVkkbcBgo+VY53EqL02ZbZLawkuI47ZsDnPbAss0AFWSmDF2jwH/WKEET3Ku
PJVZKnfSCd7wxm6Yr1XRVWOk4eTil1Hmw0xfE/cnrl8TAdk0MAk1A3qtSmrddmPMl6kyMbJ1IIsg
0hnKZ6Vzn6Vo1U0V9wBv+wzn02R8UCDOsKdmU9rFtrYJT3GTHTfIRs4kBabDKY61Q9phrZM3xAx7
I3pd0jqImOSrjanPUg9B0iXOEJT3ZMs077ECUqAfSXzr4DYsw5/wJOLeq1MXHY92C9N6pzGaXzhE
wUBnNIGrwCSsiYN0qB56/WDGLGKzCNCVS0dNhWbE7V0n87Sj6Yfqa6qUTYWztbjpBDGJpMb9QcTn
Jau8LLPILpljrOOHtEfiTqJQXYaeGWKSAZR27jMTq3zquZUOfzPcIphpexPqBTNbwqrH/Mbk654G
HX4B+8XKlkOInSf/xxoBW2seTOZ6mmv56qx8KMFCmTHZAAJpER1dfoKWL+UjdAItc96rN8XMDkrf
/6ZzC99o+Erx9VFNwzKKRmQNYw5OONVTazX00zc0wZs79k+ST7nO5wzxBsbPRSFPQS/mhRsBDCfP
zW1jNxNfQpq9oIhrL8U0BZeoLl8dg+xu1fCI++aqz+vnDBIWKUfdv14HwEAgHUdEESDVS/WXKQp/
ML49RJT+QgN5MIb4HeeI2lvl9KwliJiYrDnPrqlfk0r9kv1IW6CzHCon2Xt6LXEvy7mFX56aPnC1
4wQHO+CnrpoeSbTZVHTuZea7JvaDeLxYUdLiDRE/up5eSbeJ/TkeWW4F95zuZdPyxa6lUVYYPEJ4
K6nxqkkO30liXgXsqfruRMSDuaim9SIgHIe/mUxoQh1Vt8dgxAFRt9pflWJqCzMd9cogn2xs9cwt
bSwdiiXWQ6m66NOrZ4WJ9TIVumoQ2taQJnlUTPMjjCffSYNrX2TbcC4PXaPsIo3Tt9BeHEpKtdB9
bbSfsPXbG1UFZGOlaMWNe6MzvieIa2XI+q9UIJGH2iOE8YqfPgIqjW/UVMQhaoqXlqJ3letwIzDs
6VK+KUkKvSedXnUlfs0bw9oUvcVVDpswht6Qqv0Rsyh00w4do+0XS8p4aocX00Fd5NrAbVmYlgo7
QTMXDMVtHB/paSDSNp7kyWqGAwubHRzr0k/y+S0usYfDusf6Zm+GUKzRG24dZ7jLjNFjUKE/Nj8d
WV8xlHl64l6VkaHRiCAEhnqQjh8oUk5V2TKBQczLSFKPbJLbmgehCOesa26mSkOK6RITumKftHFm
6ahtR+Kzm4UrxRHHPORVMnLH+XIvjQ5cgqLu6sbaSYNtAzMK7rO64hvu82cnDG9DjNSk0Zxj2WZf
UczguCWGqWcEEM1/7EL+GTUBy7LfQHZ+G0yyrkjgQXZqPpf6/DyNrMoAbhBBYaUnEXDiEInrWrpK
/RW8EUp209WJoXR6sfL8MWTRWXbh58JW0uV4ahh/krCxD8u52up9vw00RgE1295C8VqCw/RYfaq0
8I+5KzyucW8qxr5FOooXNN/IUa9WbUdJkVPoRL1gFKg8parjaSQG6Akj1bDCvoD+rOKOJeq2aZx9
wrY2F+MBrNWuidoNEBXEgR11KpsEZEwnIWACZNZr7bCA0FKMTUsrU9HI5ZN9mbSU9iv2WwgDZAeS
umGxqi32waQeiObYOlUGZh16kgvTkQUQmx8lvc9asC0qsBjDdx0TUid36BK8scL3xw1I+uAqc7I1
6Iehof5FkcgM44zc3CcjaV862sUyuxcAUPtxyG9EO29MKs2wz7e9Kq5Z/RsjMRtMlOD4c/yFMRwF
xc2Zsgun006L++OogN1gJSNK+9GnYteUz/b8bmIYUfoXRRFbUgj+OWIJKLTvUrtCLX4KdagEQ3KU
bPtkgsOStgAh/nqe7Futp15k5RD2SIi0kD7MqIQSpzrY04T8t1y77mlBWZEUvcH7s+lsDAfUgoUb
+5qwKQ7JgKh77ngDKZ91CuMvbRnVifqgYyBDiNO6X8VEaFEHc40FRBTpnj1RZPFCFvAOE5e9mcvn
YWBi3OeQXontXum+KayIG+YGDKJ5pkkhV4xDFwTnwtFJ+AKPwk3aW5WvaFgcgt+8d7djZmxrXfhE
Ne3IsfAKG8e2oTE4wqvuMgtPmd4t/VHJTUnNz4/2p1flZybQYvWTgwz3rNjkieATBBoVzOkuDJhP
pxMvd/VH/bhv1FctL3aEVaxaCwFE5NVZemogvCvpZ1o8qlZdi8n40MfThBszxPxkJu4mRflPGNK6
kJTRNcNI9EVcL1vwdbhqXmKo4QWa2Vgh3571S9diTUgAh5Q6vSCjY5CMlQawK2v6u4bASlFhoGfj
wZ0iHBTjWhU5nVuDmADRMxQnRz85+YfDVJ3QH6aghQd+Icxu6pz5Cq2dviDLlsSQTDIrKanTICGW
8DFGKt2i1baL3KaRHOL4KCboK923NbyqzHt763kZN/UO6Y1EwoWmeyJXY6crYj270bGh9i+xkoTk
fAX9d60eU2luWuR75vxNFOU6VNQfjeD6VTIzNmTDVgdslztQI1a+mdTwS02ju2pKr4iTUzzX53yG
mDdy3zfBvnBzzwlxe8d/yK4SWd2sofkWIelR0qUiSFjn4lVhPEVMxNFxyDXGs4VXcO9Uuj+g3hvt
ZwPkEBAD4jlsZOnjNkC15ZLzg5R+a/MW2ynsoeqzj95yh9AcZiwqwl4NTkS0VC7TghVgFD5Qphp4
9EDjoAQ4CUM5hBGm74GjdZr+cYxtuMVPeKFPCmvqfr6E+rureEK+QT1l3QfDVgm3Y2s/6mT8LCyb
yMoK07X+UCfrjxPyAEoZioNyljlUJbZWWn5T5Z+FZiWknYGUicd60Te47dnFvGBPzwrVVrn8rGW5
K6bAQwbqZeYLOUtrea9FSNjWOWcgbvFydRWQWyhyCOk09XUUxSNolC+1qzFT44NBT8lf2uMVVdS3
ApKF7F0gH3xZgHN2o9b8SaF9Q9KYkpH1VMRAldQGDgsma0lKZNN8aPFNM5PJxMVecmIRKkv0YTUD
yFbgSOG8zhVkVW22m+dl6zMeC5D1kw4NhO14h0s70fOzgvTMQSg11A02pGZDliXaYZXEWlgz0PT/
EsNFGV4fHPYhPOkdj2BOsnSPyYlEGx71RzrjDeanjVl0yzpenEAPMmx4LZlw49wj35scyxqkQ+YP
EApc47XN7pjhpTxTHzqolsWxCndxd0rQ/AKxmN1dSqeDDpbs93o6VwjvwsTrlB3jy7bbc1lLWB0X
C/6K+67Vr9b8ng8I69DvzsZ7rv+arEecg2Ve7VL1mJhwfsXZumMeivdL6leokLOA3AXk61PFd2dt
sZKyKARHAjxb5Xa3YQFkvH7IAFDVUNK1SzrXuG04FXV8hOZXPr1nTFDaX9g0c+IzC1CvaX/SB3JK
PN6lBUXffhtw2oFisr6b6Aut6RWWAOEDz7MJ5AqSbXYMDCxt1Jt+zsYutiJfho9xoAyJzjYQLxPq
97Ojf40JKoeN6j4h99u19j/UDphwNShpudvvQ202PTt7d4rXjguTyCkvBknGFs3ECjD6YXjUc78X
BwboJH97ZVLREPoGfMDBmYiReqH6WhsRsjmBPoY19z/R3Kz4rxxvtQnqEiAboLinul8Z+arO4JCu
qvZHYGtv36zct5UzpWE+fzvZoqWEvwQxZCCE7iQLhpfVCwn3SX5DJZAIrCzyISuEyV5h/sQxfdHJ
BOtC2hvyvdSP36CgOA5Mp0UyVB8h6zfmnqSZzNkYw1arP+hgFWiOQQ1lEbQH0dBN+YCyYJd3WyRA
tOld9pBMwSEg0MpRqgESg/LuFZgcxz9b9cZrRV9l108ZtBz1uXA+F0G7bZ+nhh3we4YiVJGeVm57
55Jpj24JnHyF7zJj6EGIM8szHMYq/1SWqIzJi9nyaxC4sU2ENAqwshVs+34WO+d8CPeWuA75tlQx
s4TGlVEqd806AOK9auDEuNd+hNRM1CEmT1K6Yiorv7D+jQYhhiHUtvIQManI+Ecd8yHBUifpzLWr
h+RPs6O4qeM7AqGu3ffRM8EevFoY85qvQm4GzJSD39f42uBhAF0fLlb5immf67JEvYyRImTNT/4u
amzeno6x/Xv1VhDSY3KyftPoYKF6mlCYBCjwdHLecbQyeXlp0ytPio2rxtUvDJ6TCgjaEomyzWh2
TOo2CcsPu2xJ/BBD9MjTmqOSv2l8ujS6peVvD/iAakNczQpSPFKWKN9G2j6R+669yf84Oo/lxpEt
iH4RImAKbksDei+yRW4QkijBe4+vn4PZTbw30y2RQNU1mSf7Mx69Lb6uQqxYprRc4n6LiP8N7TMw
1xq4Ysj9zKH3uMA+INSrk+mx73YaX7pNAxBVk8MWT2dALgFyqgTwCiQ9mc8qxEe10H5AC0neFsqO
Mh576y61JEAsUBn5JwkVWAzhnBcH52xBElwDoWbdSRbhk4dquGhMwBT6hjIaH720dKdjDetznhzw
QiLFXOn4Ruxm0X5545uwlMD/Y31iSe1Sxl9BvCLec4+goPNQrRMmvVDUpycLxcCim869/GGjbysV
6kL1r1K9hT8gcEM34lHvyz2bhw98Bu3w0qR/HWqaTPxq4wY5Rxk4qblMSSYfrIVFFVZ5B6XZQImJ
UASSbavxgETWWfF2SnZLMETVoJuGnzDdl+oeGB4NwwHgYm7+DEzcTV5o/xZ3Dk5W/nbfOFn2w4sd
CRMmo9LuL+L9JyqsudkwUOW1wVK72SdIoii0bO2IkLoyuwnnAZkf7gOlEqrZ4TCYj4DAc4WT0Elb
kBNwRbap/hVXTzN3Wu8UhU9dcwKXphvO3A0TGR7EMvkaeDLFiv8rGxfESV5cnPbWxk9ZtiSLSGxD
f9/iwJPEukeyMCqfUBhqm2UuWCZScKwNqHezwWTNXE1WB0ea1K9EJqqYiNBIjY8UgmEt/8gYAqvd
oB8IVydVdBjenf9dk23A3Qm9ILNXgzpHfOZ3VOd4NYkxmBzpL2biRjzHOJzRK1FKcv7pJwu7BZkp
NP63NtgVzZp4QBHSFTHKYGJFhKDJ8TfGZ8Za7bhvxMKf1so/YV0zTp2Pz75AY7bm5fTaeaItGVvB
VEVobXgsy5EHNtIp8R5J/pn7zJbZ2LTJeMTaXlQ4a5kbckDb3stXv2X7I40BHEy30S5iV2rfbe1j
hFJpLifgk+TDxwycOLmW46fHYsqU2r0a+AsvvEz5Q0HGddN+V7Rm3iKKN0N4MLy1Fa/A8Ttt84md
FtX0M4Y+L78D7Ssp0HTQqVXevzp/4lHGXAJBPU6Z7qL9WfbeRq1WvfcpV/8kNdhaqjzH/cdjZ7P0
77V7hJSzFPwWLR9I9uG/WZJX17DvtlaL33OYVe0+yb4pgRa6/jVGn4LlKgKj5Cf03QXjEgCfpxK8
oQoavIA1Am3d1U+9oTpsEw0I4shF6w8fyo3ST563p9c+9bZd9mO/qGNcYj7jE6TeOhYE0Er1+JFy
cOHLBLDIqUyUUoECi/1gR+KaSQGhLj2w/hl6TpMmqkzRKOoA2o+Qvka0K3G27q6xoZ5YXWTSKdUd
SUGBpd2NYJiZ4sDWQvs05Z+Q5zDGkZdqQIVQ4AJivvvWEmvszJK+TWRAIGDU8MNI1lW0aeKzHd6F
e8JPhDojBgGk3I1qYdU71OY2a6GW45JDkR2/jHhp6XHyBhCYSt1J7WvTALvR/hS+GoY6gEN3anWT
kTum+g2AI5rb1djbs6LrxazW//jw/PAkyD0SxpJIASqqJ39vsG8ImUQAZLtHN7m49l3WLrW+UZRj
Z5zL/F/SwfV1vORTjIcSOr5KgjnZIR7HIewF9Aw06Hm2l8A3lIQIEBcsczmv1WGRm/c0fyoUnZ4t
LywAlxIzRzbIKnnNSFFq7mBQWjPf3LY1ceTlJqz/pPar9y4ALRBYLUB6w+tv4O0sW32J4ifCLolH
i3TfOX/NEF9EsJTtfaD/Ew2pSESYB5RKZGyiTfurWAgDAONxQoNV8C2WG4lKOqvMYzQw0IWil82l
KbqqvcvShR2QnZ4moavLaHtaOlxSeGeBrB80S4Bcxgy0ChVKsF8ZAV/8akwgUOzmxm+l+7LZfvu6
tjLqnZX/MxihyEuy8QrMZTRgFIR49BjBCJCbYQ82UlqlWHIynDnYUUrE1+HJDYnWZg0NwQa4lFj5
3Boj8+Zb7X+q/+COCINtBYkXugptEyvkR16xl69/x+QGoqKOtyXyOOY9PkktIWz+HDfwewhXXX2w
jG+dS6k6d8M3S/W5P3yKYWO5y9imDOWeYI0qDY/AZ51DwznvJOAdjJUsiGMECq5NddP0OxmVfqjt
UCLY/V8K1QBxfUXcBKs0V5IPAckaTKsRki3odUDTDjbUkXXB7D9gs66gvUeT6ZVHCVHzIGMNG+aN
9kBRFvjrKaOiZ0adkdydTXueMqc3wObarQfFcY27pzwT+ld0FA0anC76S8rvEQuoYoKjASfCopdZ
ciMBM26ZNB1EflbAKPsG1QKPxcjcZFGr7x5QpJ6ArQlfHXOVQl0VnE6wlHXAvOE6LD6sBltYvlNy
bs2OCkZsTM6n7h8ugoForPEfYwH4qluePdaeqXbxmdgVa6N4GRD5bGa9YIWeioKBZfonACjRug63
gcyLkTIsyldl8RWFpDwdB+GMHZb29olHYZKX4WVdwg/2SISq6j2xF0y3+3kB/Muliq9T+KXvDK1+
E+4bJqClg1BjNvAYVIADo+iYuX8hdZ8SxY4pHDM/a2ijwGdzbBj8x/qy8zjbIWljBWSP/q8OQY/e
CVwdGiS12sNKnypNLZI9v/gwlT81P1c2NPh8NmVUZwXulnmFlFz95zLvwIrAlo+El+RikOli808s
dVP+mPzYgSGeIF1olEe8mpyhT3KmRZAtWF8GMnxJTA05h2UcDPMY7DiJCKW5Tq0H0fHMCw0++qC8
a/1PAmLS/EZTgAnrYj1hmhmeU8THcvz1CioBkuateZC+YkStef3wfK5vfgqafnvsqB+9hcQVvlD8
W9Uy38D04rTXnCegXBSIQBodQ+TW05EyBBDqFkb1JyqyvjaK+lnhKdZtVITVMTUX/RFr4nxScCqw
+CFoelz1wMMafddzNLq0CIwsvGQXgFgYu7cyEhy9kIZ9SL4RHQ7sS9j5XfAb+jyyf1n6kyNjIaNr
E4lfa3z5PzoKCVXaxNoLK5ejJyFBRquOr62cHut/SD4t6Srl+HtNbhQWyfUtbF8tgiJho/DCMn0Y
hhOJWaQo6/iSTJeMN0dG7gxfmWNFkf9Yn8TSwZW2hUQO4o02pGVTXY7HJsR1FpOFDtdX99dNka/s
kNBYSCQG3g66A0X5NYgC49/BpMb+GuXuycCehrHZGlaGhyfsoTGETk2xNDju+as4R8Gt2eMrxppV
5m/h71pl3zXuQqYqCeJFgDc58dsDceQyv1AU7SKQeuMByl7T7ez8LHs7l4WG+9CvqOfq7tOQmLfd
Y8h0+uCkPk0Xm9ovgSrKQh5nEEJVR7fiTQAdHAu/fWd4CZn3wAE8eIhcwaWqD/qRBnCCsbZc5qJz
mIdJO/FRZr38UozfMKcRZk0z19uHmb9L/UMLNxAE50azzXktVdCAN308goq3Qya8B4W1gCsoQ6av
WOPuvZntVxh8EbbhYw3WWkfPHGRnoIh45Vkkm/2ji2EUbGSfY32pWPPcdLrkoPdz9skVgz59wyU+
GnhOII4gBow4THk6hmxDv4oHcLAXTXXVrWFW9K+R+4lPT+agjg7AoisUshELWeNGi0fcSsRgXW0Z
q22JY3XgPKKem9k+IS0XxKlMdI1kNwZHV/rnZ0+pdZikiejmJxil0lcbs4K4yTJaxxXxBEAjTdSr
pXBccbbEsVWWkJmC+FINV9ZibYCnvP6NENi1GDCHydvEARm2AbEqaypxXT1G1X6of5U8Wpfc7uC9
FiOJotnXdABGCYb6gIFe8cgmezojTK2Yhp40tsnL9L9zJdoa+bfFiBV7GysoSonMPKc0LxjBCFVk
q84FhRyjdCRrXzTM+9ZJdwgbAsKJcyC7jWhGlMbNFwQGlGWbMPn9v2i7K9aHj29QML5eJBgzK85c
m6PJQEENhqvh4m4zevXwITTMTMeJOt/x9fg+rtqZPwVk/BADjrLoQNSvlqzt7FxJp5ZjmliVloNm
2KukBpMiYOkc91vVIDtuG+hbUjG7N/SeJv8dVcAy8PIAb6BrhBOOGgEVcPQY2Er473F4mwgDGorJ
pNirGqLUnnQmdp4Ny1ReWZ7KVZWdTTrMUH97zKrlEMvgY4jOUXXr0nWlIIlcu9oltVFCYBzPtJkU
QlPiFozQuoJyQAOULdoetSmhijXiBuxmJWbL38bD43rTvZafHhzB1OIx1ZAgXcmVTDiDd4C5EjB+
xwlmj+1BebBdinj5mu2EoEXFQueDQ9VAtctSIU0c8TvtKzQrcCaoZjuiBwKH8hEZmCTnItqxSOhA
lXM6N596dYBo748b0uxy6xE3W0DXKJgAVRV0ykkPSV2byWfcXzwX1pldZVPvwVANxGRpzbGV/kzt
GDwkF1cNVqcSaQzr0BCYQszaPK+4a44wughLWOJAo7GyKq672YRQtDTAh7Psg0RamHHBPFLY5Uwd
HjmnqAwIPYKNEm+tcs0yFYcmIpXpX6jUR57cMnly9uFwWNbS0+jJD1r5Fn0G0PiBh2ZcEAqWIjDg
noTwJnmIt38Lfen1O6/yUeP23DNLxSDrAwP4zY0sXEhwtb+Edsv71cCeAGOgYHCNZQn1FEpBmbCK
jPcCZdJsOITWB7El1BALkldFcUfBQ7hHFb8ybFEwhSpg/ZEzxnQggMpXmo2yW6NDODa0rEcvcur2
AiaEauZAlmzOC5Re2dNJvQ5wmzaEvbTiBP4m5/Xxh71vvkLtyxf/qvGnl652963ma+a4DYpsNpt2
A4BcmOxaOSPKl6Le/NplwDRnDcDAD/GtUxU7Q9dxYkCrOwm2ZHqwTXHzYvbRSQq28C6b6s1mBx7k
GwYYJK9CieF/+KG8kqdwAHTL2PlXUbCVR+3WoJBUlAnlXs4w2cxUZZfAtInfGaZc2aHUVtCPb82b
ifinE8Pa/5HbQ1EfMzaAbvGrYf9tGZDShMtskDWEwitPPDp3RtmaiDcf16rhdTKsH7gT4YgNuMtR
j1+4RLDvj8qua+5hgzOeLwBtH7SR+ll9ReU5SI59dErHb4HAQWPTlWNZ2foMV8ydXlwGG8Mot3HI
Tgi1S7ur0Kkw+tCwGZ5zcbUsSrNyrerbvFq6cERqtrnt2svPrf/dQgwuRgCXTbuEoLWyQLCn3VuP
1jg3WotUbnkfosmCCUaaFxMMmNhp8FET4hsnf6LfFfLej/m07GcxbOrAQlOPr/8k559Vli+BcKCi
ly1ujE3AO5d1a5Lcoauco3DVIxyJFRAXBIDyI9jxUQItSOcjNhYhyrRj8XVQMNDoJ/EOlQwF50Vu
t+1IgmKyS4jzcnPeuH3EhkLeJCNZOFxHvXrplDP9XB6dA5xcjNHnBh2UetTQI0RLM9KIj+rmkv2B
oRurFmS8jCqcO3lcShyJOeYOYgqpmHxAIUn9yDhlkGYmxZ/aLRGnqXTgA4d8U1VLkqdnNQ6gkHgf
4c9RUdfEbiX8bnQIBJ/n6IKjfxRNMntb9/9bfsn712hs+hSuC26xapr+56zJKv2S6ItatnZ+/5XA
fGihD2fUkg1Kvwp1973tP8B2ODYJL0KeR/oSYCrow7fcfuv6R2JeDJSrSN+ol5iNlf+AV2rFmRVJ
O/HR5uyjG5JJydsYjWBB2PsqiRhUoLeoXDiU/gFP0zoiLtgIki+33OvxLQY/xZi55PyjWnyiX8FO
HkCjwUZmEVdHPVStmXa3kKa5Lrw/A/el7eOI9hifHUirIVrFHL8rhhWxu1PaP/E2h5NiOIa6rBI8
DHwqv/BvB2CWcbQKUR0PF4o/jWGL+DDKfRXxtK+MljX+ySjXitbhml7WqboBRkLL6Xghpj5k3FkZ
rW04kdVYfqBLAlswBNqCG7EnDTCsuP7KAEctZ/kwD9OvOtxNhYifUK93yixVt134CtNVSBvI6UMC
ziAeBGrqk9pty49XUbbpYiOjhNuQw1lBAtCsff9JSJCuzW19z37Ibb+t+AzERjdBP4W3yDop+YPl
HWJZYZw6GYAXmjF6DL6CnZ2cy/aqZuTdOayP8lhbWu2ZAbdm7fiI3eBq6dcS4auP+XWst6Z8luRj
y62P+IfdjcW0To1+OgVDBWox1ONefug8qNoh4NXmZFTHiCG7Up2C5jAA+WoZNBBCJU9nEuGtDNGm
O3ZWBxvGzIZFNYPgA36dQhKZ/lT1nKEbIA/2HmX0TwGDGhk/LCrRjBFQuCH00MFSweKQ6CpycXeZ
BWvjUTcHPPewrFjCfObAtKFPzYTOV3uRtLNt4k1jBJWJs9Fe9PjiUSWo6k18Fvp97L4IOlJJp6SH
ya5+/DEtZl2smeItvJVbL/3sO1DcdaoDQc7/Ff3DT68diXlEHRo0kJu6uA0uT/gytwmn67Akz0Yf
cwNhvzTDLKklFMSooLqzy0A7XY4Ni0y0BfHGZfpqXSJlJw2HzuZAu1dCOBOcsgQMGVP0v0OLsYvi
xOlvLGuHWmfuxfgfRfw+1Kbsmm6pjAD7cVm6gtbZytBBZk5FeVgISJB/01hFHdbshbE9xXwOnB3x
2eyuobIY5HMgTrmyBxdGMReS48tyJdGQNBIPUc9D7Yky2tUWRQvk5zexnIShLyVNgzpcMNLJefSV
/B8ZnVBZN5W/T6mtfdAFZRXMhPth6EtrnFfoIKvg0+bUGYaLnr7xqOudMyJ3YzuKql7NT6z9i8xH
XP5IMiKHVi41EudzxbUxuXeOqfINowHvpddAIzq071EZZrYxbkVOOvnk/X3wv6wrSAgV9AcD3USK
WgLPNx54i0l28ESfwvMPrNNy7769k/mCuC18OBzhXz4dUbzlZfibZC8+VPbCqfeqGcNBV7EmLUEO
pDDZq79DxkaWmwj9qIa2U2bZfDfoRl2VbRcrBpxLTB62Jm+YYJp2gSJqDhxX+KGkL57MqF+RVGLi
NS7WtnGVGFiW6q4oVjIvXYVvNVPX+PgiDJAhoRnRNArdj+4vhQg4aYZEcy1bFxG6xgVq7EHi9mPw
7AFJaNpirXW0T3cz/9Eqg1SBt8x8o2cU0X3xtkG10MQfO4ci2VkpUgdEGrypOwZXdgja9YluhH4N
Vm7K3C8jLmJrsw7BmxapqLUZrpIfQ3y3fDX5RYAGK/apaRhOt+RwcRO2S3YP6sOv6p1tv5T4PtHN
YgXcrxXOh6Pvn3L6bSmxmZUV4JabZSmfgrJZ9Plvg2BAWWjmJoSDPKJkQFlIzPFcGh+h8Qj7M1QX
u3RSUDLVow4pH7OLXzOEjbaBAMKav2TWEym5HEZd72ssh6G+L81tngeslW5lRJquRsMi30x2x+FD
8z/wUlsyS/ZjJUULUz7lI/qpK9IAu8T1enZ1p5n6DPUMWZSKdy8HHz1Hk2XQf/RLkQ8rdoIWjLGM
rgjpLS3vv8B8qEzjBuCJpA0M3dIM/8ne0cZ2UxS/JckwfALMCdwdfAH+K8Pi4IFj2VB/MoTL5lDw
10F49fHJJe2nyX7GRe5iPCy0isiIsVNywUYUO9FL8i5qcRTFw+ov0eDk1qY7hsmBBgZESBc4I/dT
9peipcqiDX5GppxdslDHS1JTljdLGQcPOOVoy3orrtbqHd2ZZqxHY1VnV9EvE4Vmf9lrrAoqBs9I
LbP2K0GR4qU3glJxtV9S48SailFly4pjm/YAcRdef4GooPYb0Xx0zUsFVO5/qdHRjdcak2uvuHe6
zbR4nHNRLHVRbQxx7o0PGRCEbH9lEcaEa5RQTPRLfWB8jedlLkgPpVwr/waK29y6x/kxIvmh32j9
O3HXkzlFH4yFEqyH/tfGe5cgCOVvwG+jH9Me5BlnM9k6Kl7pyPtGeUEGQ28gMFpR/ko2wu/uqsVI
3kmdxP2jVZvU/0YJG5jXaGpvVgALXHHsKaz5gMPwr2y/0VdF6Waac3rJoQcwwtTIN528p//GY4pf
tI1PqfUhdxeXzzZByC+Q4y/RsrLdYcPTboikxQPjkl2rH2pWcyEz5RL6PUb4V01r6mN9aMmulcCB
+PE5QOkPXVVknxYk42QJ5s/qVijum/Bqejusf0H+LZk/OktsBIOs+gXHdRWsfHLog7kI16q4DSOF
Y41+4EMEWH6d5pkT36Cee3TENcoSebrZGpKRnM67FHC0Mcppby3CY4WalQE4+hEaxCa+Vf6hbThC
7IXs3phhCLMgRPWaoM7JsX85SbDG7dhX57Z2F3Z6HAwN6/4fWqhV1eWouKp5I+w1HPZFy6h/jK7W
JFOvXmLyS720YhrbkiAXMb52BXf4u2weuQUc2uLnp5VlWTMbKMA1CpiIKirhp6ll+UZwbb9PS4IG
GZY9vejZUXIUwVky2aIS+JgBDWTw6NM758qzvKoeS+FHdYtDNMnkR/CS0nNy+YnGkeR9078kKVtz
BVDMyxwq9YqmGcpI6f6qTJHMea0djZHne10aMCmc4TsY16pPiT++YKpI7O27/lsYdx+8EtEFZHjN
LPMkSXurf0yJKcMqaJeS7gxwuXGLiNuY7ZiRDmJd8YtoP0H304IsmXLA427XiWcSbpTh04U/UomD
pxD1faYRkvBJddiCUI5ZjwwhZXGajNjJX/Us0n5eogBjgaU2Nw11SM4jSNMVB8vROAjjOGjbyPxM
CHfO1mi6kStod2a0bgrJe4F7gyIWeNPMRFc+8l5aU+DqI2VLanLbj9Zy5Hk1UghY7KxgoEgm5gKm
Av+i8kOYDOG+xhgEhPunJXtZ3wmECViiW1SE/h1fmNY/VG2XxtSiPAIEONBMlyXc7oPOixEZjjV9
nW8t21fTPK7a4aSM/auGFUylcOmpcCIWi4N37YtbHukUsF9WclIyomynMesqarZITDAAJzCSG2/b
ay+lg2mYLIxvGWEznJV6OIUYGLP400+/Q/uiZ1vx6dVzG2YlE2QYbQI3LeMAJUHvjMhQ5fOksCx7
fwY2wTOucj2Rs9BpxVzQdMauuutaf9uCkws5a0mnURAkTur6ybNYe82ikdeD5khQzbJHht5yEBcd
X0CI6l9Nl0m6k3BoQW4Qc/VbVdcKbVzsniLkv6l0om9MUGpLE6zsp2gW7LyHlLoAER+rhpMNhqwj
85QEVULBP2Ewma/av8SjTBwY0E10XGCWyKBqusSxhnbujbtR3ivtu5CuRBIH6p6PFQV2M6xwfczK
L2naf7RoZxn8MdpseBAsbGt6sLCKn8RdGh0Vjvcr9ctOvBkex66jA3HQFHouOhxf+ckLe2YguWkY
QIjPSJ0XPnOFe8wVgfzcwUSgHEQKFOw+aGho8ocp/WvBLMTe1arOWMUYROrtB4ziyntEpsmAkwai
WfcoG5QOUgNOOM9eePzJyASnM3Ap4eZutS+zuqUNP3p8aKMDeLAO93jsbrXiD1enIX9bw0IQp4vL
S20cRSKJe3T5Jt99cwLX2LaPFjRtb3/0lGWS+grUfGXElwGzXY0q1+dHISxiHjHaUiYK3yRXZI9p
hzh6FrK3ysJ0Kav32l1PfChzKcbPgVlmhW6xoXrN9mnv2DoWj+SkwpUx16LcknzGCb4zo50vjuyN
8PF9F2SJjRprYqJeRuVMB2iIQ9YcOpKzk22ULyRj6eH/lXf4DUX2qhhkRtbd129W8wfYITfPfXZD
nshhUCR7ruQy5DVeDiXl87kp+G/YtEL4IfQW/uuiKtapvy94z6skWfjqVaAthzM4XUS5vx7qW1rf
0KsD6twXxab+4lrlHJK0V1ZfPJ+uZhYrUJgXaEMS89r2F4b41gi8/pqoB66o7mmoqPb+gaGaFzdW
zKw0WGEG3GEZmRmcNgQnYDmv14ieBKEs6rXNbsoria51087rfymbTplPlTSQp2JxtzZEH8rRUiG3
i+MYlX0Q3FAQZfy+jHLYj6PvtW46vdmU+VAh1I5wtKqoy2PIR6mt7bDf8WA/jb1sr9Li1CCbD7yb
22xcZZGau7iuz2DLFgETo8CDiQhXmCCwBh23ymJ4hV27EAykRmfS5Q+P0vSQWl/xM8sxZY8TlUsu
pLxZBvfWam+wUxeMZtKR7Vp4BIMLe85tf2E/VCXpKAG6QUK2tIM0XvQGwFhylZtLD3vT3enxdwT0
JO5/M/0c5dzRjJJKx0JAA5SXVNOShWh7jvynO3zWSNg5kD4D/7cUiEytHXC7nMhiu18Uub2SKP2k
JyWCNV2V2HyhpiYULjKLHUpBPPUZEhsMsWy8k/bD6zbxww/QxAoBpOyC+ojmWEIyiz6sh/uK2qbU
/w2wO1qUvbb926fbkS2G5b47+VNVh6UHId5onjTKQw5m00JeAiHKR4shGELFAedquJX0ZXs34JLi
5fa3uIQY2ubxgss9h2KH4ldhmm+Ru7vsxm/G9Xr7VlBU9ARwM2ndR8o2NfYF5WGv37toN0jrni9I
HaCDKWxAMn3DMTPq0SVKGYMrc949cPEav51f/+uI/KtrCloTEtRNaIecdVV5kcYDSKM5TTXGEk7B
1HcM8C0wlcj7duVly2cwiaXFMgRXXOUHHrmUvSFjn8z8TSizmCJAN6oMrpDuuzJPfXwUpHU1Yc7R
TYIOkGP1azDhoDB+r1HMJQc1n5lUXgNqWKQJxYoHXIRHXd549P6EU9KUQ1AoZsx8KuOl3IPwB123
JC9DfS57n1r5LMJfARBZJph2nBaAav3Ii60N0zX/ULmRMfjXO9Gf+ZKhKgj7ONFOOvb1RI7T8BeM
4BKmw+U71+B17lQEI8DM7bVRoedELLhuwWHBPZR3rk7YHmo0vCiooTjtmS9Mkgt0/5wvOe9B3CM9
aB9YVBZldIuM0TFa0kL6+q4a35jZnFHHkQQa1ptL4irQQYusng0SUP4eKRv/bqoKtv/8dczLg8RF
VJ19mogZyE86F1Y+z+BYtwSkk3zT6PJKqLek/AylcqPXD/zZZfB0U507C7WpeWnNZxPg4mQmpbW3
gXlsTBnduMpqRC6ghMem+iPdcFkhqlMpDFAJ9t6w1kKBFts/FySYl3z8NoND8KR+NZcAVeQIEwXl
WaS/omTTZOeyPHhYDwLoxFqY3mPs/zYGvEJxJPcco3/UkmVAAW7D2RmI645Vg7nSJG9m1CIePYh1
oi7nHVA5Mu8Xfq3OBGyVpiUK0SnYu8kkxqIjbaEhYQtzRvdvIF/N/7IhwrEqZGNb7WuCteLqlhAx
4XEqWrrTe07IzBYg8Kxj3YjjAWYSMTroVyz20GNosMdiMYT5ryMSF7An/cOaWKlNO5JS5S4twhQK
JhhhzRlGj4O3aS46dBSMWTTysOwiWg3iHRgGZYeK/gXd4uCUA6sSY8T5wsRlgbsyZcsnhgDVIi5/
rFOMUHs4CgY+WJvqR4VGCnydR+iAjWwZIu9K+38Ex6zH8NoH7FW5OCL0PxgMEFdjHVP1uapgzScT
TZjNB3zQEzKzrdBsBJgx+tbqW3FhHpRVNGNdEYabhBCUwXaqyZh/94bfxrpgsMJheXFLzkE2t/DJ
RHqxpafkfiXWHtbivB/urXuJlaconiXgPLqD8ZimRz98qeolJ8HS44UrufWGnhUkyxXKESgFA4ws
n/OHmWGhJly5//BNz0PlQ45von6N4adiHyrWaIP1kFHrsPIMWXXrhTv3wHzOVObUKuejz71FaCT7
Q0Yu42gdk75Y+Uy9guowefBzGRVX+RuF1m2YVLI+0YxJ8GPn1IwwClO6aogJs1I5yQTQWJcubmZd
N91goD1AdEb1ybfyHbmjtv8ZIpZXNXSHEhFNPn8CtUGbhOuYmWGLT4xMuHnCoFFF3Wdgv8h1DbjI
9IV2Dxlfv91yz6jZspekJXsFMN2soo2aCSZ9SyHWhDpwYSjIxX/akhVZVXuc2No+6woWt8VfDWjO
5KkAVcZFDVRdC0BYFcuiKddQvJcBQsW+pagJXKSZa708dKEguC26KeVPSLRjTCJRWf4rao8ooCtx
IXq97vqtm+anQER4dayZzHKq0Ghe22FJGjXjnFc2/ejTh1E1y8E2uAtSduGGjWJ1aqsAtwQMMNRt
rup8ETVQ2Lr9S7TwWOnKr4Saye/+F6jMG2aXkvWhGSfyC8DRcMHADNG1GuFpj5e6WcSoEZiaGjY2
Oodrz69x37H4CAFHqcEbZwRgTWomH336Rug7lc0BklRXXFzz02r3IuS47VaiinfFp0ptM7JIzjC+
1qY+96KX2f5v1iLPWwLdcyC3u0BC2FYaIGPSWqLQCajcOsmfuTQ9I3AAu8KU2N2SiAtinTBNMyz2
hSMxSILij7XmvlKm3vAijHPQ2eyMgeNB0utWNhqaNpkn4ifL3qMc4f4fYRA6JZvlKv9GzXiUwk8f
9bn0tCjpqM9Ky2nQ+KL/DDyERSxFN0rJY7bLa5BA2lauyU5SD7L3JbOvzlGpyHOGdOdc00+DnjxS
VnU0IiLdNuDvY+R4o0KYaLTXfTHlIsxlNIEWth0z+zHzwWn6PzAzEeaIEoEa4xj2+hNoXjtKYtXK
W8vQdlFqYrjqqNw1vuyJDgY4gJrMKiFW9lfF+CGmbUTeA9Me/0tVf2vobki3ZVW/BdyiMTrsu1uo
ThjWWa0xfNMJ9l17LO58vD8LXgJCfvwfczhTIKvSv9DCSMQIxEIVE7f3vID2IN+zKAQ2Rq0FK3dK
eGIC4Cb7pPuw1QhjHqU5QhR1kfE0VXwJSvBZWFwnRJ53KUJZC1qoE8bfiJ+95trmF1EA7+N3jucW
cgAscrPaxA6PVluwMWceudAUUPuLzv5EThCm2kJjI7ry3LslAQ1UFzLnt2S1DqztWchwC46Kz7KC
IyuyFikkKn8TKRtfN8AeP3oX8RmUTrZWrGPegme9wI+QmZWjY5EkpZO/aQDiz+Svj262QffZ8Wnd
UL+W/FPhroV8loddUm77vwRknzVI8wK5yNTLsmVTqjMZlqg/iL/aZyka9PM4Iulgr+YiqTnSNIXt
WsEw1DL46wOmBvUx6t5CL4ARYxzYmSpB0go/7U+Ws5eeuGUxFWvnlAy1RNKDiVuAkMQMZermzMM8
Fcvj0rTaVaRQT5ElnMAZRE1ZLQfw+i72gIkk0upr5G8J0kBPzjameg+Q7vdxtpj+lIRhSlbjYwpv
NZRAb1XUh6HZShbzpE1yT6V/zX8cnddu48gWRb+IQDEW+WplyZKsYDm8EE5dzDl//SwOcB8uMD3T
3TRZdcLea6vv2WPA/0oEXeaq8vcpzKwaNMx018I1Uk7F7sfkFbjg03GLqwzRTsI1r4h11OcVIFgt
E9CVgZVjRI5EFt8Fc+fRR62Ss/8YGUfHdLyZKk9TPC904ZnWo1ijhloH2O4TvAdE2n2NNAFN1+4a
L8GpzqxJZxgbJDu+KfI5bSaV5YvK2w2iy4RXQxGxd2CKO1qbOaMAgBzJVD0QnTOmpcBcZ+R3iDUB
X168S4aVk7wkpCiqZxoIgh5mITJGcUXAZ8e8HXcjQawumkxmmMPSZnDfANa8t8UG5osdbyA2YRsZ
WcAU29FYGya6jYeG0/1mlOfcWBR4ezJSZfwohttz4wptJ1QR3/w+XR19CLavSqwHFi3sgPG9oMzw
iIGuze8cF2nRnJ12V2W3Bk3A8FdTa1cll1H9RqDbE90i8QOJPSdo/HRM2Idq4rYguaPJjwmL/JoD
W8j/8aKj+TGJc12zpzA2hvKe6aaZ0FmcFVOwsaxwWVbTBr067gZz0FDIPAxaoDh6G6NunVcXlbBF
UruCnK2Y7Sy03lT4m8GmcjgrA9t+z1UyMNXB69pcBWtni9xiHqDBA7PI7mQznjIufi26fxOI2xpG
OI53YnJO3bBq7FuJyL9xH66oKL9fYvXchEdJHWhoHgX2c2CevebFlqxXxMHLHoNMliOdtFN8mDqU
VUHqNuZWnJBlDl4xUesZvDIkx9S8VOa/gLWEpj+KGWff7z0sj3b6ZbUpM7gMAfeR3GYysCOTToxf
UZOEVXylBcFtcBkol06uuCSktGHfDt/yeEuaEVMYhLzbMSr2TOl0/yVHD5Fgp9Lkr8chMdJMVvWt
atcmaGEcIMDMUdxAFgPheI/kuq3VMgviW06Wm/4yhMdg+kA0EHrzRL2xK/LJrKWSJJd67+14Ufap
pAqHI7+esi08FsxMpo1DD6nqrNDz8a2nhMu/Tcw4Wj48Zup4qRX5qvFKc5o16s0OEkHIFNzPKI7x
bqEy0w0kH7CsjX86eJqod3FvbvRiFwZs55Xai/Al6H9iVP9GYVBSRBvXZoOgvTUc5DqWVkfNXk6k
ADODms1HG51FQuG7xmm268LT5F/d6iaJhHAyVD+gQfMzAzPIySg8aWcbVtzfyprnSHDTkXj8hcYy
ISrJf3P6Y5chHUIQZHtAxVCqR9ZVe/c8Z+mpj4goz5JvxdIW6LSIaHMsbJuLkoVfxpYi2KZyLyHv
5rpxUBoLbJvGgm87urj6PQbZAEln3WgTYc/NOqkBd1U6M2QgkwjwJINZ3aw2ZVSxYvt1aYRw6T9J
RAv8rOMGDyoPvMJVgpmBOwnN7QrYjoNG1fmwQPiEw8539qX/NgwHq9T+2J/fsjpjFe3gs+cSIfpB
kI2qOAoIWNs6rs/5AgEsRwav8Zc28GuLXRD/6uFHywptkOOu7fdZ1dOEdmsCNzedwV6CWj7Ed9Ez
GCxInchTqNxtWn9GWoj5yVsm4UvhuRAHbYk0nQmV7nRb1/B289tbfNbMBoguR6tcMB2bXoVL4y06
YqvTt4ndsBF/tQhrCiw8KSoYK6PeQIqR+CjeCu/P7Y7R0LIlxMSmB6xwvBXizq+QMZyvB8+Nia5M
MeDzof9W3XFqRpQlQPmZiLcYK5RNhhlwGt/jpjKH+tA7/3er5AHSiynfWUr6wZZcLS2rENfjo6mH
elOiP3EMfOrcvB17Xsqu2KrfM7hJ+AOGnUs0mqFbYAlwdAz8MSbnKbGqTTE9HOa8lMvqPiGL8UgI
0g1Y15SIyBsj5vimgQuONy0x6z0CmKWsnW04wUSCblc2Er30PBt5DSdQ3YFcKZtIUfzfRresxM0e
ghUhhbTyj4HX32A62BEVRyBa4/xBYADWER6zmFD0iG1NmvX/MMExTqv9W+Cny2Jw1mOeYD+R41o5
5qeNozVhE+XetJyZbLLpsZqmHB4xintfwcfE6dMMzB9BHJsI/kOXT1vuaMeozlm7YlzxecyY4Ray
4Siqq3cNTVqFNbz197L95t5SiF9yDAxJRoKbFI+Q/RdgNFwVcjWRBI/W3CfLVrOKSzaZhEuXbzhr
07H5KR3o/kMOzSDHnkTOIKLIOPSXWvM1CkAblvms+Dozd1YPq13CQZPbKZ0hpgde2bLs10HDfJ5d
RcR13vHS5BUecbVrmKH3zVfavhAedCZZfEEs9pPE9O0hs7Kr8ZQ5jxmyILznBB1BP/mYdtuFmyB0
a2J4Tx4BExZSD+UFJ4fthix/+IWXNjd3YvrscgydzKeqdN2QTufl4ytGA9Y62UwzXoUIjXydkSVO
5LjyDm56ECDMnNLbtEl4Ljtmban26Vaj8dQBrZVfAetRhRczZYAVmQsTbK0WIarP8nWMKd3rtk72
3KGoGNKdGbVLl09ZTFuFbnvMjxrSEY/hnQHKOet/Cjr3EY2N3uH0BhDOZc7f3Vq1xhn+3nqqMPiS
xCAhPlcJ+Ov81sB69+fHO/BbxCjT7REBx9giHz8VCNKJMn+KPLGPREqSTLTIjHSfTExX0Iqin8rb
Vx7Djrw7OFdcJqgLTF1ttPSZ4BvGa7DMi3LCEjNTOdtlmOjPZRWcqxH3DzaZFlKn4zRbvWf6a2eU
vNULIZFbY7bzGsk1lcO2wCBiIWrMWdwazdXhevR0mt2O7r4MCiLHNJLq/6VjMj5VbXcOAxIx4ch5
wqOF28AtWnp1uqSz2GgmVRKdqM++iNqqa1mPBVSS9quPtdCvOUVDt1vqpflM/3+PA6b1LmSHYwud
miJq6SF+yNpiYdKmalgKUvJvxhZ6LVw3xwQL27hLzYTbjuEK8FIL49o0tZ1G59tygDzMftMa3ndP
k+rzLkeW/m9iN8bdwbbVWriGvWRnjvlmIbBw5ybtgRm/R3bxCGgydRa7TWows+jWDVYclJdPXfcn
YfhNJYVzUEKLYK6vnLPeR8sB2XeCUAeK83p2ZjPHW5uqZ/dJ/aBvmnTf5s7Kju6Ssb5GCmMy/toh
dF7zZyzRfXzZLjiaFuq1GR09VM2aTF4HZ/gYtSPCvsFA++gmpLtBkew2mSgepIoga+97nIyW+snH
+NApb9bHLrOiuDvy3uQ2ZJwaOHauIGHA+GkuXvUq3aM0c+Rbn15FJNaA51DB6m7cS9H0Fxuxt8+V
XXMPm2jt2keNxopAlBjedfraS3kIlbdNzRpZAKdaOp4DzfsdyxB6HtLkAUlMFeBcvLUeZs2cuhe4
E+HAho1c0pitVLe805ht2/uwkds+8tmko2wowceR9IB5F2V+g1MvpO2xfuG1LvKI1nUWNXA9wqK2
7IgO990w32OmU0b83UpG7ZH9R74s3ZMO2IZlp8LUF9bbeCRPrwmIZI3oH846733bAl/A3ZGrrwkx
r6/akQ1Nhb8cNFJQXI0My41mL1GM4OfPsh9m5UNJXmT6W3nujxfOEi5CW/R+abFMZFXAvtZb5QzX
RixsfY2iGgea02oEjZxbWfGz3mqofU0+HpMxRd5n12TO+/Qp18ja6/pHwVFZdpzBZ9aYgvVbYN7A
ypfec2FTuVSvHu6giO4lOJgtwhgCAXKL+fNHhD3cVD4RJPTBbL/DVrEOO3py3mrP+qIe1fPfWH5X
FlhV9ZLGiIF7rMCc13M0Rj6Cqm7BgxAGpDOpG+Qa1j3tfkTnC0SjDN1Vb5g3DT7GhIAKTveyY1ub
4ldzuJf9FKynH24nttnBvPzlxaj5mVVg/UQoXn1MAa0hIKv3CHutbUT0mFbK5ymM9jALCRabP27y
vUG/ntOa8A+fozJCU2/h2FMemDOuEk91a32W2CLKYc9u/tVm+4RjtPSq1ZS7H108pIyz5IbKjzC4
mCUr9E5i0BxY02hUPfsyBAwLGPxOElUQL6OBUXYIrjXbdf5F3stv0qd2YQMLnPeaiSyG+b0Lgahq
gJyLd4u+sDaWPWpvuyQ/O4Odc6vIIqmxGhYYkcqmg30pn4rse7JxtTLerU0PtxvJaEW9dvAuyBTC
vruPcCDqrIeGtFxXeKJFWu1GO6JlDVcai+3COCTjxVfNoSZSOa3E0cSeYeXJIrWPfpJuQ2LSofN9
ml2zT10TCEZLPOo+nrPo7GshDFaB6FIZ0Bhd+k9jqxgLjZsHIno6pwsfar6z0kbkhRzJwBHTM3YM
Y2vbq2xXdejnzXGTIpkkN2YVU+85SBoNN9wUNWStqvwcO/mWOCMirZ+cCaQOvFb6xiJqPtLcPEY2
62cOq8RrrkSWL0223m1lsPacTgDdnkIGFKWAhdDnp1kVHwPZyxk4gKy7QvwgCOfu2jTJDdvERl9y
mRIcbB4Mt12DFajyl8Fo59yR3zk/eaCercR1iNoXnZonmyRFXbOpPGdHIveTlZSvTdDTV7zh3QO/
mqwkVUtelivd6nYjxYnX+JDTHrPUTKMqdIlcNKjuOmxrcaF2vTMeLOFuii7blHPXA7OOcp6UGDIE
XL4OduQkFEdg1rNYvNNtoUoR6whhoejDe6geKtXPtocMmJleM5KydEnQApTUh+l49QVROXio8Lnu
PA3cGWfXyIEW4frLfONhYLNlPxG25H+yLzOIgyXgb53F+dr/nxlqryh6+dC7jVWgsPCJ0J3yc8Rg
y6pWLp9YoX216YvlRICj2VKRcdqHgEFwBo7iVNaMA6v03xBP64JmqdH9gxeEGzfJzn2V7UvgDC6P
W3FAFGCOsuodxSndQHPl4UdopCxEc107Xa38ubMoQdyQ3TVFlQaFzK2pFTPv1Cj/6Mv4LFt3mQz0
baQilphd2fZEcbUZSnMdkVqYGNHaQrTqxWJt6HKvQjBqtMGCgYDOTYIJXgrjCHA2r+8WhYT3GoXY
R30HCRFZDgVNT8Uf85dljmuEix4ffo1sixXiYijzc49TUwHkyXwSG9ga+harAYpiyXZj57A8KIoB
rSD+fdp1IQWRJfkmq/cuetYEk1UBM8vG7Q7kA9LxxodL40h4LNlbQIMaVjFXPaMi7qesiA8uyVSy
UkcKSRR1/inE7GJ12SoI2VdpaquPcls3xaqgLge2j1y3vja+9lrhvm3YCgwYoCdGJWPKWey3Kxb9
fccsRARw5vSVDz9FZD3fMFvZlck/IRZsIc1kG1jMVXp/X5B35DiQmvhDORZWsofTkOGA9JNnEOt8
I/juCnTkLmZU68cvP8kQ9KM3nYlDpsTSA8WQAZfy8i2V0Sb0pzfPId8q6Lk706XC6m2b3xWgsIBt
fi/uabaMBTo/+ISdVS76ieLQd14mW2NEQDSNDfwHBcesFZEjQ64MHJcJjNjr1y2DV79THw1pm3GK
rjGt+BSQOsOG8IF/VAgrkBtsrQkhe0Iphl/HipKD7Xi/pvUd51TVSrt5pnPs9WHTmwPmdH01UvoP
gXbXPIIpmubY+P/a8TcNlw2XY6Tm+kg/SE+DgfZZ26/R5K2U+OudP832r4L+Yp7X1+U/0+kXCpnE
kAjmsea+dOlzkmoFgm9p4jQRzAlS/qqGeTFgkw8pm2PayZgjAhuvxg4XqhuQvRZdXA2BmH0f1h+r
BKyJNKmatjRDdyfwMIRh3WVKXHsJnby/jGugFW4/vUvkTh2m0VYPjyNOmCIYNoHGYLO09rrZ7Iok
ONjsVYfq1apP7cDmRzAG9H0LRzZrVOwODqQhPFYnHHhbXWhIN7wLrEA425grKcVRNGxTq3tW7I7d
GM9CiHHWcDETZWSk+DuJ1kMXSEbbjH8pqVdVUn1N47CTTFbcrtw4E5o02XJd8LRHshUAIQBEfx67
8iHdZB+500UZzNBkuLOwgedQmDvBvHIKDx26aTESt+qAZHDiDSzmzTC8KXe8U/QxIRWr2INYayKF
sHI4EKGdoV9IcKC7ew/WjMD8rrBgtj75GXkFZnFgEKRQpbKcRZBsxDrg+/o6OqeWnjkhqVf42b8a
cvpTHpkXxZKvJbykZtKZTOUmK8RLjMSh9QxiUX9C9cqWfCM17BKQHeuyQv077x5gzXQONDnzUPGr
tRrrKDgx1pyHhpWLxRnRI/LtBygrgY6kPD7VRXjnoz+NU/Dm2jH3hOFki0F/6EzljfLBsGkrc+Cr
CKIKdlQpYi2t/M0J/SHQeQu8928sNjC41wEiv6D5oBOkelVPFPoYi5CZnvuAUtt0UMRkoIzw1OIy
SiDeR/KQ6z+l2lXcjbxzB3t07zqJ7BWA6HTgCcxxhnQJ/jQdOm/4bWIG9tjbYvJZAnIpdcUpCcJ3
pG5x7c+mCDc5m+Exx9k6sFjSn+ZInFpyG6HnC6LyNxvI73RoupI6WY/4DgRD6i6gHuH4cYHJ6c6/
nvGRNqqjDxehgnRQhPpN6DPFk5YaaJxt3ZDl4imNFwao+aalO0VLYKMPjsSvjeBLCYHVssTaAX/V
Ml8GUW3mKWxmOO2GzNvZjQW2TsG+uA/Nm8BbG8ID8se9XlLvCi77AnYLm83ngC+1LO0H6SCviDgv
foM3x0nnQzuEphc+0+i8yAgWHou/xlxKClWN4B5WZE+6YG5lMDLIGG76gbkRmn4cOI/DEUxkL/+F
2bzC5T9mY4GwWDsDy/hQzAQGhH2Vjb4d8s6orYc0v5Ye86Vg3EWsXz1MvGmU7ZXFZq6p2DWni4Z4
sBrHgeaUu1QnnQ+P6djTWwfyx8j6R8Vxk2oGBZeF/s2Uj6RE4Eh9ncdqZr2wACsPprpmcE4y1b0k
k7Vy6+BdAXV08+QwpPW1Y2MgxmSnVbxtcwZEiV7GjF/5z9xq+VVOwzGoJAOhYgFkf5X3fKoNsVPw
+IxhXPVs/43ZICTdNyugcR2KfQYookyQp5jeX5PYIZrVFtiOvBJDGOJp0/30UXHcEEeAoDycnq0Y
rB/PMFeC8K9sVfTescUrJqbuHlB4TyO+qRj8TwEkL1/zyezkoPAtNNOG+HoKdqbfuiPWwnw0FhWc
rvAfJLwQTo1ezqjEW1RdMJp5sbMr+hy9OiVhoidnkhxerP67SB59Nx1Ki/OxtJ89U3D3fM+BLjZQ
vsJa6gOWP9DOovEO0zDuZFECk/P0Vd8wVgqw7KvOIy8AnaJooBKlpwbKgpd42B4om8vyZmQIWrJw
I4jZq2OkES7z06Y9mNLhClGkmbQUajQNNopVv8vuxehsHYHg1wFAVNr7IH0IHynKnCRCHEIrvVsO
LqnsRzwE86KvwoLIRAoFlzLtdWwc+8l5qKrZ1qZ56kJ3Y7JztLNgoYtiX8phbVXNIW1yZEBIzBhZ
/iv99NCXvIfzJdjXeIeTtUWwlTmyEJHOui+qRx9/qfR7aoCblPkayDfHEFumrFubk9qnot+F8fTi
F8XKQ/fMFojJd7ywJmxfOJvN6dlkBua3csXFjL4phW1E1KX+2Xjkq3tLFzppKeTJqNmTxGLbIldJ
k2Poc5mojgzfX14KDD0k6EExHiZaKOiMJLxzB9snFYGphObeKXvXe7AUWcLkEENKXaLNYWw4xgZn
bH912fn35LMEYbgxyFvCLGHJuWuYXa6wprNzGhSsRFgABiTairzHXeYdQdI0XX7xEQ9y197Gul32
GXYCW7EbofStAAZN2ndKV2ogw7RU+ZwE7iaKnB/Vo9kQ9Va3Jg7ElRvd5h4kEvU7/RZrhIRlW4uS
5LNAGTcg9p5Evy/CConxn2pQ5Eu8mrMUoUH7ohfdORXYU3RxNqW7sasCJ9ewH2yw+3FAGgTbb03q
x8rzd74pV3ZXXzXdwTgHuYOJqhwVhrSTQzr45G5aHazdR6Z3q6TgMEWpmDAx7HQstflW1ShhKbnt
svpO+88KiXTmfdmMttt8unsT622ZbwiQI8k5ST5jbuQgHDHlDMEh6BnQRs234wS3gvX7MnFaLD4+
C3hL72cbUowBWtgP2Z3dIjsqL14M6U3OlnpMiW74LMpkn+IQ7tgAAUFgwsa31vecj85tJp1kcP7i
aJuX78kUHWRzsSDIhPF4xOyxKfE0eM5wTqIJSydOAETjptVj+q4X0UD5N4MFevejQDJgtv19HNOD
7I2bQdSWUMXDCpiRDc6qQQ/0NAp4gkBdnR41JIWlb6ez43+6BsEETCO96rJEy1j8aaXPsq9nThT9
6HVO+dfz0rWtDTYnGt5R2ZGIpJgL1aHLsMOqfKKo/E0UEqZEoqUEXpEX8UagRZnKUzlmF1Mn5wr1
SRalL54Bh0AeYxWCr6pTIvBijWLEei7CX5VJullEfQFbmtJO1kzw9gMOyS4H5FLqb0HKFHOsZ7Ux
EAyIt1acEoSBlH/4bS2m6dDqVsJv92J0mP4Um3hUGOIBgTfGsazxC3n50u+VgY6GKm3yjkHWXS0k
wBFHmyaak3KdSxGHJynGtRHb2z5ruT9bHBaSCJuznb9O/os2Us4M8ty4OtZ/XARpcYly8zAG9c7F
vTWhMa4N7UVzJVZJBsPEXZpde44hTlcBXH5v8najQtZoAraeZ87kL8QaFky6Ka1qjwqycjjTAoHk
QYzmok4P8SAWVffuJc1G2VyR0ON6WS0akhFDjiF+P5ZMiLiD5DAb0ctCQPY1NtTnM+Jb5+hSm7hN
d7ZmnzQu614p3nrizsFIhSlASXKC7IHOcNarc8lHJnpewWASrcQwUeAF9qJOZy052jkzYrzYYGbn
ANfVrhS/I8ERBnu1JBI7DwpKDLAY/gwJ3uauNcZtqfGfTA1MFujPbPgXvgTYOwagv/pLIF11yev2
HyK8bR3ar0EZ1kwX6MUw5aJP7VE4Qu1tjfzhztHeEWLNFhlVNPfBuJcarz9T+aG1wFxme5xdPNav
hD6tnt0uGnuNRLc+Da157nz/ruX1H0fJeazs0xjl/yyJKihDmynoFZ0JglTM3jQnJ75zPYNBj8Gw
sqVvTLkhQKmCtpUT97YbmnzQ7Xc+C7DrFPuj4TuHNi4A7Lo4F4MyeGWQvFS5wpsFLPiJO+2pLTAO
hZ+d/l6Nt7KYNp0fs6cjLLXPd3N8Ez3lk2kGaynHv0ZVnHqUqmVVEusJFV3PqI65TzpI6JDI0cDU
9IATaQZxlO70IrlX8s0weWMqigfTkgCV4SP5UJkkEpGhJqW2p3PVXLbhYeVeYw1QnhHtO86qEbaD
7NXBSsxTSugOmCYLNTt/8hAQX6fKj7EwHpZHJDbtvpbKXdJYIEhgV/q6vUldbcsAc0GNvbWhUkWu
2GgUwoz31r3R36PMmNd7OBgwdHHiakm9D6ORBYbDsClbNop9ZtLcahZ864AvP+v79chRqpAejLV1
qgHiNzL/apt+rzu02qm9nJLimMLNM1n+Zto/P7/HxOExnsWnjUnHyIj6nRD4EH1E88XAEDe/hdpT
a8A24ubMIhydRXRvyfKx85zA1mwfB/3WLb976vy2nhZdd3OobehWcJYjfGvia4F/C08qIJqHmw/v
+YQWqCf23L7R9X7kePpC3diYWJO1pGDaU8M9xt2j4EpyX2szUIEOqwufVYOULJqFH8seUKdvkQnm
NM+1Kq5x1N+cTL9qGdThyQRKAu5ROPch6b9s1W6LcetijywrbVm01IA2CRya/1HUzmJiN+sycBA9
Zk/GVNGoI0sY+Uk3OtOG5DfUXKKRZp+ACH8JI792I/7zVndf+6L7rOGWPQX1DEjXD7A4aZUUXKMp
M68IZ68yQhKvDTj6bEoUHb1aYTrgq1zcW+KzxCGd8ABT/LC5PsB8m/DglMVL7cR7nYQjQ/o/EOCf
WcTD/VVXD3NIa/HTzPpLacqX0iRyhVwjA1E1CpELF8PAJIuJlobyNUzPqZ1fdeZ60VhrTMr9jVXl
Bzsj8bOgPcyRRiMzsTXvszLRVgtx1xr96Jo42HrVEHIUbkw0MZNpnazM3agg2tQeUiLkOnZPpRUZ
dyD+kIxgkzGxOQ2CyWbmcDi0AbsPEVJDwLwx6uoWldZaF+5rXtLYNPGwrlpFjWihKiNvJbU/PRQB
eLv+QsoTIkguThs4mGhH3M8w19NIt6kVkLAojcB3H0C1mrOH2lDM6dvQRqiNaP/y5lWv1Yvldbee
JpSBJuhFAzDckCNjh5zGs9/UQJoaBnf0wucUIYiIA6aY9bPHj7rQ0ulp8AjFc1VOd5hs9KZZOdS0
daRdmFoQE9jBFsYKOPZveU3PjDG8o8EPjQ7IEmVfbHMoNlFAz9K/0Wv+0aHiE0JhVhYMx0qI+Sjk
mTwyo5fWo2RdkeC7TIb61+jYfRrkqJTTYkhQkqvh2WDXqcEv5uHQLKe7MRjWTuathGXjMZSrwHMJ
pwZWAWVWp11BJL2cIABorbF08P5IKK8WUhWHcVcbylvfJd0ydedoMLQqhfeem+ACKTucumb/VH1x
wzqLNHB3rV7SX+AUDwcvwr8+I6lpi2eQdq3ErUvQ7BbOCSceAbg+frIcMMa/uoWRlb1nTUHJZj5X
1nioC+dQ1NOpSJNL2sUbP4U7ZlTWLjTvASwgs0EI6zC4QIJusY1djJWBQEEazpbJyEsdmIt8njN6
xZGF919SgMGVYLfykHS4dGqPKDnR2KfRqQxAqGcEACSay54K4WvO2bmaausmOWcDP0dWWeAZxZKM
4S6NIFTlqKEjWR20qrl0eX0i7G5dUEoAjTLfiwS5RBG1bOi1eJFXLn5cB76Gscq7kj7VzG5Oz7S1
L85MxU74XTAK6I/KaAWaLI512dI75ZFDL5l+NaZTkHHhsq8V5d7Wurd8zL69qF9OmXNozPDKiJuZ
EngWUiaB+6o17vefzmNt35QEMtZ8hpi1+T8SIoIt83ejmPaqjf8ylRJoph1itOl24fAqhBerQ/rP
P2R5wUSqqf21LhkVpepgUxJFLrLEUmMBETB8r/ElckASM2JAdZvIC65jFk4CS5oKKGldSrEcV7Ze
+t9tmj2j799W5BgoEzmsEfyJuH8pDMC/uTZt9BgFszda98A1vjobfGaEnGukTAs6iUqRShrU+Fgx
jyFLSk6O9zS0TDozWDGZ3UZLV0y73uyJocZUZtcsGjz4xPh5fKxqZZOdDL84OkP6L5Yded/gY3NV
rGKjIdzPLtdZT8SYFu1Toom5bvI9dSquBqQfurvL6Gmc6iNBG1hP6lwJ+NYSEhbzLT0huT7xFpaM
7mUsNoT9UuBDe7ZI7C7r6s7qcGXA8CZgCVdSIF5SdomT1S41HXmQ7pwMQX2Zj1hKjHLHw0NEpq36
2RkVt/Wa8dKhn4yTHyKXoWCtsu5oCPOWhxz4aXYMYm+dZuJfrKHrKVEDuQ5B60atcIUXaw+aIZIb
vKI6uzVqlN5FRyTRqDLNMhCxJRcbYdnTyD40lSzamOYhQMR7P033QUIOrJWGEV+464nqekAopUfh
QUrWUTGbP6GXCIqHW1g1p8i76UayU6I7hKH1Q2bYKneiQyG4kEtxNBpW3yZhVhJ9HHBKVfiLwS0+
Ai+4l2pElWY/xx57+pGFOtG3aE4AFCAOt7L3VE73+VHlPfA3ka/5DLDHYu1hbRUzulRqwGir/lU+
oIVCy8+t1p0DTJaaxxURmUcbinPUTZso8OhgDEwvwb8uB7dtWKaJwW+gZkOLE+SnQbPvNXssrWVZ
YuAsHFzII2gonvIkYdbt0id1BnoECi3Qa8Zh1MXGbFEMjYTAWdwkQWNf2jHmmgKWMogrQb1PWWcv
2ZtvnYSkNurkp4y4zkxvAaZTxaAg71r9zfcQ6LNPJqbaw2uHWwnScOpUJ2Ez2Mgxu/k2/e1AnY7p
mjjFxl4GBWaUMUyfa4ERurFR5zUdRshsFsDWwX5y5WsaEWqHRXP2OCFS2dU4fCqhv5f6cG+dWbmS
+xvhTauu7z6lo/F7Bxspg1MCbxfdor6scHXB67lqLcv32rFumV9umwn+lq72TltfJp57bqNKSYFB
B1aAROPHtUFfhePNNl3qLiNjsZe8tgUjV8ejZOvPiVdzAmaXll7NAQxn+tmtVdFdOMF+bKfXdNJY
ROG/KeJbCjYht4BfsLpmC8NIGWydAHhP5Bx2TgAMWEd6tSOckAYXlgz6rO5qY/en61q7aqa651s3
sldmnxxtgqMND2ieaL1Plx5E45APWtuDAIdKc+h/aveNM+Nd99ub7jIgJiDE1m/W5CzCnC68164t
UKSR0tR2qouLg8nJjHdn9F4CRm4pweAlXQoKgJ1RXcDMYp+oVqb1GoNP4eqBU8W6CG2gMWqnaUBM
0fHGFKl8DVkeOVhTHKv8Q6L1FsgI3+ar3RsXXDp/JidxHt7YVp/KyN7ZA1z/8MNO+D6Rg+Q2N28J
Odjqn/UU/UuY1QfdHI4EGeIufbX0hA1niL4sdtrnSM4xL6jEVUieAOllnmDYbiECzcfv0mcDhLfV
hNaiYQpkA/wyjLxU0lkM+UOza1x3Cb00uLjS2HWGv1Pabw4fsGny7egARTfammIVCsRU89NtYLV1
7muZvw8xj0iNj7BDHc2UVAfEkiekKGMuHSwGW3lAzgjBTSO3eDvhqPNS6ETwQuIMEAao6HnXMH2E
EXIP3/mzdc7KDIBVDCqQUEHA6K6FG0x8VXTDPR73uB+Jnm6f8xjUeOMdMTye/N75NLkWit54d8vs
qYLj0LvR66hbJLb/9FX+KhWA676BlYkcmF2RnnUbDZ+TDJ/1qcOBhJXM9FBAxEnOzDTZ57rGiMqb
6WKrgmAsNyEQxCEcZoiOkQAZoVViqzktqEVWGSFhoYMPCWqiUoVLfY4q1Gi2G156VZ9shYRUb20S
klviOdnBs4NB1bIxwvoQ4q6V1s/0H2VnsmS3cmXZX5FpnLACHHC4e1plDeL2N/qGEcGYwKIh0fc9
vr4WngYpMmVMkwYyk/REEBeAu59z9l57Hbb4/i2+Dc5nH/Xkf6W6u13KtU2NwiCLpKEiwutU008Z
x88ZcfOiiDmPLe++0g3T9HkbQIZwGZPAmG6Zvbp4g7o6/mqrAqkkj9z08w2pG/sJuRrd/tOM9LqL
SU7gFbE7/QIq/tVqyMXCF1Yi78yl2ZgBpGrRsl/ks3+1DGhtu4I5fVccUE/Z22ZmdJIwiS4QcV80
blng3wAzneYx62EB8gZ2u2V9ZOGM9NAERzX3RzvuLo3NwiwsEqTzZbq1pgzcUctJLf+0tG9fFRUT
M3/EDFwW6EXTkPzAwbRkDlZYN+x2ee1s96HJ2lPV46AVHHCb9iemjYeoYsxKz52gJ4OWJ2sGYhhK
g5xlOGAJxTOViR/ejGFtVtZbgyKeI6CfX6wvh6bOQfGAbGECJlIMNDcdl/4By+TDUrTEBqorRCX4
D6L4tlmRYk7NBMweb7yhenB7Wu20BUA7dJfjBDlkzMWZ3YY6ZUZEPfrMGUaR3gAdUwAkQLcv+fJh
ldWtKPRDldCYr2v+zqj/7pO8uhJhcfQqAq5Ve+/J6GyRpy679LkFyTBiJcqJWkMaYL5LumENR/Z2
tAB+xdTJ2oMMnPk+VjOc92T7rVENDsw3t+N3T2roALNdnZYMEbqlSmT57nVs548mrN8NKvlR2Zgi
XDx1YLh8AF7Eafku+cFZTJHhZF9giLdL+lO3PFJLnwGUPUxj8U734I4giGOSsTkPySdMJHffKw+5
GWA/Zki0ttlPDIOKOJOnhM37YjTvHpBmCamgwaSlZPXle85rny5nOpH3cqoOYRc9VXrZGzGRqmrR
7woHjT0tPKeZzYnIwqkOooowkU2QdE+ybh9dmd/WJRBKTquoUgguRjmWLMSxYwqY0HsYts9UeG/J
EG7rTD4mDcrnmZPCDBYqSUeUdShTJ4fsPE32oYNFVIv6ScTmWyagU+vKPHm2+42Ihx8jrY6p1ZBT
oUWo6ATE48qfBzhmuj830j5NfPxhll+FVXPNaGqnbXyuyroZA73RDu5zuzsGMdy7hPWbgzWWVMpo
33vNPGAn3Uw4Got8FeQ0oCVGbjR3jh9DxEuwTbsQEIOKTHYrOKZldCns9HYWzktaEA/XOnviDyBS
rThEMK6uogvsIzOohubG9BhVwQfGTrId1a0DD3Gi/yPFGsRgN/e9KQ9s+fto8k+Nex6ldACNZN61
70BsK6I74qPnzUBWVVf0ezFlZGrR1USZ6sxo0CQK3HFqyJSYk/3sSgJo2t2U1Vduytib2ySlNbrr
M1iWgWvvMH+mRHjBuBTTWjkUjBIqq18rsAwIVn+7jGBgVoVA0fQvfi3f57F7cVH4zE5y1bRgi40f
IT6yOTmRjyypALdiht6XWst5aJwHmSynwiF5Z3ZQ27RpQ0ym/Bx6fdM1/dPkgGBtC/u7aN1XnVMH
1iskfERZ6pd4vkybsqRWKL6nuDy2xbJvSga2Is6PAWbCKQ+9/dj4yzaPom+dFjjeWOYFnIZg+pbM
2Te3JU+EWT2LkLZW2gyrVFv2Jxm5b2NCTQby9zbmVL53RrNfWIh8y+MUANGJvkS5K/EXXLRO+lGG
/udfXX6xvMYuubHhYv0Mjf9U2abdlRbWUmIwTzqbLonpu07j5V3bASKXRX/TOV71ronO5KseJsik
7HyYoCYoZ2WkXno9v1VLeE+P75CRGlmP/TGiVkNY2T9COgrAmAbbvigmWPQwj2xMy6VbPXh+/s3K
B3b0eXpzOpUd17T5oRltVFfjKWxYTEe91tYJ0o5uoqcFuZjJC63cPM0xKdoVmrmVXlcsm0oEu84b
n8o8wTyewIoYOuZOXoGhMMrdB87Ea85c9Zj7krktcqbWvYxH/TLMWByDNB3XaDXWts55bNqOBxjB
EqvC4tpP9Y2XjXLDgYKojmlkWDHjkwGtadtMaNVAFZGsJtjadR4iUzRXowYyzpU/R5fZbq39Z39g
PumMnF87Kv0Ly5TPOQwKM0IUaCd+BNuymr1DOqtJMwKRx+7LyrFjjzhgAPQAstF9/YFK5Cm2Z29r
1RMUR/FgDeNbkVRowBzqbS+MjuGY0kwqLpsI2UWMyn0hozC/7YP60/M4wqQC57cpx+vWkd95UT84
5bYMfmrQSPzVKCl4rJOecSBIIINVTPcPEsJT7PXqRiKFxz+VWWz/GTg0lQSoymKgTiJTEJx7e7DH
29yJOLtPQcTskDZ6nINLKYpDQbc3jtOfA6g5izyvnO+0UOQGAcq0KwZMCuKzJo/7OiyfSX7cSW3O
7fDR0L0IaNxip40D3pbkDYg906aEIeUbiJn7kGxuU1C/Liy9FtV737cMcQpekzDcFxUW5qy8tvv5
XZGAlqoKwHzPnO7WOPbN1I57uy9vrQT3CvqjkAfGn/No2u7OruUFpPyqnTft4NzP83DpqxHK9Dvk
rK29SjcYYi9CvXthfkV88KHCFD+QLTAivN1K0ibObeTkhxotHamj3UfT1j84FOPwc8lkGfCT7foY
VmUbtcV5qn3GowCZtOnrywk3593gIDDxWvBk9JQQQAAXbyp/PqsuSx5qv64wEJdosjLyS8O7dAGP
C86/q+jWEkrgEx7br/COiQWmw7XiU3BGtnmwiwAPcCl+5gszrxS2RwMZBcgVnqP5wUVyhlKL0So/
6dVENaNvqlVy/8bqY+eHHOBM8+qP276+6ZYbp1vlJxQR8pgQfp6iUtqA1RuSg8qsHSTTTTI8gvSP
mKQLpin1t0WdZPvq6lNdEruQlzvdFNugfC/B1SfWXgDQnkiCUuER2OTWSfNd0MIHMFuEwyNWYBJ+
enWnx/selUL7hiuTWQlTn4tqfMaUSgMy7vbw0ar+GqSVW4J4Py6M49bojJX9zzuE4PUo8AgwOo2K
R3dmgIpKdU1JuMmHA0U7nt8UVUgRvoTQsAMfPfbD1O50DwcNds8CaAGeT5nhmUXGGd9wYMyo9115
PVfvMd6qKDCUmz8t4JMECtAO+hHiJRqGfJOgr/Pd+JbWJp8sVT+rqWLOZ3h93TDZJA1jcottouPb
tbqbDNmfj+Mw5poxNgGQKKjZaPqC3XwfmG2RTthduQ204vJUG34P6NNvkXvurBcm9USCWcGle49x
dMv0mv472auM7jdCHXKIp14EFRhTYHgqQZrDwIlfZt8/Tg1CtAvxxuNxagKQ9a5EcEkJhxb+cqIz
7rGJMuKj0irj23X4X9fPFckBEZNppowlkb0l50PCMgC9M2s7ZcUu9lAncV6h8MbdwqYzrI3nTYHK
186fYTo7fAtElunmexSdeY377kDnhOQzOZynYY/m56JhghZdWJyViurH+tu2l1VxJZ0VplVW34vk
5HZ3LZSQHvtGTIdrU0+MR6qNKq6H7C5ypg0aLOdHQ0MX9IFwbwm5sPuPaUHzcdOO96m798RBhjYJ
ZQeKjAvnS1HE+zSFHXUsm/2AjidZpzxIlNMbVTzgczMABSlpI7ivBYEXLX/0S4qeoYvP65we8yry
2UI+193DXP+oUswk04+K1ANNYWHo9xAt1vAI0+rUJTdUZg22hMAgPAClD/qyKC48+i/UO8hO8stk
Hh8cOIxlbJ19igIcMmyDmBMuNX+j5bHOLguDlJSSAXhQzX3AJ1D4hf0XzPSL99BoGAfPLTZIa1eZ
k9Wfmu6zz26X9mFxL7F/IA/lqwg5vT0AeyJOIafnZtVbZ2YNDmCPLjATsydBAAWoDwaIdI8w/ijg
Fu+YG9romRPx2gdfjqO3i8PtVCL4Pi7dYQo5yQyosy/Gyr7ApEKVit79sAqzmHpkPnsDb18R01dG
vii2oqWX/wADwoVePrwHyaOvLnNH4Ff0jsWKzPAKXDD9TjO5bG+G5LuVZYdlhfI7/QVBHWhlRPuX
rXWN5aX6zq3rCg5Uba6b9fWjn+JvnfKna9/H5YM9fccjmeNYRYkAjO3Aok7IRxq9p/Wxdr/RF5Qs
JJPHuwQiIL3jP219hf+lROhIAYe1I722YwixzVUekL++tRkrVVTK/qD3pkWNsnNQmFrvcggec3Ho
JX8AFr/ZA3DNqQPXHYOni3i+mRlKUYbt2ggR3QAuvXrEb7utbRwYHkOkmKwpRYbjQU7fIZHsAQZs
NO63UHKA8akl7xp5X8a70BwSIAyLuHen00DXY1mT2tpvASrZbmnYP4++tQ49vrPxRul7pPf1BF+w
em695xKBl/WUpytNAo/DJtfVRR36lMEf0NDiYZ8A/vS7S589ZiWaESuL3sE9Qvggv0ZYOwEfTACJ
oHacYzAr8Pn1sStvYvES008QsGXS7IaxGAqTs7XAMrVvezbkqSfpytsO3Se4UK+7nKJrBthpiUpp
148I4GOGM5uONzS/j9Bdsz0K89VMV9H81brvIFNrtLklnZZ0usrKh3EUKGuPyeqEnc71DGwvupn6
5j6srqpx2ZDodkgTYPqwGIPrLn4Joy+Dp2FKvod8VixbA7AJu7rqxQHYwBB9Q8/j3SbyjpQbw50D
ATLl3sFfGPL7NO6L6/y0OcksW+O+UsJ6ULPFpT3dQpZEc5BP+znDI3M3oggcWY74xIi2nNMXEdIu
JPltulMFZ1p+kfRUU1aRKpK1EGxemnXDoPNLb/Qi5f0ugz1nvJMkaig6Vkh05pt6/ObQjpcfFgat
qCe39BEC/oXbrPCCDGBDZe7D9q6Y95ITewC4Dn6w+9oS38SAvBEoPRGRyzMul7y5alAAWgAAgZH2
3THDmpwvhmX9HDmXnfxsrDdlnQbiMBLy7aTH5GXnvLU4Y2zUje3Jib8cMDJ9fm+1z8pyqXgB10g2
D9wuzF4LvgqP4MyoO7Xkw1qWeUlnwjaAZSbLUflgo2nScnSOwq3jPSclHIJzo9vd6D5nlkBcdir8
1669q8gqsV8LJDYB5XlD+BqatIEonXnlQVxNiCBxyxeCBJcHGadbF7qlH5wtPl5YQRRqW5cNJutv
AoEmimYXS0u+F6Y5tAUge964+GGVVvB6itDFmHBcWVI9HEfagNjTqxFJM14HQMf5uaYmF9F34tXK
7KwAcibJQ2K+VQ4qLvubGNaWFd3byBC5cm+DeGCMDr/gyByJhfdN2hkwLRcV/3UTP035qzLPfcNY
6OgylNMsZHJk3x3fJJ30HPQ+1g6qnYpD5bWfVQiQ+i2hcPtONxvEiKwMUC3nq34emMZUhy5lGrq3
TXhq3Xk/07mlKqXUfy15D5vpCLL9sLT5YSxuPA/zsHujC3lsLSDg7rHzEO4Am0+OnnpdefsJ9Dr0
Y416ddJ4h3xx06KGxY27EKaoS2aW/aejbyQWGOTpNJxQzWPxZf/DIdUAPQCD1utHK3zvBI4tjJgm
hsAx4QBuABTivF7FUP74rOA4jZE6irJ+KJ3oLSAxR9eCl2c1mqFtQkfgIBnXmhAkZsFBWeKPFxdt
b66ZchJvMZ2t2nrsBhrlBjdHtvo1Yj8+wb04RCTPOTHKYiApEHm/o9il9Mvhg9oFeNsykKzdciuZ
bdjEwEdsPdmY7Rp/NaURfTX5dnVdNqWAThmgZzHpE/oQQLzAoHJbbGJljt0qLyqi6BHNMnNTtB5u
jAPWqMMMpwHfeXtpS6B008o9sBgYb+rAPchAHTIdEGgWJD/Qdz1UJS+Q7rLw1Mv6aa6Ruhm6wne9
bIOTiOACz6Eh0L6a8q0V99VL0tUYtmbo7IhbZ85apo8/JoPdBCEVgJbZXI1GnSa3WvmHCwZryRfg
enzRFfkRrVwiaPC9PIWFdadUmB6DvK/PvUK0NrcFQlJpX5e1/6IdZwJZxCs35hUtttB3WMXhl0Mc
aG80f92LdPRfiEpmyKhGb+9PMnhG5sBgwe1AqE7MZCEg0r9R5yWH6o9OkvPcMt0YC8NOXrlq/TXv
xtLrL20rrDfKI35KjdjofeHc0OSlnlquM7wOxm04bYzzZcxBL8sFZhl96xoaiRFHq41o8FMzWDxW
WIm7xH53XVyUPfsHwgEq1GpjN8Lf5jWDmpLpR+7xyYq4H2nkQxfpgf75hKeAGUjL+VxoMJ2z/NQW
OnVgmWyzHV7xtnYPk5DusQmb4xSv0UTJWUoFiMhMWCs87qfOh5vJTV9imid4ffVpodiZEejPTs0M
D2fYvFIP2WpbJuSlBjzZ9GuWQcqQqoLSaPs+ORbkEmCQ0phWZqDxQZT8RI1LKjAprr18ECRxWgkk
5rgDYVaQsjYjKJc9zZPye+zphwHtX4QFYdsOw6Gr1I9iST/DmvkIfzcmOhP0k9Z6nyLsfR5DgqKz
37tutYdbXyIJf0Su9a2U4FAMR3vXus7I/erRCrSiAXhXXidefOoinriV3+Q6Aq0RkUbJGre4p46D
febpZ8Q7SB9Ncc18SzBhx9HT5Scch/tBUZbr8JiAB44T/NQks3l+i6mzPbuqPbi2/ZyPaCWR/yA+
i7dJA9ixw0Cx+HhL/OKG4hginJ/c5w0J5mn3FLfUS62BsQJx0GopYMRbFlgdaBQHN3oXKJfEYEdB
KxCHQc+j/QMmzYRBQ7aFHD9sN/b89zBFlvrlDH3dM1sD/e/aJGNlNsGPI4YGSJ6ulaWMIopyKDh0
lX5ZpGIfNl7JTtJZ9QJmie2Z0WzkVhkDrtaAUqKZQdAKeYmK4yNevzCqLHEblVoCBe7yAHThxi0K
45Ev2ULWYD9VTYUWlrz5hnYWW1qZ0fxa8lWE3Qge2wXAu4bIY+yyjcdIc2E2/THHFDo/bZSXhDio
pRUESHnWEAyvAf/ftTVgnLBXD/WgclhdeZIxs0L7G/QcGqx8rvT3KPARMtAEU1F9S607wBEtdZuy
NiggVOuQp+dRedvUszoKfuCiFA0dMwl6Isvi0A6iqyTYV8qBAeXlmOZDkW1rlcuRo0fIQf+6dYn+
BtWmBrfatH5ISsUYGe8s0zHJ2YVGZhTbVrs5LDocdBGZxYhrC0rSFDlj9tYaWszzprCjkvZYinwp
+Agk84h8h5nOo5cfkzXMzpT3cdarbZhNQUsYkQyQ5wL7CAkLKKNgkTVCwWF0j2AnS+oBFVTka2yU
ZiqY8+Ih74Sp0BlAsNU8lT+XWjjizUVvBXJH83ZT3jcCWS6wuTqSJUmqsh2D5x78iX4KCx1WMCED
n/7a4k9JTtkVWJLDlZeVfv8Tan9JDEfbiwGedt7pFEhLUVTOY1c2DW1hO62z8VvaIVhCLcfgDZkd
Mv0vk4IVJd+zjTrxI3REPYEvHpK+f3HoPomDw3u1WKuysQbjpYe0EMkOMOhMTmPjpT2FvDfltv5Y
El/0CWcOp4RCm1tBYTvnLLB1/jMrRlt7W3tQnBI8XU8iZXQjGjq5Ni+5vwr9rYoQN89xCn2d9mOn
n9Dihwotabf42hyiOc2MS+Okk3C+padLA8DXuPN0O7LLoXsuOrazMXaDaZ/VkSCYfpw7T5L+kKuA
NvAY+sy3LiI56eC1G5IYy53umjn+ipVOMKO27K39p4+mEqsZq0d3mgdrXt2srWkcRmptyOlwpyIM
HdFI3D3jSYVjki6hGIa0RbDBvDQWx67AUD6elbBKcrTmKFHMk3vLj0Ew5vBYUgE/3jUuyTB2Kxxr
35uqnJ4lhg7MtImXpH63Q1Ja0m1Nh9ZnRut0AfMnMU9L2qAEL7JggDwUdgPC6Zb5DNJEv3KiHX+3
Rh9FvdRMWjrfci+lA0nwOCVhwFPWdYi2CiZPXzTUo3h+Sk6MXdcMQPUaZPiMhJQw83Ou27C1Lou2
T4pp11pjqNtr25VZ7m/7KGxanDqZuxJBgznzqvdB9+ESw3pqa++74C+NytWx7dymOQxdMPW2fGwh
PRB0Bd2gdyJuYvHYiiDIgLI6qVdl96at7FbuLJwB/U+Hxn6fPxY+w8bih9daIVLbJK3MAk/fjgva
CV0U6+zdC7zUuQ7TyKtp8ZayQBo21higwd84pYfLf7ZUbtYw39bvn4N0TMV8SJtRmAmlSB0hPObE
MNAuq/D7eSzKVuXfBqbxxNnO64IQRcEzfJrcoaSaxXbGTStUt4wRwzbkLcjjJKxfEQh5/MM12sDh
OkD4gvSsS/dQXtRTaEvSkSaPEeh9ZEdkWMyLKhjGDQJAMssnoiUzm/V0GfW0/hCO5ZdFrxG8o7DT
ww/hZZKYT0XQ7PQyt1NFSK/pZkF91C914/zkgw6Xa+6NVyFZwjS+B/BYeleudNaGAeAR9u7ETpb0
EGWx417JqWFHr1nBsRgmPqVQ3VFe7Wgt6uTa8vTaBGwaY10NDGSXE3TjDpAh/+f5ceni7IFHHCeX
sWnk8KEcMS0nu4wz4FyRg1cJyLkf3M/0FBRSiM4pju7S5wamSFeY/uCFmQ0wLbOobdWSx8AWqy7y
abVOia4f8JFZAA51WdgxfbClqYcjmkjTgaVN8AzhkmfG8dx2RYul1ELyaHb0Sr1o63XNom32EJxx
b2apaJzyCru0F4SL0JtmxLwkP5XM8xHzUxzGzSOS4Jwm4hxYBEeFItX169h6MQdpnpFFG6QJlxGr
ZBYECFjCIhxjRkZIFI75RLQ57vFy4d2hhblK61RXcpYhyU1mCVcIljIbzilgmsAhznWgOQbXOWwD
xvOZ7U/XytDGPvNRVD5ji6HBwMvpGkkfB6tZzp9WPRAAHxrruUG0hz4vSfpFXVpekXoMHtIiS6Am
mSlEzjxNM4x7cAyg23ZhHNQMRyvwP7zS885jeAfIMoTup7OFgrE0cxVHCEZ0aOCM1CRSlJPygpZQ
dc+C15o3cR+jDymHDBJRxlj0MDma0XcuWcX2LiFc6qBxclgfE/sADbiRqfmhKwgIvLKiEhe+m7NP
bHUYI97URQXDUsGvCK4s4zEyt23dR58Gg3jP5CUagkNthWK+RI81tN9IEUnxdTVpAVQPF+OERMoV
AYuHxc58N6e5B3XJIQOUvlWZFrjQKpGScx11Xy4v9LVo69L5ioq24ZDVSJHTt3Flb/fwmnSZ72vP
xgdmJQhMmMhRgV0vBuLAXTu02rmsRmtkveCdrU+FW9feZR0uQUWDI3S6+UcQNMwnY3eZ6cYUXcjA
WVt8UU3QtQgM085rSAjpOMZa3lIk36ImL7pvfKplshlbdm4QGU4/3rBiz8kZDUWA5HKS03LVdXzj
zqSqcNt2CscrDpX+qWg8oD6pTidBFo+GRTZpPyZ7kOEPkbh9VPLuWXBdZXUep5Hc15xRVHTFXLTv
8AqWgMsRLKLL8VMZj2dXcki8mKSnomu7qJnQjHQrh10zMNDfe4FtfyWpy8ylIavZu3OCIDX3Di1W
1rulBl2nqqwjrZ1IrGjX2Xmj3pdYpBg+CjUO9/RfM3PIPaUQsSrVsTY1qUbQVlpmzE7A23pvJ/lY
vE0qK5bFcXJLyWtYwkysRSNA3s9pypnNdOIz8pvhazBlxx4bucQBOPNgwLkUo3PDzSS3nvCimiQo
Fvmt1Y2MTGaFzI70tcZKkGaMKX30FOwQrcLFojPndeCHZzT7JAVFhuBegWDrQo0L7tjMVugAZ7qj
84XxS4lyo3Nr3GVlNeq1N+onN57KJ7mp4EGT4tn53Ufaeh5TPthQayyHzjP6QE5iDrrukaNZjMWd
BxGLCYmCnxrvYYkXBqyOg2rqNoW/ciuqIPmOVQSuitslIVD6Op8RcwgSZCSy8bfab+Z7FWj8Vk6b
hmcVKBrdIQsKajVk+bR43bokUClUBK7XJSTuAFvtR9mKNNtMoiz493mYv1DFK2bMqO7TfYIn77st
AvlunAnPPjNlonbTeoxxlYQsVBAJRP8Bj0zD0MgjtKQzPaTXmYnqA2DE+jPOKvJ1ZFVE2OmauERh
hr0Qtr6X9CB1EHuS1ev5ESGb6GTjo+t4IDktowSYSSAKjw1ITlLrOgx1AJGAza3Hdd4CS7peRmNS
w2K0mtGatzOrDH9wO+ZQcty0y49Fa0p6jKzj827qHZJJOnzsxXYMFVHCYWMLNiRLY17k4kW4Kzhg
motYGAljHh+FvcPaCV51jmJGMu2YkEXvA4PA5KjsYqCF13RPk4VaapfnCiQ1Bh9p7VnNfX2VDMYe
N4kMC3OKQtl9weofChK/sZnhOJwlVRHvlcVO7SFFtSIECzCqinOVawUfGq4uyLgx9aMHDi8eGJts
cEEDl4K05dCTMFoQOylSKtMIBCGmRM420qY9up+HzK6/gVYqun1HBZa+8kIW7S32oiLeGs9a5SvR
lDdHbY1W8+6XI/Gpem7H6K3pezyzDgzx+CsLYf3ty95BsgPqbBYFURmQutI7AzONd35BsutpjisD
JhYn9Wt9BLc6Z88G/VXKvlX5w1XH1Go8TYFdJp9snxkvyTJDqEH1NkTMSjkRWMHVEPuICC5GaryB
Y2EDNY2GDpK/gQbZSuV25uVu4sSOjihe5gkKbsspfvClqO51o5RLwoCZkLabukeXniKcmzYl3CPG
Mk0e2RyuFTRpXvSoPQaweuKvymkLDgh1bJEbEFUEfRkvRjqf5hrVf1csVKTJYGUP41BZaMrm0kGz
JvQkbwmXUNMB8ln+kA6+UA+e2yGOBXcdvnMgXJrdwFTDO2aD54ffQkihZNp0tl0x14nqgnVhmoIk
ACrmlWN8GBDWQYXsG/+lNRRKt3CWlgLyclTmN6haaYrGGCRPTTY5FZ+5omEuewlPd6jzNL2sx0Z1
hxhByni0pyKNEPyGOZa0cF24lr4swJktVDoWw5a0NJusccdgV7HJRS8KTaDBwuflzGZTy1T9N3Qo
Lef2EG8HI5ipmTvUpJ5y9nTiPFC5nstw8z+COMZsWaHdxLm1ZQVlsvtZq0evXemR/YZCkbOY5jbw
YqVYq5r1jC8RZkQZOoWuo5Pf1FS2jMTtcoIGTdNmSZ9rvuMe/VYWoZdD7WC8afP3v/2f//d/P6f/
DH+Ud2U2h2Xxt6LP77DpdO1//V3+/W/VP/7b09d//d3nw3B9F7qw76OOEq62+d8/3x/iIuQfdv6D
Ux4KN3eG7hAr96a3LIKTZ0IWk3Dq9v/mpaTQyuXDlw7vAWqZXy/VhFOVEP/pbgJ7jq2neFI4NxuO
NtXHCIh//vHny5lf70wLIX3fKE7gUivgv7/f2dQOqHttJhmNDw7eOeTWc3pZ0GhpKCRvws7MF6ie
rbd//7LKto2g5eOg+vR+vUvOm0XSSVSErfOEOKi+bGK8si3/QpJUoCfRzClFxIjVeKLa/fnizm+P
86+b5jfWnucKH0Pab1cPcoIF45Im8Zg3Ca1iX1bX2C2YX3lpeTVK13r3aWq+cuycrlHs2A/e3Fa3
vc/cNuWMslHB5FFD5Oaag27x8Oe/nv/LI9Gub7uOK3kU2jOuL+z1kf3Ty4anYIoiH2953sjkPXRj
F6FnYS9EGIgouk6CbCz/l19kveH/fr//cUmPcCUXzZOjffXbD4Iam6aHj8S6t9NG7uq5qj5bVqvp
4s+39i+uIxSLjc0z59H//nIjhmwk7TvspU7SAdO2nSfD8fz456v8+nj/uhvXxQVmOy61onH1rz8g
y7YdlC7x0kqT8/nhzF5f/chGR2ePIkI2/uPfuRyLgwTHZWzl2lJILip+vZylpHDBJ6NsHkkFD8GQ
oxJr+k1cjNG/9Wr8dSnOuK5ttM+r4Yrf7qwFfuKMVbRi55NpX834IFvZcfqfUggcqs+u/nxrv60O
662x9q0GRiUdJdVvr6Jp2gQPJdPjuI/aSzePkNlFYYX6rsS30kOtNxG6+AFT/z0mcHH358v/+iX8
43aZuSrj87W6xnN+/WUTWdPsq4QDnigCHhZZY3w7UMtfMSTKrpCtzp9/vuCvb85fF9Q2jxJcHFdT
tvr1gmEJvovKG7DxUNX7kpPI2U1NvBM6Wf7dLUVq6UvHM0rx5Um53vs/feWqijP61UnJ8aSN7vOS
cBsqBf/YRJ718ue7+h8/o2+D+2JqyIKihDC/vaBDNcYmxT60RfGFIF1F4I63He2qGgBdNsdHNU7I
S/980f/xU64XNazuWrhSGv3bs+uHgIEhGGDG1LXjX5o5BcOXhBqoGcr30L/88+X+1T26LCzCKBZO
4f725KrOH3AfE2eRobkgoslONBa9Ms9Xwyxtk1aSNVOiEfrzZf/VXXIyEA43aoQyv11WqJnuUjFw
yGwG4Cd9irA96QvJuDKLgu2fL7b+Yf+9SvN28pPiTGDtZKe2Wap/fWUif1yseiTJ0EtHcaATABFZ
Y1NVQUcklKxoG8hBjf/LVdc15feroq/nJqWttfDXn+CfXlSrHxV5EPyyKXO5W0HHGxkPwzbAHfZl
PgjzE3JCeGWpPvn48/3+qyv/84/72ydiSRnOQjDdjKhmCXw2GEDnjk77EozpfY7N8dTXKUeVsYuk
+l++z3/1Y2tXS1s4tqP5eH697XKOxpL2dbzNxwEw+qqcj/KELu8w+9dTJD/FAkb1zzf8+8HkryfM
ScxVnu0ZT8vfvlRaSNWYuC699UKcXVyp22Virlhhsdpg5UcEQev6shOWujOWGq88Os/0OiXzYUvj
mKd+ue9XvXSnCcX981/uX31hmnVKO2xmnIV/+0GgLsMiaWIw400D/Mr9/5ydR3PkSJqm/8pY3dEL
h0OazcwhFCOok5lMdYGlYEJrjV+/j7N6xhhgWMTWTl+mO7PKAy4/8QqZTncTpKJbo2vRW4x6JJTO
j3hi/SFKcQtbdJZdV19EJXBsrRLz1ArZM4Do1BE8Bwp4SIu6+9VWDjpafe6HwRqDFbP8DtYYStf5
X3Acr7yeOIMogowREhDi8IvoOA9GlEbaNkNRrEHfqzKze7DNtPb+8TCmetBt0+Gx1Y3Fh5ZGWKNT
SW0piFv9lkqSs++5US8cZLVAi4NsC64N0/NU8LB8cXx4d9CJO1RWowyvKFH7QBdCAx6FP/8+/0Hv
Dw80FeGAwzINSjByMW+9KMYRXSZeGXQ1WKdhpAsBdnLGXGAtqhxbp3XUDDC8N1pPIeLC2X2/VRne
YuVMgXMwWh7HZzeSekdEFiAzzMXRH2Qh8/G7rp5G4FWTJg3420Zy6aI8NSpfDcidZ8ghbjoedRBB
kAx0OlAIk0Z1h11mEX5DrX4O7tMuyuKrui8c4/78TC8GdQ0kxwzSGJ1Yjf/Yi5meDeBDOfC2lR3U
05U0R2MT+ajSa37XPSDs5124ok6Px06VrjTU4h5/JJbvhqCKBHME3gpAI5t+NKs99+j0F/S7IhjR
579wsW3//kI0d1UAqvqY6he9eX8ianUehgt4qScZmWmAGNXk9OUhmJzywgkRarbeHJF3Yy2ec60z
3KxtGQv2vnghYS5AzFN/KHtL31owG6+aYEw2I3Q71T8z8kMCPePCFAs1h+9+BVkgdTv2EWny8Re7
RWP2icRt2egSyHR++6eQKUTfEqUkKlG/apjQf3wdS4U8EPo+btBoTV2zu3CK1H598zN4jKRN3RRq
qusw+8vHaA4scBywTTdZD3hgTT10OAgYAsk/vv0oqDCXngl4DEiS2gBvFhj7WhLTpseJrJ2zz+DI
uh3VsuJCKrPYRuprXEmO5qqolJthcSekZalV8LZ4z1GWQu9c8wHZ+0gO0R+7MHGLoV53kXC4ag1E
3Hk+jOMPSqnwaJXaRX5t1YcgsdpbKjAAijBh/nD+cCwu2r83LGGZSYRCpLJ8oGyqUHmegZ4whG9+
15PA39d9B9rbcKdvRjwaHxIP5u6FFROLrfH3sC49dwQ8Sc+WF+wAPcgQIXh6FwsWO/R3IyKqK9Kc
kSSmuXFGWDNCbNAPwT++83Czh88wuiNWKmF/I9zm6fw0nJpx5lpI0+bqZd6PZ7yHCQXTLccuNgPi
VfRxeeNBov6i8z9fqFydugBBjvDdFu8bWnKLoabKoruG3pOpNe63tBkRoWpNR9KeRfAeUIsmPX93
/vNOrTIvKSGhZGhjGQjFIpyCYABBHFcJLexWpJiBN/oIOK9IiroFzW9WNJmyBqTPPx+at5QpdYRH
Rre4i0yZMg09+Dq/s6h6TtAgqI01s4X6Vekh2kPRFJU53fHtC6fo1Ec7OgUwl2KYQ6h9PNFhktsl
sTDIvlp0v2KChU+0xuQV5ipQe8zitwfc68s//lrqbgY4KsMgfHm9md9cRZmtp4XmgGsbsfWOb2o9
9bOrOkBJfo09R45lCpbXw5xjcfn/MTDVKtPwbCpIy9jBrKjFmwYDE6oY17Mcvxp18WQDO956Lgrv
HO+r8yOeeusYzLSliq9Vkn48v7mRavZEAQJuaeHhIuMHeLigs4TO4FTl4nGGa/knpEstAEUnsbkm
0OuyKzCc1PjP/5YTZ0qifMpxoh6i28szZZkjAhVWyPEVKF6sEkTnmnVKZNfSmzXFS57VvLfnxzxx
hVEkNMjZeduI8BdXhtZkGsS4jBZS1sFoSxKvK65CRyJbdn6gRRbDXWnqlkV8TwhjM0eLE1RHPQdr
inPM+grjFoL2Y+DTkDbJbBGPiP3vXlpaaNHi/XF+4PdfyMDEvyDaqE+6rjxeYANtIL2Z6MunnR5/
DIHxbjXEGX+eH+XEPuJOIuazWTheveXdm6BtHgWN0otFG/kqBRf6wXArTA9ixEv6tCmvnKjX9mVL
CQZAW46n2sVi2olPFQTCnvpgHSekxWKiUt6lZchvSLEsQ0HfEiEPfeK38sKuec1y3wRFajV51UlH
baCK0lxuVRcYSVB7QA+EPTSbmlbQrtR8xKxziuV9iKU7oCmlgp5sqhJMNIwGY+2MnjykBHW70Cnj
nU//DMCp+dmln/hImw280oAYqyes+LpDbSDIC2eLQkeGHMqYbuwOJybNcR7AFt3AYnmuWvOjVoK9
wwoMzQ4cLTUn+DPlFXgsB+pznmggoZJeGRl9ziIbC1gNMF6SC+CEiP/NUdBfl+rswzmgIzwmP+Ou
/BgXw0/h4DQGYgl5IcxaJXKS6Sif+zGEnm6j2dk+RjJ7aVJvl+QJPNnKWBvW3KyiWP/QhfVj0lhf
6ODGm1peeuTf3xLEbTQPDGmTwFLrO97PczuksnBQQB0S1Lg3utfNkHixo0OsLY1oL7ulNbsXTu/7
yIL15oqUdEV4ee1F2DiRZPpeCB5K+DlqxNUYVVvMQka8M5Mg/Hj+LL3/QpPoRef6Vz1G4tTjL8za
EduKlMe21CP/qmtDcVdLPb7Cvj2/wQGqP5wf79THOZ7JBei+lk0XN8RkIhCU9OgT6GLKt06pWyua
1sCOQLldeG5OD0VBzXF5y01r8WmldEGYuR6Bat/ipTJhGIl06Pgh7OAfnf8qceLGJWgwqOJT7yBe
WtwG4N7pYkvOKJyO9iaMcWaQmIDuUmXB5UXJeIV6AVpJ8/TVCeHOeLXXXlkqRNUtGEOzXZubUeJ4
iSmKfT2Y058oDJBC90r7QnR14t4yaAPwBmHaQVltsQDzoIPdsxLOYd30B7PIOghRdnxhW712oJaX
FvUz11KlAtdw1L57E9a0gd1A5iV+BLw/4dZbEBDc8ZdRBJ87wCKrWqvKHo8Up6mvknKGodfbdIYh
mUd41JcxfRj8IW39wttxar+T9lnqBebtWOZk3kyJpAJ/s2psd1wDdvO3Hiq4eJRRRek7M7w7vzNO
TTcMJdIEVWd711vvPD+KbWAg8MsQdFj3eRYBEwdb2P3zW4O2jmfTdVF5wjID9GBRgWqGTiYq/Kdw
f/+kAVPfDLFj7c5/0okpJP8izaTx6KnyyPHS9mPg6BpwRcjhff2i1QUOAw1AzLz3dcg9VfDp/Hgn
zrHjGSaFJvqsdARU1P5mK1H8HFNkPJGy1Qf5QMIuvnQtiMjQsccLQ51YLdoNCphgCC7818DjzVBJ
0CN4X4A3dnIPHejJ8nJt584mL+L5bzo5EMdQlSE8Ujv1528G8roYeFnLHHI4pmYTpjEcfmNqu+bC
fStUh2ZxEClC0IWTZKuus8ybYy+FsVnqHMR+jpI14EFq+nhstFsToNg2lEZ2Pw6Fs3HCONwn3fgq
wFx9mvu8vSoLS0N/I0KAxp8hGMWBTJ8SL+sgFFMXWnH5yse0KLPpQtCj1vTdr3aBS1hU3yjpLubH
SNGrmasBLYEY0w08DPKPMSDrTZUZ3gMsPeDmmm5cKvudGpVCKseV1Wdc43hVyBRsTBDQrwkn4Lro
2E1fm9b82oxoHpVG7K0DuAxfmozcRSuzJ/UcwwMZPep0KAABq0ReChzXxpfueK2icAzBvH5LGjtu
O7dwd4WFZFdgpXRBO4zAqyrHTrFyvsMVggcBDBydYYRKu3j4KvooRIIyuDZHYSkwlL3KJdq8qV5i
GZQKrKdCsbb08CbROvwr5Evp+biaundd7f2p3ETfdCCsbkojc2/wPvpa9oni01fInSOPEuiTtR51
I7vLoaRcNWZy7U1o0Bp6Haz12RLrqgH4eH7XnzjJ5JpUjihRkWQbi5PsYsbYzTYKEWCb/EM4sFth
uMbl5yqKEVU6P9iJmiZNHM9RKQKQI3OZjAQNGVLLlchVH3Lzgr1GFI+wZK+StAOqf9Eel1M4hEK2
AOpC5ns2gLusOyTMLpz391/OvQU3hNSX/oD5ekrfnPdxEkNSOKBWqUrGt4C1gbzCjN5ZySgvXM8n
nl7SPs4OGdhrar+ol1fgmhoN+3IqCv00rXBM+IlyHo5GdYc+asD/YpkU7wGsr2x/Gj+h/gyYDVu7
dSDm6tP5VXj/4WShFHVVORcMyTJ5Kc26qcMSIlDn2C1aN1WIkLdAuj5G38O2/3FrggohMRiPBZAV
qirHB7g05sS2I3TwVfr9vZVBt6d9iP2DmLEyhg2slIzOf+D7yI8PtImlKPQKmxfqeMjao/bZoRUC
e7WBZVdVKINNGayKmLwIA46p22Vswoe6Q97p/NDvrysVwJEhMLJ0+b/joU17cuc+wKE15mWMNyAd
u80Y9uHB13kO7lGAn8XnavCs5/PjSvF+ZMalC0TCAIAXUu/xyNjAAf2tNY6WBQUZXeOrSWvQOV3T
t+a/48FeZF/y8msm8TJrf0PdWo19uNECvJ4dVFWwowOxNE/rNHmgsLjSagMdhU3vIu8xrBq0N6T2
qUZuZJ5bfEfWVfAdLDSPgb7uAmTZ06dufnQLfVePSL7nyRZWBflrCuS0PEjEJtHlQD4fTckKHJHY
IRigR3uIG+vMvm/FiERThGmIdetiUB94txpy5R4kMGuTh8AMbDz4IJgrSwmE7tBgdBVzCM3TGiOI
0kb7ckQU3HfT26GLq+ssHL9pxP4BLu3eIY1qhZXiwv8ewJWp/RGjVbgdnfUFY5ih3TnhnoSHHES8
diZvE4h64sHtkMTxzc0MbwiT+nWBigiS1ub0yXfxV3gOIeZzXU7WZ1gXKO88mz2saHyvMqgHn1Ks
WmlLl8ZT14G/d64HjKOHSq6q+QFHGngTK0fcJ5iYFFD5xme8IIqwRk4JSDleYg7AkRA6tuv/mrES
lvYfvPhmeY831YzlbcjFkaAkwUMxl78s2jFJ+yPpKBZuPTTWswSQL/7wrY67e/6l9apr00OSJ0ke
KDKuBNJkc3LXY5LXZbsc/gu4W9PZUryBv3GdYNzrfWssd8XSovgD8hB/Xq1DCsbYG9K/7rQrM90l
nYBmels5aCLu0LQK/eZ+TK8GRBWS+k7ZLsZc78Dfi+AZ0VW8pcT8MOgfh+oGPQPd+1kgmJZcoc2I
vEt3HeL40PY3RvkhwIsQmWlRPI0mKlb9o99fBV67hbCHT8KjidR5ESK0p30zZpxMPxs1KnnJx2j4
gWkSPhoIWghkp4aXYH4u2lsDnDKYYBLO9tpOnjC4sdIPRrLrcY8vCSqaCAeL6vvIk1THP2tablWL
EUcU4URx6FEQwt4I2PtcIkrsQWCcETFXGO/70jw4abIOocei/0z9wUZWC2Wd9rvV3SPnn6GSEkGn
HKdvs/dS9ARMH1MAz0mSH1CvEf6Dm363EE0ucywD4Thblvac5wWKRuCb0YvmLbpGvnJfIsvZ2is/
xoimi3elfd17H0KUBHCagA6IYMVkQg/A6zDt9gimwrO3tnWnb1IKma39mOiIYGXuHahi/oh4Izd3
cc8q2VvPfzCKDYwCaLMo3/40/PERdvlW1HsKRQnEOBu1tPO31akXyCErov9GUYVuzfFdFWlRHboV
d9VUGdEupX2CfCqkrtjRyv35oVRUehy1ciFL7kTeOwoqy0xFTj0GhhFSR1k/oNiTR8NGeL174ZF7
Pwr9WcInIlVgWZaxeHG0GiptGtBhK4xoug20BIFgoHYX0G3vp02BpXUAn2STtEkXj0sDia/XC0qE
kY8Jb4fB077M4GZkfnMpGToRsfCcUCcg4QJ7474+N2+iI8tIJ73wfRpco/87j8dfPsu5JR188jTt
o+KUTW52J0cYx2konucC9Ra7vlAYef+Q8yMoSwkQZ7TAlwVdq5zjKBfsk4yE5lB7Y7x32hGt1zSv
f6B7ANGrjnvEXAd0Js7vG6GKLscbh7HpeSn4Pc/qMogYrThoMIskeR+tWzNMIZPItWk2d4UpcRx2
2mRrwxP+7fpWcBs2DS4SOO3OoFFXfVL1F6pZagMtfo2wpepbsyBUExYnRoeH6vhYTq7MDmuMsDOH
j3Ms7cdxxP29AQ134YSe2NA0GEFaUKYDLLQ8oW7kN+NcoLmIwCdc0XAavVsUcr1L7b0TW5pgiWaX
ipdU7+D4JjDk0NUQlBThNUUjcmzjD8J3Y4R4/PjCJ50IkADxQdGjCUNvYNlco45hWvU8Y06Qids5
hPyMylM5b8YIdSWMwPJb1A7aC6HoqXNE3YKGD1g+NpO3uBlkYRto0+hYDOHy7rnGh3CAqSQa+8ZR
XsRjhRTr/HOuKn9rFWh4EmpUKOFc2Mwnvx2wnqtTH6JxoZb7zWmerTob8oBvL+opuI66aj6MTo7N
3lhjZg5wlxexaa68KqlxyzMxddT95EmQzEG78gLiIttUzoOobMw9z2A1YZxgY8/2z9cImInBT1Qd
bipax78Tgz+bVjp6mzk1foSxx1H/BmLffNbdEWVkGMkYCmZ1GOoX1unEfudQAaxloSRXzmKZLArg
Qw9rFHhCmO+FX8N8rYPgQuXnxH0GAIXpRKSQYoa3WAYo2F6HMXvFnKbtc5iGxl1viQboLpJumGEP
OwhG4Q6v1EtYjUsjq3P4ZgMgFy9jO2BkqejUdTaG95WPQxjkY7mP4ZncQ9p09n7jdRdm9sTWQ+HW
cyzYAyrbXjxaVCWprLWScLQR7se8nM3HbByVtVYw3lROQ8oLRtrant/x70tsoLBVRZTDB5FqeXvH
c2nDSAvwUreyZ1Qf7jBd+tIB2tjUSJxbmvONSpazKU3z4fzAJ0octK8JBATJJ9nuEqhGNarQw46g
sbRLB1l55PPkSst8/dH0s+rJqkX7syhFjKyJj/sK4q55gkcSfg4Yj3uxd2H6312wMLuYCMRjECIz
0X85XvihF4j7aiHUutiqHwuw8cgz+qqbaCRX5z9dnZGjN4rYhzYZgZ3FpAMOPh6q06NGbx2vBqoh
Z2TgTJ2CRzzVeALFVs7FNs5heCHwer+7XGGR4YPNNSnZLkk+HaKkEcEDDLKoJaKuRp1LDJXgKWiv
dDShm008trhsnv/Sd6NSWqByIuCHQpQCMHr8pdQdcW0WmdI6pu6Kbo+NlhO0c83HyBMibrNCKudS
RPL+CB9/6mJQt/NCLarwt2lnX79xlZqdX9+7GuKSNMC6h7HpcEmTTnrhKJ14wlxVIAMyLHUbmMii
PYUqnRYXTovWfwJwVUaonnuiCq8RtscYDrLpdrDS6LvM+mkN084FiW22azk6zaYY2vzCz3k394SD
3KEGLxkoEc9aTEONXjLVNKiKKTJDG92v0m1b6SCIIZSCdPsUdHZ14fl89zhQqgSIAdsKUpDLXjte
bqcLkMGo8VKoocIG2y6146cuzfv0wgE6PQ4gQASQwIos+4DcDI6gJIxnA4Gn+IBwi4Y5NbKP1YUO
2Hu0Bl/kCM4NaBtgTssORADB17UHBO9j3W92zVTUOP/1ya/ClvFNYiOu2VkREqzThDGljdbwkCMo
ef4Qvb8p1Y8AYEU0JhWbZfHmerECYppMayWaAQUyOcDgzpEwnqFVZlRKEZ7tzTVnCreNWdkY2T29
jwHs8YXo+vR88DCbCmSmw8M6XmFCbqNxwRfBIbEl1ruzhgc84gNBG8pt0SN/huI93lph3O5p9Jmf
s5HCxYX5eJdxKBIu+YYifQr22eKlrMqum32Du8z3jc9WNca3TWk0T/VNV07DAZEyCcx47SRGvUWe
TSAqqXfrJJwyTP8udvhOTQn4FsVBAYkFsHRRsmbqtcYpbYS40WA2164cnpK8fzbjOYTZbruPQTlR
uOaKTD/wLcj+ihHFmf3rpPyfI85188rB/lWUUx1h3bf4r//9UL7kH9v65aW9+1H+p/pH//evHv+D
/30X/aqLpvjTLv/W0T/Ev//f429+tD+O/ss2p8cwfehe6unppenS9n/Y4epv/r/+4X+8vP5bPk3l
y3/99avochS/nl4CZCr++vcfKTq5yXb/X/K5+tf/+8/uf2T8Y2vEIV6Wf/3lR9P+11+abf+LG4Ky
CdwgwPckx3/9x/Dy+kcEWv8yCS4JYkGOg9ZmkBzoZ8g/Jpx/8SfwV9if9B5VJQQTj9c/sux/8Xc9
lhskHEmfbv/1Px/++PcL//eanKbJLx4q2wQQDMuQmgt2RgDXF4fJiQPDqgaHQtQU2l/Czi/dVZ7o
OUZ34EqyTRRaeOERgm7bHGukC2+z+re/iUJscij6GioUcAjmKcocH2VzjK04RXjs4AMnPyR+aGwr
KPMfRdg4l06suviPxwJtxrvI8whx592XNlYnqVG03SEbitC695E3fpx5tpBU9m07W+uTHX8qKBp1
17FfWNNeDyrktUo9S+rdm+3x70U4p02A6g2voie4vmyVPy3eqDYuINKPbUC50GwUpj387GTYAKCK
E1wIcdkoy6+Gjk4ji92mSIiLF9hDhACbrLxXApvAZnyMBaLBC1+YYbmJSlyk0eBwL5SClq8F6wqZ
2+WKFFBAPKiPx+uatKkdoVqBCycXMBVYJx//BL1LcC2mFqiKcMsIM6ApfoS+oZyjxVB87yygEDts
fqj/np/v15R5sfY4wL6ydy1Qh/rifmzstgUb240HByyBi31TFN3XrZajluXXWupsZA14WDlCZTd1
ij7KvXrdO4r2ZjJ9MKO2vXfHUNaYReLpg/rzYH4taWbn3ywS67XedxBbgtLt/Z8EfX7yGBkTqjWB
UUaPeMmKfFvZweiB+EC4ZYPtc4CZSmJ10caq4rDfGiWC4VldIL1TVzPGx6lS0tokfuWmyANDESWf
N+Fj9UOe0SUKBS2eGEWm32E3FekV4Pbwa1cYJuotmZf9sUokV/OESn+Wznv4eA+mMz3h1tCkKyKX
ZI+alxeu+rYPjIc4RMYSsR+S6QNiPibqyZS+RRbHs4JlIsHiKqPkB3Svim4XwWpC0mlO9WQrvcr/
BMsWsXDHqLN0g8eqbn48v3iLHczVyUNPOUQCiKXnLRcR7WTMeN92OLpqRkZvwyx7ZDdpUSGiFF7Z
WohNQQJ76h8N+rqBFYOee0Ix75a977aqotmr5/FgiVp+Bo0FjrDB7DmOYpQPnVFez2XlXtimy7uY
U2OR9AGEo/OsOJvHpwZxUqSRklY/FMiuZTu4Y6555bdR769TSdYd6JUEgSJmqmEoyZm/zn/z+8uY
oMqG/U3sDMBg2fydg3DG+Qifr17z++us78KPjRDRx3Fq/fX5oZZpippfywFBxohUkOApH3+qZpuJ
OdnmfDBKNzFWxuDZOCq5zfOUcg8fDBkX1xVXdkVYhTsTPNrcX4cTuK9VWZSug0hRmF8SGTk1/zCn
wBO9PkmvVeY3dReZUd0e0no+oHnUfpBT6e3HNKVoDqJOvnhtEKYrOZaDu4XC7L+cnxJT3YmLOwro
GXudyiq41SUdnhCSx0u35gNO0BJhlXbGSSz1QGIjvTGrarI25OFaloP/J2spAWIMp/lIxU9R/FwB
ecXXIuwQQm8tABhrE2k3jdK3MjAsK9/9JkfLfakyiYdA3AgsoTENJCb0jN7BS0vLkJJtI0wUty3q
JSgJI6sJfAjYMaZ4hT9fY3CEyipahwGw3cLm/xdO1WVo2mq+v+1qg8JwjuIorpI9au2Zkbu4H2t6
glLxFNn3Qzu09DdRYHlGCapS/gOwGC4coVMbS0FVyctIlAC7qVl+u4ZozCHy3XUHjxKHeyPxRAa4
7fCctwgmtlsKD56+kt7IBUrP3Uwwm2rSJlTiif0nLRcz3f/e+Hl+cdUru1xbHnvwalLy65aqGLQB
UaUMULwcGoS0wO5mzq7p91HpogA8Pmmth1er+IFacXFh5GVqoE4aRGwaUUA6eIzdxaUyhuWUJaHT
HzJHWHsrM6vfVE/xwc503SpAR/fInFHJtqz7tIyBSqkgSiA4aUp/f34WDHVVv5kGRZGnFYYQAmI5
Okj8xakv0wzaSupk+yqubsWUHlDDejJ9BRXTa5yOxuGGV7LZtIlHN9wqPzWxf4+8zabQuyuKSrTe
9ebQ4RzdOsgkG5hd5PF8GwQVDlPe9RToxTpqL10L3uJe+Ptn84yZUKpUV2Cxp0wsRtvUN7I9yr0H
NIJvaZN+RL8U7TfHiVZhqwHMQUpaq5FCBAa4jmhariuzuU4LmsBoRypvWuu6cRCXS1oEqsW4Gip9
RjMgcVeaVtyGYt4LK9h7Ke5ysX0jI+fn5MnnwJcIg1vm3rOy267UbhnwZrCH69iy9OsBLycbhOWA
0vp6wp4ehx6SwNFoYWZOnWpL2zvHTrFCzfZBZjxaNT5saZUW65LLF0N6HN9TQeBpyD+hL8z70uJG
cebA3KCzCKzMhecwuR8BW34AC/5BL3WImGPi3RrR+FBK/QtxZHVlDpTSjBjXwjlz/uBv8Fh2SGCH
aMSv5GTgWJkfcr99Aue4D40h2rdeU/HxaNYncQ+FyXVp6o/Dz9rzb8N6+lbhh5XOxTfZlBunQNO9
GW96mSPsBHjFz+4KGUKXRgGabjEuRN5DXVkfIl18dYz4yk2DCxt3UeshBFFsV4h8Jjgh1TQ+vlTQ
20LHhvTpULWj+x3BVD3bG3Vrjf80L0CpQQcBT6EHzLNcCrB4RiUR8E68Q51X43dmy16ZSRbgQWDq
xfOFw6hi3qPDyGCMRpVQpSLvGFzTjEAZalneAR3IOFl345TeD2N5XWvIVaJK+gvgDyp7PnIfz16n
7JWapP1ZQZjBmS0e8GROURv81Q+hFV+JEJkz8FPddRbo7fCkWYH3JNKMulBo2yAuZ6+Zn85/gbot
lh9ARQq6AFET87U4lk5sNpMV6lyduux/xnqoAHnxPHz1M/RCV+cHe3cHMFuUywlYKC2iNaS2yJt3
JRXRMHjSdA9gqZEYKjIA75gHDNo+y435F8qIEA4rLRY99lC4zJ0f/dSnKuY+RU2+lbjveHSarNGA
Bw4yk3aQ3MUW0np5VOBD5ltyulClf7/ZqWjRG2DDkzY6cnFJo5qvQUcwzIPAV/MbjItmXNVBi//L
+W96bdMdr59HQ4WXwKLMQUNgkQV7ykTVG3P74CQimbGeoVaA2P7k95s6Tu1xLarAJPZGIWWdSFhL
rtGkj4McHO3TGCMmuRojKUEQ+3WerbJRmdc1mVJS0ZO5uRAcv19/fizLTlkfCTJe0+MVwIuBKkGP
pRrOQM0VnTexzmMs0qJ60Ha9WfIC4HR6ZSSkuxfmaVG4cAAIUnOFKo4SlFp99aq+2Xp+H1vNYAT2
wXRbcEVdbMsfpQ4bEvuZMMGQFTFt8IEpHpF7EE4Y7sUEc7ReUfi+BEelJHV85tRvAQvM5kBnx3tl
mb/5Lbnss8wyO//guxTAN1kKpKxph9LZVnWZPishhsfzn//KKDnaJgwJx0pnRxIbv0vF/KnRvXj0
7MMssQy4FjNyrRpOkQk3Y70hlMI0rEH5+KrjGeSxTKcKkGEpa7mj1NnjP1kGdH/6qjOcnx7SQOKz
1vbad6seSoCMfTRhxKG3o/5TRI7Aobcs4nFvJv6MGXSZHGanwrhOJMi+2/acynttdIdki/UCaUiX
zvi+tUYnPjr4CqBuG3h69MFG/hhOVt3hc+RYrgaBR2Shvzb9RFjfG6PoEIYPi/BXTWY9bpLcSpQf
VtlUqDNP1kNEzRAXEy3CBU43iqm78nAGBp0qLCqqPEATWosX5nmxskrXjBuGrjqFRS64xQb3UTLG
OSfOrvMytX60OgNuMCu2igvb2Xj37rCenCGlYknpk110vJ0pqITmONU4Uw2lG65rJ5ofoTQKY0WW
Mvkrr3DDO7K+aZ/73fwF+b/mtzV2GAokZlN8SbUk2Y3pmL84INCfSVDsL3XYxk8OSdlHFwQUwpTZ
zL/H67PmE40C7yIy/jU9Xe5JDqM6kOqlXh5JHaFrRJ86tBESHShlO7nXjWknq3FoBljDXjb1a3Tb
k991WlkzHOmwNFaGYYANRee4tDf5JI17PO/z33EY29+0AeHjjRkgFb2WLcpd+Kr5aOKarlf9sIfe
fYhRsnbhoGgNFsioxSQb7lSEPilHDe5O07ssvtGcVtxnNRSPVaOFiFcXhYl9rky1JlqbyThd9VGb
gFc3OrlPdRctz7aYfBCGbekNa90ZgebKCsvQ0Qh7OO2BBsRHJ9jK17GsHXSoddE/IqJRUzDzZiSs
kOQ3VtRnjBfE6QJ8YQOv+maIbsr3seP5pKuNKqIaVuzj2QV4dBXEybzTuwYPwDE25XTFjlawKFqT
yV0CkSPA5kROXyCa6S+yzMRdbjWOh9NU5fwq6tCTq3xsm7uuQax9o/Es49yZ+F29b/psLtboxnaf
ULPt0FybXNJM3GfkFRWk+QaOQuZsZqufmoPZxdhwSnMqtnIYjQc9HrIR4/cYVe+hljUmol3IilKC
n/5o0vcwsyxbPgUVfeM3vyW7SUYTg9nOcYnM5z75o+wY5m1uxdXjhLrFC3rIZbVGSx9fHsg/Wb8d
ItGk26ZKFA03NbIvRdjXd7lmguZHoYF0Bh8QAKFmrIV3kHXHZFdIt0h3Qayl2kqgLUP4rufpR01Q
xUZ5AKWBlXSxgqTzA1wDq5K4CiHyDqiBa6LN0d7ve+9ad8rQXrtt0PyyZSnp8Wty+PrPLhD1TMGg
U/ErECr6z8fn2nabKaOWqx0IimzzMOIhFMCja6fgwk31TnLtdSQGoJYvaKwYxvFIKRwYqiW6T5tN
Q5Dd6r0UCDwnr8NxyBg9dKPSFCuiGWOR1eBilLrjwuvdlZ3047ClvELdFuMWb40+vcKE910AITkL
g0sqCe/iNuaELo6qX0LcgcRx/EtHPGzmoAMYDshE26HLYW2QJG52nZCXaCvLMim5PbBLqh5UGZD+
WzJoh8EpcamZg+uidEJnBdYi/iz6sS+u/CGG9x5bPfI2RqHnF1hfpwYG9ElDiguMhGKx7jCyZFQk
k3OIWK2DbWgCk9rYPiR2PX7RkSL8gOG1dji/2ZZlDaVtCg0XohFKo7r5XmjO1LrIj10s3YrEvJ4F
u6EMveh2KIFzGr2onFWBVdzKC+E8erDjuS8H7cJOXEZDyx+xCJWl8nCJnCo/uLUP7ymHYZdAMJu0
GTO1IfsTJGlebc9/+bu3h0GVfhi8LJeNBUPweE8BSbfmBC7WdZB22Rq98ngTa/MT0tM/Sb1uEgkD
pKvHuzJqbin99DTumr2l4XWniz+pPx8ax2lxUAIZXxXNfhYYi1HCexxUJo7qaLKtSxc73tL0aBDh
e5oo55nzH3F6+UCSomsHXvkdt6xCWqSswDMe+B2k8dE4UYvSwnb4wmA4cXZJHIh1G5PsrzFdMsKV
iKVF4TANtAuR/RI8rLaS0gEGNUNURWlq0RzybWyw2Ky4n6SINogUUf4wMVAzqUrjwfZh0bQucPtY
K5FI8Id+7/ih2Hkm3nNGmiE8mzXRhULAiY1FXkSjkr4s8cXy3uhHKxjSIvMO+ZA7wZoyGYCsyJ25
2WOLsExvPpxfkGXSp+YATrfqOaPwDYTgeFPZwhc+qWVKDc0svvd4sUDhsaxuvLR7T32ZQp4Bx3K5
FZdIBc136bcVIZGTG8z3NL+LZI2Z3CTW5Zzr97pVTcM2mkf3sxGF3nfQFaO79mYrwnhj9ADBJHg/
oeWvDfV1gSWYu5rtEsiHHepzspt1PYg+iySUzzqZ5M8qz+JpF/WRcRgcJ0fZykesAYqI3f3E+S+B
ABq69qUQV03W2+hQTaaCyfBOgaWkoXI8mRGaCSiUacl17HbNeqKwvCpdWpu0coy1N4YUDtzW5JbU
xdX5ZVy+N4ysNOhxjUMEWqkHHI+sZdrsZno+HmZMFpxbiLIOXT5shwjVEmAK6/PDnVjMt8N5i5Pj
uYOJ/YNoDgG+ZAe9dCwcaVtEC5DDdLcjIeyFxvKJbUrArVBIKEQq5Zjj75Oj71a+HUXXtW0Ovzqs
tfAPrmuvvrBNl20EdSfQCeI6cJhRxUs8HggeJpopfasdmkwPP+UIZ0G306vPaTWNv2bhwlDy44rt
JEj8RdSt0ywa/y9n57FbN9K16ysiwBymDDspS7YVJoQl28yZRRZ59eeh/8mnbcMbfYAedaPFTbJY
tda73rCzZoLepqlcvv7n58zngqMpOxTqauvs18AqM+uhMfLTODnKemorSBV+I2zz3ihiu7kioy3N
L2zRf75b7Ezo06BnMDT4Y25gTpqRZlonadMqdF69u0Rs5MqNibdwaC/C/I8Ql7Xx2zZfE0AFgNZz
17ItssJN1T47IXYlDISSbO9U+Psvg4Ow+D8+z99cOoBLSBEwFM9bUHxGkUy0DmDetG7hUUmmEUGo
1zPGOpylL2mlJ96FvveP57ldE4dyMAcVEsm5eZXqgOmCVIkjesHqjpHqlAaWgNi362xT3NWZ2QwX
HunfLglSB0MIERIq07NlQ/vBtLdJ1SN+/XOz6wu78e4JofEIt++h8wSe22Qv/360f+xA3Cbekwx1
ebq66p59oXgnlTURDArZbnP+tOpssZ7WKvduWV5qw//YDLZLgVdsVQRApX22+9hbRplECHu09FHd
69B3fqDhK1//fUO/F96n3Xy7DLMz1uaWJHKuwM5GVcXBusANaias7ztRgpkSOfFS97cModFnchR4
Pwed1KnQ8qCNB1Vu9xHpxDmiPN3ctXlFsNLS4hUU4apLyMEsjJimGJQuSsdkZcYy5BBPjJzwt8o2
a+XCQthe9B+3AMGeTpexPm/l827W6DqJtbYJ5GIVS1hRBQT9IEhYKjH1NRgnYc9d9hwaysVm7a/r
ge6HqoI6nR3l86XLsU1ItQYwTNWpO2G4W4SpbL27EgfoC1/Yn4Ucb4rWE9Yyvs/Q2c46kZFRdUzn
vh5XTEEMjB9EfUrWVLzOaj69zrKPHx1ncE62V9p3qz53j6ax2s+TusLSMYb5w8296f3fy+ds8guD
hN+0EUVBTKG4nZ/I1IfqlBcQHSxXqIcJBt6pGNTikOYoYc3ePpT5sOLjhEOIJcZLeo7/8zw/f/Wb
8zc5Fxxjf3Sgeto5rVlmxtFb3cn8RUhnqvuiy1HToiQzf+ajRnpu0kqnYlS3iDFIjZGouMLUWBv1
1MnukC6z9QtbR4xPCPkl22WNi2kNYsNoj2XOt46FW3aTORU0Ig/1Mnwmc3Hu8MWIwV1X0mEDxXZG
RnqkH+pBTJjozy6f459q300f2UxgbrjEhfKsaHXZA4Ap1k1ltc5Hr4ihDBwlyaYdoF59qoSp6D4T
y15GLduP4TvubN8N5IN+9dpUvWcq21o7OAdztgMbr1CyTCZIeRyr68u0Ghnxd6W1K53lVHWSONnm
TiNfcZd0gi2qXqIK3VT9Isk51Q+9pxHUMYsBUeXomTd1O8qHFUfYn8SnD9+rQogebqhX/tAHzSsP
qQLWtYtVp/pq43RmIQ5LzR/Q+6DkAtk1K1p+e86iuVbUb33l9qYP4pY8OwNUGBi5npHs4fh22LKq
wyII8IoJ3RqUQiHz1Jt5T806OeKpRnmr3lruvNB52upIPFrbOa+1lFJ5wRkJarRpN5sHcmf3+7Z0
8T8rFL/P+uIE7uNw1uGAoeOJ7IxfjFbDemDAKdkg0LyvnvpMzeB5eMRqXXflMoKMkOSYI+ssYO6Z
vY7Dcsawiq6xAs2isp32pTYs6ZVik6QSAjokmBvbyxCH1bggxU/dciojMlMT6GOaTHr+lh6rO7AB
bHZxHlyvBtyZv3MOag9CZMbzbKzJdOHQ/wOnYIeDVcXgAmkmDhlnx4UlHeY3qi6OMV5wN/Wam+E4
GIafkpt7KMcpixqQxktarj8rSS7LVmSyM/3uB84OxHxZGcAqvX0U0hPYAM0SeXhXAdHAp3XL09gk
5NhlsaHN0bx42UmzxaIH6lxgj5e248QimePCvPA0fk9qzjYG7hZGxnakQcM6exwG43oUsZ11zJRc
fzIULw/rqnid1Np5sypU5mNWdAdlsDDrdxXcAnvxkwkoAZPmaHxLNatnCqZPF4aPfylZtmE7YVob
MZhJxOfjwu0qdxlxJj4SBiyjlQsH0JSGh5G4tq9qXs4XVNp/ux6EDlptxh8UE2fDiNpmxONg7HIE
dzYIQ1z1x75d6rvYsB4RankX+rO/PXVAPgu2s8Y18V36fH/d4nnDLBLrqCjKMFxRLTHnJM/YWQLZ
Qz1jV4t19Wc1SPcATyD/8OJaQpNgELQ8KK4htW/WjDjwUJoDX+Ni19pFFez5vJEji59GyYj4FqHt
OUunskEtpWEycGuM7FDGGnyvtNSemIz3exrX9F64hbLrGF8EHRHpoZYxCvj3sfmX2o7fwJQZIAg+
13lyhcDrLS1kDuOi6lKs7Qbhvi5TfnmU87cLMdXftCTAiLQen1/IUNZajdOUcyQrHRgBiHwJS9Mu
o7W3+2BICIXqF9fdE8o9XgP3jQEUnSpyGw3EQsbvSclDgdLsPvz7AfxmW37+Pj16LxwEKJ6Yy52X
nfgHYIgqjQm6ExKfuxldoOZ3kyq9G0Awc7x1KNaI50F0n53ivgeSioVsVgDmzRwXIjtc8m2LacO2
TaQkpN6qs4dppGOIulL1nue06wEC8alwo2JRUlA+IPCWVshaLDJ/1IE47wPIizockG+5CuS9eZZf
FU4Q+HLCjPUL7f2fxeJGBd3cffG+pSI92ysLC/ax2Srz0bKy9Qs8inYnLae/V0ahXyiJfwuWzp4v
FDb2GGQ8W1d9VphqCkQ8SzTqcfFcpryWoq1KqHRk/AZxX+hfNUiLH2MfQy3Qdek82JZwBKW9zNF+
CnP4Vesq4uoMJMHeYS/b9KGUaTdEduLiZzvEqZOGnmL/2JQPr1I1Ri3qhbEwmxva+EdZ9ooVyVjC
tVPqlRRr0oNFF8W1UCEsruXyCOlpuVX6pX3v0z750FluPzssyeJIY5NmaicymeP02MLc3HgybzJe
3Q8nrtZnrIsYtXkp0awBM+xiOhTKQBAep8FjYa0L0cSeMJ6LXq9+Of3UqjuZYywd5MywiF9dRmv0
k5KxZugYdXnrJYm+ubSo41tbezOxugPuKa5a3uedeKZgcXeT5663GRWt9mq7uf0Uk7Y9RVatQJRw
oFI/2FmBQ9HKnsbDadv2rvcSxnX6SNrI1WCb4L9x31h88Blp3Y1DoB1Dx7G9FBjxBwnR2lJh4Dpa
TA8g1Jx/8V3SInA2ZXGK2Vn6MG6N+luPhqIJVFkbsd8VQ+X4oB5q/D5q6v0y9+bNlKriyZRKlQdD
m82OXzVJ95Thw008iTF3x4quvjhZvVV8G0tP/eIKgVFXglnoLuGvfLTYjhj7LWd1vrBV/lnXcD/b
57LJLEFqzrqeSinSojL07KTUbbGv9VaJFrXKcS8rXmRlQ1fXx+LCsfnHh4pmhavCZN3QMYQVn3fN
LUNddWPXgo/UEBwN/wJHDc0l71WUmPj9eyv8Y4tGnw3aZyKyZNYDQ+7zxSynxley7mnAraw/lVWd
AMY1Us8voJl/uSn01QCnoDRQrc+FwimZwbJtOjBwpTBuExKTKOBtcQ/xS/n/uNRmp7MJgLYZ5vZO
/4dG05f1qGDgS1eYY21GiqMawglNb2CyXkL2/1gePD1oArTErA4U9mdPT81HCSTjxkd70OVO6+In
o+iLb7L3sKrux2JnzMulEuIPvIFrbv6w1kbB3gagn2+v7YFux7G1jjFh6EQst3BtjlqdyeesliAQ
JPZJiEzVYNs7eEb4Wf97xfztTaIroHgBIMLH4Ky2VZwVdUbXLkezxSO3TPMqwJNGHiY9c8J/X+p3
fuOnc4R7QcMHBxGMdKNGnd2rTOC8T9l6zNaR6FFvRn8TCK1aXy3FArmcvLboKLKXIj21BeRwf3IX
b/Qp8I0PPi/XCrYxBoZUYqjKk7O5nQbDrCteaDVaY/k6liv6QXE6jWBhDbsiX9MK4REj7lXVSU2W
6SnBmOKrbiZYX1JKjQ9kg65maCiW25Kfbv9XI36HL9E2MGeBTs64CMDl8z17WdpQnDjWsZZG50aA
4Oa7JrT2ktHHH9W5SQ2IWwAzuc3B9pzM35SGOWCnLo6G4jJPwHrmu9d2+bfByfPDlDf904WXue2V
n18mKsTN65rJFFjJ+Y0ppAm1hbOkp84q01vce3BQ04mV9BoPabHUyysRd+Zz2nlxVFpddsost9zN
YrZfe76HYFGa4mvVEzKk1Y19IP8Dly9uYJejIYvsftYzn4i65WOtPDWy87TrdgK+8oXi8c/vDweA
rXTflNrA22ffPGMnm/5fYlNmqvHNMLsT8oKu3/XrIk6l6eAnpy/fUJR1/3lf4/ltfj2Ashvcd3Zh
YuvRcFllcwRcsQ8YSY4nL9Et3+LJfv33uzpbG/DGVM5vCxXBxsLi3Pu8BjNdhXjALOi0Yk25pYev
GIV3Nrp0dGE5zvnZJZuls13l/67osvK3Rh7XkLNWochhZHWkh58aR1bERWbC+qrXSun6zjANl/h4
5yPy35f7rQbymHOhID67nNc7Vb+asXcAmlbbcFbbKQldr5y/YWab2f5SZtbLqNXLo0YA6eIvTb6u
PiHIlRb9+1H/7cYh7AGfMJghpHf7av7ntBo12bYY5XqHRZTeY7Jq/c9sWNfrNZ+XC1E95w3y/901
SnY2Fe4be6HP15pFWoGUivLUxM6WBdQc8pJ8kaz2ukC3c9BBDs5jWZtvBK08YSghrgZTtr5TGFPn
m41aXEGMc/f/fgJ/W2wsag5SZtdgW2frukuHehSGlp1Ykc0zM8+fVs166+yYUYq3LLt/X+7s+90e
ggkAgjkdzQE2FtsL+Z8H3qXdqi2pnpw8vcGZsKlJbD9CfbNIFBiGPCilzLLQGOMEPchiXLK2uHT5
s0+LHi8R6tLXJxK0lZ3SrQYjR5A9bzGGyBv76eA2fRziQXSB1fOXx8yUBRYTzsIbR/TsMXtK1uhL
ryhHZGPNztK6KtITpfoxi2y6sSWY2b+f8zmTbHvQm+MOCkQ2EVDBs0KFNxcPeMdVp75rrBsjIV4H
uyxvTaJRE9Z7ZY9bhnFbj+2hWJFGEsOhJc/elFd3KSTp1M8h0+28KSXzKFVimMkJSSnFhV31L48F
mfSGGVFkbP98Xg75rC4JVlOMDvVx2sk+r0O9cLOXOY5bxKjDdOF7/+v1GDZT3iNG5Wv5fL1qKZ0C
EVx5QDw8EqxnN9ZzLMZau9HdzJkPyKmVSyPZv6w5e1v2ZCuDdTCx+HxNbY1J8ctN5cihkoReKpyj
mzUlBfKsh7mezT/yuWsQrS2XpqR/2d2YqPO1bcNgZpdni25Oh6TllEmPCZj2oyldJ1QGY3mxiZa+
sN7+dimIgAYSuC3E6NzZLVvpYrC/Sk9TTffSz3WNbYs25CPemvklA8q/LW5Of64HJxNTlHMDs7hp
ccBxp+wkpuI7oHiCREFdwg2ZvHGMJcG4dFkCs7fKkNF0H5T4v5Dwge+cpjb3WrYUwQhHwLet9ZIZ
w1lLt313n37a2duGtOy6XVvnJ+SlnQGKaDWEEbHNXoCTz5qf39fhJ+Ljhu0DgR1n75aF1tVKMRSn
VsgXZ16Fn/dLts9NJ953KW0xIZX2hbPifAy5XXRzo0TlyNOHoHh2c9JMpb5INTsKBxhzv3RUqmHp
ZVMTZkrj1ofUG6cXxVT6fSZVQvhEbTpjsNRjQrnpShC7BsfnjzKnFrmwlfytqmAIvK1zUC9a3bPz
VRSswNbylAPqqeFWSxyMDj0s9xchq/uZSp5sWR1v58RMI8THQEKoDS7sL78Zdf9TZm9PaKPvMlbn
Y0DTclZQQB9QTTnr8cHV80EEzMcLDYUDXH58EtKx35eO20KQUmLVDeNKn/bW3JNjRhTDbTPNWOhm
5ZxulYjcVUlZ4MIzuvO8d7W0WsJRrZovTmdoz0O+2LDsZTyE4HvWvAddL74riZ7W4VwN/XssqBMD
WajNlbRrAhlUY5L4uJPZHDNy80grwq0HcO7f585vz4L/eQAICreh8GbrBOAJ5fBsh6VzTdMZdvMR
bznjpz4lzrc1HawlRDBSpb4U2fgTzd0mz04S582cOsKgqNddsSNYaLoqWo/41mni0w+EPQ63Gam9
uZ9N1viWNp2q3yIuGYZDNtZq6rtaZZd+ioyIcaWxuB/USgg7m7lR33EaXO7AysYlypNJDLAZyiz3
O9zYjsLDLdUjruHZbGPdDJF0p//NZ4EHwSqEzQXjELIRO/DnbR+8mRybysDhEnwV+7d5OSVKWe5r
y8mjmggFf07U7MJHcHa+bRfd2hOE9kAvGOeeXXQuRe2Baqt05b0RJNAEEMoW5a4SpRIuWqpewJrP
tv3f1+ODo28wOdsAhD/fpGnlljZOLjepOJo/JdqEL+3Sh7Va6bt/r6ztp39eWExMMFHmGOUw49j6
fKmkN0Sqjo56rDK1sHZpjovJLqGK1EPshOIneIPxW+bY6Btq18rTfWmSu3Th+Z7vgL9vGF97tpjt
R/xBUZ6tqlYWxVSPUqjFHMlamw5Gt2hwsjutxbhAZYfAFz5DUpLZXt7vakbRdWTj/VyEuBK4jzmJ
o4SZra68//cTOjt6tt+2VXrszS5foXnezCR0C2bd2dqxS2rYAHjqWkuwLJP78u/rABme1TS/L2UZ
fN2gxxxA53stQso1h6uvH/GeLAAC5g6zddGXc4Tk5evkNMXeHOs5jOPKeMim1Q6YxWfRqHsYp7Wr
DtY5ar6sk37XxptAB71QtNRC7rGjmyK56ubd6hXlXnPzR7QupFCsGWAPzBZ35xqdty+oHW+0WjNh
eBtj2MMY+C5F7J2s0Yl9RSj6QSTtcEMesbqf6MeeiRix9q2YIQJVzA0eVkP9hpqNKEmnFLtxst8L
gUAYkbTn4+xn+nViGFlA028eFerTh6Wc0l2u9us9ThlwqjWp7xZtmh4Sc14OBuquq0WfxUnmZfcw
GcZL3MyMk/q8cw9Vp9d3rlbWIcleaDdGY+mCXk/66y7WuzZEPNdFtNpMoqpGeVdRMO+IQ4Gsnth2
OAtT/zqu6kzgPAoR2O0EJViCm9f7RX3VkzH50PQiplfcrHKzpZesSsd4SI1VLkHFRPS4LA4RUHaN
/69cHGdHcQxDSp/nLwQAejwTLWlvhEEkri8n1UOMOa0OXFDdeUM3Z35ZM9zY43iNd4jG4tVvY+FG
KbmEm6xwjRrTqR8yQyqnDjOT98npvKtE0ZodfpHy0ayy8kYQVBA3KXp6lIF3VVnJg1fl3qPBLATK
GOQJL7axTMnihqzGodh09p1R4yte9Ts0wnw/tVk98b6Xk+J5L3WxTD8dqWt3pNwOaTAU7djtHGtF
SDWW2o+KQdX77HhQXaX1s5/tLSbX/FbXyfiLCaF1y7ekfkudXkQalh43CeFnrU/ohPjQlPk0aar5
i9a4+4ZMc47DDq3Z3rLW+VvNzPprbJgYBqAa86vOvLetOJvCZSgLYi5K+N2+Ilf7Vp08p/Cryv61
xESXohBsMXhxIbDMNSlSian9sIbFQTqWY5SPoOmV0tmLeq9YImwnMTWH7hw6eQ3s03rkY5RG9rSW
mQlGo98pNoOQClr5HNTx4HyftfELzeCS+dgbbOgwsjKK0ZThKrZC4UwbNvtyyH8mk96Sd2HayDap
UrqkXK7mhLT2cZGWvxE6A6lI79XuF6p5gsHNsMZLi6n8mKlfGBWzMBFqtCgwnAkcugBA3q0FQmZz
9ri3Irb8uluWYxf3z6zvdFfHUJOWIg+aqVf32JLUJ91J9K+5mQCklU5+tNv61R1lDPBkXFsKKgVV
xSA28ZxbCBpf84UXxODipE1Vcr20/E6qpe65wgLEr/XmOx0jQQVtyxenumiEVa01Ubo19t6oSvF1
riXxRQxfkdLH7bDu0fT039Ixi6+bvLcUKEl6Z4WLNVyblas8ax3PCoCvDybsDt8HFf2s3uXxQSHq
MZgl3kW+Xg5MwirRpDu90VpSDrLvsdfmL64VYwdfK3Zv+5mTLC9enBgI6hDQlQE0pjLK3am4wazb
DqYBf7ogX50qqGprvkdmhDiPjNuy9/kzhUT575ZX2UJ+AitwDkVB2VCX8xDoi9G9ur2Dc9CoT2E1
kOtaekn+YDSjfZDmbBE3MG063aa4Eh51J5uLd3I9AiN1uqCPdJ4/JPqeg9Hirl7hv/nWWyp0mQkZ
vts48/dJ1Qio6kmpy0Asd0Ii1Ux7Hn4lUaL5U081FeDW5e0mKtK7MiHKwxV9HQ49RpXUgDKYshoq
sLb2RKVZomwSX6R5spvNRrvX2ji3fcVqu1sDGuytIkwrButCvYNhU094y2Th3NF+m9X4jcdV3bTS
Ft+VGc3jopaFnwvm0l5CwovA4eZoF3MRwPuWOwgY7nc8zeYT/iuvldYkzwuErHDCfAO/0STuTgUh
OSF7WwHP3ZgpGzKp7V1vJfNXKeT1kjvlPcMsFY+KSidbRGPqAkCCKsbKrln4EAU5xQofNiarQKlv
Db2+MevklKRKHTBkruBcS/xBymkOoEVDaUh4KLDuriUeuqGTGPDFkPAl+ez5DI2bAMtiGWS5Fu9y
tvtIXYj0kHpSbG6f8DPmtveTojP3mLe1d7SF9uAnSx2HiTXOwVAmZaCJTgvhQ/R7xmCM4WHh+az6
+ZYV2R2twiDBTkh+WpoNLnJMzbmpuhmjEmtN9yJfa2b2OKlwNN0LgyicgmCyvV6XMmydJvuFtNO5
xt6ou54xRAuHxKSddh6I+8MOY+XS0L9ExKyd7Beobm9qta4IodPqtkg6782AmBdKhDI8L/3bCCQJ
K3iAvcsOjWmRHHaj4E0s46aWLjESViauhGp7bfU3dXF+2amCrNXpf9hja/hSm5xgjueTdEmaCYj+
q997x0SCaravnT2hZYeJE8aa90rwUhJMivdhxVaBCNsyHmy9YG9OVGs3GdVOT9zmMCxec9U4yq+K
M5zwu/EXCRTDFRXCHOle2uw7DRGeUqZvnNLxmy5cYwjk3E88xKZ8z+d1IIbItaKU6WFIzcM0bLLw
+h/dIVLckQ3ds9vIm4oHCNmkBREmFHQGaLc73mMfMwRdZn3JOyuOllI/xVVeE6Ekpyl01Eq7haf4
WOEJEcSVmew6L3euRpMsKS1TkyvZLl/smpNnQfXrgx3wbI3YDFBPVvD+bRhHclQfdGlgJKMh2Y8n
HCLR5Cv+usykzbnmo6VPj3XbPectshA15j9lMZQBcyW9CL+4q2VuwAApZlloOMzdQbBLyC8V42me
0VW5fOUhRyK3aSkv+A8sUe2VD7TMdrRkah+mWrkETtloEbz0KkRUfi3V9lpzYHdmLYkiVbUdNf3D
2q3DFfivF42WzU/JpfGukTEYDBr2XH1ufV96bAsaYaGAFiTEDS2HS63maZRCADmyyaq7olU/EnZ3
P3Hsq87TNkXgL4yjM7/nhL2qhfUC25eVpuU/lbH+6dl0iVqDwr3J9Omh15qjPtfThhXFgdMYX1B/
ax9qV2ionvIuMunaA+GZPNmyPTCm1iL2rwV/5tX2E1rtQwvuGxrNti8I51s7VSYnJh2rjV7Xt5zK
DQmmJoDJFsYx94rngQi/m8Ft3mxmrXs9nbtdqst30uoobxoS7ovKzHgnBDCJKeHfYSmyExwo25NI
QzrRV4GgZk8r0hyWWv5sGfH7bKLpk6Ym+yEzRWQX3a6rgeDx9+g5sNcb2+lIcWpM0zfG9amKkQS6
ED9AMEivLgc7ALkuoEnWt8AGX2aEJ77oFC0oFYKVKn3Yrzq2SqvXZGHmYRqZu9mReJJtPXRL0DHI
pdQXu3JmKqdnbhkRLev56RxnV4rKpaHY9leZZTaBNnrNHmaaGWRCeW+NjKQAe0ruyRyZgi3bjWvq
EH1ogvm7ShyWq3hqidf19Y3CW3f8jZWAo6bw9AAJ1ImARomLYgu5pZmNq7SflCidOZ8apX3Na/YQ
BtqTv0r2T4tu4HtCM3TKGQNzYzGNQAtj1Ugag9XABwU6pr+5MAyOfCFxMHb51yrupltTFMVH5zrJ
l35NH1Svfa44nINeuFct45WATI3E1wSWyWhq753R1gIopjjMrW0cZOb4OA7YGfQzlu2dRpgl1M2r
WTY3sxRtaM+MFcJEIZNzHTuLhsej6LYb08eHOo2mRoowcRX3yXRKJaBsdhjPzrk/VIUZiol2PK+y
4RbGHDc6ZMlRWN5PO8HYAE8sIpscPegxMgoxP+lv7bHs3piUYe+hxRCpWrmcelmR3Navv6q2qnyn
ajdz6Lzro7zrKljcNUeMV5PcXMtJe+oVjLoLKWB2V1bSBbUuSG9KiiIHqtIHX2IlFM7tAgvAJllw
7FvP3NWzkeHBADuA11AUJbFXzi+jQDZQDFwjLhJxnVTOi6Sl6zOruSnXClsNFVL9VPOXSY8U3HCd
BW4pzNvCLOvdovRXZmbKyKJJO1j4UAS4cDXXtGLoKdOUbADavGOXlTtnnR5SZeLTKoQOB2yMd81g
fdRe+9jhduYvtfXstl1165jKj5WcdCzDYUphZnlYhvmtysXwZYnNG2xRVh++DxRvxR6soCkUfRcj
KbudKwsXQoxWQ0ONTxkMmese+/4gLccHVxd21ICmhfCHOfXrTCfOFPcVzVzXk2OOT4qyfi206laX
9GSVU+RPw9DRz4ylKgPbi7VrN+vLB3OFz7M22nPf9vulFPP3zpmtm1JN0qstigZfilixQ2fAhGzA
D83XPH5ak6zFYSJ+xh8XnG+atW0C0dnd3i51N7Id3p45GUugGqW273VLuUOlJzE5pP7iZTd71x2f
cVlRfaJxnZ0yUjmvA5l4vBQsl8tKudYb70qnOKR2SthzCuqpZFWyQ+OqIuqkZl4Jp73Ba7+60+mv
+1QvvtSK0d9NZofVInqowEhjVBvxQFFEySed5luFp1k4usabB7ESMwxN3GaNGRlow76WczIFgx3P
YVkkWYCWg+ITxrE4xWVWhpmaupRdRAPksvMCN63ErYMScLcq8RczbruIljjdnH9E5DW5d1Qaiy09
9cROM2hgWlfGe0akb22eesHc8iiHTLrR1BK6txJEvB+Xlv9hyJNgLFYvSBGb6HPxqxJK1PT2FIIS
DyFs14YevBe0JMZE15ZrlGQOnQYYaxjrhFhMUz5GUs5QxlOT+IxFrKGqTP1RLxUlSuycjLcu3tGU
XPcTh43D4M8vVpnu1MZ+y7u8CRJwNc5b6PbeYJdBiZItBJNoQvbjX0ojVN+zvCwgpfKhElV6MNnG
4KbeOZhwXtc2ropJYV11RfarWJWS5WZ0t2ret+FS22Po2OuJ89vxNcWeA4iac2QZnQgSkCA4O44R
Ul2gFRbeo57kH4LAwVAdVgaOXvyuNDqe9vibhTolTwKdasdV1agze6ZzI3ZHWm1BWJMNGHEJkEtg
DQxKxqW6LRN/GnO+TVsvd+ssYazQ27k2GAphf9YxKfFDLoYR2Fysuj/i8XvXOcQrGda4h9l563Rd
uev1pfXdXrsSaHp8YxieUzO/rtPsG7uxe00g0upTEXA6jOKhXftn3CKIKdVT7BBmblM0BmnQrUqV
Wt9B62WL7XGpkbH3GBdoX2QiXytZiGCZDeobJVsCXYmLU5GoytGoYnruWmxWa4YVxKlHSKFtodco
kufZ5riEx/k+9YsTYm8hfGprb8ePfRjAtvapqTx0SZ/ukb93Pq4987HImvgRj1QCMadZO1JR04bW
lvlVWbZIxbx/kBzHJNBgjtfBhX4YJ5ahwNgZnKrC/hS08GpwFaokcRqYLO8I37KDQqR9oOhrFeSD
mlKvVMpwIweCtwuFCMWhNNZrx+wI5NS9t3RJsJtZG6wfxTj4BvmxgWIBM8yZta17u95Ps/JYe8mT
XBhwVGziXykz7hWl/pC5e22q7Pgssi+CIKio6Nx3N4lp2O30tVbrd+Y/ZSBqtQtL2SzbFtucNGkn
PnNWxQfVulEtmnO7ycWpbye+mQE3iaRtvgrByTSqcojWRKaHuanUJ8NQ2iDZhiu6ppBoIFJvR3wn
wGmLxtudOVU1JgojqkK/itsbOXvJvtSXBvh+xJpyXp/LUSIenpzhYOvAQRYa22BxDJ1zE9ItBWEb
4AQ17aGYEImd6k+mWd4ui2mHxiK/12n96rmjR8Sn/qZtct2lNN6xItN9bHhmPGCUKqAzBwwrWtAD
S3pghNNw7FJ9uEkyhS6h0KOk9L7jnDb55VId0EQ+GFWSHaaVYWhvyR+T3byMfZFxrI0PU7uBj/Mo
QiJV7EetWpRdBmF6b/fkwhMX1ETWZMWB2g/3mDQQw9U38mSbkxXFy3iMBcZERKTdl2Xm+RN2D9HK
+n2yl/KlYKqDS2f7Q58hiAJdNA9Ll053IqtfMP4oAtUlexX40k8gxGAVNJ3cgiKxTgeckrT/R9mZ
9cZtdFv0FxHgPLz23C1ZlmRJlv1C2I7D4jyzivz136Lvw3WzG2oECYIAGao51XDO3msbwd5LjCcz
JN+EXXO70uvyoe+MX+04/yi7oTVERZvvL/magAjtYzNaxTycdRu7b2jS7yKneGUJ+YcK14Omsamo
wY0cOOkQwmp4UFgHpz96yos2AJnsE+SLlCqG8TX1jW9+jW+t6ltmXTevtFVW5f5eFY18jbw2/sxS
g+kuK5K1am2YfU6Vb0FSEffTy+Cx6ezkpPmCZzjBNdaTZNcXo3l0p7AiUGSK7y27f5CemrZ6V7h/
ILFmonUbreCADXx7k0Zava7yZIf/19iooPiZINjbSJe9XGiwNdSHMWY3mDw3onVXad02G/CC95rd
2b9IdaYc0xlib5eq2Q15SqJtIA0OBo2F0ruFpWKoL35Ry9MoyA21Yv9n6jFHj6W2L4Oc43X1OZny
N5IIQYK4dfXAKeW+K+PfwZhEK2Fpkv15W2+TpGr3mj2le9mXI/+t/tTF479KsKtA7MXOgPr6ykp7
dag7rCbSsccNWvhuM+T1sJeO91JklNMmd3puZMMrjjP9ECjyfwMgT5wsS7axlK43ahTRNuyTzyRm
fbeI3ODgRoaUAk8DoIAjagBdbhtMRcHBaHqMwuBJusP0qddi+55EkvrIlXIL9MheN74R8h2Fn7W6
MrattN4DFROSWJhE+/bWd5WJZs+2FyaHQ9huibX4AEN92uZJh4nTF+8THKVDXCfqefSI9KIk0z8K
m/SfHlvUEXPoeE+wxPhgRiDsRsiJa8cHghunXrwLtPCN6ecHeDNzje//1YmdeN9O9Su4a+DJ3BmA
Z4UHxhi2GAXbpHwZxzbeaI2S97Yr87UnO/oQOdxSy9WoRkzvmqGmh8mFeQs4HBtj7/5gX/LFKOuQ
XbYebV0pxy18KG2TczpbFTqFgTwZ2s8ELpIXn5LEl4fSOMWmp1hWh72VusFs0Gs2buv5M87/UZXA
NeJK3uNbqDeNqqjUWg9gY7MdvDO108BqtityR6e9HSfia9oPVNQcv/M/ealSIMcYBW2LySMYR/UF
HJp512lRdSiKJlw3aSdeyojKFSfY7Eseh/5XPXb1befHal3qTXGYsGetXdctjqKhN0xCHI4NsEif
myxkyUEUyWXUAMmsFlUPj4/qm1G5DVVRK/nMOuiwvRq8vZL6cIgaGlPbEtL/b8zLxSfTnew3ilw6
/46sP5WB+tfw4uZBoIarjbH6Og4m1e6pEh6c8o4Fi5pUT6j3pMz4OQzq3/QJ9bXwJIDm2Nc2tqVZ
G7tKMqJugySKV7IrW3VKWvi9SiBI9+mJ/Yr0yn7H7lbvIjeM3icKNe6qEQNd7yHU258xzgzba6st
x0FxZ+aivauw5awDaIG8TF74tSRNzVtbhZqe0GVod43E4RcOUWCsDNqAh1xF7MV7lX3viJ84RdQQ
yL4ehxeZlO2DwI6wzUoAMaj1xCFsQn/Dcb7cRLJuP9txNXyL7SzDN6v6k5kV4SFIRLOF4k1oedqn
J2aZiaxpQOhRrv1rYBVeaVmobXTgNvvQtjgo5s5Q7aKSPY2stHRLd1/bdSqgUCjq+D519P5FpqKj
fiGiO8HO+dhLK7tXLFV5oJlbp9asu1nHtk0n9h9hRJ8lg2q5pwhlrbJshAIfCeDLRunikUZhRfxu
ReBdzko8s+XIN49PxeBYKzM00hcypnoqUDZ8Zirq3zxFhTjs22MegN2WTZPNjmdmfa3+LfoWrow9
aDDpNIoOVmGs49B9MUoo3VZOiZzN6T92pTOBZC5+5p6NvNtE1kYzK5KxNc/cp25rwKEm4Lzw4uwU
KATyKEDcDahqXqUY76MRah3SZWEeMu7sZgIgdKzdaTrqVOvXtlVQG0cJsnEjjylLGbwiQWWtx7yL
HwxyN9ZBbst11xvuMabL8pZjzZkrf9RFtCpEGOGX6bbjP9zro1FzlAvi/aTXySGypM4rzk/AmWa+
RaZGxDr1Nc4/3Xzjg+LRhmO4NrQsWaFLYVKGukbUk/+L3RDBkQ59Ln+uLYvcbh9Nc9AP0WBzEkh1
dRcMU3JnwAZ/mSQUP60u6l1izru70JleCyq8CLTi6KBwIt7jqq/WQrPEDb3AFWkC5pCZ3sauAYjG
QmQsZBqlGE/1Y1Zb8MLTOnFpFFHyxz5gafYNXfpSfTR3xAkAcdEW4rHBYj7/nL+ErXqV4suwB+PY
1vFw4mNBgCIK6hhhWK802ruPLMnelk0semeOTV3T3IocWkjC5p/gIX2aoVomSTBLuZ8qMVW4mH2P
yor0naS0f8BnOj3YKkBLY2Pdq8fuVqbrFVkGepIZrEpRaNZwnl+3O/gdyUMJVETPGj4Vjdkc00H0
5LVOHd2KqvHzn3YYAROJcpEoSAx5FR1uCBJmsdtCGzKjvWCLAwHBtrVQXZVdGDitCaOvbhKGLscJ
1GRpechafXiQu8BhoaVh4H6hn1xo655NqwsMLgzCzX/9KbOdC+mXTlfUQmS6+ClBzevsVUZwnHJJ
8T/1yauVLbrPphQne0jpkKTBDwKr871FXe2rCVflhgbrQgQ0/wSkKXjf/2i6F9LAsU1KaY4mPyEe
gnc8sM8uMoX32gub9VTg7Pz4ki9eO992MFW7JKwAVLrQtzq1slzVArVNzLq69zuroXTjmi+aReEl
ANj8HMbjdAtQeKFAYVTy1PGyzREQKKzO37vCbOGym1F2UkHU33UFFpU4Csu9Fnnlg95IuUqNQGyj
Mb5F0Lp2vXzfaCbYJfGQFyOPQim22Y11mAI33ynOqDRTI3fHgfZZ1ELu2kSp/X+/x7hO+Kg9ajHY
ps+v1m96afiyy9mphd0/rU2UGY3JfgugSx0mQQ+jCMb6+PGgl3Ma9xhJJV82uecBg5+PmkSAXchy
mg54Yo072eL/Xcc6r9YGbYI2rt2SHh/+lAbuSJrCzx2doowftVDrb+gqLzzjFCeRtjHNzBUj5POL
z6oZQsftYpmeoKSRyOySTXVHB5t+TdTb3s6GUL5Lae095NKlOhRQQjBfHQg93dqs2+jYjlO8jQq6
Cyx17BQdWzXrDgA8mRJpadK8SYZ0Y+ZEQtmu0a1t4Vc/jVxRgYudLD1QFfd25dS2r4bq3fucSexW
dJr1R+1+No1xkYED3CWYnbz0jc7vN8RNy6llLk565us0Bw2lNlHGzaS2xFkTcAx1MHdqKEcQouyC
OxrIH8gImttlodSoW/slhWsV2v/6REeotamAyNLrtr9luhPeORWNV5QMJRoUazS+RygTH/uCgwjM
Zl9uh4Zdue1X/R13O23Wsersf4OBGJMVJWJYM35WjnMnxe3fLBlbj7I3ULo6lXYSFJafWtbGZ9+e
2OikpedlHHRICgGV0+z6ln7zajIy57Ft6uKOmB9jrRRAuc1kecFPPqn+1WcDTKWwYnTKJiL73WHE
QBbGgbGuCeMYhWWF265DS9JR49H3pdGoNRkW1k8FKlitNN9mtcWni0CI7CC5papQUhNKpiCY+STV
3Ijy5qAQLe9oYkEloTeb+PKbn4fJuDKRN/zjgtUhjgUZY7ZqnTTm7Edy1FRkzkZ4rnid+jC8Gzpq
lu4o5KYMsJ8ZOIQpUYZApY2g8b/0Mmr/idsEoaKq8+6lbMPxqWtGp94oRwtoDZsAozi0QhjEqIA3
Iy8RE28Iukt+j33TcHqtQm8j6i56LNIm/+b3VrAzzV5bK3pQ+laknbVJQlu+SEoSFJAHL64hwU6x
u/c9jeOg4iRcroEV529h1g8IwFCOvvkVWskSHcixd6v6BWOCOHoNjCArqML3XFZ0UEa6IomdDSj3
NB+KAKVJ2ZneyRlC/7Gsamvv0lY5aTGa6oiWbbHTBp8uyQAP7YdZdCp/ioNyqDZBX6TdToq4eUFz
gPysDEOodHDfSWHs44bgXgFfNqVcqOJ97pXhvd/TmduMIx2nmo/uqSD3gLD6oiu3ZP2R50xcDMkz
XubnXznEc0Iq2dVm20x32/uCxiinLEhZwdFzIg5iQzJBk3Yqu0ON5gSfyQWpDq7Kaau4UeivLCEH
KqG62tdxmn0HktA8a1Mv79nnZacCTdyebw9Mu6WmZyoKw70ljIg0GtRrMRoPRc9Xs50u2TuxFE+B
LEZ7jUwZ+afvN068QnjlHiPc8e2m1bycNnhs3IEEcrxH4PdVu60c3dyOA8l092xnO1p+idueLAuk
b1/a1XdhT+KehWg4DLz5X5Fj+OPK7ULhr/xKdA924RlPQY6Fa+00kf7JaZryewSVPXuGEFGhCGoS
G1Ha5OavsqVzSbZ7AFyhp23JaR73p43bzVhHrkUpLIvIRoIRK/MNqXCl81KZfi+pHAyOt3HoPokv
YV+Fxzgn+5gQWCH/bQjo2hiqlDZ+IuFlq0Lq05cpr62XMQADlHbgqCPU4Ku+AnyypvmT3HmV01ur
upTtrmkrw1nHmefQGx8N3BJoqNY+cUknI0cCN8QAGoUtJl7CriOR0M9e48rr6JI4piDgJ5QvsBii
Z0OP62mDLMk4aHPVeaXygjazQgeWcR79JorSRKvqu/mpFagV+xTHPf3WYXzJBC0KXqThRxH68WcG
Qjk9KkElI6SFch+GovkehWMZAZWLp9e8dmlxe7lEKOenbXMY8yi6azxjPNBTJLmDrOYxf+pJcRmo
GhQ2gBVlHAMd1ZfJwe3kG1p5F9h99Rqlg3VkI9eBBiGEqbWC7D3ElriNqS198RLHh9Tr+YjFTPcQ
GVKP91pfTAcReglcFM3YFVaJj7AqXPNHn1PSkhoRjr2HroikXkoX4I9Jp2Q7fB80XXwgjMP9NBR1
sXNkPXIoHLNN1alCEgZn2S/I+1HUicRMEnomGYiahLrAHelO4M3CjeXEKErafKWXXgQ0ixMBDQjQ
KifDy1NrXRX9cICk4fubEnuDsQ77HIWfNRhUQRPUKgctqSlDFVPK1xEDPK82dtO5d3EXtzuPbcxn
hejqkMkmfqAg5p06UYTvHMhZFHobUT1/jXUUw7r0SNJiXQZdEvsbP5YKPRiWibULZIQ0yEDXX2rl
2XdTpjkbgwjLT71uFHvDotwoBsPZtwiZnhq/y1+jUnb3XhfSdPYy97UjbeqzPpXukx2OgQEHyDN/
ZpbeH3SvQqM7aNmb5g6Ju5ZJyO4+p1ShsxVJ/JepbtQ+DzznoDgqP7MFj4q1Q7xIsoYKJW5sjC40
3/5s1zU5aBDWbcB7Od8ymBUvfhG0kB0KI/4eGQ7sTcU25xbu/XKc2bFKwwdsKq7cJXDTbBJrdFyC
3cI6aH86gSge0KJX//XMPgc/4p+xMXfD/PizC/zrEE3lPU3LXLlHJeJkK7yWai3i5U8R0r2Xjze3
F+dWGM3IYdhJIgFDOLKwE9Ds67S6LbJTQ2LDk+gM9RhE2vAaJkwUXfVd41td16VLh1iMt4K+L2oT
8+DwTGz8Sgja3cVuFmwFXZpmsg7a1Ok/nFkVSO5OvRvha94ADxmXp8HzsRZvSBVW06wmlwfPkd1b
RFdleNfzIBvZMgz9PamCwdcgdIZX1BjmVyspYBrWfR28d7FH+0lqiXUSVb6zupZM2QLkn7aq+7j2
b7gX5s3t35tfiBo+8ZSImjk0z2FE528ytZzYJZGS9cJtsk3aafYmq1trP6asd1mLwQdAl7pxdr3w
c8yjcnrFL0Y4KO/14mBVxzm0aZ/yXJQgrylRvxxMpXL20+P3emS8CQbIOtfk3NLs422WFC4Lj6Vp
j4OppzvDpIf88Zu5fGD8HI/zLJgRPmyKx4tTQFZOfhMaTnry2CiSQm/ph9Fjd6nVfX9vpq15Ywq5
Nh6VAg+1KFbJYOnYYgcY9BUVxoPVgyfGdw5nYKB36nXQFIxJv2XkWU4l8/XROHHAnyALt63Fgwat
SEWydQnvbeys5ng1g2VBcJbRjQu75NsyEn4o8tP40pi5FoUQijxDD6c2O3GwXvnTa+1b3V2jerG1
xwzLoih+9bhz7sfSJHXMwp0bw7qmX6WnX+3pCzrhOGO/WRxofW8A6UcruxD6CqDgLYLj5TPwsFbC
teD0Rw1xWcCKpiHXkHZFJ9oWCF4Kh9ZymyI9DkoYE6rM9B8fv2TzTT772gwGxLgFimBeOZZH+7hx
NTulbc/+vWvhOJkmq3Mtt0ZTGJuPh1pWanCFAW2H0Ioh0MIdu3gKRELZURJJcfKtkt5gGqqTX1kU
aHKDaGkQ7ho6OEG2KrieG0Nfu63WzLTArAVdack6d7No9l1Z0TEYHH3fWxN8/a4albXxpVMDdgqV
dmO+vTokllzypub3+6IOLM2Bbb/ojtkovsVm5+2KUjr4eyr72dO96UZEybXnSO4qnmNYPZBdFrN7
aGiajmRdO2hEpJyAYWp75aAZDAsO4R8/x4sJmudIKgf3cU5TYDE4n6AN0/enpJxBPi77qpjGQ6jM
4UhvKtiP8MXWiLGz9cdjXs4VjMnMZPL2eDPp6XxMEY+tC/ZHnMqIkYnJcjR4ueQxWTce27WXlG2U
DjTt/2al84FUDGM8arvsFNLU2GrxUN+V9dSspGEIuIjluG0Avq6I/SxvXOK1J/jXyMsdHGUAKbFc
gxqWSf+rUXVHolVpa68axK6bbNRrDxHuJNVhi/IpJfHz6zS6ru6bcWbLFE3CCYZFD/vQuGJjXm5H
IYa1MZfGoSN/7aUjcXBY/T4RiOg9d4xO5JrQ59JobElHcGYMRbf28/FWgOLVp2HjIUbuyAJtzx/Z
X/vAvGgKn4jV/JgUWrx3q5KZodVVUn8KvSAVR46N6Inrhqz4+7lqduNNv/YNU+WjrjzPkt4y5aIv
IqOALSUhNvDGvUeqct/IajPSTUHWRMVEQkDf4eM3/dprAHlqtguTH0757/ySHRFHSd3VwXFQGoYE
wHr0McKmfbAnI77h2r3yErDvJJ4Gj6jHt7W4vVQtEsNuwvCou5a2q0ah7aOk1J7IDZg24PwIx27C
WwzzKxdoQCqYb+jMX3UWgwo1WB1Q1uTUQO6780GPrDmKdz+RnbU3PqlLMrHhUTUzAxoxTFkYNs9v
Zmw0Nu67KTmV2KRIiXJeXUcOK0nu0qoZgnFrWEhsJ5Emn4hG7jctyqMV7qlsG+jdLUv8lQufS3hE
jprwXyCdnP8Yy0NyALq7O5Zkgr4Qd1a+ys4BB5I44/bjl+hPFNZiWWeppV7POgsfzps/rL8+HI+Y
OFb7JD2WVBmIsXVbFFCGzFqkjY1pV6skdeNspbs0gFeemNhW+q7ntytbOOa+EN2r3nRltwUOGrDh
jicqoVpNXt02rCeJJMHP0se0Mkdjj3h+orlsDJj0DNDhn/sgzRUeN8J89q7bTNONi/sToHN+cTPP
mBaIbnA8ADF4fnGi6KsJ6Id7rMdi1Tb3G6dF3kLfFR+Sb7h3FP3xGqXKX8lh9/GNvfpGsfg5WL9p
hdAOOR8bgXeY1f4QkU7tcTpo3G+E8ozbMQ3bEzOD2se5CjeqNRACT9zAOIW6KSyj2FisKzfe7yvT
I/g/l1f7D+R1iT8JQhXrhTnkp7pB1EGOUrunr602BcATpEMo3vUJw5YchluB4VdmDqgfzE4m3Rhs
n4v3i76mGk1iHI+gjipggFNuOyyKOqD6YXKoJJsiNzZpFVu34KaXczLIt5lmzUaHfZK/mD5M6esT
PZ34lKup34ZOb25bNDorjcbOzkvt9xsP/PKrZTwa2hzFyP2j9n7+wH1JAqFG8hJrZLXG7xy9tro5
s/pD4B00t6u3qGIPq0XEPuiOfEKC0lh5sy8sDC0WiyvOOct5u/Gr5r3y4hPg6MQxAWwgjIclPLox
MOFqnReduqzs+1eIO/UnbTJbipcSqBAvW14j86kJcVxzy4IfVWHMR0cjY+f78W+53JrNscG0Izk0
AhhartE9DotCc0p1TKUQ6apO8K2AVLHxhnw80JUnT0VgjtlgJ8/ysXgSgdQboTyVHLkzY7ptiboM
D0SnJ/6mU5WRb3Bbudr+40EvHj9Ei/nKGI4O7wWfka2u1eUxXRLi2wxI0kaLmU6LHgTQvt3HQ120
WWFCs/PEw8M2nnd72fZLbbNEshTnJzMu9H0mHWNGCKRrBZINK2eA0A7OyLsVagOJEXWJaVveUstc
m1xnIBZ/8L5zAl2ARVtHS0Mi9LJTEpT1s6R3/4Da3/7lBX22x1Mf07axRwjR5iBo5FgFe2lMvqN4
yEVJbf/je3I5w+HF5VjqIHPmhLqkLfL6+k5PNPKRLgOGYcudiMGB2rspUZjsK92V2wa6xR2mQ/PG
5HpRMONx0GYG1sbDoL3/B4v61xqKF3yQRco5pwEQ9N5L4dMdzkGUyxjy68rB9AZ6Oiv1fDUKIOWr
Jkvjhwp2+gGbjPiMNSgvtiZ9c++H62jwDEXVWCdL4RW5cZsu3lJ+qsUmHnohkwIqp/NJKqmQhGH1
d8nKiDljln75ZrZRcXSAjtw6/l353jlK04KaJVVULxefYenLIs6bzGJTLDUaFln2FMNFuHGevfYx
nM1wi4UWrndFpHA3Ah90+5M/jNYWsXCKmWsKdvUUep80iWlAOKm7Cy2hXnNexdeP374/coqLadYg
b4dyjAWhclGygMiIXzEQxrFRk8m5c6IVlqyStmCDUfL5TFjvK/nVQLo9rQsSbog5zrydgGSnA2rw
5dqkk4U4fwrGA3mHHajLgsSolTGWOTVYHTH31A9Og6o66x/BEQzv7dwARm5Y5werC6Y7Frz6q6Er
O/wUIdJt8Yy1zrYw8v7R78dw2kKYGmmsJQQAr3s6CwlHJKd8SKXRP/sY7QTlDZkDtKCZ8RJ73oQq
tibxEm+3NDHLlO07Ti/zJcPxvle6oC5DwjAS0FobpuChS61uOE1BP3QbEUKWxgRm4rHtFPI5Yp10
0lBRvaI9qMmaeM9iOauJA3rJs3AxDtZpYDdvvpdo7YEGjcKGOaQIqXt3KNYeQEJ9zTEvem4dqbK1
2eZwRpmUi9+tQcNyreOx+KdpIPFvEaOitw3sYRCr0WajsfaKuN56SIff2CNN7cYYR3BHYE/6B1al
GPNB7sabVvXDP04ZVIeOcKhPGlggf5Y/+M3BAvT/pSNnoFqpBiYcdhks4/sErtm9Own5mSJwo25N
9Nc+IfLm0LG4VPkAm59/rlIXAA6b1jwq5ZjT50xgs7wfMLEQ004q+LehQAF6aFriHhNX+g3WABxi
aI8To3loYCe0qD/ADuw1kwL+Tidb+8vHb/6VfS7RASaaX5PMdJoji/oAbjbsdXrDuqdZ5RushZ+j
iYrOUTWCd2SwwBWY/QMDSqyBUeS5SyYDcALVnwDAyi1p2ZVlgJI8Gz6ffhmV8MWc47VZheMppYEu
2vgTnnftDj4snjpQYsi/c2MwVyOH9RyXg9ncGv3KxgONGfUHHF0kJi6PyQ71hTpPdes4hH1P5Pgo
9GLNZ5vWW2ucbA3eAPPE4eMncGVKpwLlsPChp2OHvZjSoymIHZnSTg0wwey4NvGg6RXy5wof5fPH
Y127QJJY2UzTQGStW6z5GS62ki0HYYHoxNca5r+DUwg8/5JvzIwr/cam6s9RdzGvUlf5/wHnH/TX
0trLnDSmyhQnDY5OuA2FDO6zIqYdm8aCKPYB/VK8Ss2xjld5B1GBflM9fimKvMTXje0PO2kxaEc/
cUxE15Q35AZ9vkw3//HGoP9iM8aR3YPixon6/HdiraVXknhEueqaFqzsXuGo8OBY/WviC+m3hWmL
G7kDF686Q7K4zn1cgFoXfOm+ortjiSo6oXfJcON7UTGcck8rf1hNn4XrAH8tqRt0w15cqmLljZ3E
5bo7HyZZYahz8v7xlM4vuUgGG42X5eKx0KwDoKpy7Uzjg6ssDcWCBqEmhfgtoxFuoGwo/cGTunHX
r9wCKmC89vPxZlaunv8Eg1gtz610aAqecWdqEUnELoni6djDz+vHfvZlW0ATbx2nLz45Cm70tjnG
cM6wuAPn4zY6YWr60HjHCIHUq+caCv+mdBO4SLb3++M3a57iz74AxqL5G3CsgGFu2YudRYxynyUV
vDr52QOgQr0jGLFt867Hd9CbP2Uw9cxp6FOmW0/YvDI0czoXyRGahvdiZrHr1p5GtJpHqJHpqsyC
/DFzVLWpx9BQK7ie2ucgnabPXZ6hXsqAQ2zSpk9eyWUpHiMfi9qtX3TlgTOtzqw6JiAqY4tfpCni
yjzOc6fSkjhnirpPftuJbz9EppXdhXDy7lo9ZEtTVLp4GLw++4IWLccR5vZPBC3UhL5nTBKBPfYv
jW7I+DGNbLAnkG/eOY4Gt/bAV57eXAKisDYjbskBPX9ThlDWlZ0mySkfbKvay9YqniYVlZ/KNE+8
le9At9rqxuCqG5/GlYEZk14po8JZXFYjAn2aND2rxiPpGuNP24+KbaTXb1reiM2IcHcdwXa+sRW/
/CxcHcMMsyB0WZyri4v1M5lzLpbjMRO06Ha6TcAdhDPFNk9oPpylj7+M+X+3+DLQsrDW8uHTBF2W
Lm0xwJf2ZXQCWBatyVmF2wBzrl0RxFN+LQGxUWwZ810l2q94lG7d4curpbqH7JbvgvFpp50/2tzF
Amw7qTwmCk5SAjN+rzhfbdw8s288zCtDoXLgTyq0PnWcxSpIIbaxIqimR9VK8UAKWvLD1fFVoYAw
bwz1p59zflfpY+gEFzg8QGwp86Tw14pbdrAu7CijEt6k6MVs5A4b3HXaW8nB5mhEKtq2Ra4BEsRU
uQcOmxLRSC7dF700goekRXi+NdFuPrIxxKz2Xx85iQO0PJB88DdsDM5/HPCgdnKyQB07DeS8fhLE
4O3bcSip4saAstAlbuoYS5MOCeAGP3n+fy9uDB0wOgRUcw3LdRZby6oid6OOu4r4CHIrW5gRG6yu
6t5sKH+YYTTe2Pssx2OeQ7zLRpadLJPdMlA8nKbYrp3WOQax3rzaSpevrd2gVxy7Vs59/qG+xeRe
ThrzkHMfZN460+9b5kiIyYk732P33PlkxlLQnRFUGYVBhI8nl9LBuk3+szliRp3zDXHEYXmj/3L+
SBuZeh31EOOYaA1VSilKfeOyzyR8KkiKceXHrgmZxiB39cZ0tZw/cP+cjbx4mSCdV71elMZxSFpr
Z4pM3BFzHu/VULTPMgAe6tXC2wPjKOYaorjxpdkX7xPGqz+7dpo8tGDmj/7vD23SJ2REMj61fxyL
TeICtO8nMd5KALp8qgiCTZrwhoO2BSXN+UAp7IS6Q4N91EWVHYBwJVurwGrUUp763jiGuot9MCUf
f6nLKWu+uewb/gDeOcAuG2r+NK9vjbIIUraKTyCkg1ckNNlj0JnW+8dDXX4oDMUNZB5mRmCs8+tr
siluh6a1jm7jqSf+NWdN30ytMhVrxzhJ8hsf5vLBzZeGDoYMDOxL2C/mf/7Xg5sIEDezvNdheOlh
s2opARRg+UOtuDHQtRd0hoIzIWNZwi93PlDhIiaM60g/ajnbdztrx6eqGHE6jHbwhGk432YzBIT2
S3NwEq+78X1cuU6avnQG6avPgQCL4bWJzl/HbHyERwGgBESpwiOH3OGWM+vKC4oPDEkl2xSDkvJi
ySkoojDZtfbRSgJT7qK4qcqDWVberi1zJ9nGGnKzTQw7rVt//OpcuUQT/LFHa5vE0wtN5zTZfeJS
P+dR2kMGiybLf5mDnX/778PMe3hyB2bJnLc4KplR3TlRQ2obxyXA5j6A0/FQKV93blzP5afAbgjo
EYl+lKQvuj0kVHWuV5ru0W6cDo4PeA8YdwxKca0wAK2OvjKyzcdXd21Qit806BH8zq7O89fUpbkM
oLn0jtSo6rssGxrU8fhqOJIO6bOGEUS/MeLyw0AQSOWNhFrWYWrYS20xIDMTpWmU0khVLpX1yPns
Ou4vI+0oLY39tE2UP6ydfkp/jUMW31D+LK93Hp0TCKJ3Qt14nPNL9df3D/QsnvLWNw+O1lYrl67A
V6D0Lpz2uH/qJ9u7cdBffh5/xmO2MWfqIfqWxUIhM83O5Ci1Qz92fUwypE4EGqToe24tFoug9L+w
j7B2Hz/V5afxZ1Tmb95YAzz8EtReFu3kGV2annoEQL8guIybhvrnjXu5XCb+jMKHz6vqYD9dfvpW
qBv4ljxxsmpf/FJxx5ajUhX6IstTwcvHl3SlVomCcS6VIBgnusldTDSjPo41BCVxcjv9izDLlneH
BlVgjNCEW9jvrZbbXxK3D3+LhJ2eo2R0iD3AZK43UGf6+OdcuXZs1zDPaVqxn12eXzh44wkiW/xI
vQIIXDvYAt4l2OFpHbRmk//HuYFbPWfz0Z/0XPqTy9WktOkGDkap0XMKta/ErXSfCOWLXs3RwX6e
0yr8+PIuzuqL8RafidOHGharpjsiVcvXtKYTzGrjcARf0tAj98UhkIN8GkgX3Xw88pUPBuUfpgPO
CvOG1jr/QK2cCr0pPRhZsuWMDdz5N4mv6Z1haNHzQJTIIeevNy73yqzAoA6Hbt6tWbl6PqhPSgka
XJmfOmh7Rxx5/c5s+/joF6P45MK0uPUyX3b2iR2l5eTwEqF1XOZmYltNE9Cd0bGMhv7QWxDYZaKR
egpmd9d42sSiZtgbL6a+EdK2WquySG9EVlx7xqge6H0agBPYYZ5fNNlbXlpFMtwbNde+alhqQayO
xiQOHNzJR2thnqymVFopm2kFCujjJ33tptPExXHsutRZljVIDquATEqt4WDspTuac9Y28qruQL4s
QDA9/q+mlvkb4tFig2OnSe1vudTVkxqashcnE2H4lz4yNOhdAy/Tjanh8r7ynboerR+CAzmULV6m
jIKnpOgADtbLpmOop/lLXGT+3geut1JVPO3GwVHrglJZdmPoK319xuaMzTyJn4A1/fyZDq2GEcVE
XDCBY1kXpR3vgMx6r52dxZs+GLodbnKdxGPKqm1qtN8lCN7PiJb8G+ve5fw4/5D5TIpjfxZVnP8Q
6CB1QkopTiVCyPakKccgkI2vQPTMG6/xtZF4hdhvsXuZK0rnI5nwJCMnSvyDHhMutqq9SPsXk3oD
x3gY/Fvzvj/PP2eVBFhDCNL4bvgeTESr58Mx2StRj1l0olk3vQeUUMwVUjgGGh3wo6tMVPB5aaUp
BBMDeLGnMipK71FMTPAgWpoR21qIt2zj+r1DG9MJ++g02IX+S6Op9RSSLIK9r5xxm3ix4dvDvcRy
GRgkzq4026Ykj2+VxnyvJy9hEiliH2ynWAHWxsMkuij8SZZiVKwMesDvoTQnQY2nU8lGbxtoKERf
AFHr+46UdJrp+4Qe20s6NWm2sv/H2XnsaIp00faJkPBmCnw2vc/KCaosAwQusAE8/V301ZWqskqV
+q961INu8sNEnDhn771MQepmhQMPioQqAv2QkuYoMT1CEg9JDwt6GNiTzLGs21MKDkM0Lro3ONNR
RrttBr0w1O9LXj5WSe69J9qckjTDVjmTZ6PSSww39YNaSM2JXEVsBNnaGp2+tiVsG6v0WhL0U7f6
QL5b6jx2vZcdzMIaAZXXxG0lPlK4UNg+2hlK5fdy9ZYV1zmReWQL6nP3DIXWBUkDJXjXZLmbh6Sw
TJcetRlJAKJB5Cjd2nH3Hsv9ciM8dR+sxckeGnP4pAL765doUsoz0+Og+UeHwBvmxfKLUZxV0NwZ
cprmeDTTdIlyBODWXtOSGkm9WWj7VdeKB00QcxTOntbd6U11+++V9i+1E5KtTQNOCcWh8GO7orMS
xg1GFxxb0RKht6b6l0UEhKsavU3mQN6chrTK41KRh4ZPm4zm2c1uaBUapwHb2CcL/59tyi05hA4V
dSOlOOqb378hop3I6aA/c1auub24ZAXMOCYuAr9yIoOItghj2mPfVeMxLwiX41BvkIWq9agbtn+1
klOC+vEziuKfK4njE3+B8owGKlasD39W3aB7MAlxPVetZz/lVr+QRQrWmMyn7PDvJ/JnlcOliCrS
6dRtE/gPl5pgpUghmM4kmjfug7xPwdn42V6TfRCjVUPxyoHhkybonxsTTW9OsBSnbID0k36/7S7J
vx7BEeIs8b3DeqEbgf3gu1lCEdOmdDrOueuHsz93X/79a/92YdZMIGFsi5t/5fcL50syO0VnFGcx
1WMblUY7o7vQmnyPpr/9STq9uLVxoRNuVXvjy78v/renymlaZ6DCa8do4/eL4y7vHeIri5PIiAfc
F0ExIyJEk1McyHpOv/5/XG2LUdm2iU07+/vVmOtayhwhwrmz3r80RCpnL6Vb+A9d4yXG/f/HxZie
cCIilpQn+/vF5mml5dt43UkyGcNh5QqbF2dFkV0SNvRZkfz3G0m1iJcv4NTzoTKvSZtdbXdNMc2Y
083kCvNrgTpzD3pvffj3D/tzPg2FClfk/7uNH1V5Rp4j108KhiZLtU2fK3/XtKoLrYQ0/slK5zjv
N4SKm6HKHjKSc9tPS5jtjPP7Ts/f4HJjLWieHEe2+/FLq0DrR/rnOptNsxTqy1olNXTBGXHoJ0Xb
X+8r5hdsVvglgo8vqNXZrcxLOZ/geLkkUU7Ep+X+y1om3ScH9j8rbsb9/BTaS6xwfxiu0bVA4E0t
cTalxOZrmdBPIe0QP04MxUNRSiRqnzzIrRz6eBN/uaT9oVwKWuZU9Cmz87hM1a4X8J4mpz8tFgTk
vuvdUJCRTSb+5Ed2kChiIRGAqmx6+uTv2L67j38HAyD8iJtNhDje3x+mX4liajePkYvNwT/kRT2d
jLKpXgguse4m1cEMkF6XTmRPtKMZFQSa3vh2Zb8soJjJYe0Aa0Qu4dXHxFpTAewgJ2y4H12dkAlJ
oXmCJ0C6gZbV7WeD6L+9ib8s3B/Xzz6D2BvUYj5RqKNeI80TgZLV66vxSdXyt4Ua0w4tSMZWND0/
3KXFRGbrUqSdgTsEVC3khDNo94j+1oanvtfIgCyqPpYz58VPHtDfdkSU/jYKTCYqdHV/f0AFxutJ
+nV2wsBEO2NtDbffIZ2R8yVjSdgw3uKkZlQWGvQyzyv6+uQnLoFPa2W2zxuuUNwu7VroIYlIajwM
0m6AnrAmSugCTeBGesCU6vXff/YfT2YbtaFV31Kc+Js/8rRRWdTL4jji7IxKksDa5dLeLWMGD+rf
F/rjyfzfmV5Ay8Cz8ct/+I4ql7T3Zi7EqdPp6O89RxYBif2++YyWR/ZHy1a6ui5JHiZcGyjjJy/G
H0+Hy9skFzDrIhaCPubvT2ck6b8PyAQ+cSfNAw2aKZ78ROzNck5e55Vu39os9f2/f/MfCyOCGZNk
UkSBiIT/KBuCRmlZqbCDgk6qzkRRwEANMGBAYPosTPFvl6IkYkiPPoVj64ed1CbzcmnysTxZfNA3
jqh8JDFlffBl8Jmp5m+X4tdsTXB3o6Z++MY8XazoQtv0lMBo2S9EFlyIsWtuyFH3P1nv/+vz/rbq
IS7bBJUWrQhqoI8aqzzVR4IvBnGaJjD0IMPcFseSn9UzgdDz3JxXxwMhNDdtd8j0XJtjQHxNFjHD
WRAUd316btZyHMN2dezk7JuZ+532fN+z/I0BKIRsVc4nxeJf7g/Hed60rWTbGoG/v2quUsL32pzA
HaTBjxys50hqlbieNOYu//MLxvtl04FjS2QG8uGjkgJg36A16blSwH+yWfuGhbt4SqVmf/L9/LHz
0h1HXkgZSoeR3syHKxGXtgHpPP+0jhx5zmQPaQ+ESU1zNCpXEjJM9NO/f9sfG972rfI+bwuGxRb7
4Y1Ollrana8RC9mZ3s8WrmQJfYzjPdSJLzPH7v3S2+90Ia0wDyBj/Pvqfx7x/lsqeOPwQEIm0z88
xaBAegYZgaKGHuZJGwvUKO4mCLdkdWvzfkXaICcyfnJNVnGRIZQfiPC/XQEQ/HSGGSVgoEwIWRqG
5U96U39WlzwDBIDMgDiBYgL/cG+8xbXLDHLeGX679c3l5r2YfWL9rDptOJMmjgBTT71EHsnl10AW
UKx2u95zxbd/36W/vOp8oMyh2EC2tIRt0f+lwiTUy3UKu6D9UyblzkiW/NFEkw+NcXQ/eQEp0vmf
fVgLcILT5Nb/22GD7Y/55WKACQSOj7E8jwRbZWGfZPbBGdDvZ6PXPbTuSAC4MZh7h+L7yU5WLCUT
kWOHhmjX65nE4pi0DFCERHvtmF2lsU681c3cBc7VMLblBecTYt3XtX7jOCvOVuljoC6a8ohQIr3Q
c5KafGn9mGYPZwfO4IuugBTF5BjCHAFx4IHgyoAqqGI4ZkQ6Y249mbiT94VNrILJoJ7oKK/pN6m0
FSYcrLrQhecWVSs+HABcBRKyNghO/aRkqNrJOa/DbL8L2Rlh4Sb2oceuuCtp2exkQCR/TT84GjAd
7GdCsUWoKrEwWBLiOtPL4IDUXe7X3NSQJTMyvNUndzoVhgexb1my01ounjx0DX4xrSX3PaOIj1HP
p5dNnQ+XKNjXsO3MZD/pqtlX8IAvpwJFeasWg//YmM4cu382WvpjGrP+6En1I8tz8N202s55V+mX
QPmIldNH86DpHa0smVl8wbTtxp7vVaPbTZumzKKltTWoOsEcgjkUl9osiU4fqnVfIXCLPM/AMZm6
w0HL5vzY95Iwr8XXI+agdjSmM0Ffq+5ABFqhoRHmfuzx915bKrNDXdZ9lPWBFeuwEU700ZbsMIy6
cyfmNQdyRC0IKMrelQW2ttjegqpJpcu4wjRTFzvLqHObfQ8QunLdaPawXRCml7dXhb0oeBGecdSb
Ga2pPbnWLvfEcO1BDwEXVGG4MrpFHSZ2Uk4oqeOckenaB68KsrgzoS5o+gwPaYvc2hMB7L96qXCi
VQ6AbqsKkoChE0tNfs8691guFqOM5LL1NyG9fPJ1/WV5Jx2WhQ6rFG7V/5rGv3xbZtGiK6NjezI0
e4q6xvxWqEF71Va9j4EWJ59c7mMxuA1McHtjySU3CG/Jh5O4vbr0fWXingLid/eVq3WXMySJ2CAi
dMPRpVf50tBTm2jv/I91KKWRzqmcxYpjFEfJD4WglrYTH8vsnWS1jvdyqYs2dM0EiXGqrwQNVgOt
ta2FbIOgzHIV/XvF/LircXn6KgF7NuEn+PY+LmJb4GK2uGg+1maFFptgaiqdd2fRbqhYEJ54nb4X
/iTPTYJg+N8X/7hcf7z4h+W67RfST4SDqE8REgZzYeIShH6Spj7OtDP/x9/qWAz2/rMlbipyhES/
L9hapVudjmQI9PTkPcxKg4Ckl/3OFYN7R5CnuiCKOT8QUrSFYPrpJ1v4x5dsu/wmLtnUufTN/4tb
+uWd9useZhh2w9Nijy7CxSlNQIN4YBh9Pr43T29A0iW5RvC8g0+1+mSs8/Hy/91sanEMOdRO1LC/
//rEztLNpeCcRluYd/mMDTjWUdx1EJdI/d57c9M/wOjgwLcChE0/qRH+dnm8jyjS2KC5CR/qFz91
URO0wjkNJjGGsb5WJTsNh2YrIhPAviefpLLO65giXO6z2bz93181Mjs4/DCZ3Wwiv/96Tvh9D0DZ
OdnM/b+mrg5Iykmbzo/SQK7jJ496u5e/lgbbvebEv60qFvXBf/XSL486E8aSOv7snLpqLY/KcbNL
PHzQaVLdZpAyv8ji09SV7Qb+ec2AuQTyLQZp25L6yzV9kmTptScOGkOPemtuNU0wrqlImfj3rfzb
jyNfkIMrA7ttufz9QsCM0sQlZPjk9ARjyppw+NDMrPRGVQVokLk1HqElFK//vurfFir63SgKaMti
//iwUHUA0KoKED1ZVPkzSmdAHxXQF4epYWzgK2C4VeexahoK8rb+zFvDirwtxB/u72YV5nizRdtw
Bvj9ZwsiXRD9WtYJ+Xm/J6piPE6TnZPoXYlvAYoDcIX6WDhRObTLo2ak1R3GK4Jya8efQs9v15xN
Gdsb+NHkMKEXf+wXy6vDrPaKC2Q2m58F1nNoDZzGcy/TL1gc2tdRgNDdtUn5XEBuvNJ7EUReLgFs
uhPWctETksu2fVl2CrmBvojlWZuWYY5mSjS0mI0qJAeKENOn85QMeKyJYfNrOxJWW6idb2rDm3An
UwfW6fv7ZbS1GHHMu752yy3W2QYGVO3OEMnd2oTwx5S/Yt1EpxgOEyG9O2m0OcElIqjUHm08AQaM
Qyp5HBWxUNE0BaSdIqIH0NITVhwAJl5zCawvnS9weauEBA4X2yaBr0DUaIqfq9UU+U6WSzuGdaO5
L2tqEpvaGItzmc2OH0QW+YL8d5hgF+C0oyIud4YA1XfdtMSumc1XwVAkR2IbVbmvhA+BTGQqvQ4Q
+wzhPGS9OLRo25d9Goj12rAqDW6zKi7Xdp7dA1hhO43LMXHHvT32+ddhsNqHvF6q8wIV2cRekXEb
M8/pniakUJzepwAwS85Hh+IDa8DjBCoDEhktHVb3OYnqVQzfBO2XIezyoXqetXK4Xh2YKNVUlTde
USxt2PqV/t2Yi+ymmJzmq2f39h2zbpFfLqNnnpzGYrUeJ9jXXa1DZze2yjDroLit5bqGBS9RWCSt
trel0p8NE51sDsd45COdyx1RfdwHcxqGHa5eb+ckQZDsyCuv72deEWhQGDSdOB8NaAOmlfc9zvtW
87Efz9WbSYhilPSN2ElnNSPIqmBMWst+6VEhn1rOAzeN3W2wV1pM4Zx7daSmhi/UbleicWrX/5at
hX3rlZ5fHUoj8x6yLHWh8I3aq6Ov2gUbfwc+BroltXQlG2yzjVeruM6xZB8UYHjUHrqTf2PdqcyD
0y9ZcL1w0FvBaHZrtx9gAYEpsy1xymnv/uC9ohNt6MWNp8C6hlYpvNemaYo8HMRsv1p1henVBDIJ
oxBoFV/PVHLAlsmgR4TjKA1onEWUxQF3ev3spjlne12O+b7qOx9I3ZwiQIFJ6n1ttLa8zRc53dlL
ErwV1mR/I+xqAevYeuN3zU4A+mQmSqv96OiAZ+zeISYyALWtEJ/zknU/zNIeVvqxlB+h6u3qXPDe
vxgmqbGIP/NrLQmKO+HTNET04tb7WdeaL0UObKvXXe0uF27KKXRpgJkGSPhBq3cksY3Z3oC1u897
jntBTxUaUw6qew0jHRFZBhL/nlNIc6Nr+nqnaKd08Tos+XIkHWS9sGqALHE1JMUdKU95ZFpaTy65
7vS7vh8xbRVC6X1EDSuomY20eEH7DZ9HjJXZn2ffLV5LIbQ69O1+OfleRZ+dRtc52cQKgItYvNqh
AnU/szae07wGId+k1TnzCi8qFi07+DkICiurtCPAuJy1xeE0WhuIYLCElsfCsKtvRq+D4UpMEfxI
Z90OW70oRyCSZnCv55a3rya4YLjdnMJBWWhNLw3i+FPV+jCP6uFHNZRmbCD/eBcQqrKQs3VwojYl
ItxLXI6jerOXgf42c0YmlmiutOfVBIe8yfBDeqDjhT572dEw8uaZnm+5txJD3PlqbI++LNpY1vjR
AW26NitckGlqL/mwYiRcdhZxVieP3RdVXGbp8OIEqXeYrBGxEVihY2tlZHyyYl6SIV7GjZTOUdRj
d+L4JG2aDhvDHoWoeLB7LT1hm+x38DaPyE+yy6yckqPO/oz/tR7Ti4QmKktCbsPGdsVE2JFt9eEw
lvk1+hXzJtDa9q6ZJ3GR4x0PRV/IXdWhmFNjuu4QKTJO0ljhcnMy49GSRZwwSIksBxxkqA0aaZCs
0QqbW4clMnfcOso9IFZTkagHv1+Dh0TW1p1MEnHJ0kiAWm8VR6hN/Gs9J98Il5/3U5DoB0e56goU
cdWELYH9UTG368GoOudrsXSsSK2QKkIfK09stNOVlvU+sfhS3/VMvqJg1fM3oxy9x4wlDsm8ZQMa
znzzunJb0Oul4tdYo8OSt/BPJAJDu69sKH1VMHPAdof+utRXHpNBArePnOPIngwOTHfUYzrqxlk0
wn2DDxCYN8RtTN7Zy9r6+zL3+mFAo7RVlXp6T7RkcOiydj4tue0e9a69pvGaRRqIqUMrQNCESjer
nVkNWhwkrv+wAEcpI77aEuGvt7BZioxSJ4HW8kPPzPWsdJjPntfUe9Nc27e1DJitDcrQYujTfYwF
NHnyMKAPMa1pN9ipruVD4z/Al66aJPha5IPJZ2/4WPXMxowSRBWvIrVFNPJs7KhQVX5oiTE9pv6a
Xa9DRXTHUGqYyoyMbH7sV0U4L0vB/pfW2a7wiIqou9U9DriEXpa2GGMvy5uHAdXg82Kys3CeSBAl
jR22yyG3u0M3stB7i6e+rSb1McIi74csPT32myB/yPTCAWOd9SBJ2uZK6wvqisSpoQ14qjf3QPyC
W+p5YwwXa6hPaz94B7mUbaSWBFCS0gsETujNBLvUKh5Hpy81dJipe6dnfV/Eqz6tdlj7wrh0bBMI
GtHNItb8av6Z6w4GX84joW+JnwVHpdDI0/XJqDu2WmV6GtxKB0gYPb6I3RIwEQyP50lvYRJPa1sf
CKyBcmnM2gGgASLUbkZ9hm98fUe4p5OOTHdnnfGd+qLxsxC0Onjlxp/ucrfJnowxSXdtk9hhKrQn
6dW0sp1OdHtnrEBSqKL/GhTyS+EFgOHVau00by6+e8XgUaWVJPYxds3OhMKPoU6uVGSufjOcVkjg
e4WtKbgw+nV5MmuH+s9MaFkeMDz7YYM5PfJGU7tOF2vtI2JHfOjknQz7VNGp3XLsjLT1HqC38hwm
BCcvLFFGFrv5mMQ9wTJjRJOF3HSKCkL9F0H6r5YRwFnoLIEAEDTnfi1q87gA4OSPq4eO5JfA2gO7
7LMYvKFToSVDLbzr26xsT1gtNfqNEhd16djfMTjrx7lPwM87iGitBd/N4MggnEAK7mxrNXajzriV
MrdYIDeZ1Q1YkOpse2hxMqP0ob5VbUyRudJtcKscznfHDCwItCUcC63dmeRng91q+js8BPflMLyX
vkweuqW/rRBePuPawmhIcAUxImtei4PqEBaQHrPK3Qby3BtOV98KMgrl0qlvWTFbjLaZxxCCXTIC
ZwgPe5rEl3y3KmVfywqo37Ascohr4qpopPrpRHIB6bexIn8xakQhoF9JsoYjZlnWFVW+YDfNn/rZ
QmTXGDt9Ule91cCnzOrqglClOkTIV9yw5rP9NYV3sPQ2JZNSe0xleh906RU5tw8WsTA41pWIQH8X
7P/516lwjrYJcYymzD3pvOzLI7zQvFmgpHSQQdD4LBIaA7Pu4bqlYRv7sz7cLrb1MJtmTH1l7+oh
Pfp1/lT6xi3vnTikUw5AAcWXajyO29brKB07Hrzqju/+bi7sOQpy64dhqy+eoX31KaAiomP6y3Gy
eSxkGwNdtp+h4gVhW5XdPZUNeWy2mzRE3pjNTUIHOkKAmEe6xgi/EL44GOTNshDWPxMNQLwerG7c
gUO4QDP7xTLEjyHR64NMplfNcn9ykA3CIRA7MiFOJYsVPPu13FlNdqXgyx9n+qtaMzw7ypoOfT5/
LQsfMqKybu0pKMCoWmOZ4qxe21MFGWk3W7MBY2NlkfEBPY/WoQymY5MOYmek+RQv1fzNFsMjhdED
pdwtgJohmmGlr5OfHqdeXLir94WC7IJyQVIXYKROmLXFbq1psSEt52rmi91bVS5uFkyAgMKzPuwb
S0aFJHBiE7jOgwO6Mrv22/lBKCDyvlk+2Hr5zVnrrXGr8tgHIxHPI6c+GGsZm580Y4VOTc89OE5c
kTXBPQrXeJGjc231uPXzic8j4JFBQltiZ54BW+WkLajCfeVM+3XNxFvioCkyyvawMiC8VXgewmkW
6lioAtytvVyJEZpJJ2tA3WWz4ylB/1otOzRG6q68rbowcJtnPVmu69mEo+FQWYx29oA6RIsSaOah
q4z6jKTVjfXW0PcrJmigJI0LQRtW7Wjr+4Ex8dknkuIC6aNBsU4GTdU2F6mwfza2f57whF0MOSAK
mdV0vYfUPhdN0Lxj6EoenF5AqHDp29M7CXYIbt9qrf5RGSzAoBzhCfkEu09C7jwwVmEykNrMTyTa
Rk+C276vnw0fhHoKH96sfxqB2js672GfBKdRqm+tS0JqxoZ+Hk3/ZmhXwN5zxcSGBU0NJKNXFnV7
X8LwrYaBLHlTe/TXie2V1JQL0k3Ofa+ue7v+MhiMMwZzancJQURR4i3Fi6aS4rnLioKH5D+h6+RQ
mWSPqUq/FXb1tUdNGC0dl+Joelc5670ye7o3EzS/yjDDtW4vU+isu0ESx5ZY0oGqW8ooSPVtuKDz
J3pBEzN39CnE7bu2LcpjM/v3STtk1Dz9S75oyWHoV3nTriCiUtWU1wMJD6uxvlXlyv9PWT881Kpo
LRYwUT5kljqDtKjJJ83lnECTsjs0TW/vM0sHEeQWbjjoqx0tkG2RaauwtzBETYbzqnxPxWqASoWK
e32TqQ+nJSNXOZEchJmH75p8vVFFcykW74IiNLb64G5Yy462QvFd8r72iRIHexo7YOEYyKsu0fem
0Xc3hDU0N8wp0zAtG3EKpJyOHkcPkDH1cGO5ssICAB5aMO2GOWqM32umFBHAsySFrRyUO1fLMWII
4YTAbd66ioKV0XiEi/SwVuCYgjq/FdCgwqQT3+11NV6sxu+idvCssNckJJzAORBl9NJU+TtHrWGL
G9h1mnki4AcRO4x1EgbHsBuMu7nZHl6a3cmKcjYTrthrdl8eXGV9Fflwpw2dFaL0uCf4tPquFe13
qbilXZb6sTdIEXcBO7zrCbX18+6WpN6R3fmktWsZSk0cZMmLyVx5pzU2/5J+mbTksu3XAQ27A5BW
rvLYW8NCqJUxwc0emBFtThu3nOaQCSq8VmoTcjDOMmsP9Laf3cG9cbThtguq2POoEOjX/KybmTxA
W+XGMZ+mZ1/zLmDIMfZS5UXnBicGbteeTxJxtiTvErCGV/H2WgspK4Qoyp2W5o9LKW6nvgV/Mi3o
mvR5CEljPah6pHIc1UEM8grVe3NURvY88r7rLD9RasGKLnsNK0vrxCTSPTS+dls3DvRkSOSQ+oCZ
VI+F6Jmz847UdZGEC7whCenD16Z4RvmwBci+NUlxy6TnUEl58Nz5ucwTxmzTFWvXu5qMmAL9jEX8
jMP9ovXUS1GUExICIBV+Etv+ej/5UKyhQka2zW4M1idEuk9KrPIuKlU9F5a6KvUioOWTX0y2fZtn
2jfTaw04pf0BWysa4FZceWN6MBx5JhzzJy2tJurLQl1nXn9pZutPPVcMPC1K5iWRkGiKn1UPGbpv
Ho2SaDLTBkpEMoLAL8WQJNve245MPal5HGAl99W2iwuS4V5GE9ICcXs7K8/f6Bgfisy/y5tqJ1Pw
RKLgiKps+63JvA05lF4xyb1y25R9s5L3HW9TmJLEluT07nAdxO6kXZTkWYWg0LZOTrMPvPQdlDUV
pLPAd/NHiOq0aKyF8oCUi1CIAOxgNWMVLO/TgVWIgObLzJgVXdHgGi3v5vA7ezmgOGfgqFG9gq67
68vkakraZ3hnaWx3ze1C87LQkouizW7bxL3S1+nsKf9ZFsVj25fXa0J/x5mexsWQcaeLgzvS3IFm
/tK48jway0vTkmlrC/gWjQ2bKl+/r4tzFrOp+MSKr4OV3RVjsF+nrMaNkuwcH5Ud3RiaAye1+QHr
0X43UkavKunOw1Detab1nNA+0HXkkagLD6Uu7xucSiEG4xMNua+d5PSfZfoP9uBH1yiuslHS6rSy
2HA0tiXTfB6r7shK984Qvyd21B8jbTb3LKjgbNvkzVYuiDMfuzfdEVLoNOe72daP5ATsROI+ZZwD
fJEQ8+cz8q0TyZrC/DrqHanoWtnlZY+AM4WnOVrJBeR2jXDB+aY3/bdEr5oLtuP6i18kl0klY6Ng
Fm7SXjYUa7YXJFHve08IVq7XHLFxGyzqOWmo/ROfYsCZ0t3UTx7bEBVDmhTQqrLkwuCQxRaQDhdo
tJ/ySvOOqp4C9sjyMpAsN4B01c7r2nO6DK+FZj6kE4T0CtNOrWV8R8Q77DGTfKmmFHCjV1w6E36y
RZ1Mufa3jWAiP6f+XsvcmyE3ZezOAcoZXhNDH+Z9Z9NpCDS5Rzj64lIMufxVB1ciC3KHu6wNOB3l
xrKvRut10OoxRr9khkDRKLTAWEfKbLlXshtC00gFdp2uup9sd+cEVRmjzZz2mbKfbQDrIZmZVE+B
vEw8vYvUqHOE0OFTMdMnInlML3WCHxOO2ZGTt0PsevIHfRlAJLVz0VnzRTdNEHlAojlEtDfjOt+K
ulleOw/IBU3aNiItcdqRWQOtXU/2ykNgwPtnHUS31LfTqt0BhF3fss4HMgnF85g63txxllWaFVpB
mt3IpMHtosgyItdcPmjKym8ngLI5n3cZhOukA7DfSIxhplfOvhZVczVpHVQew1wfyToWUSXrYOcu
9hL5BEQ/WWNXx4sL9ZyRgVlGljQWhKrju8wKYPP2QLsqIL7cwEtv98l9yvKlQ7u6XZFQxm3v05ww
XbVe9emYPhqWWVFCL3sObXeoD6/Y6uaYZtqek8Y1CU3uzrWb+qDzEkepPe5WQkNjRycoahUefTfa
sjFZ3NNB9MmeduJ3uoAtu7OzRE2BWtNDLoK7ZJaPW08ustVK2K6puljm9XWAD4hKb/bCTepnJ8MF
x2w4SFK/g8xU7OSQXjSz8WXqk7tCJvRWVXE0RPYym7QMfCNhgCHosi9Suy5oLQI+d9+EI+/cubgR
5urssSaxTG/VkNSvaL8wYLA5m3Q09ZevRi1e8IIl8DzNWxJIbgbaHLHTGmdyJy6Zk5K866svUtIL
q0ftain4uKtNyFLa2avoYBkALdsVzXKp08kMCXiaeLfN10pzrxt72Fttcs1E9Zx0zj3p9pddPh5Z
G+YjIqz+0E1NcTEsDFJCq0mMCL2kE9mjv0ZzbtOkSU1cjOW0HKzC7+inGO9e2T10cCkM0dHc7oo6
ZkaNj0ZddZX2SKH8czGHpxqlrLF45OoPdYtj3bpx0nXvkGyNOeygd+raM0sHiQosTJqwlrZcc0Z9
IwCLkZmZtHdd7RaRYTbs0NZ9RVM7XtsquALWe2BGe2nTUYn1ztd3rQ5nr7f4sZKt2cyTnVW02E70
3ZKyIDMzO5WaS1ei8dAJqx9L5V0nlUVzfroYO1PRvl7a8zxWNiMfV7tIVc3ZjGLHiruuJ3S2qeR+
sPXmci11cdsiGOYDd9/GqdJfR2NDT6aWdZ8PE7M6iS9jzvP+urMZjEgjmV+ot9Zdro/8nxw5XC1d
XUUeYNdwXOxy15Awu9dpvMaZ5MGJwkLspDKIiBwrq4aw8XlOv9FQYm2fsvlAJvR9W3TU0sIQdLvT
lyxfWf1W7ZpdP4tUiWTKL3jrEr+/s+gj0a5ZxWFB31WFHQrUm3lU/VM6bkVypw3xRCOU50xjm/iY
PhIjpUKGgAz+YefGSYaAzJx5uUYJrwzp2K0yJ43yorH3+uRoX9ZuRRBrNLwndpce3NV1dqVR6mfH
noy976zidQCpeVVqoEbHnFe0tmmgtJ4Fe7KYjTAYnSaymGBcNZyGH8y2xSpFWb4zTA6wZCGXwa4f
W+frWqZi15X9GtP9fC6T4Sde8vfW6zI2iFKPc4LidqDgebYlG5XmlenBn0S6a1TucCh0831SFG+M
IhiFVxpn2s0jddR9FXDCsThObYHyzsKgbvZpqlmyfsjTotwlfeGxLWrPIN+76wqL5eP/4exMliNF
srZ9RZgBDg5sIeZBc0opbTClMsU8ODNc/f9EfZuqyLSU9b9oa+u27goFAfg579gT3fYo+yZ5stwh
CxBy6Bulj1BoGjriHA/56PeAjoFpF/O2lJLl+lIwYWXuZfstIz+cGbZEk2t3aW6736Mha3dDZKcP
owe23CeV2KqwGVZR6bx2XovmJAUZI65VrqKOiIC2dfobe6ImOs7NbI0miANsgLKdHP0jHLJ4kzW4
XZTEVkrTTwSxUT6bl1rrRe+rTUggCRvuIsINtPOxBUzP/IWg5tWQRQnlXG06nC38YmtkxKZfF0Js
J4P3dhSaRZBkXbGNZ+2XYowiHWFgw5M22D+5tXdxZLNByOi1IwX+toDlpmCNrQOPLJSaI85g4j3i
vvA7xSzLZhwofQWugWPTnhoKGleNOXs0PtjyudVki0kv7JITUVOVP2glY8x4rIz2EOdk4ytLbjrN
xlZX0DprtevOotPUoIyXRtju1inktmjLG6PkHy1hdWWars2+XOe8nTd0nCLOFA1oRuItK1evDmNd
RH6uD8clM8ug5HP1imvqjPVKDOIfjWbjd62gEHwYopXpLdySo2D86eBS5NR/h7UY6Kz1fizLsFKN
/bHI+Dkzq2ntyOGsy/TUhB1RvtVyQun/M2lFg71zOs4kwfhRfIk/FQlBV0W055TJaEli2YotgDEV
X5CW/FSJ8Gzb1Z6Q/AHgDaBTmyBFZspV49w6hnWXr3lj3NNNe2xswoxnG6CdoC5WAu6b+XLz1Mzq
rZHuM4tWBRHGE3O/1WxKU094qU/3YJrqA73TXaJH9jrpQgjBpvulDFhpLrvpej91VW9br93pcbLB
fv2D/cI6V2PNAlk8xMTdgz3EeoC2dp0l0VvS5Q+MF490biM0qHmLNjFBxwt/m57na4o2RkThzYnN
zvlujaHDO0Y6vEqYbRMn74LGcSa/GS1tn9Gvk46EI0ZVfW84JHx2JRrZ+qmsAf1Cb9c26Tm3YGxj
Xd30yOJ8C3Eo+rGXMLTXlj5sdcuLg4odI1icpiJoqPieGOKnTjSixnpvF7xiyeJCC6y7Z9GCTreO
9t2x0mcgjX2YJbSxyOoOzhEbd6re6Eu/we+4JkvisOjND2TY1qbpHcfnpbYVJBz7eVsKKPAK6UHs
6pta5Y4fOmIJCpPwH278c8RosbYuReS91Kjsbptj7lYvS2wNa8diIbnwE2VR3xWjRhcK1e5lS99w
3m7Srn8g0BxjawF0EhnPhGw+2nn6gIjrTqXFpzYByYRND/WcgO5n3Sl1mdK8hBYX21FFYOl1FpQW
Z0Fclu9DpPalWbo7mwh2ETrNunSNfF3I9k004h2VD/dkpqhoH0qcRynmtWw090oVp6HMIWUHwi0p
C/bj1u32RagHZuNWSFCpa28WS3DgZJTak2S+1MR9LCPHlBi7XTuwj0p7eu5450SjawQG666fS3Ui
kvNgxO1TbaRPmHUCmY77iEfQUN6mbjMSCCSsEv/rDc7CMyvtpRW8XA9TQ5PlXGU+m87BLar3Rhqn
TOSnuVnMQ0Qc4io0vD1WtpvJiO+TMtwx7W7yQbDfQxIR1E/GAUtuYMo6mMf8tk35D0yNvwZTA4Ya
WA8m6g9ck82tag4VqBLKuPUyX66PLW6TJLktwP95e5HmH9k7zS3fizw/sguAHQzjtm/q8yUxkZrm
8B786F2p4bYs3K2aGVK06QmI60c7Ge/OXNyqywaYpfEuNkzKAS7Yl+19W2j4Nkvz4JbOgVfrez2L
mA5756bvytuwlMZFc7Ssejd6iXoNQKS/SIvEsaMJzq/wQlK88ZGH7QtWLAYrQI0Iz5OfJ/055nvT
OtyhQDRhxbpJD2hP+t6gD6zc/pMwWk48rDw3szOHa4o9YIyRi4+0Say8Qt3HNkoVApfXi5Fts4jw
Zzk2dybqFjop61sPD/6tMzQvKnN46CSSAG/s9zEEi6e5d2JhH5sl6owoPOqIGMxo/KUnQ3WJaDl7
dM839bRzZLFr2koP5kTexyY105KRNvbiZ5Pi+kUbFyCz2F6PhZet+s5dDqVNDXbXgC2EQNqD8Z0s
hoHVYlZbKtnZ5Cmzf+IZsTeZqz00Uc/oPRfEw9MYPYn+o66izXi5qWtESPZcfvNa761MTLWmRZhs
vdZUAaCu3KCXp8q8rb/psv/U2/q5TbJNWPMWFKVznorxOY6cF6dKUWxIYP1Z0y7cRMx2zIXn4rEe
iyNZEcB4jn07LxGwvipfsfB6wWBlD2gy7sxQ/+k58w3e7DOWzSiwHPdZwzfgi4V3Z6khbLFHhbQk
/KZjf/Cjzn3UB0ZOs0QINEee990DTb1xWAbg6GmDzdMnu5Ynd1ImAF2TBF6GmiuBzOu6+VdrNycU
mb+UNHu/aIvnxB23GGIc07ftYYvj9qiriN8ShY6xzXrjXdrVm0yZi1oXwUIDiupLS6yiGtYoNMN+
lbMEWN24l4q/X0zVPhPzS6+Md4stGos7+otMZxVOjLeM/qVaWnUAXvMqBh6Iinwjv8a16WdaXq41
PY1XqjJGnwps/iSZHV0hD4bV7o0F3IbM/X1bqZ8iiu6cEp6x0frdlCkvmCyvWGeT+Su1gOXz4TIP
LCkwH0cgunAHiM466CreJJ3Gy86cfGjdx2S2CRVQr5adB24KpxZXlnGYJ6RDYQiriEqzRYbPBIIR
JIEHZ6iYq/Fd86obtr43o+o/TC367looslrPTQLNaOqNUrCwMqXwqnf6rZWUbzl5W0uCTMbrR3Y2
Cz1a2hW7wo2P0h5BsXtTbe3QPsiGG7UiJ41RYnpJ8tg+V+2y5cBvAlTy9J41/Rlw5jnv7U/pDQeZ
kX4SFZ+dgTZwzlIjYHRcqdTde/GiBx4rY9nZr32Sr8FJjEMupncbpmKdxs0OMdGZhwh4LIkfOgTW
fiT6PXvSOcI7587J8+RVnR+Ownd77b1bxm6VNyEoiNyFFUQIa2m3quS083SKa9uk8o2w3VScQwsu
6hwX7KqYo56hmtMcAOYkc+DvIUrf2C6OSIj2mlOey3ReVlULcyKBVfR+fppQQCReXhx0rVkn0kOW
ES95oPfCxqIgDdC+LF3Vanwgj6T22UWSLTD7hr3+g+Nm5xkk9hcK0CVqnJfIgocWcjo3tfWUGxh5
UltW8OTFQ80b+IBMhMMCMtOvOvCFwmIt0mCMgUP0sxk75a1I9fu5Hdodo9TOytPH0Ywe8lbMB513
x35S85bz/rOOeGiaRKwXVasNJ84tAdiIB7zpEkPwQizpK+dv6TfTsBWzeJsIEB+S/KFs6IQfCQXf
5OSCe4P7uIg8OVRZydPESarr+rhOmPICg0kvzbIHmgk+OSPXbp0/68li+HPnvFM+s9VKklqIqfZW
1TQeU/4xfsdhN9IHs+KY/mFWeh305LsQBQvUDLGLCWV5g44v1hTSwk9PEL7YbW7oZgEDGIrPKhnC
lcFPjuzMA3Rx45XOes+O/gCGAuBGpyvSafZPjh4A1gQ8bXpRjSy3uVVeEnX5o2f2enSs2Jdgzlcp
h2yhT3ejTO61NEQhJUdiVIptVOjoNhpoMK15KeuGl2YY3hB0pvk6IIw/2MNnXev7DFjK7cXdYsZn
K+0N2pFLrEcT+Jcxwzja4WsxOdVOL5GWYMC+ydAq+tQaflaLeAjLQh5oT7LQA0uOuxbmjpQBxePJ
d4rREc/KPEWi3BtNdJyX+M10e5v3kQO6pYS6cN7fwtDB+qOZw0lNKGlC3nTCiDQkdlO5Qi8EhhuC
IVnehBbVpQQNMjpz011dY36aAQ+BX7zVZI3rcbHnLUU788FQWhhgAzx6Sn9IZvjEjJd62Se7aHZf
eOQO9pRfJkp5Z9btB203N8oydhxd3s6Z7NVUIw0Zp/YmzY0FboOXiV45W8fE2wLRtykt6zYVWGQv
g5KWcf802UWRApDfyzko827VOP0ABGi/mmEa+prskBdWWBuLKQKxma0t7yQilKcSDKCtwAo07nnR
x1vsD2CAc7Q2p+ZAN/fa6Psn6KYtM+sqmi/h3XV/m2SOAg7PvXNca8u9qZZ7ZUdaoKtwi3HgriYH
OaXuwa8K+VEXYbfL0JP78Rh/85a4D3IAoEShh43lUzmINVVA8V4sOhW/cbvvSq9i7Zo/ljBm23JW
hC6+OUCefhr1D7EFhWGi0RhbKsTrJveT1ForB67KM0DmDP7J1qlS/WOvssOcaLsu0W5Lw7htlpGh
aPhpLoVcZ9llIxRvJHswAIdEhDMVcmgz5/QbuglQ/+QgQz0vpq6c7iAX7nNccxwGdJFlkt+TP6xm
+g3YFW7MQnp+Wc+HqjI+G8OkTMe5dEDHW8PM3rxuvCkH6AHuEeVX3N4J3U/IT7xdnAFWJVA0YnKY
YYXHlnAhDHl10EXbZNmKnIj+SO0CA4Q0czTX5q02axORJP02EhCHRORuZGGKFePGdnDj91BPzwb9
RSZ7BepE72fjgidWI0oL6NptzOYU1EBt3whcnYNOmdsOGKIvDHjZJfoR1tWptNQYSK9DshY6W9bo
jW5ki9+hUUaXf0Jrba/Re/HflEREmM3Ji6LxPRrGZjddAr200DL2s+3IwGqrdT86n2VT32a6Ontl
tutt/VAQDgqtbr2adKFtprGqN634p5ikBK1sVX0ritKB66/f4BXXYeHe17YRHehhesw46c7mpH0i
fHs0vfbeyJITHm7E8HltPGhTceeO3TOiT+5AjznRkhOvu1l/r0RzN4gyXYMBEAUVbufaOIYZV1G2
c3qsRfwNHeCAtXPI14NZjDD52kqr3eREHKLhQ8qWqIOjX4WV01SX6xbKY8qK864Bshh1d60WJpoo
b345Q4pxqFvYukIr+dHRKLkJbVXtMCmfCgAkBHJITYq5DBgyA+Qfd3Y9YaFzlrWmYR2lmMpTqmKs
sCXvTQ7WUjDy1FG1BSRu/HRUr+lSQAt0oJeajopwRq0Na55tDeq5EYp3pw4LcaCy9gLgeOTQJ24c
9J33hDoeL2dmtKtIv8S+yXoJUqMwdlnK5u2FjPZoZ/xRc58qK3k3u2qjUv4v1TB8sytUD2GBW5cZ
KEHfgRHMzCu4Vde6HYVxoxNsjOJAX13gOm6VTThPzqHtmnrHNkS3JjdXhGsPLQKx7Y5e3JYa53Zv
jg8mYfnIbKZ5m3fG1iG8zrfNsr/oSr5lrf5QtuyUSxeKwBpgOCGRSGOLkV5o4qRcevMSjXHQWOpf
U5I9DKX2yxtR9FYZbgQX9nNDdce6FsZnjQImi8fXUe9+jE3+DWsQ5V9ouEgqQ3Rm/OgFLG5keh+o
80ivo4cpJsvQ07iwRj2/DcUiUJ2W3iZxL5k2ngNzji7xoEJ+1oG11w+N+nWxGtampPqZ2O4TGbXf
YWG4+WATh57ROZ54ldv6/EZc2n6gM9iv4/rdrDwIpLqPfi6oGnx7sj5BwOqdPat3NRDIsTSvVqJ+
JsI+9F51bk25s7Lk6EbmA4uFuV2A0C7n5A4DDPv/XH9DvMHSE4pvFsFfjKWjfgq7eBt57oG0OJ8t
rdonQnsQIlx1nT74swco6Q7VRzhnPwTXtKgspEXDuJGa/uD2codbbT9Aw/sFySCBapyd4aWo+rRV
28MqIan8mbZeF6RlSjA3g63s03qVTOmPJCtMqgHc4pTjU/FbK4MhFdR+WbnileKy74ZaMUChodXQ
Gly0hDlO20HVN0nIOom3bOMNE5tKEd7mZPD72InXo4ZCYUZUFgw19HKd/xwB3paweqRpE3GG294a
LAbeFL0mqjp0xNv48L/7BanoLZUFL6A/gSaZ3+op7YOpQ54xkA8XhEN71PthaywG0EozoVqbJEUp
YseNSqKe16zS0nzvQnloNPfWYzv35ezsZl7ikLjyAs+7JNqGddBaRurbSh2bGleliRjaAJtfpXV6
oEi5Y2hCcGSb9tnKdRZyByEFru/3GoLRiouzsLUzs/e0Ty3gYMCNbTnDCPRWxOFBKnGzBmglOgMn
A57nITmwGY4fZjKNW3L/oqfOi/AK2yQjDJ750LTTzZhMDYNlOHkDr0rOC82tjb0awIyXrsnOk9aM
d01jeFkQJ3wvEsvnw0QcSqDywtnUknxGdPchpCtuGe4Lvf6ZNhZVhUahAieMzQ8ikJxzroriARge
lVIRPebAEDu2GgKZXLPZkoAercgyiveh7aXbhjrWBy9LshOatM5bjS0gJpbfFNbC6MtmPVVCX0dk
WM2+3vMyX5Ckp2QY4ksY+3QVN6BcEVTn3naa8Ru4aLwaIlO8EMqcHnK7QpTZINWLTVO9UlFd7Me+
G/ZtwiqhzLYjEaq011Me2kdjGNOFDxkqZJtFpdBkt9mRlvHJDtwyzz4aK2LfyiNIzjqt3pesKcha
Fbi9mq7dxnarPqoQvba/GL1pBYkI4Xud+C7LsQMmZmcFWFPSY67QbbNgSbxkgnM74OFF9RhfsDOD
9RsqylkrhpdNF07WWc32D6/U0sCNgVPykoTCidT4G7T74GStfHOtstssHrG2XDICFzsRZST4WF1g
FRGga0Uc7G42xA/bK62DpsbiqI+q475qpzYYrbFgV7z4FNqqK7cNlSkBbwXIdCGrE1CAs66BufeA
kg2jejxAFyJrBEKcHnMImbXFebgSGMp2QEfFNi2STAeAFRA3S4uvo1XdnYtkgVnaU5uCCKOHDFfL
JsvsKGA1bIHUhwtb0yc/5aIQO4yD1nF6xLyabEi2VWShzwN+sh7GpW2Palqa+zIRbkDCj83NWUU3
2gKRk4VxBHIUXywkeY6oxM7RAVdVdzOn4XLjDNPPKdXzkyMq96KyYOaL8wXW0QbWNK3mbrSj8dbK
CKpJVViUPhj5xYMdsWBpCSrqfwirQx2yNvrUlvTdWlsMl7hSVP/4uyrehsP0Q8trQIgMdNMisAIe
rp83YlwWYiaIg3sd7BQleF8imtZcaGA9T5tfWiabbwISchP32aNTw0E0ibWcllqFjzPfYVWTvvRV
DvdvyZ1Yc6nGpQkZMzB1yNc2ztpijsljJcktyxYF+tyHW6KuXAbcSVTtLSKH4TRTIHJDWk6/423W
PjHVec9m2lTnkR3A+MKW/gcXPKZo3bEQyBPqKK6sycTZa9RtppT1VtNyVJmykjUJ9NbeSrrlKxP6
n76/ABNybce4tIZdpwHVEuVHW5XuPiXrgF/aiuLvbaSQUuXOUNlvSxKr+97Rxp+IN1zo4Ba+phxS
97HLopolfqZQ8osrcJ32wG/CY0/8gG4TZin0qwSnUmPvtNueQAxTBxWmFve+7owyQWXbMkbgeSFf
5e924t/s6CCa/2dfZg3SCev+r5s30TLTHnrOEFDKsNlGM46EY0yh4xmF+UXFYZfVezt7EfvU7HwV
PvabV9txMMLSWs1vIBEAXZnh89xTZm8SUwx6i1by8lwBHuhmYn/h1f7t3rp8TVenLFWnHIJd6b9f
k3WK72571obEQCw3VRd/AxPJPtnK9f/1R+Sj+PVswn1cOiGuEybRkBFg4c7RwTZjEIzICBLPqk65
QvCULVCxf/8Bf7tn+DjL0LGDExFAB9XVJexNFB0NlrSD0EUK1h7H3/MFnSHAEiJDP57a5IsAqD9d
S3JeiTukNcEgtvO/19JujTAa9Sk5KGEj7o4FGtLEoX/QwQv4xe1p/+nrSRMHmHt5KXDk/vfDypzd
X9kEQ8u6EyC/fZb9dLOE4buXunFBmkTMfNCiD/NbLAhmIFFB4jwKZ/sjT+XMmlawcKGcs52nrHPx
FZVz0lNA3ESAbe0wjJXvdPTIAE222pHiRAOvW+b0iLyNZf4eNxOMRWq2WNJD+kbBTDk2snUcDXMR
oHpHj2ZQkoVCmKiOeq26arydioGWbrIIxm/LtOAikJL8IgsaFdhVRDYLiEgrjpIlZNBsaAyCfuZL
8N+wSoSbPo6L9yhMgLOrISz3rUdfqR8nWYWJ03OHbSFF0a2SsTSroDfsJAncRY2Sb6U3d848Fg8Y
JQwsNqJVX2Vv/hZ8wFNLaJJjImYhl+Y6qsUJe96NE57RYaFOJuxnLEgtoYq6zNpNnthq3drW599v
8z/cdDy3ZElYLhYo/TrRKp2FW5kTNOIQFzq0bt3Z1oEYmVr3RdIX2ervH/en246DgXYeAmktzoj/
3naFkdU69AAvpsYLN4TTjLtwFq9GmuQrIqz7r6L9//B5ruAwlS4JOJcvefV5ZRxRTL4kB0+FYt+F
ZnMuLQ01eD57j6Utnv7nr0d3FI0Ulwv6+9VE5jdMY1dYm6gZ+hPpBfamQMUaVLNqj5bXOF/lBV6u
139CIygtIMcSZIvUF0p6rkIjDE0ntx3r4cErzf42o5kGo2wp5hs6XLFhFoMZkASIcgkrTqDIcUB2
QQR7MbbF//y+9CxihvgTKCygF+nqjO2HCPck5rJDZEE8rC7qh3KbCHYQVivVPzfIKB//frV/v3f5
SKJHTUdaFLtcDzaKOhfkZUl6mAah4eF1YQ1oJNa9HzZ5DV+l/v7+dFK0eSk50S8BN+513mnKcl2R
aEoWAWK8DdkX9l07JGJT1mHzjs+i24DJzeu/f8U/fijBvxaHkMFzc/X7enFWlEVHZoUZZmm2AlmR
W/IQXhICQTbW0Bgv0LXDF4fDb1EoJG8TJ8IQZxnEOdpXh3rGlc6py0kOvdvAVqZFGDQiRhWjd8na
rM12L7XI/YUiBcGEYWdfJPmQ4vnbXc0iTKy7ib+dv0Jcnb0UUdBiHw+wZwwT554pCfg28zSQtcby
08UaDkk2ps8Fhs6TkdFBshIaQSVo1qb8fYo6azsY43Dv2pwAgWnhEWXPwChObtylnbrVHsxCi4gP
yKqX2p4v+gXNKHYpR8inQOP4hE1tBK+1bIaMFCcT/8hfo5DGFiJxCaSY2ve2SIwNuI36wf3pwLVO
DmyqJaIgg37xY3z6d3alOOKcyTpAClQr4WRS89uuJc9k8Er9iHRt2Zpx9F4vjXG08Pow/6JvXBql
bt3R6o4D4rEbMct2Z7uxcgPiCRilZ6OMHlmo5W3eFjWGHVXth86pnqmFaFbNNLXfZTmnbw0ZfB+J
PjtBiMH1nGJB3+Fbo5DdiuthRWWXs7GLMt1ZqBVP44R2pRhxULZl6FBpvYzwxaaxct0Fq5BVyF02
1PVpSemJCwphxBByLMSwdXWGui3Lf4Va1zzqOWrpVeoYMUowUyIvnVvdQvCvQ9ASuZtW37SEaiRq
xYwTcm3z1zy2Vruiu9CR6wnSZSuaEXyyUlZ2cPvCfqst1RuYfOZli6oiC3jRio3qW7HVCH66hxpO
72e3Rv0cSo0ZQEstIHsz2ZpJvVD/q8InT8/71Vjb+jlvSo3jzY0mciSUap69yhHIh6zOex+1avgu
55qqr4JEmbytp586sb2Rb2Aq34f5P17UvMcnMGDSiCt0ACTorCPO9c/Myatdk2NFGOMifbQrEx/p
AD3LoqHR0V1HznK2sml+rCZ7vBmtBusj6ZWvEAbGEZ2m+qdtgtU4ddGcTUN015oZwYc1QVABan+s
gAqDtAiKlDhlKhVG0vjCbF0a0GKdmbXaFvyrEIF0p/6Sw7N0RypvuJedIYfybQpQOXdp0ftryaD/
iLBq5n6XlB7WGFUGFD0MGEdkvgMCRztDGMMulBj1VwbE9/em1fpTQn5CkFl6ujFkbK47iKR94drM
bKqWswwITOnadR+lNaZyCoEdI5dPPbEltxro8z7LlbvvB7V8NKUpV4M2USBrdhHwvlz023DAHVhM
3kIIDgZrHUxPQKljY4W/XghIwtbtWVkDG9YDdmqjtaKX2D5WpTeeC+ICf1Qz0mEzi8t1mXgz214F
T3HR7DLkJfhjFlPDyhqhD0cSYqJndXqvQxNBOg+hKImDrbyYX9oWfQJ2XSQYvWTqj5An3YD+KCCl
ObHhcLWc7l1N9d4HOs34nKmu3IC/udwufbYvatvaQaKPN0lmTy+43UzU6bb+uuBw7Hmpotry4q77
wI8ICwZKMO8cQTwFdTUOss0sn/B3AuDi/MVWlIURIRSEIXHLTJ+mAbP8xfn9p5NGSpPotH/mwd/6
0ZaodZZoSg9JV2UvIQDNqfEmIiy6tl6MmziWZBDnVpJ0Xxxx5vUMYxusj5xwbOk0TJvXyVvJknVz
rRTl2YlpxqvMM8R8p5SlhydpdyZCdD1cyImcEsG6gvnXW1eFVUI1kUIFmj2LB1IiGXeidIJ00ecL
KeSqVrUb4SRzetJrs99W0qPr1XB747UrcKDcuiwq5v7vx/VlnPz3OHb5Kh5SGgzAjqBM4mqrSrwm
W8hyKvaAc/YGhxG3Ha+i/oC/3Q73cSGWU9vW8U1vzMUX1/F61P3nsy2Obo5tk4jcq0OTsnMEQ7WZ
HkrUn5s8dOVFcBSSWDKYO9XLfvv373o9ff3zeUzUhnA8MI7r0eQSiWLnFjH6prWYdBin9V2seSk0
Rp6+/P2jfgOV/vksbJR0AegmPRNXawOKSa0IZajt0cOnB0qlshV01o3CJwxOKtUDvEP2jh5s2rTE
2N5omKaemI70reY07hdRf9fjEX8M5eBAW8TEGa57XUXe9z3ESutxMpUaURE5SkFW1FlfZ3N08UVT
TDCxG2zSFDx1UFb4BRDyh5vM0x1acU2GUPrgriZtXndqQa4eHzAneQGSDbHzlvq4zA+Qp0DsZorC
QKVfDNt/uL0QsJi21CVLqqFf/QSiz7yp7Tu1R/eCGHeahHEm3RFRUd5w3kiCZ//+o//xAw3AM4vP
5He/+sCR0DS9aKgdlaAiZ2tu2y0pZO4Oj3bm63L4qs31Tz8rSyI6Q1sHEDEu9/u/8g29SYjCawaA
y95LV2pEb60Pk30Hi+Rh5u2rQAE5b5zpcvJKrfofN+PLXfXvj78auo3CzqusTeY9Zq745yzAUPJ6
rtD5pu4NwFvxxZD/h8f3P593uRz/+rqOsfQawRPZ3psx5w0jkbDrOA3jNsg48Krz33/MP34aSzEt
oBb149cTfQm/atRNH+4y00VelpgUqW4rrHwfJNOF6otr6Vwegav3MA8GoLcLV879erU2ZXkRcx/D
iPGwVMUqiV0IbodQrg/E5y4Suba8ZL054zFO0ugBSmnet5Ex30OYOZewmOW2zuIaW0NmGm/MlanY
QYfgkrQcDTaskJQ2WBOJQDSK3hcxqpJRJelHNFiLjRZcy6G1EPOR9aOJpUdL0akVFKV9LgUyGtDN
+oYDFymwLbv4pIrl3aXnK/OLVGnIP1q17aTZ7PFOhuswiklzXdp6B5W3LAFAN3YcUTR01Q9mGJDY
wlu3TqL1QooPfVDsTsdF2eozJ/5QEbZo8MRMHkZ0P50saH+EpiehT7j0Btywds207iWeh2hhLvrV
VKRoNch9cBBIDMUNFgb3dTZLbevhGzpCcWovwiE6a5O2sThTEBi/Ro4G0CdwIKB9Ej3G0r/fP396
GZiGR3fHBdm2r2OEWaswyumjtu9JAPm5jDWOBfyN8b6mS/W5Dk35ZSD+9RJ6eSDZ9/Eb8O88Klfn
aYJmWqZioHyrKOS9MxThRmmoSwZ7JpdaEhqn5aPDDDrV87t02CViRrUvvrdxuVOv72RJMSOQisO9
fI1xNNrokHVWI8WqdGe3WLI+TRgcAyMq38TgDP5Ixuc21e1nfDIoeucFNLXKRkR1EZ44F4v533+J
6yeZKY32BaycvCZJtDYvj96/3hs643heF7G3F6SF/sKWii5KheWpGK3Xv3/SP4HF//7u/3wUgBIc
nuT761evxE5LhE7+AR0MVWK3Pk61EClL32COrKp6fMhkkdKR0JG8hvAjjj5Kcyk/4W5VfJMiUbwE
vgz4TBLY5G9egbLPh8Y3yVj0LIVUGqrhsYpr91i5k7vL8zb9AtG/vmsvEy1nCfwBF0z+NtlCAVvh
YLRcq2E0bqVeYDTv+2nbqzANTKLhv7hb/vDbuKZDUZ3jcYz9xr0teFB1Uovcffx/Grdl6reABiRx
8Nh8/P3X+VNe7T9ZudABJC7DF/73RlB45JlGJ3dPnU/6gLiDCvIubbH4x4D4lBCQ40fexgosOT4y
r8C3mjwuX/wV18/H5RKDJMNq8seQnnt9O1pWzmiie/vSMjMyal3j2yCxK8kmkjsB3BPIOa82clLj
3XJRCbiXaH4Q/GiHcqc88q//j3BmJPtwoIKDDszu+sLEdJwR4untXabu7ygZ3VuqyHhf8UTuOJnU
upvMr0pq/vmiVw8Lo/9lNGOGsX478txYEvoyA08CA5SWPxm9u5Ho7V9Euiz3bVL0v3BmdqRc5io5
6guxK+son8UptabmlsA90exGNSWnSHn6fQIJm/hZJeSD16XGmx1H0XucOZbEB27oTzFZtcUGqzOF
n2VCrcn9NGcg7E1tZ/n/I+08liM3um77RBkBb6blq+hds8kJoi28SwAJ8/T/AidfE2SwQvdO1CEp
JBSARJpz9l57M/RAQ579bMRfnYdxJtchQ3NaESOClmMMx+iVzpK68iwfpJSu1baPdNXoj5Fmytcq
wza21tBzEeSgGaNzVSUydjeAOt1gZ8VufUXLCjqV4Zg3ScYQXFXBSLeq8rpKrbrIT7RTQxKCWle5
rd12adjej2AJsrWDYCEnHQJQ7F1joVw49SqxrDVuGayrFBYlZaChjq8DEcjfnTkVzsZp5dkK62cf
DyHSsLstzr4fu4thq3f4+Ah70ZkLDv4QI/okGAgb5YS4j04g4Bo9u5IjNUYV+GIbsOU/sydbzk5s
xlgz54/XBupNXtT7D3gImi6fubZHrBo5gJuhR9qHChSpCMrRcqzO7Mo+mZ24XbK3NEoMlLPnBfef
lQOsImOkR1c09xnBC9rFbM1JiDU6hbDrxZmp4bPlY26N+BxauD9SVN5fj/JkDdE2D4595HQXBkX2
P4asIsi0eE9oMAbethM2c0VnpQ6Pvja1fM1urZmhG850W5l1ibI1AhdwaO3cUOuwd7Pvthip8Yaj
coKVJiKFwWR0233PsDnXclie9JjcfJ4V22Y0n1BzF0egQsrczI3Wp5yAkx0SuBt+T+lSoj2vi75e
E/trwf2QpfOKEAVQyteT66eX911kBOgXKNEsjggeZRmC3DGoGDJGKK2z+sZ5FHLY67VtlgHjQNyQ
bcPOss5ceV7Z309mnsbhmo3P3JfkzP/+1dEqiihFev6x1UnkpusSYdiwvLK57BsK67tGYDAAYGsi
dfr6nj+9sk3ngbAM3fgQO+gPU83jVMFRYvC54F2X+3qqMFNLs9s6gbLuWhPz8tcXXX6JFpsbmgcs
2Pxhf2j86jR9uyJvgiPyB9x1kXK9O6KVadtFXg6ssfjPUQ1spph8Zu0Ga7S9eLyg29LWQtoNhSRQ
P4QqnV8gYaEVQXHQIDCqaMJS1vuvBhVP78zNfpwGKPZR6POoIxPIvTybVYCshiRhDFtknOEo6MN7
7C/+yS3j4Mz+68MA9jRmGqYACouUxbT5uf8z4wDqQYlVTWSay6G8qwDorWsUP3jSsv7HwK3hzMKh
09nJucCXDzfJA+bIgDPPZZ6H6f/+ylaGBTxO3PSUjbp3WbRq2iWok/aGDLLd14PnQ3HMmq9F8cBn
0Z/n88VdFiXfqBclLkwzz4I2O1hlCtRVEbxXhRJBa+c3tdo4bkkU5RAmCm8L081uUD44rVhes6VI
zzz5t2rJuy94/lFoWbS5TkaWw2Lvzh4hxoVoALQvcvx/k2OshWVsadulyDMn1Q1YktZDcz9SPUvJ
qcyGyz7ISrAGuYu5E6d5inOvLdZfP60Pnxq/yzMNh/oosxql2vcvpuhwWoZNCrjVH6ODVmf9yXOL
Zpshnj52OJbPzGRvOqHFg0CuxMUoeug654D3F8yg60I3RH3HgRLo5+SWDg0OzG7wTkEBuIesFTVo
I5x0a1fSIVnzAmvrmJdSkfUeh8VD6A0NnlqBMTVoQuvM9/jxiSAQ1ua29pzaSL/3/Q/EZmI6ZGjH
J9NvsIvaUaYVO5BR6g/FE8AFboCN4sxb+PhhzgGHumtwotf5Y7E0O+5EU6QM4pMk2XA/MGz3kmoy
WQt1ArZ38O6jmE1PmPfy79fvf76b969jvrLHd2LOMs3l3cbSZMj3GZnINOMg7xQFxKdowPj19XU+
TgDc2ZycTXfNov+7WLoVQuAmIJnxFMEYOwVDhx/AmfAXQ4jqzsSEf/IGPdQfXIl1ZD6Zv3+DdeEP
OsJmKhUjuBp2zMZpSpCdOmaTQFnrvV9f39uyUsrszW6CY9dcXqMCMN/7P9OqT/gknkpqEkbUym7j
BZBrto41ZxWmXpvcsnJ3D94YyGeT0IO7IRz6M3f8cf/szTGuiNdQvtBe9xcrGB8aWDAgQietGuqK
OIfByVdD3tIqVLE23YsejPMmQLTRzfBWaMJVXabyGJEKbZ/7MZ+MKQi5rGiuYfgegon3z0MEDF0Y
CCkeHdt/II5QAUcWnadxFsnKyzroOJwwIym4gwppNVW+ACE2JVH8OUFixSdFBQg/fjR5zxGoae34
9Qv7bDC6qPzoFRiuhrxs8QNFpY2WMblHcLhkA7Mfvld10+y6Ni92X1/qs7Hoons2ECYxMrTFJr9D
TgYPII9PIq3c1diYGGhwn63cmP6zHtT56evrfdivzcUVtCLkj7L8oZp8f2vjYIg8G8uEES/jrVe6
42maMO0Krcsp/JT8hijU9l9f9ENVjoX93Rtf7Iz1zk79xCjiUyowfSnCSa4HbSw3slXdplWYyGvD
8C67CO4T0DpvY8ehXKfAgnZg5zPcAOey3j/OqJzgKH8gqbPITVqut5he26rVJJhAuM7Roai97FVG
nffXdBqHdA70eD/0PjV+2KCEz7VO3k4C72dVrs7WdZ6ETCahxQwUucNgZRy2Tk5h638S0w5OepIQ
9dzL0sazEkukFJTKI8B9ApxX7XbOReDn0U/Da8afudlNJ0eBaF7bCD85eYkQ4BKcgmJDjz4CA8/B
/XemJvXQZx2WRGIUuj+eyelup3P8es4RBfhrrek1feWaEnCx0DuoCU2F1Rx1KeeHr4fAcg6kOkx7
wbbZWJpsMp35ffwzB1L8QV4CwfSonPKNaxVggU1jaDQ0x6B8peTZlekm63WPskpulGdWbW9eIv99
5G8/gEc+z8Es3PpigQH56WnE6tCuorx5VUY1FhE66VZ5HVt6/pDDPKR3Twc63IoiDnTITlb2bNOt
vDdDI6J1ocoRvoRnNDfRyJwAFsehrToo+TeGkIDooKuhjeGUW4WVZj3RVCEf1L9Qhl2vMULmOwAs
1w3YMLyYVm8/p2GB+WnUqeRcEq1RuX96Eh4MQkQFnvnKHNIfY8leZtMp9EBbv/f5TjMfoA4nvJ6W
gQHM9FvnZMaj5DRa4MVsXW/Tq66elV291V8NWVL8GTJGD5AsN3pJn5Ip3MGqNHYpdPFNDNd+7/Ex
2KsKcNJDND8P2wQiPUWOAzZNb8N0mwp9/JkYqWVvS4iu3jqwJIERdWWCzWQXh8UvIEvoOkgms9rn
ZiKjXRGEYbuN+8qzNqI3gC5OVa4xPEVZ4/g3ohkzWfXym9n3w7gxCyP7UZTzsy19dV3i27m1a1KW
iC4IsQIrDVfXBMv9XOThcj6chwXbGtPzGRh8iIsvsQV/WZkp82HedETANMLv7nV4qOGp1rTuBREh
DIC88PrszIBcTvxcGK+By4uZz+v0Td5/EG1OOo5RBGgDrRr770oVsLlWWoTHei+U3Q5Yxxq3OrOy
LZfe+aquju6UXrhNf2ixna+GiIjWiQZtA+AOP3CCqQQ5GoDXM7f3NoEuvjegLrOlhY/dYAP0/v4i
OD80qDr/QG+/2JVYjFACRWNTrKFL+2jg7AluzxB75rdmEPVtM4CDXePRKL29cnPrrzCb9BakYW0x
TGnfHIo+18a1kbQpWSgWnLavZ6hPRoIDxYSjHCBvmyrS+x9s5S24qkZ4RyNRUKGkDUTQNFE1ug2e
5kDG+J+E2n190eUyNL8PtLGctzn1Yc5cTItRym3b8ZDSVJxJjGx4x1WfFCPFW8T+U9zLCzmhcmpa
rz78f116KcuIXUt1STqlR6fT92VhmlviTfAMZn6wqXQo9mZYDz/pXW2/vu5yc/V2y6TI0ixE9EMn
5P1zbsumc8auzE5QOry7MgDdxVt3t+MwggT4+lof9r3zxXiZHKvR53LcXzxfBU8QG2DtH+zU624B
IR6d2nf2w8S6V2ekR/DtEUcy/q7C9BZDmX3mB3z2lf9vUKFAWdxskIzs/CBhybIP9iGMNpIhsl2R
9z0GeOAkX9/vZ8+WepiPswj3lrVMVLUKZKEDcZMnYpfCbRSb5i7x8F4mYhJnRu6HPd3bo0VRY2Av
wre3rEv1dBpjmJPB0U47UvBGMBKGwDylAnNm3Fr+dixASmceu5iaOs5jrQaxQ/cttn2jsSRORbr/
+vY/e9rspkil1LEwOMvKDhTFobQsTDpVn6vHOIYS2qo4ICWmquFPO/7L19f77HH/O5su3q4xENtT
UnI+mWjroax1ITLgWLQEZbSFk5tnvpzPJm/KMSbV7blzp80/5589lDtGDrD9IjpBBoYWwgHSFFcy
ph185pDwyWYNA4hFiV+jDUBR+f2FCFfqUssjPj4FXpGtOLfD0czNv6Gq3F/ABwPIF3SHAogbB+B1
5yKYjc/eI41Zuh8cD6GbLQ5FsGvIP+LwfiDew2rnWJT8ypEpeJpgGPKChAs9vdck3cuLGL81YRHN
OBfIci11t4EV+v16UOOuCTpiMgizcl/Nrij7dZRjq175NSnD67ro/Hztl7nmXBiwY0mksk3ZbdOm
s51TObVFzEY86R5L1qBHD5CyceYLelvil0sk7QI0Yh6lXdwS7x8z3J5JNbUrDoWqR869WjU9ES1Q
X46FydlMJloBKclChuJLP7lkC0vWYlZlnNnptcQbpyJnZE/ckH5NpECbAQ4O2/owZQXcUx9S7xOs
gdhftxGRkiWoN3+nEzJ0jNuRkpqfd5c1K/GVoONFzkRtd9OWk0eF+9nxkvTgTp66aMCWXOpIJdtb
SBP+hdYmSYlsghbMmdE9fywfnga1LcpA2E75hN8/DVuVlDD8MjxFZZSjJKpN4kDz2pYh77sYXzSY
L0+klRm/rMa0+zNTx8fVHxkv1DoEqUhr/WUBWrVlgl9SEfDnuzVZIL0DfMwjPdYaUWebepvtiy46
tx377KoGJjJ2AKhVGAfv75m7KckQL8RRamWE3h9jKwpcHWUkeKWIWWybzO3W/zprUf/530WXC7/D
JxOQVhKfgrnO45eIrG0ddKBeJd3d15f6+E7nS+EMJTueksOblPmfGWuoauyBhd0da5Gq4hRFse0f
cljurwk9EwJrOZPdJaVh/oiosJ95pR9nES7OJsP06RnPxcX3D1dIRRegVe4xTDKHHVTcPrp2yn2G
drTlR9dnZs3PXibmVn/2IroaGsz31yP/hIbCFIzHstCcQ18l445danxRdpp/0+LGXxPpYz5//YQ/
rgn4lemIO1T2KKbpixHkCR9UWm7nR4+4EXbHhrA5r3hacM4TPs/57z/P2WmrIw7ktOIZ5uLuyFce
2Fo4+dH3xzDftJxA74OOwAgW/ME7dyz77GoUxeZ5AF8VTf/3z3Ig6iknOQb9Yx7Xz+CDMnpPYvDv
rSGC9/j1M/xslKIP5rhi02Szl8ochevHQQmVngYcQq+xI40/bpmZK4Ci4TojkeRYt6QQ45Y96/7/
7PX9c2lvsdKa5sCsZId0OzoyglKjqbeejXEN6Fq9RpnlgaeI1CaruelG15vtJO16k9jkNdmRcO9K
iPI7o/OiM5Pxp8//f49kWSa02rCB45qVJ7r7mEqwszdPejRMZMAGmiz+87aV49YsWtbRyNECXJwV
S1uYRuPHhL+qctr6KuvWLqffJ2POdPj6XX/2kTLXopfFIsi0u1hlpIqbCAK1OCYafCh6WoKHCx99
EiB/bJZAsmz69FzFe/6/Lj8eDnmornA5UAhbXNXtxlKgwMOqrmXupfKvhrCLCI3GxauRf7XtYEBr
YjPHi7NljVX//zDle3y4aOuM+ebnqfKfeXgyUQZKOYgD9y+3yKz8CzvOqb/CtjozC342cjjXzVPR
W4NscSkilyZqVoF7iCC8gePOi0mty0raclMqgcbwv75PFw7DnP+ObtmhqvH+zlpg0Y2FKOaUggQ7
KgxKHCSV8yIwTOMp9NL9kDXu/uuLfpww3l3UX+xPhWcqIxtsMmyT1v7dRkn1OKhGJ8YFTFmw4SyE
0b/rYk70uSOt6IyL+eP2nMtzuDM5CiBeXOpMEKzpvUELhQpRepmUqJ2rGDp+PJjG5Yzzu8iptz1W
gQns1iWI9Oub//iC56vzwDmH+HNf+P0THzhAW3qvx8fRzKuXZMi6ebZsQtJJYuv262t9aIujk6SV
QxnJnv3atF3fX0y2RYTiS8ZYT/Nsa0F63DWNCahMCzZFFOSXQeUa13HsvAa5/20UGoVODwBv7Otq
G44S+GNNAF0vUnlm0fj0Mfzzy+Z//88nVbZOk7mmhSk2IbpxFSWT+JX4sb0Js/rP10/h45z17iEs
S9el0wZhHoyCQGvPr67ijM3Upp2mkJAhAibkFsaU+bch6e/h6wsvdlDICUEIkVmp8w5o4SwBC04c
VjFSqukgx0BL6U5MCkS+V935FMUo21uW+I9ql7dLMjfTJ0VrwJZmcSYi+NvJoEXywlEUthB20Zhl
MCqurTjztl/f3uIVvl0LrQFtGAAL1IcWgytsiblXATUhj5asQ4KQcut7JZvuuVSd4ZyZGJe1KOZf
TtKscOB+KDD6yzaw01R5yRoaotxxiMWy0/63WXU4SWEt3QWi6bbm1PY7o1DunZGW5HOmyjuzELzt
B/9Zid5+BLtM3uVct2Fn/H7YaiSh152cwmMiZGdsdUK2ivUID2LADjiaFxkFYrkmdr0tDqLtUVfW
OD9J0OjG/jUKstjb+WNOKMBkxEVJ7272hUoOqfjMw5z/NCw7L1mNNG6j1//2uubnx96aDSjjfC4e
vv/pEaxgoXEoPTjDhDHEH5Ot5jUeUH9yPf77pTiJaux3+YZdazEyMku1Ef98PMi0bAghN6erAOTS
LsA3fWZYLL+x+a7YE7DtNKl1MBzf35UVDWnE5OYftBhMIal+06VS5HINiRHcl21+7lS0HPTz9TwM
Gog5Zs37UiMZmGpKbMKMTl4sjQvY+JDGsjm/B5nk4b8/RUra1LVRmvN9Lb7lySsA5LdzRb0n9qBW
E1o9o+3UpT/QTT/zyt4mo8XI1mEd0U3BY0nJdzE87Ky1K1kFRA/VMso2JPyY8Uq3KrI5tT4xH0DD
6uQrQnd/UpEFnR6GsEeqI0D84D7rmv5RjJN7OcSUDI8FMDTIFakI/8ahcOA5Zg3AHwA3HiruiuJA
THOAtGQR5E/It8FEummY/aaBln3DDpZcp00mfzWJY6eziaj1VkE8jT281Sj8+fVj/mQE/XvjS0k/
vZKUTLzAOQAY8k7+RNpH0yfWs9aK8aAI+DwzbeqfXRBvqcNeFj4aVpv3Q7bB4NqE0IgOWL5IIWqV
Mewn5oAb0VZQsRGXpNsA4DJRivRBnUqG12k97P2WRAGqBYTx5ml8F/YAH4GFAuYNQcDYZwbfZ9Mt
Ey1LGMpN9tzLPkMM9LhsAi8/9a6u7gB6yT1xPO7aaGS2M5quh1hABkncookdLM++a+FKnhmUi43i
PNtyygCXDJaDrfeyJIBTsPQNDEcHaN3pH3sY5d2UVm20MuC8NBtXGM33vivZJ+NlrMwzk/0n72n+
zmeeGagblEfv3xOtV9iFkZ2ewlSN+moi6hiYqJ90z71q+l8WKfJ/vh6Ki8kF5dbbhVAhU8hj6lyc
c7LeFFFhZsbRaahNv7aBB3G819PgOGnR+PD1xZbbImRi5jxrOsxkVMOdRUUiE23jFOShHY2ZfDqf
rFZ5TnJ3iUxwjWcBmjI6iuPXF1280VmbhhAYgSIksLlrvNj9asSk5HogxFGgF91pUd2taSAXt7In
CGZkpG0pKw9royc09esrYwLhff0zw71dG2ksKVx0qlmUFkuFGqEi0mgPjjWb/2BnE1DqXnBmtePb
GhHftwpk7EwU7jg/Q1i2HKDibVfs9TAvyGHtRjMB4h4GeI74sItNOmYSzeug999G25e/lSGZO2Jq
IY9dD2BgNUAC+6sNlX00ndqKVr4Z+mBWK8076SOOcYtSSbGJVNwnm74UvbbqXY1AIGFlgM36EfDv
ZgKVchUroRqSG/PpT11G+qVtVGhuWREIjLYmMsYIA5AuHFsVacmF3hjJVZMYw4+89eENjvqAKqMr
K8jHulNAF++SyANr1ujgbYyxcG7bztFvasb2KrMrRaCrKCKSMzjuknVUjhOJRLjTX9puamFM6loB
ly5KaLvXnj68MIHUAUBizSEbApbGZupr/cEJNW22LKTM9gC8nfxnGHZBtmFrYjzazliXm8xznZum
7CeYz9406IdxRDTAtnngsjb9xD3Rz2wwhZnbDXbhrgKGGsQEmDTRyEQY5l5AzI+yvqdZQtgqvSPv
MoB8m+9wCsJqV0VRfMtk71nHJCKnZwXbwfvhZ6G486A3kLfW2EO8KRRe3IybhldVgmvcxnqjE5iu
NxHtGwOE50plJMg8xcgd7JVMmRh2GvPxi0NayJlxOm+OPgxT+rqahv99rhUupp0mBdYYa9GJfUjy
MoWO82gzRtqVpQfun6gJbRA/GkkSQSaiBC+SsJ5ZLcKL3rKNU9/2ANFTmZypwSwmw/njsectL0sl
EkjC5d7/qgYFxmQlwOJgsIuNRrmPrPYhoMpG25iAg6A8s7F7O5YtngPzoMEF0dIzUyymijlj2W0T
l/nJoJ2wMaVWj1uVeeKVZHIDE3MnclIE+8pZlQW1NnYQeSG2Vj0N17ounfjcur18MbwSao20RmcZ
FqXVxYshgTAoEIoRXa8Dll+xeALshdpAoLYKdVNueG3kdWnuLfl9hrrQR8jsG29yiWgzBlOSimH6
4ucY2Mm3M2NmfhaLZzXrEvFgssNnKl88qzYrSCy13IieRN8+8RfzQXd7UhWbMHN+R3wXYufrg7pR
ZSR/5BObMx6k+M3+NfpN+rj+18lS68UMcG2fmXdxA7616Rc/D0U6RW/k3igJlsXvDFZ9pDtYFI3W
6btNrbvZfohNshb9NCGCIwJysdbQFO+LPNU2nRi174M5GBsvsQCIB5yRRDyDgpVbwFnS9UMztyY1
L80AYVnxU5kQBOTa7PYdQk+uQ76ESxV78qGd6mre09V3TZHBQZ1mekYQ0OdfRYIscWLECS+qsq78
DfE7ZeLDvdqEgtwnJcxtUGfBGjw7bCE4Ui/wGcIblD9sNZhMqm4T5VY+xwLG1p6en4IMKQMM9QiT
SHup4v6h6PXguioAhEDeT4Mfyk/S66aGAMAkPOMsVFBVGAchvIw79jTRxVhZ0VVck4kokV9cIbfT
Dx2o45PXehZhvWGDtSQGV1yMUux1IyaAoOn8/WB72SPFvD9JFKQXcYCBSyPNHPMpXq4LIHnTAxHV
PeHKZQgOndwDxnM1/22xc4mT38W1Fu18qmPXiUMDlN7og5jICOzQIuMWjN0/Jnqn44yc+ZX6nGwL
+Nkb3xoCPOmoFwpFKJ/AW/QbHLb1bSxc+455wvwBX228IrvJuWtcu9pmQgO+H0fZHB9S/uYzqsQh
QWl+yAyhHrpAJBfYd4dfjeYqrMwx8PR6kuVfq27EjWaU+iNeonEl29y7jBBEPBAcRYpa5oGxz9o/
UH/dTRd6Yg2lVbEmOv4+KAm6L2ryLwtKfxcWe8pLZVTkEg+5zCG6V/42agkkmKGCO5aE7uDnML+B
ipbrfoJ7AoiIxM+iGx6CIqxuMpGb15aZiOfICqZ1U4BYy6JSL/ZBjLi0Qc/wqDS9exbDnMJZpfXt
lGXRTpKIBnmbyLOBpLFT4XeP5AyGR8vtCVIkGrPeIG6J1jLtZ+9pntwBZLc33UDJahgmb0MwEIOm
6eS1MrRhZxZBcku5RBcPacVZZS0pMN6ko9S3pZQZwSl9sHGDBES3X5PtEfvOfcRmIVz1aT6uYmll
R8un/xQ5ebpF45g86RBXbseGnp8LOpOcZBWRQKiXhMojVryw9Tj+xtak+A2xrFw7Q0NlOkqID4W/
tk5i0nAqCribtJUk7nl66O4jMiSeClKAnkKXmA07iNLrkMd7Syqr/kI8KAm+BpWBAgRZvqr8Ylr3
NSHtPsWltUQFs4HRBra/T+dgHneChUfMse+yVdIRtR2nAkxXkgPsy93G19bu0PflFdxpCX7Sfmaj
rq21HpidK2DYN/kthwWyQEOhrzJheIfA6+fU9Y6jpt9UhyEQgKQN0vSct7psaT8ETfSaakQblOSH
AUifvJ1dlTuU0Q8VxvpVXVcW4W5NsFW5UJdT0IUHadjpZhqNEKRr4Z3o8fLUM70ttsx8/itbM+s6
NpNW2+Sq7e59+HsvKqgj82gljXc/uoV4imNb/ErNcoi3iBLMx4HqLOmfWmRc5ySxMnxHfC9rHRLl
dqR4fuwGUE1rR8+h3/vlFNUAr+Mugyc2EFw8StmGO6+N+ob0WifMVjwuCfpMxL/7omog9o0/8lF0
R03aIOkTHhpIeLkFfVldRbkTgbnj1+i3WjLWD54/FP1VWRhWeDlwhtZ+T0PtU/giF8S8SszSxmIM
cU0zkmMX+tTE+CF25Wz7zA1v/FrXbmyNKvRKa6Pxh1W5/po8W7FmnjPVqnV84gFCi2DtpKmdVWpb
You1jUBWs420qzDzbH9b9L3Nfs0nLDsZJOHqRuj+8qOqe8TpPAAn7bLH3qrsP61UzR0BnIDbvbrk
92ZkrXgSevwEWn8lqd7dRjKzH0vXqXaEOQwPsaHXu9avum0WeeVJ+XMKoGbWP6Q+FnIVW4XYkF6X
/Mp6IkJwN2A/a/vsWBHoFK8KbJ3Gypmtn4QoC3sP5TBehWMGudpxkozFcFQklblkqEx5pl16YUSG
XkLJ4MZB2zIhhu7KlyRtnWMviuakpCNP9sSPBRqYHrykbpCdGO1jVFkqRw9HqKtF0A4nxqImSynM
vwcJMGNG9YDG2GBXcJMaY/MUdOLaQxTUrYj4DIla0RP2yprEHz61mf9TUO9PZ801xYjecPaO5rk3
OEX91zyszBNHAxv1Nl9fkoYk34laVCerD2mXaHV9n6V+duW1RXplE7V8qELTfE5E3H/TB2QGzHtd
AMXEbKh9hNpUHmeJzreEAPgjOmpMrw0xN0FoFLcT6xfSbNacIYnFhSxd90Stb3giXC44DKPrPSE2
muHmakgPCdB/b1dOHaEANr62mZApPJqFUcxevxN7W2bjvS50wm66oDuSphUdEuJOWBLC8rGKPBsO
ZdnvbFsGdCGIm4/9RmwBpycnw8E8FgXMFUMjqnGb21a0N/qAzsXEbmoHCnHO1ul0GALwGT0Cx1N/
IxFN3Jj6KO6ixuoJgrXb8Qcwr1pDTu7AhWBw6N8jN7GOkHMK4piLkMTxgAwGl2BUqNJpVhHHI+Xl
xFkQjG6eH0xktNtCaVd6H4aXRDgaN5L0zBlRomAF1hywwjKY1ZHOMctJvuBhoHUKykcTMj8AA8N5
ivPRPKik1p4jYkh2EtoVbZGsvG9aoz94VVnetxQknytLYJkv8uBKKT7TqkPjj+9brvW8JZ5ZChs7
hEsiYDiE92GW/Qr7dLoxXc+99wLmrGbsrV1vqfTBrir5fZz08WrGBW1kWtsPiVFOe3zBpMsUqfaz
xKbH1BhXR+hX7UHTR/MoQO6NmyB1Sdg1a3POtCuMnQ/+Z901/txzeMskTrwruwu8lTCj+Vvq/YsO
i8GK4EdArKWKrxB9FY9pl/31C4INCfP1D4jEyU8M02IzoS571AaCHMbMbbdGisgFGZdGuirZcrVH
bjLK6QopQxBtOdcD5i7ifJ1qfbNCDp7/8clT2g55V2Godqxda7Y4bwmX/hGwtVnpJNhuO343CaJA
S5rJLp/HzknBydUWedO2HE5e04d7eE1s8HporTfRnKlUGyw4NXu7rfJN58IsjT9p6vYHigRgNSrb
3lvEUF84mtRfMSKZbN40kl6gHdTUEzQOrZqOFqIeG75xvc9EVayKvnUc4mXIFkasnwavbvsozD+e
hYJNZda2hGO4QTYIaxTjUIJQkYYVU29Vwgdrsz7fGCm8TUg3HLt6tHP3ytEJSAlzf2dTOVn1Ipy2
bZU3CAlr+zLwlAuI0nV/qcTNrjTZtutcGuFtqIKACooNAcMeCu2o5V29SUuZXvbCcdcT+5rrsh3k
bnAa90KR30O2luXKPxZLInuIsShuiRSefk0m+kLGrfPkDVmJhR6G/pRiekxx7hCfZ9TxC2eh5DIj
vu9HZ+pEJ9lF/TO1mRBXYY+YetMWBirMGuuEDalWjyG0aoSJj9J2+JFpYI0Hg6XxkkMA66oV0G9c
dQTkgtvLDYdZdAivGkdhckh1j7SL1AhPBmiSF7iq03fDyOy5nKF9E2GuZgSp+at2Bq4FccjaaWT0
JnCVCIDySxKJRtG3ZHwZbX5lB6275d+wcNGofA1BxB79LgiPmQPgBVJIcam7iXHjjgIoH56kw1jY
1ouIW35UmDovo+Tt79q4jm/BnWcPThB0N56ccKIIwzxIVA1XddPrJ3C37YUnBmaxzjBx34Siuk4m
Of00u5oyr2xqyASZcPdh1A/tqu4GshBxKdxhcSYYOh64B00OHmkpPrG6q7Zv5O1kgrxBQa1dYa0y
tHU36v0rZD0SYirHVo9ekSAW9EZtHatKuw3p5HEgEWJD9Eqx1hmwt1XblI/YaMWeaCvjBdeXtlZk
qA0QWYNxm0JxvOqQVkIJLtu1UxvWjyiUzS/HVO1zRhgd0bSW6I94QXBdD6l8Nf0YhEthV4bBbTCv
C1HR6ijHcQT02+MwNYOq3ia97K8HBjEp1zVA2iksLqcel1GmZf293fb+PaDWfifdLH7OVakobDnY
mmARK8BnSd3twM9H10bgFXc4EVtgwYbP1ELKvP6tTQZ921RELBrVSPJqMJXWTLRV2LIt5Lm7gOdH
aFQo4kMX1XJjuBRNJ+Vl7DMDVz2ECVOrI/rxNsLgsyO3OPS3hluZG90KKA7RlhHMOhpIOLYIhNiy
onwjQsk/FNJlSIim2FtdQwJanPc3kUc4AfW1jsZPFM7OJp0Ux1g3yM0DPVLPRB0iFImJJ+Rel8iM
Dr3lmAjm6j6jetgmhDdQqM7XEVEIE3FWRvJ38iwcXyIfp18kdeDRmFGbcjVmDafSrGXo63VEKXTK
m0M/a2rBA7vuqnZUfEmWEgk2bqBuShPZaOu343OohemzcGqS5zVUXSvDqEDtTsRfhpRiLtu8GZlB
cmNbE/a0KbvBuSH3r0awGBu/08gYNs5gSDjAZX4xDrr/GMVNdoQ+2G6MaIKnXmUsHHaekLzoWzeA
7KNtbo6/qToO9iotCO/Rc0f7qRvjcBs2IA1o1/Rb2FjBQc/6iX2sq5HFxFCX69Lt/V8VygprLiKQ
iW557KsmApiysdjJjARKLbP+j6PzWo4UycLwExFB4rkFype8aUk3REutwScuIYGn36/2dqNndrqA
zHN+e9+NJOAQVFVBaSw/k9moOO2lzZFrWv0vvRDZxR0lFMtoNOYHlXDywDHrXPg7DFx3iJ+3jVan
NG/X742uxLshtHmD0qk5jwR470rDdXZDOnyHqaLXfsntH2CQ4dDLzEgEw1UiptVLfKstk/SGaIwY
neNxC54WNvKDhoS8tCtjcBtK+03MxrcIhwx+ve9eJXrxd2OwgteZBO4ffMQunlP2o4y/bCycfIqy
psj/lFkObtnM1KepcLxkkBuUPJnrtvPZZhNBz3ART7op+Ox7P3JnkGwd8NetoSJOpfLLr1HbN9/r
nL0LHQ5f/uhPz/CKsKK1h5hSuqOOZFurN4dyYz9ZKFDHrmmYV2M23KfCNJyvdgKHtsOeJtwV2xUj
uTPdOSldiVTikd7f+DTWQ+fWsdMyCoibv6/WFTmcjV+XO4J4/Z1N8Ck1Ybb+4QBe96Xqrctmbc4r
gZPGHqfMwsa5jtYTCXX8QfD9e/K+CGJnR0mo5Zp2eHfWa7vYOj9qiFaOb6v4MHPqRwnTSq9NysKf
NuKdur0qai2aJZE4ohCY548aimw3eKANNI19dtJ9MWkXho8br5RAZfCx+k8A5hSHs0N9ylSJpHIN
L1mqmqhFWueitSwf2eu4XCrxVVsTadcZBYnOZJ5Jpr8fN/lEOdpPM4EwM4b565BGwSCeydB80KZN
86qisWzrF/zmWZXyD1puQnBGn/h+Tjg1L3aTdgGBMuNB4EyFxqFPl+yJO3sN0eJjvthpj0D7NRTw
PgD8UV9yFje2QbrOtD0ULqLmsAy+Aua8Y4dsf7+kw3AIt3qP7+6lbpuSk5BqLVv5nEnbQLtb8GKL
/q0o7fcymwXlxUUazwvP2S3HY1oGn5TQ/Zd3WEuqppLcGOh8uV9es5DfWstfgp9tuo+nC0TrsVuW
r867JQs4WxX5WVnt/Mx9U4Mz0Xc4qagwifDWWz7uyZv5gYuwwRDmn26o7jFC4kNUsPTEth+aEucj
Hyc9srr6oFdwjpdO1jv0sGVUcRAd+imfktXuPte2fmPCRUve8y8IdBjjezwt1DhmeXotAvM/L1tS
7BfF7Ryu3oeW9HOGyfUwCYMRUQh90Hn5ryo6VjpNJKM1+yoiT/JBUW8WLbXpJdXkEitOu2BUTSQB
+t0axG4tT31jYjFd5u95zO56L6dxdKiCYzFyVvkz+eO5Y/uRKMYW3UH44QcGnWm96Z2GlsCZyJ/c
4Vvqaj3ikxYf41p1v/gh5XfYdNOx8PjMI18qx46xk89vre+0oI9Gtb/p4IKoZR15KtJCPOSVbHep
ruF82m68BJa+ddXWMFTh5NmXrdjsh6HUinLrOlCHGUk3Wf2BmZRBnv4uopnjOd3Mq5uXLLadxNeN
Io4yATMUifbK/l9Hm/fOa4lHD9deX+QWbph+vWJ8XTNfHTs2sms+qXbnoqB9mY2imkkBrxV1k4Qq
Y7TFVQ7IqzB7U+d33qzJ+vJqe74sq+F88OLDHhq+N8VClOKkPYIiHLPHnkKb9UF3akhEyOMyQ0UY
ZN97r6TSrPdFM4cA28F6P81cfKWZ07sBPLubaPR7mrICRra3w2c/WAme07RPmaTNvpE9h+9A5Vyw
8yzeIcI2DCyp5fzLSoptR8MYkmCd8lMwF1YstuC8mKlODFkZjFjiiVHou1DVHUV+xzb1qxM+ZPaJ
9GJLGLhplKCUBvuCtD97ygW4xkMPv4F4thXhJX7ulpGtnf98I/idndK7Oi5Yk+tYU6zW6RPaDhNb
4H0UrgZ/kIRQVJy3cdPqg41lO4INgWVUzluWGy7SJ/lnXehZ2LygPtlp9Yn/aNnTZC3utkaskeVr
ZqS8FJSQFNd1ovRX0qVoOn1+8IP5JonwyLmQzUMa1Cwcqvv0lf8vDyh47LTzZvb509AwkBo5QH0x
QtOkx9nfjuXonlzVn3NawpH+8heu9HNAfykmANrChY2vqZQv87h9+kK9qMJ+MBUBg4NR3CknvNNz
9oR3iFjq1ntsOPRi3cg5CWmINDmRwxz9F+XO9F1SyjxP/6gj+CAlAJjY6D120+GVwLVPxboSjHm+
XykLSUIa3JK8GnwSX5kSgxZuw1D9sJ/CyXrerFowpPW/Pb3vMd1d+LJK83mjDfnguO27NTDXtmLd
535t7XO+ZRpxOvs2nVRmesfi6d8breFcA5aLT6uW6eM0YBLehtCPnHBynrKp93Yh8QpgNYFH3bZ6
dZp82EtsenfGuBWA5vI5taiNd9tZRcoM99w2X0qlf9qa5a1HIR7NbfbADP1orYKRaFsOtQ/qWFG4
EBflrVzVBd0bhyngpxjZKHCMLf8Kf3DucrzmbyxvQbxuhXmCdHF3En/va+ut7UW1k3GpQ+W+gFeR
Cb7qbI1qb4CGMOjPel7L7m/gF3S/QpIe7P49aD7YczX5xQaRckDpuovTvD6bRUnGXZ19FHN/6qcV
4GQpIKxdJBdp+EsjAdkOAWAHMh5x2Kz1TLk8gbC991463ZuhizKGpFz/WIEMTw3CJ3KuWG9zu7s0
ZDxFHjxQbJJkHDUFsQFUIBs4xu084s9ytDb3GvYtGXvjJiZnth63fWV7d7XHLGaQspWQzlYf6so8
D5SprC2KILe3Psh57o6raU/7llaSyK2Y/6qRDE5Zl99KSXMvPA2ZpIO7zUUnRkX2npB2M1IOPelz
qo/1bDF7N93LuG2/UrVftXtTII0oPkSw3sQ9VHh3GskLlT+7StL3WlG2ToWJke+7UU38ftl7utYP
JFIAHAb6ubk1UCq+dUTP2aX3isssaH7Hol/xAmd/ASKzt3CQcm8wHZ415O1VLRBOSw5GXOYkwGWG
/JR6sC9Uhyxx69W/KEmyg2gYcnPXqijcrJ7E4J7I3V8PFut8ZI7hwZ1UfRmwgUWZN0z7ipcndh39
UmWEOYwa/djamaRMZ5O76/VN1a6GfxS89W+rn6u9a3TZAY39eTIoQUP0BPNHeWJcg7oxVptPVbF9
6KV6par66g1QM36tuWUNblM8EqBCbX9cx/Qr9NSVBfkosvp3JI4S6NR7XSl9SLa8IILklhJLAvg7
YcZZrDJLoKVb7ul/nq5hO9qfPBRKJ+r8L9IREuPM/GVcXe+ELalMlhbUXxhbkdyM5RnVmzFw7MoZ
qO8YEZyIqsu7UGXUdxT6VbgGnOQsH/KaX4VASYvbXvwagh76JSw29o01OHAcV1G26TVigbxuQ53t
0lQ8NM7Ah+z9m0fLu/raBKBa63fgxyfHVH6iDevH6Ayy0pAwRebsUDRO4ba/GTW0qiS2kfVgv2X+
f8vY/1ojEHWQQdUKaxkfoIC/KrcxSLco772ByHlVZDMTCwUSzoSEduQmYU3svUTI3EyMwriz/FtW
Mtt3XK7ihaWWfJWyOjNwbPh4IBSo4b1aiAMS9BhLUmTsFlZPlx+CQzPJxPiGN7TdddPt8C+myKfc
OrIo1F78+g1mooiXlBwZj3KVVE1AlvNs7Tqxkr2uuNGa1hV7oTe+ZlsXsdLT/VT1H2TGtbHRdV+p
C4wj8rrY69p6qwf+ES7raefU3V1XNUSiePB1Ac74nXKtcOdX21drGO/9Df7O3e1hnYbl0I70YGd9
/1Ih3TkEHnPkZC1lXK2KLJ2NE0Sl63+zIsSGdINo7ouTuyhOdFiVq+9UH8hEJePlhEBwWoYYKjNn
UhRf7OTPLPR/zaJwdtPUB+R68ytBGPDf2dyWzaH4Nh11K97lmwvsH9tRLyQaoBRCVBBBKZ4nB8MA
2aT8L2u6pzyFdKW85z+z3c6F60Jm2K3DEEpqyuyhkxOFncdKcsqS9vrA5FWCZDI6Ocrpd7nZY6Dp
rXrHYoZdVrd7GrlzqpbyFyY8orExXJSVOSc4BHdYbp6R9ZaJSa8G3UntC0R4cyyC9l84+RpEMi3h
Um4rB2Fnke7GTzqLXnOj+hx9DIMeeBaYkL0cXZvNgUrGC9b3JllE/Yu73d+HFWasNgg/wsUzY17E
29Wdv3eZ8+Cb7XgojI60SF7XCBpoQBBU1rH0W8i9UtKCvmZ6J6aU9a9h3KGiHeoqT/dNtp1TFRJf
Kj0RFaXbnQP8wbsa2Jir2ct3XJVQ5xULITrLQ2VuaxQW5rNT12JvGtlbT/0N0C/cTT/bTP6hft0y
I439rHgzgvp3wTISu1tbxobLTuOs3V1tLSCyQj9tkvOjNqtHD8VBDMnHtiRnJzIz1pd2yB3Ko6yU
4uTiwVnNJK/TLCZuWURuw/xjeLxtowDxocKWcE70XWdnhcmUZFIkenY+J8ta9tntsJmQoCbO6u8s
Q6cX/EVZPKuQqaCpNBnHSDeGnM0j762D14u/fbjST9DTjYmKomjqY+UP3g61WnVt/ZHwZUGw+lzd
NliHi60e54di9d+JXWIrKuTjiLCBd7T/yhwbQqImXabcT0X9VMh8PNii6A9A1L/d4r4Hg+r27OTZ
vrDX/Zo2Lr0h1DkXhIPH6H0luViQc4TcPzEa7wn7ufYdbXro/r8Nv9ktznSPK3bleRo7TuCD2QUv
jrsS7wW5HFnddC7m6lkG1T/f6clEohdqa+tPNdbvRQoqnnU8/lCuT9l8S+JePqzGhwjOuGMn3f74
9pjHml8SeYJLejgWgV1lbWPChQt259ZO7JfVR4qBhFWc7yl1RyiPmSHFpZUE9XTHgci0fBQwdEmN
fTiyUG1EW1DYyYa6Ipk7l9OuXYfIhuSNJFlyUV53L7rYptgxaCQTdErQUK6x8dcc7/aaRbPHQ0v7
SkVo0u96wd1jlv2zHaQAymILd0qQtl7WZpdQXgeHzYmTKvW+LhXBa2X2mhUDr+vNQsSwdVK4KBK9
gq07WwjJgdrRTMWr3tIqosuex1u995JVwWzYa9aC4vKWfy0tct9taRlx3gZZPBCSAYu8ySRbxiae
ReDHdY06s8289LAFeRMHVpHvGfgH7qfiZYOmCxbCpKjeUtEwuM+dYG0cRP8PEK9MWt/ydl5v1Mk6
q42pJvjPJ8Qp0n1bxBX0fY93FjLPgWrhN37YOlSA8yb/LBsEB3K1/xzl/iVu69lFrxGltnPZWrj4
W7QyhwlHBIL1MJnBxDxe3qhcZRlvQ4UMMp2J7LJmpljyNvczmbt8u+65sZcUxsaDGKN/JW6RJkb9
4n9mI1nym62fBq87SXP8IE5iSWqTRKxqLqEfiuw1cFgze/FI4xrgk+Dnh51S0WiCruSANonlpm6k
SogWmmy6uJSePDpV5iSydJGY9w8g+kPkW1MYt0zaBaUaxw5tT+Lk7p8ehiyalOAGHfsCbcb4HyU5
bIImZgDfQn/olcNrlpn33DvLd87i1XESi56S+7bw30G3iYKdxNX3GUWXceu5ofhXwmzMHC4zJLgc
7zY5k4nhI1nK+kz8DCILow3YZfBnnx61le6tQiC7mBYoWvstrYyL09mvW+f9+GsGoh1kaDGGE0nK
creE/XUqV7jxYbsgW6cBseVZ15v1LTrgvMoxMwaDIn+YCcjihjfPTm+srHTEJqYGiC5g0dHW2aW4
uf+WGWmHnobhXnUjA5Zvgbg4/rITBpHYRn3D9fs6j+1+1pB7wTeNtk1CrCLgOCIp5HJyH1Ix/Gw3
+oT6QwAR1Ts9r5T6BpKmPK50fpj6DRmwjrZcvmWDzTS+/E6o3i+tqz77Duey15hLgmmoiUXpvBLx
6kYhWfWoXP76hJrn9FRWlNaPbMvKArYJDKJHyI3bS7N4NvLtzkekBN+FYm5CHVHa28mbbSJp7b/8
Ki91xZjoTeaXsY7cOmq+J3JuRIKztJG5ZTVkdsUdkq9M0Gk+AGd2HIRLX/aPZBzXu7qoebcnhopH
F3XaC2/ssO+cMryU9sStqpWpYOT5lCEgEf7Z45RfqS3kYB71eIQJKkvOtuGNkbN7v405J5dIjetC
s8PjSqztnyHP+72VSnHPuA78NvX9z1JNzmFB/vlBCCTSX1vIS9eE89ma8NdbQ139mN6ToTzASDOU
/WMWNi6LDJ1tuzqc+ovqVu+P66bZU7rUfAZVYCG+QlX35bdBd6mqFfZ1ojwzYgxqYr3o4cHaPPMP
TqRm51tb9WCVnn+CsxRPYDIVsEjQF9+triWte8o59mte3rX4e/Zk0M6P/VpN92CI/gXEBFf64vSA
xl5moL8GIv8qG2s8d9K5tWBOXtIEZJ26KYtvZDJl/KmMaTmtzo2Xp3jMuro9j3oay+xcNWJ7GBx3
/I/uVO+Z3ENWmYqAsHtlWOm7m1Yr0Nnku+SThO5txQjS9grOPP81KfaaWTlF96mKsT+7qFW/ag+F
HqHK2Wluze2RFur61Zs2M+nHIj/2ziKTRhjTg22qFRF6j7aFAPm8ifgZKaSbDeMZDkP+beqZX3x1
u/WoMBgdNZ6P+1o1vGBzpR/Cocw+tTmW7y4VP2dyEjBwjUX1O3r4QoHhs4zIGYlWnc5Ug5VlTQPr
OvSGejBhX+hYFsZDIHOXzkvpfQ+jvT7YgVy9SMw2EQtSwnUu+fJky60+5lLODPZwIo0pvLtm0tbz
JD33BQmWDS42KmQm03bPKQQv6FhZAumoTh4+x5PuHPu8pTWs+BbO3afsXF6LECgCsKPAljWkpTwb
7HnvcvPSsyQb9cUcjfkP3QYOE7FtQUIM6gDzJV76WUBjLwXUniFb75MrNd8TT6Sfh3nTPFP0Wftt
dgqmpCCESKmLvyFUK3OKqy4C1M5YtLmnANU6IB3pTmEXNICupfts2f+Pwm26N/aO+peH2R3pMR+f
LOYCpPNbPSycEVl/JVzHeVxDX5177TUvaPIKgDXCi3AlqLxNiMzp9zz4grbVm9qoVXP+IkHhd605
rXzK3dSvB17j9JQysx2Brv0nMQ/hj5HOEjN1neKY6ci94Y/MD1YhsrOo6+FzXM32EhZNwXbmF7u5
xfJUtw77PbTntPel174EBDMr9NWuem7XYLtMtWf8rW1r/S64qM+dX4mTDHDiFZUDwuE7JW6tsLzM
ll3t/XIrd2xd/q9ZNfquK1y6+apRPA8FyoGE6nMkGpZaPieTftAq9/yrYw35owTOvqAjszkli9IB
U9DBd+Y11plDkBnNv0k2BtOun5dAot1MU3tv0/P5Rd5ve1ktkd3ZC0N/x7T0t6oce5dlHc9dpOXL
VPb6fe2r8Z2c+O7BtrIy5DII5J/QXs3vCgRiiFSfc9eay3bOxlF9iKDPDiBZKlnX6bvsRv2xeiI9
GrpUGXxxZb/bShWnYUI0mYIi51FWj+llEC6zktV4xcEkkImAWGfktBga1lVzLZzEzbG7RxXNewdz
nLO7bujbnw1dpAtdUGBTsTJ7PTSOLjXoXTocxkmHZ7G4Wxk5PKkEJTwEBW6X5Vi2QZBYtrfEJB1l
CbNDfe9uVvuH/dxIvHC23lTmlrucreVjqheQvLRY/0oEcJ/rjBpYLzXWkW1pd0pL6x/DFOBTmYma
Nc+S19BujCcL9d2HR5nMeaFLY4ml4XLu+KnxmM5WvtvmLNtT4jcfbd8WJ8B88xjSMXtPwas6Msj2
d2UYZhT23votUER8NaXdP3VtOf01esroUmWb560pl0RaYGvNms5Jv9lrYgLKHSffLK4BzEMMhuTc
TY0a7gu1iNOWOiGn4TBdiluxctMTfd/pUR860TX7yafuyWdb27cyyK4B10QyBFXAoxF2vQPJYlTz
Onc+14FJz8QwyrtgDmwnmscgPJbZ6O58s/J+HCLocClZ3aPnO8Od76T1o1312cWHq2b0r2t+96lL
P9hC7AM2q3DfBKskAHfJZkwarOeH0TEsSoKc9dmk2Zb8MWwKQ+yBBT+6Y1Wdl7qBE+ZgeFYolOGn
baUPiwG1B2c/Q3TXMofUDJeXsXONu3ys5jslGpW4GGC7GLx5hCbWw1eY39qUg3Gg/MZvfZRz0uRI
swKxXuvNKO98qOZdB9p6SHU2PKp1CUZGLyZWMIJH39cfC3vNo5BhePAaCS8wG8G72TjWH/S/3jUj
He5iB7ks2YTk+p0WXn/h7xsmGlqA2lUnMPhgZPDSzohVvdILVTwzhxzyQepLKib9t+0XxdBqtm83
AcYLoi3gjLlC1hSmjQXisA4HxgSP66IN7qsOYRs60eyKrRnXqx78DpuoaXE7lohmXNMOdw3FcCdj
NFD01sGyM1x9634aKN7exqId47S23W8nL9XdGgbd8xoY8tySUNHCmEpnn7UoWMqqDWm2Eqp9nnj8
UQfoDBgpECkAeSyJuVjNScy1eLp9rG/LVsm7xkW1h3KWetoAg929Ho3tQhtCdrchP3/xtgHHlLul
2U/rjSZKDbtz/hNVZ7KQ9jOR0e0srN1SEppl0Ap9bRvnRkRWGwNgBoj1t8z9G/nTGFeC5Zcnr5TV
L87J8VIYZhf1RPseSlJ4Eq6PHt0BpFHskDZOsc1aEpqCeOw4qNyjXVo7HDpcDo9BazV4MAayuoNq
6faGOTY/4aLKv/jG4DmtsXX/611zQjFHkRWwi8oYMSo9V/8FxdI+b760L6OzLlfiaKYDvMT05Jdu
wKSm/FndkyQSfPqpolF+5dKGOivBsun/OCmaq/Y+apEqMa2pfnO6PiUwranWU9GL9bz4g/VhuSY7
nmnU57wPebv7fmOjl4So/iNfndqADSfLn4p+DQD5CZ064Fg+n5XnL1NMNXkj42ZecnE32mZpJ4yg
2bqvBixwp3HsijKyqrIAznPIh7NQYP3zdddxFmhrVJF5k93GY1Pf+AozkMXFymQ4ngXRc8uFUnHp
fKfWuqI2dSpeqKTyCLvd9/Db+eO22suztwgaqf0cvPFZhpaR7VAB4f7ARzFs+64c11ftzYuT1AiS
4Ys6ZXu7YENHw0IauJglBo3PF6whmMiPnRfKjaXfZ6fMDEqA59JXCulJX3moJ0Lib9sBeoubIDPs
N8dVzbczVlQ4Zm4423erTwL3HmRc2wmPfdVXvlUS+ICO09eFj8E5KnzFdlRtxZAn01S2C3IKtWZ3
E+gxiJJe0vQ4ATjJ3Yy8ckqyxkuHS9n725fm3KOpx674JJGdoVHMJ631te06MwWkM7plhzKADc6f
QosnTUfnYye8Jd+tioX6wDKOW1MVG3VyZdsiPkVaQh4go2su3rrZbJ09pZvEOgd1JbsL6hp3Q74j
q+bikVq0YRSQqJ6C2sKmCCg5kaAyss5dnMpyZDwMXRlcdIiwfj9SxY3OY7SC+ljOc5c+jDog8UE1
ppkniEzAx3TONnZGHy+KI7G+ZbormPXsHWZ5gBNcQcCzhT0hN2Rzo3ddz2OV7WSFC+zNnMbhOUXV
7YOI6QEClhHi3gz5Yf8z19wXdJGbQNnR2iP43lVaDJT6zi33kOtmrM8CVehySEvPG6J626DIUa8M
5tloLZIUyfKG3pApGNQqiNrbI4yQqGLl2GaHNR0LG7DSh1jzcjv/agoPyWxhpJh7mJzKcFf3Ls4m
E2FhDcaP+ga/L5HVMVmgthGbZc01pzwXlf621p5mmShHsS/zqvkcsgGJVIpivZLxWJRd+xbMc1Xi
pOoBIFm+g8nmv4JmwJ7Rtmax85kFSbThkPM/7Fz3H2OtR1RAFjaY283UCdQsI+xU6rfyKjNtvU9d
Q/TqVhqtT+u9avIDkY79iFpE+uZxgMKab3cow3EBGMqB247rf9oyhpLzvNYmPhT1RRDZSlyz1aLW
E8Jr+ydzwlO0awOnFPcWiiZnOS03EYiOLX/tWWvQQxIKiQjVVfZmxtIsHenFrt/xCkVNvsgWlCuf
s2Rqm9Y6+AthAQDeXtDFtmPZf9LBmvJ93dFhw52hBn46T3liF4Yd5hY3LUFUQ0MM21Gh77iQhd7k
+8lbbPmiN3M1jxgAqwAQJJ28S45mf0q8Lu2g91iZMalGzFGVYUSODjcT88w4+gX6w2yad7oMSVGT
a0vaWD5qY/1AXpx6p2CRAbJhK2jdFCNSAcVO9tnsv7ebhFdydSrZNtDupYknwbqJb+789N+W1+y0
dpOiADPHqSa6nYHPPiMbXnBdjhNbAUVAK4xKjwH60mxFEA7xVKqh8OIVcWJZYNdLs4BvX8huhzqD
1R0PlhMi0O0FAgGD4JZ/ZkVn5BLqIHKKdgtPdPO1BnG8vt7eFry1ALdLN7Q7zMx1/qw2MYhTYKfA
HmgEC29fbqnxYWzt8h+/mdV/oMQ1cSDYWU0XRINA20OfM2/2E/reLqczIB+Burwy93aWs0wl/1c5
ld3CoKLgUo8bWFdYm6PDA2xhkn4rb1VrPPtD3t6vLcEjn8olGCca6Vkp9lWbteMO/bF9AxcBeCK/
xHt6yL1Z6B970yNu7pGVFoxOhZi/zlhE9Xw1zKqYUa2lqB7MtBSJZRp0iViBzQAQC2Jdg++Vx/ca
Low/pz7XbYgIj9BGPNCpHfxLKauLAoY984u8Of/NLJXSJzS2hbnLiAeRBzVO8i/2G7rTUy+vgJMM
4TXEXYSmcxa6M+CTK3bZXc/Pa0R+7bjll8KjSl6n2trwkeEKnpMqOLBNwwjEHHWN10M1jSSgmb8U
G1l1ohdXu3GOIru/LmApAu0GObWRP8CzICWkQu9oW43tXzQsf3AxNcG2Z8iqXB50VrcPhW/kw4Fs
wG3jTkY3jmtSMnC3LVrAfW/rxUN+djPshaGkqDssUvdft3lw4kIXk7PfqlD8N20w/9cNgqpKmG6W
/rOzs9Y94LdvV9Yu7XyjyO2qBBVk2R4tjpPus1lGlyw3bUlLvjW1cOYksPrNvIfyHCDo6zDMr+FW
ev3VrlKMWbXwq+mlGULPeAGZ5oAdSMT8LgYm770AySmfwHvQ/asAIjnqR1KKYlstbMHsSRgi7XF0
7vshXH6yQDq1xtwgBWiVJmxAJ0QmC4e4g65QtC7PY33G4blMiTs567orvdvGkm0Z+HieG3K+h2sa
U7DyFqVyXxq2e7ZtS9dPdemPXsx+3P5oIpxgSgwECbsSBOsWkYuIKJ5r9kHe0sXz74gSnuu9tjf6
acN+8APk+5WoLgH+WOpEfWOyOTiQM8T4dK0ioUlrmk5IxRljoJQxlO20qNstaSbghlZ3XEVD3YQm
YmAE2sCloQldUU2i3M2jM5ckvW03eR32AqYjM+Ol6ZEDkRa8dqq4OKVVoQUkG6l6zIWbrk/EFvNq
Evk/I0Ephu+hlb4V43dhVRoQwtvxTMJmlmhVd/OnXbf5SBnDLJddaophTNDN0e8407XY7Vq3XJcv
YwzSLJkFM/RubCqnJya/7RETdPg0opqQP8SxbtX9l6+e8z7VwBcJ/LDXnK1l8IKk8u1l3oUGEU9R
27hY3oBOOU7R5ZjVCYTdnWNM1Z6bhMbmVv9qIEzj1xuzsvhGbzKU/FEgGv2EZJw1fgUbhX9tu7HY
7ubex5LDhzPaT7VbwBaE3QYqOuAtqPa12vLfwLIwPRUzbVMHWa/gbKhFHMjIudXDt+qzYUaSkmbr
zlluHOHNE9WdqIeCLfbnVL7agRafI4Fs/rHO7C7dm/+X/evQCP940xTMSckIAzmOO+a7hJRCL+NK
tdzhb0xFLNFw14k3MAkd5sbMIIQamSJOkkxvSKcamMiFiHzYn8400jf2J7+jDC01P7DSKOtrJTM1
3LH7V8TKiLEx/sfReSw3bm1R9ItQhRymiMxJpNIEJakl5Jzx9V707L2yq90SiYt7dlhnR60fs4j0
uviS52W7JXTf3QWd6DzN/emlY4vi91Roxj9eyd2Lqeqk2eoiGViyRF1qOwOMID8Bf8Ytk6Xl4aN/
UdMP0aX3AYzR6xCzc9SV5GzFAWKhWmRXqhb9havMwaZbDbc/uVynTZsrxFfBWVxk9o68pkxlfmVw
BuCaPxM72UDL0RZopWW2KoKD2hNJE5JtlfUhAI1JoadRzjNbTg1SBfQWKGUkLj8htiXujCrayaAA
4LBMbq5bFmUYo8e36GlqsDuPW7DEm3AeeNWFpn7MjJ7xfWQXtsVfshRCF3It4YWC/Te2rjXRpRrT
ArkJBCvl9iWfv5VSsR5o5WZ5pvhB7G21ZCQIUVL7nUZHZQ0GtRT/KaoVvfamMf+rWmKlO9pCypmN
YrpvxnLHxWypF3eRlfnVGCcpaPqG/bocyvgu80zbeNKjUPAk0HPalqSHvBEGdnUiWw3CZQXwfSOg
nLto4qJM90PSvbIidLZaAv63mJuJj7vb+jkQxi1afbYrtLz9l4VW5anqJPgdjtoX/8uZcwtzwk8b
NgljBNHpP8u8/BGw9ut81AxSHmThnvmNdrn2uW4zeLmL8EWHxF7KiibRK+f1JtIPBenS+KxhLRaM
FfkkH+Jx3onLcYyqU7iEmy6T8CfSlzVK/IRnSm67d41EsGa96kMdtJJoEepInGTddyzIgbvBiqeF
z/yfpmZbVC+/a2oIlkzQ5CTa3mf7zEfWZ4e6IbGVn+eEyFhnEmBgl1GlBNgG76l2UQVMwYT8uN5s
8Wt+qhC+O3mJ3xowYxbFH+aQv2S69ZqGmd+b87aZ3luFK122eOYgnLtcfmGlpx+16+uaZ1e+56xc
XNw+nxOavrkHyPRtJLrZ1rRJ1kue01qqDV/oUGjHBhJd/zLEglfEqVMIv6ZVYvCEdBBYV442KiwW
CTPIHklHR6s760xaWQ3eIQ53cqPeemt+5br9s3CPVHrV5TW1rbTcTyWTiMtXSZlgrOJLP39lXFnS
RLKJfoXKw+p1snpKcRhF6L8he6OMzIHejejT+PHw6BB+DeFYVaWdSAzlE/RZB9oTue8RfIG+Xazi
VjbyaE/95IgrnEVFpiFSFW5LkA+V0MZtsYfIcNqxODAwp1yfn6sdIh5QH0BOoV5aVbG79ERpzSVz
yjaNhHnDABHyVUFiIgrhsNUa6+2qjO+SRG48A7sy5Y6FH2JoKG35hgM+0GlQUIsv5sIzjerbUmP+
r2VLMNfMdKWt7avha4Wo1bgrw7d+QLISaaGBT3GS6EUneESOcbVmHg0isoajTZOfL5tQTdy+EC7y
lH53HWthgSJurefv4ZkGH0kZtAMQizJbSfPSbiLVORkvYvyuDRQNnoyCMvmcW22XlMaeMNelVKdb
bZ1n7bOSd9X8bwJKoYg4LStZV3bniVswEGPDDWCXdCMUBAptVE751JfBVhKyCQSv5+wEZv1iDiuq
k0H4AU3goLZ7SvNh9MliUrAD2YPTFMHWdCuFFxh7vd2uh3/ApxTt+34rfce8wTqrAUBR/43pfkVN
UKAWkF4TSr+xgig5ZPeF1XXkYBX5qmOpCu2vkH0J4YeiB214jkW/5p9rXFjJyCznGjvOeskjKgbU
S3I71W0xtSUkBNGrQ5f4WDXv6zzA8lmVbYN1VnyvspMKB1b3qPqm7ViR48nStsnBN12qpLQX3izR
jTeEpJwr68jKWD38XUnrGc6QIMZ+VFIQskwyfa2WV62+LPPrujpDxnx/wt+xCB41np56kubP2gbk
CIGat7w+V/krJk3bHcrOofnqJZ+wP7B8o8XhM0jUfcOxr6l/pnFJIvIMouQm2L1JDXrjqJUCI56H
+wZkIfPGhU5fV3ua6kaImJSTS3iclc8BqGibLCFSCPgk75LTIEu8opOPZf6hHCjWu/WslsFyTWS+
6ldVJpSnql5jxbAUJvohHKujz9TSEhsrHVNIPrVjV/T/8ElZtUayJWEHdi3e4gizJVRFih7ZMSet
Vjf8pFDRLyUX0ahqg5Z/2Woa1kaGt7g1IKmFHjSQEykhSfisVlq/EdiePt9Uyg/6HzrQzKBevydI
5NBXXDWhf780oT0BJeAk+q5n6S1OuQ/l0aEV/tWG7q3JqWPZASAEVxb0gJCtY4R4Qo2jVLk/pySs
VFbRC2FCHnz0RFTmnOdZqrWgaUpfEqN/dTJSuRddRs6NuMK8MvA9Yx3MR7iN55y2p7Q3zB/a6C7p
WzsLDQ9v0edae5vG+qBJqd9VslOUbVAN0qWXiGbE+lZM5FeQEM+LOEvEc3fg3Yrwg8vHb74PqQh2
zrz0brISb5bI1ERB1hFQE5EA5WUr8SgSqnA4rZx4PPSEyVDCKKq/Jchys8h9NLVclZsib1dfIhqs
WSx9UAd/xjxdhx/QC1td/G2m37i9JEXk1DlXl42YzYQjwkXiHcvLIcOTX3O+sy0JitaB9agYfhuz
bus6E/uKvKwaZYmI5wzJRBNzzbwoyzovd+bxho3owlIX1KKWSPBwCbLJ5zyO2k0Erav5hIze/YlK
jw9SpxHs0zpcy/ZUGms974Uxp5+kNfQKSBGmqpj/DIzWzZYUnRh5dI07JYgjIyr/dCBVRGhL+sCs
VGO+AILCx1kIJPAjdsz5tUlizmJjjm00IsEbpfEnWaF/twg/ED7vK2XSSRp5w2su366XRDX9dFiP
oDePjOmjY+Aes7YVeaapvqRBvsOU2JQTiSJrNR6lNbFQtPfLps6BjkoQYVhk/LyOcUkubIYc0SnW
hhvTky48FezCEhozREdmPBh7giMzVUmTSmdmKRsWAR3ySGx+BKvlGAnVf2wqjuxuTg6VbN4wUPdp
2Z0TPXqdTYsIFQmvWqYoF1Pids2ubpzBZPyZ6JlHo0gdSrhHwrBr5/4q0MjRyBszS4pUO2WvE/X3
HnKju5JedAzlmUCa2Y+3tIpTrephViQGZIU0mah0n2aSfWpsxCM/SX230qVtYVaEWUrpoJn9dyuT
KawhxQzLsDOKJ1JuZB1rFRWxY8lKty0tgD1lLV4kc30MSfzIZfVdwyqmtkY41jSbAxWqjC1Lzxpx
GLHMU/gduoqJ0zyKHG7YDBKZO6V4TQxSVaqkyeSA2i2WKZ8/gTiozwG6xEupqC75AUg5BCzbxeS5
RB/YkXhgCq7jUyFgeqjtOYlJ2Wgi8TnjxL1+UzXyZsDjspO6vYRS/ymmz03aIfG3Q6wrGy6wn3E1
+FiidCyGnwiwmSIYnjGYb8BrbKQ1Ckk3RIFPkvGMWsAiVBoABuEltmUMVfLOU+xMlOTkFPCNFfqR
sbqq2duUjGjXz2eEQla0LP02yi1ehJ9WPm7GJURv0W6Ek5yVJtjT9evB7TBriWiTg5jwIcx7Wacb
OSeVs/Ah0A5gptddU+8QBy+pJp7V9gfx+6A2/A2mOABB5BnlctKr8AtAGLX6WHXxtpxK1n4lvpe4
vbWdhlvcHHL6tWvEW3HZ6sZ7SkhMLKnAEDXkI+itdHV1g3sIPb82LDwETrdf/gp5cmoijyRWbpxx
T0/dobTtQXEL6GYcp/CdMqxvZrKj6bOfTveRHnJjjLuMHxT0KXVTtxQ2qnHJstZnWa5TsdNAJe2n
w0wkIMAuJ102AX35+Ppe0/tGVDtlFyDaOUt1M8fvjp4/IUNhJRNWvkeSb8iZgxcBycmPiIWQ4SiH
46K/19zhAH85crWPrPcSInscbYqudWaukKOUOWbB0dEFcflMVn9o4aZ5dp3DC3Ky8+yRKvp7OI6E
QXdqQkY+P+qCuKtobgmteoEHRTJqa2VLoE7z+0reLRTWcynpLjdPzeKKVawvFdJyOr1pRnsa0AOK
InUoy3o6pftoVGlsjpvGSPcLnevnz9l/PAPKYRnfFn2593wTCvaGpxJ/SKHdWWsCNua5B7UMDIGl
CI20q4zQLRC3xRr2TXrP5X8FJXAJW5CVn6IMo/G7aj8TlI3lIZSnSHdzZkbT9BoKYhPmo1Cx/4x2
qZ6aT2PGnZqC8yH3atqr8XBv6wMAuKMFhXOerjLCycB4O9UnWd7GVfJFOfItlQFM5srVqKpdltYn
JvsRItXS8LjGxwzoNbuY0LzeMdWN7jWpNov5YwwbqxtQ9a1fHbpVGJ9nidZfN9GwVx2lJvvOxa5b
z3WF8cm+IQ1ORFETqyQtURb7eDR3g/SmcIMmeuXNAhuxROy/7BSTgsIKs/TBa0WnXzdWfaBjhMFa
UsqJ3cK66Mq2ky5J/xGtpyht3GaBYhNpAEtX49bW0DaJhYnybSTZR16f/rcn6Mxzp0jx6OZAH+nd
zqq3YfjdJA8DVTIvdv2Ec6B+TThHHZR2bSZ7kO00s7C5/MF5G/Krvv6bqo92vZY1swUv+4F3Brn5
tzQ7yIQs5hcY1eDN3DH1MQvFJojll9jYR8iZPdfh1xIVGZ49sPPqRl5llgYELrYTe6CNTHZlld6T
8yBBZTt0xV5jtUDG7IU+CS6aCmkOis6t3yfjyD8yKUhRDI3789rtrGyLlxaL+5T4XHQwqJwl6blI
L2XLbyP+p85vffKXvnaTM1GblFmiQFruXen+4cT32p5Z3jd1ZdfzdpkIIV677Cqo3ji9FhFUkABy
wiJ9jz2VdY+IFAukfWI1RXKudXkL/MVU2t1Ma0Z9K/hslp9SOeok0xuUxSCMNilJcfNjWndVRNMe
Ft6R51cUAkHnY+NjJpLxaORXGaO7wwukIe3JKW/sQNUuchYs6IarA3XF4mKpv1XyXmVvLi8dlVO/
/mD13wE9jEznpQp3RfIF79UW20AQN0b/aWanonglxWWT8s9ZsblAjc4vc0vlUFy8JX6E9Wc6/aJC
iNWAnHacOUDAmHLe0rwbdSGouW7W9UUcPEnaxc/cv7L6yOdOnP2FROSSYK5/6yWY062svmpcgZNR
gma28N/7KxGYtexS5tuGVch69hWR4egItOLu7K1ZIIt8lEIvb/d0i7hLPvEtMGdbAp/Tl7TILtNK
a1HD2asG1w7hnHRbpQgou+vWV4eLleSHcthoy6fGdFWNR4HA2dKfk1pzyMZ5k3UrKhhZtNgTcU/G
FfBADho6Xc6Gcc2Hf13d+6KRBQZ31iU+kdlyWB2J4uySebBl7ZArb51l8IddepipGcVdFqE46oLU
Ox3jedc0R/GuTn9Ew9m0LHxYocedpZlPgOz6fHV6iuQtloLcin5OHWwu+kdNzFpN343ouQGVkFXk
dbnqKhqFLOZmfhP2rKTuAMOL9exeWf5JI79hWMLZuMmV+qgUd91YAgEo0tSotEp/zTkLZFj9JjkQ
s4g9vAHXqJkjKaUI7UFWt8TlbXFGVwLCKBHvLATuWfFXLK64I4B0YfwjNORJhfJL6aOSsBe1IjC1
iD5JjdZUeUu0HpKy9aclbDndhL+UD1pkl/VafkSqeVeST1qrNiGrvdUPfh/jtC90PEpjw+a9lAYJ
TSGacbGrLOrGlMptIvHNrlQ3yw8SuhnsjD59E6z3sBBsNq1suuddiYjV2k6/2VA4w9T78by8LEoO
tYMSBP2Mbat3zsIgSsXNrZqb3picyMwukbwnF8bpQvJBfCF95c4EfJmikIAabzG/WhLSDN3Yf/zF
iOTS+GVQgsSh06TNSFmElK+qLeW/XUyXXjFCn9Z0oI2FH0q3PGGTbt5jkoKdpX1IJgfzlVd6I+/U
lrdcofPrr/w8so6lEqjxyZK2PfwzvCX+rDPx6hmRzNJc7D+nLHPbVDv7WZETi5zJfGfIob2mwWht
IqNxqQtdBfMqieuXSiahI6ptncP4FilQvWbKrc026XZAOLh6f07JezE9qsoXJx4syCXyyZp+FaLd
ZjTb2kCNQsAVC+/S8i4hI6xDthOb6lEBHFln68M0UrAWv632F2mTTT8X0HWQCZavqvFG0dtNlqVn
M2JQYJvsAu5hZqZrODwH5gZVm90onTwKHDZSokvtjHvnm/xMvo/IIbS8xnixO+LHzX6qvrLibUHQ
LcSzIG+iZ/a+OkdIOU+kBYQfux0EQlHLNjXDS83D+Wych1ClxZqLCH3Jvhxck2qVAQ47JfzEprSg
1Vl4jFyicJaajZfQWeq4LPY/OMtbZTbvkaHZmnUe1Zwyam+bLALWQ/BheF7i8ggRwirunAu3mDLL
giIJ3Qa5uMoMB2fUVYbBz1l8ykTh1KLqgIsq+Ra1FlUeOdlb03Jq2SOuclIoKVnYL7PoyZtw+TAp
fJeoAkLqr+IVr8cRiku13GdYenoouMrIMiVl2UZIy5QmEUH1IFkuvYBi9JGq/Oc6frvxm9Qe6m4N
Vh3WdTbbiiA7hijvCxinOFgbaX615pvJ1aXrwYNnO0YqFzQOtD1pU+HBNiFDd0OzbwvjaFMa47Fq
37puQ2mQ9LGzSpxQzAvic7REDhxihyXKnsEYCRnILklljclGg7xk0GxAE6uU71r+KNStBZ1wij7N
6dAmWw4MrF4wIzP/+nP8Jz6KFQZEJNedOJ+55htcwatOuIiSvKn4z2S0pgpaTRATdbvsuz1bcI5y
aVwjNhzUsv6IE01GjGBftBg/W2Byf53LHsx/4isx4rhB7R/mjWGDyL7QJicHaLJDhZMNZsWismCa
8cxQ5NRGaj/NA7OWsf7GfbRZhuiFHvEHUVgKKILxHj2LOUQeYJSsYTAvOqDKSQ0ErdjNFYKoVKiB
hnrGNjsvXrWbKsqhY1rRB+sLe4AGvIu0IT61T/a2XqC3spYdGtiyk559z7WhUchGaFWgJEt1mudw
6EUNFJUygqCAOZUhrrCrkr0Xooi/IMh6Cu7PPNex1W0oM/K9J+PtGW37WWVPUb5bUYYmv0rFPwn5
bJDmezqXm+eAHS7iLp2jS1enVzGCqdFT7oLzV9JmCDesaUmgoBH2sEijjEg+RFZVDHz9mqbJVU2B
E4Gh9bRmwP7Hbxnb7EJpKvUllG7WoIOYV6xLkaMoy2Z9DVNarV2h4Arp7JTK6XVncv4qVyRwCguR
XFasctvF42uMYOap5QzEcyVBpS0VukHFc9XmHNzD2hReLXSbKJLvXUfko1HMR5lkbjxbt0Savoay
ZME00b0oTM9V9mzWcS3oxe6iNRzg2KY7ePLfpTmAKOK+W0l0t3l0ZeDLvcrQZtUfZqr8aT3wyHT4
BnQGIySR/5p8PWttZfE5MgvlzY/EtNoKyBWABnl9y98aslHVTo91wW0pZPk7Qu5ylnh6kK30xdWk
0TG+1WFxInDzm6qGuhvxpsiBabyh1NnpZRzjhG4geeH0t4bILFLTJ1N9qxPxX1gll9WwtrNs7GB0
ncj7UdPK/oEjO1MRI6nbX7mht4jKNVzzCS2PzBVxNVEl2TeySEdL900JXTx74hhIa+oOkZ/EDqH9
WoMYjPP6xoLpb/VpBucLAgnSSNFs4nbO/E6oX2YJWUBsNIRZED3dMOxq5N1pRaDODMrDwhwy/ILs
ozvanwArTEE8rfu1qE9GquBuPvMCfZKxB4mofGt2D2PlSIoVQuaztlvAH3qSBWAWvs9bump+PJle
XRsniF9bWbBeCfRtdYEvioVDkfIVpRHvwcHlkpPU72mbvnURqr0gdR9JPG+AXp7WieOqlp5eifau
l2wwGDJKE8zO+kFbZPC+sgdk/I8lvYdxpnhPBMPLM4hqkhYFxMITe2RhsZ2l5R9c1K1RWwFB8L8y
VS+1OtzJajC8R/NVqqjIwXpj9Kd3F3cU4a3yOJAyHVT5vBAto2Qm7Xi475FserCfR1tlaHaERH5k
PYRRWMGRQ/4KKbSbv5JOfY2W8i6o4aOtu27XpMNeXdePsG937BwOzEL22d2Q2PH6VPrDQE7Mz1E1
a7tcAJi0ULCsmuq8pvnj2O7BhXhtkf6AfT3EE2kmLLQU8qUl11/UuzGaVPGvQU5zUlB4tpyT1tP0
2EIiExjIoL7ZgAzfMLI5xbrpYCT1K2b0b5oKX0Y53LoFkmDfms2b0KkZN1aeDCXq/DWW3stW2hEE
0I5mNtCYIXfhdHr14O/plJKC2J8gKAyh5BZKeQea+Fj0Zh+vwqNr1gd++YV0feWGyxrMM5HJkgyl
HVXzW152F8lYucxwMEt68tszqdgmRosSzdtaAp/JwjpyYRPSA2AVGo5Jck1SVrIQbMX2S9/JFNFz
7eUbTikoqe4CdeQwTfJjkXVfz8FwA8yujWivp+N31nGthiqN9z082ll3B24pINSJGM/iXlLlxDZY
cxkD0IZIBtvf4K8vCFwyy81c9XDJuWURCvdSy9rLo7DVdeFfw9ZV/m1++H7kb7EwSMSVzfbFfaFM
up2YSE3ozIanj+rNSsfSJdeCqjN3d/VJyw4povBWqK+SMW+ULr5WSc2gQzNvGeXVEazx2I3ayyAT
uGhHGNbkWxKnVIV9FxG+LVR8UD3e082idiJ8rxFf+Ua2LpNlyrSgG1q7dHRp2b1DHnrvWZc5SLxY
JsxOoTMI9xfTbojRYzJto0WZS7Sjxm1iSx1/EXcB/0pzuL/IRf025M+TqVd3fbWcCcyT/LcCVeVB
DjN+EoNIBsXye4gMj+Vl/bQjeQ85+zJ7rjZz/VVEyV0wjR07Wo/6TL24kHoTmYuPsBiV32IZP3hP
IWgjUeLQ9L5iMMNHhjfW7beEiNFHJfWKYrtgnFaauCU/+qL06WKXSbU3m3rxV+EHGh1aA0QICfMF
GQ4hmCL4vO3KdIOdEVLATuerzHTeqcZhoFSf8uoVNMGN9G7bCsXG1KHdNiEyHvSiRHVoKoGLpzZf
1ruQFqGWKD9z06V+GC/uUzUEzsoqOAbXASE+ARCtDD8ksH2hjkMYU/mChGqdkqa86ovFXdn4FaoH
XXM74vacrKFXG4ZPpcBJINPN+U9I2HdlqhRGmS9c44u5QJL6jwywmyRtMGcYJSXPT1TSudFYQ5cc
iVCdaC28WVgpZgRCrjGPicaSH7iJDQZy+qgFBZmPoFPQq1AClSG66euzOjQEvCknRyfHa4iFK3Er
jhBXIpwUG24kcaubFGvbuW33bembDVtJ0tUHQuzCWUVjwTqT7+DteWl+CMY/iI1ubymXdFVeFAF1
V5f9aNUDY2gcCJXfhim5RpPvarXACuwu5UB1qnFBs+V8a3gDcSLnETA1Q3soxd9aGXavfKCqX83p
VS6BFKxMJQPHILIsSXi/1zuOuaYhK614sZm/pZMPWhCc6oK+zgs6RTLtZltOEfIxraGVsL6PisAl
5VyYMEIIwaSIFPnYcU+JXWPBcJT/pPWvBo6Ggk6WZtG/ZvGkp4NTDu9VBSdHf6wpXN5PQfGFEqez
qA9TM9spSbemrIKQDE/EY5/KBTozGbXpZRikvdgyB3MFANfvCCLKY9IQDu6OAKBRQzQ/NNrjyNjN
GqyTpCbkKkqukE25s8r4LS8i4oWKQboyX7+WfCGYmZxXlchvZL2CjflOUKzFod1D5n7JWc+bRN11
VORdL/OSxXAVy1NvRpjcibOkuKa9oR4EqrwlkMgU8MCgbgBH6qbuyrwT8oGWquVWEVKlWrBRYf4s
5k/2DXkpluSs/wsNfxg47eIsqAm6D6SU0gRkCsvkEmBeXWVuuhAdldROMUfbxCSqXZ8NytCZoO/J
ekIU6YJh4NTkQ6umwi+myh2JAPLO3Nb8oH2UXY0oPoUzITEpdZNx/NcPcGepyLuJoV2iXHHVTg2A
tuxoegL6vgKNJgkGiN9aWXlQBlUybGm+eKWIxrBM5qOaxeNcqiQSzTPP6TYyE5lpMLwS3X/KVU6V
XxJofVaeXnpr+opQG8L0ZhI/wGIh4fXLJ6gzEA35kR7ZaUqMh7rc6/QlK75D9bOkVNCjH02oPHFJ
HGgCdzGiCBbSMct4XqThi7unz2y7F+djnL0urPQosMLtKa83YdnuFB0sa3Nuzdclv8lQleviIo6K
u0Q6E28WSBgsGUGE2NQ3WqVdNRwJ5sl8PFrtD68TN40twnfKIUl/ovmtHfr7UItXq31eJEOojo92
TPaZdMktwmmiUX6h8Z+BTC9xvDFXDU9eJEsrLDuu6TeAbHgjFDGMPHP1sPbpuXDh+aKdrE3fItYj
bw2vUcpPtqOgFMcbgswBAxWUqviWGtUmUxApV53BNyMA3oPgNgXsM1LM1OufbCVi2gTVE0nrnXwA
xmlwuHjlIvFK4Nsili9J8Vuuw2acSmQWtEZ9vq69zF6un3TiSFcnNwe3MrcBseTf0civCwmAmp3R
dIAiRN84Em1lnjZ9zGWDNMWI9yKJbwbaBCFVW6j/UjPZUs0ZFdHD+kKx6zzkFKJISEnsGyEoDzpq
cHBL6V4BbycNrh8gaBKZhYqzTfOOBbu7Pv6y+j1UKd5KeFKI3fm0M9PSk/HG2uLVgKUnW5JnqOQm
pJR1VwGgFAzPmCslTfeRkJDKbBHy5QdpxqvNKXFJpgHzvwS6A7ComMl31BhWOpEMgHDSB949f9Bb
KsjMwcY+rR4pSzI6S4XyME9vpsHPPjKM4j5sQEXd87TdDX3ohibVo0SUHRg/PjtWVSfJ4EtBOgJ0
tREYbdR0V2uqr3QvS/aS0gkT8muMxx9+6e05Na96V/vp+GuV2kEUEX3Vh9q+mxLxz2BSNy0zLhw3
D6gjyiE1HxM22KLzi9A/eVKVJHyVw8WlqLZdrR8qgfwyjebDEjLXaqtdnUMEyrieVwVaFo2Ie8mS
VKeqxHE3F0A1y2Y4rax4s7W+2YbV8xhY3CQDHCE3/2QNq9J4mfK/djr2Mm08KuugXevvcCnsuMfD
iPe94g382Kzy+UEcLgHAfsrEUTLegFbHWi0IXXSVnNmYSR+TIRL20CPpQmzF3OV6AjKCZixxVTDo
2hREZaD3XhaT0C2lXZtUnMxcUc7z+0icbd2s82aafuGb2aXq5dF+ru8MVCgLnfE9Zq6EtcJeUeOE
DWmiuaaO1h169XMsg1jylsVvr0xHNkRZe1K/uuZbUJwcC3HkGOIYrp0i8im659DvhaDL7tp8gtmK
ETjcLbRKTX0xlS351iWi/+Ck4S5tj62C6n0dJn8at7r2Lc87E1tr9GvpqzcHvoO6Y6IKw8KJpFOV
nkFcjvg1UblPTBqfUWCNHzUpLAwy2g+tTPnX71vYK8KfvrhW+QEKZi0CGM2zehHSgyEA5HTDHklQ
kv2SgWXcLfWWjTC8oXxRCWDqT6bPfCK1YBou5I0AaOWI41jlwgVkSQ3XjBx0j22nsf7ns8JWo2kU
yNNXLZ3YWHKaa1cYHYUnMW2vafFQCbsYRFN2UoM4v5WKO08VRi6iYcsT9cAZa+t5G8lHpNxwPaic
C4NXpGcowGASkuEsPheiSE69fIW0FOoz30NHYAAVPmL5oM/ftNGgGOGmzE/kkyfrf32DJM/hgjTZ
akHNSg3kol5snpnabVkTUOMHG+5k5mxVbvZ6L2zBeXhLPp3zTLrGwosItDvRH1b3JnM8AssHXCJ7
qOtU/2uhAo4n+mPxZymfrerL81stvUd85U2LEAC9eGiQe629FJqnQkaWgooIxXprYMkqm2n2JXmH
cjPqWaAlvEdGFDzlxtv6Rn/cWnkED0X+KbHoh+OyvyEHyfOemxOjdSedGkwAFO9iIw4B6EOdQvwW
ohFfWm8miWqB2bHDmuLHrmpJglBxctJ6q/HL7o86ThQfDpSXZ2c7WFhXAaABZ6GFFISlkV7N2YfL
G1vAwPCJd4l8MuID3NraIlnqR6C4MmfpaG5vjPKwtEe5AibyLBKzyRFO6Sv+oWYEUDbsYcAHcufU
X4ZjvdgZdcP03qtHLfmY5BeT57vaqp2HNz9lPzoQWU60BWDwxOfgpP2d6IBUep1q5+pRl17j/s/4
Ukjr0141daD7/+gfx6QOs3tR+alyRPi1G0wtxUP5xS2UI48WRN9tDI6Wm4LhTVlFw9fyZRbfZCdr
+eHQ5LowsXYdVyv5lcx7jKHZ3milJ9ld/pxENy++O/mWVoFmHp78CY6nESEEnWZjyvsx5dDeEZgm
0e3+75OCQsBKIjHvavPBCC8wVfCVea9y3rPyYCdG9E/3jeKVf1y2aXsq3b42uLqy1iDIgUzS7G6D
OtkyIEntPioIls4HCbEiDxGzdi1IB5J2iyekP13NqpbAMr0oCYrmZvQnGYA7OUsY25EzPBn+FD0G
Anr/cXQeS44jSRD9IphBJYC8UoBaVbHkBdalkNBafv08zml3bHa7u9hEItLD/bl3K7OdPbxNANT0
j8zBtbgmKKGIDRSIOViVGAV47RLxDPZW9lTNR8Nbtg+f24mTPZkPufteeDeKAA1tX/Xr2d6mgt8R
F+xxbG480hlOWOPS5ayW1qXjC+SlcjnlJ4gbneEzDUGeFlQVa5DOoPafVMRcDS2Tqwsu/DMXUWu6
WgMqF8usRQ2zCTttz2C6FGwtWjZvC+G9adVOD/1m3Abd1jE3gUVXGeU6C5KY8Pm9pQK2hasXM3Nz
r23sqkAydgEdd5BMxn3croVH1g0RdAOWgq4fQLvMc/QcbofHU8RdlIAb/iHOjhzt5A+D2iNUsqyr
2UdWmnHzQYmpj4Ezrpm9cKO8h/ZpaumL+tNh2zLYUDK+spHiuI8vwvY9t86mfPJc3na7YDzpMP+G
zmftvoSJG/NZgNEmp2BsNDMhRJJk59Z+aeFYz/DtdGUdAXBv23k+QMhbiniXttsGVmyA275lA5no
YpUa1jk2u39O022DgpoV2HaWPtHgla2RCE9FS1MZwebjUHpPTEaPI6f8sTNg4Y5R7l1l1BsQGCz8
PT4ePZxfmpZbvTSGv67Q/AGC00JYTbkcHjj0oFaP0MXAcEamzFP9Jh2B8FkT3tRiN2FJkY/l5Ahm
yRM/HsNYzJQ5xTm3uVMvI9+FK1RfmsqjTaCEyHZz2orbEtw8cEXx+KO6a5XRb5MBLTsq7e0hcIze
yn7ACWgc8uN0DzFc057lhMYJ3TvhFam9SOtgRO/2Ay8KUGnpYpiodpj4dWtJvpiX7tErT7r9Y6mT
W//Y2ktecSnPVy0vmekvHH/H/AsnBGUZs7bA4olRpODz5b7DiLsfh2W9nNdIou8PWMawwusFhB7a
VDD6AX6vcBvdqShndYbHWf9CRuHrRMWFiJ6x7gb5TT34jZf5NWrZEfsm9RMeFhrMaz7zTQD8hw8s
X7fYyr6JWwlKcU9YaKErF4ty7Xzk0xJB3yH686cfoi8XvzPmwBcPoQi2KYqJe6iRIl/7G987fjlc
VfUnVZjWeGP4RDnIYQpQFVEdH+OACwxjBVXXd4pd2B64UrCXiMjWH0Lw1eFWw4B0GMMtw5CBuLex
uP7EO4WVBBpe6Xe/HAp4L2jY61YMHAKEbrWjZnh6GL/BMOin+Bm/HSAXRszpKfvDwuair4Jt46Fv
kLKA7GMtWsZ37Sc46flqcvxhX3IX1J4ZZEysHsf4yP1o5mXf4GZZAJ2CVRkvwvP4SbXNBraHx48E
MmwXGugoFFdey/Hc1byFydBvva/xI33FU+sssV3/a3CZ5Yt4M+wj7BnVIv/MsE2DzkSZqBbOadql
Lx0/s/tvUCfqC7mysHee5m0acRxucxw5bFaoQDmTJFO79AoTCgpoi1v+Pf416yOZhyjfWQVhWDbg
/kTQXa4qY5WaW2NPoaTYUvkXv0YaF6YN61v0J1Fcx428wso3GZe/CJP0BL1fDM9vMc+iolrcsZBn
nsbOZyEOlg1pbVWBiAGruIsobr4kd2fF5yXf5Nb8Iylc/RFPmGfIrPv2gi8al9BAhvXKgIDj1njO
PwPGlHjN5LDLv0Ju1T/qGX8DNcXiFP7giIHVzD/348rDUcde8YpbY9Kv/YZdl10ugosE0PY9nl1O
W/iIeKO8BWUN3E4t663et85yZhh3D5g3KOYQAHCMxXQngtCLa3zAb2hgtUNaUDsgw9gMCaLjLBrA
KIMKOPLlbQRMs7tbrr3otY7IwR1Uepu7cwav7bX+4j9C/E31qxiXjNTlqzlsmitwiMw38XQ7m6E5
9OzYl4l9KVhFLalPCxGCGYuLBWy+4cnG87Zp/ewst2yscQXzgGjaglQbxqCDs243CkY8MJd1A6dg
WLjvzZf7y1aRjffz/03QPqdaBvIfhw2cSAPj+jauXvobmEij8BHG6NRQyVpyHj+xZI+mi/xO5b/k
Kekvj/robEFFCqkXCMxLlKM/3vCMVfmalW/u7pkcqk8EaPmVGssM4TzcE05FklzM72SetPCvivxy
2mt+9To+rot4/hf2YRw3YX/tBEb0pdpmqR81p4ZfLdw5Z/aHk4zwPhwKzKW74ifS8KUtE1ymd97Q
3j2654fsx3yvv8ACEgswvx0iDDjUXwbDVzzqOwTkhowFrD1WCDR9zg4X5WWWmitycQvqsYb4ILL3
KvmK7IlTS/iUUcNcbwHTcniSa4u8P92EjSTOnsW+zGE7yEPRNGvsu94Epnl8RYviyD3nyrcQmSC4
y+6n5GU44KOnJKZ2Px8ATz3/IinEbLchlQtf7bUM2AMi36JoL5zkGCfUBcYoaO3OzcmzX93ozoKw
zE85RZUjX/ZvqzlbJX9DVnFOae2qs40Ijpr3zH9xm1+99hYRx3KU/bNz8IY4XVrJdMmljYfb4Hqy
QgTIzb1R+9y/aDD5qHWdsg5RrL1SvEkQy23pfdnjX6p+cmwomvUsbCgB2T9BBV68sY2z1t5ny4+y
nca68tFZgfpj7wNRnmAAMNd8d1u8KAQZODlx03F16BMk4ewxfVWvdgdkJP/F7gjE6p7jUG4Ba3JC
5Em4Ij6JYfQwYexjfwLxMBYHrXlKEKzsT/ByrUMaZqAaNfwW3Mdphdyo2liTK5+yg0dmb8YNNXGp
6uVr2oCK9trX0llFl5QPhvsPzM47BcSs2R+zqPL79kXh1xpIPaSI3zB/Gmurj9uxJv6F70IzuEJu
NA37NnAziyaQ6cxOquZly7+28RmmI8cbFz332ud7e96QFqeyRd/m3F/hxGFJT+mqre9xP5/HB6u/
Kd+VkR7pO+254ZiieK61eA1ecqnbmH9h/RnsjC0bhV9m69T5TENjBetx2cN8nht+1Sj2PeNmj8dW
114bk3F2iE6RaS4D+wDBge1AswXRwq0+OwQm33gQozsi8auxn4nUQvfVYcEMMfB3j+eNfsMAuxtv
v+7YonTSA8osmZ4Sx97PrfZUNTXeO84gsiSrKoixvetlx//X+bB1srQlQx2reAdY4UJZrB6ZXbB5
bcjX6/B95k8oKy21kmLX9yZo/1mcLVDbCieX21bPMVe9QtOXE6QGuwfJ2lLiAucTkhUiFn4oACM6
YSDFLg/Pec1BbDqXbvqyecVoMf46AHSujmOPcKtOMMylXKxD/0U6ZQZi1WF1DObukL2LEMwlXyzD
+OlqflvNdnBDDz+Nx1QTa8xTrXwL4w8HXnNfRttycE6a7BikSaXH814OdrpWUrsXUXOnYewVNP0y
JJdLkIWnjx1qofGGDeBHqJaoWGuQ+0+JHmM2zyudRC1UHu8Hmz2y5sOtGBmnuogIefAE6s2G6ol9
KKu1gPo+J9ahpQBC17Dd8cDWrcAGNKHA5T8eb5DIQ+z1An/ooqUXs4nnPp/M6gqNwQYaVN1BL+xq
+oI4YjMiDRKESj/vPc3be3O8163xxTaB8gX2qQ2anbTSreOWWzmasCWN85g3qxl+fKa7JM2wy5CD
IFz7jsVwBQCSmYIBoKxe52DyxwQaNWttC9Mp2xdI10zNwd61nh0aByGmJF7LdU4emzb7DvtTmryl
sgaW+hRmWHLK5AhID8I/4jZNCCx5zeFc2IxZkc0yDYdhFNkaR2g4boQFDb6zLEgHNhchpeKLKJWx
S6jTWExm/5oF7SpFbJb6eOs7son1yGRGkcgIpBSs4NyBheBXlZdHu5SJDd/zXjPzl1PAb0J3lSiW
rTRBJG/EZ4BT53ury7Zs5BeQKt8iLDwWTVJJwbVmOofTrTJvcajBTcRGODsdz7LBnpKcOI2jZ+wV
jH1lAWX/LBEc44rCAEIHXSe4QVP2xdNSUn8zNpQIexCTFlmF8524PA29NOktjCbcuH39FozZXjem
Q/nIDogQ2XmQJhktxyNblb90ufymEmoXpckmTT8dft5GGBuLRzXNkV8cXyP9NKTGdphoomp1LD85
lp/uIai1xrGMaMsUo8O52pTfkaFJ4rfzxgojsYTi8Zkh02xI1Jp+nQw7N7OfoIM03CH2dnkAViC4
I3owJQZiehpCVxv2BG60g8w6koIz9vH+p4mdW2NRp91264ZZUjPtVVA32DK8taKcY+GZnEzdTG1S
0FX7gPuWF7knI9J2aWOf7DY6BWF2Gvi83dcgbE+s65C/cUzxU7JUubTgbqETv8JafBGwKrrsL8/G
JTUyvN28BbmNoAke4OwlgJN1WDbfEQSwJUj230INflnhGMH9vsfWevXgB9IHcTeg59UwY1w4hwa2
5MrEaD43S92w1lXnnCeUYMzmzBXY4UiOcXsHKOD8C/KA8DVeGvENs6UeuHqzexEIklrmYrGVh1Lc
uQJSn8Gj2RJMXho9Gc5eUHpgs1V0cgR+2vywD9MjeBmmbGOCrW4GmjkydQxN5j+qxlaNk216Rz0P
YGIwTLw6WbyjvvwH7DN/MbTS8vel9ajYDXpbPnbv4Nm3vTc/1ZjlUxe7MBlYGg0vJnvQGr25oeFo
UsVzbpD2BVOkwdqGua+V4zffj31qcPPKwbA1N60ZWibn5KJp8FRZwXgg0QrywZOC547yzUbU47SY
xjslkOsOf2hQbCYzQro2fYormM4thi/JIaMRDCA3JoczuJJN5WmbhOzP2AYLkMNlndD1ZBNyY7pT
rxGpRFEcuujD6VibZh+SBCQVb9n4T/fO4/ClZUcK0XmUjG1K7gZO8CbnLo1db1t6yBxsV3A7Lm2W
XV5f+Kp39rH9Bv1qUvQGmgXRFD5qnE9cCUNc8mCqFirUuK5zRFA3jkGOwYlXYeSRaCebEPCu8cSb
g7zAi22fFvWW196qKq8iK1eECFf5MGGnCwjDY91O9IOD1pOAbUjM5CvucKOXnX0Dg/p4EtYDTEVH
yM2krFUo2oWVePDbyuiJJluAr4TvFwVTF/BwfEBwB0bidSXzuJGRuI3qo0XYDJLWWbjNSlXlWecz
iSWGe45CFiALicBI+hCbSPLk0HwloDaPMr8VWDCEfNhP4mU+j36kR4fHABn8JBB72G8MXd7RqsEF
QyQzNIFfAr/bWFp7hrhDZdKiZs7rXj20d5O1Pe/chGUT71JnOmFLXg8syJJpopYRcyWFaA4NbErf
px0qq+FK4A2z7zTDDl/CJsGsqMgjDoXpM6aT5plYZvTN72ObyIJlVclT5HJ0sejJHbbTRfqcTtrB
MopTW8m3pIpfKS3ZjX27qo34UiKZ9/FwclAChQ7zpgNFSm47mdMX1/C++ohh3WtfPAg2JheLIaKp
wVIHzy1vYZk9Ufa3c1FQnXjYp0Gyy0feVqpdJmYrVhlWBXpQNnHAAehVzOONt8OIsm/acpWwPuNP
4QskEcYuGrtfofQe4ijFEd5vI3pldc6XKe92iiUu2YojjAFwWu7VMYcPUWDvlv1wYmnxMJAFSfDh
aCVG4iQ9OL3J0ifM9pQyM2Il3WsWY8sm6ljRzPBooYH1h3f+I3yI7GXzWzLeSQS2/5cg03LM1LZX
wTJsjR1QAyiZSHoJIF08GE5s7ucHz2KG+u1+Nw1/pwn0Ai5TYftPx9qfdD9zyNM78wXBVkEAb5If
NTfIR6v8VLGDL3CKQnpW9+aR+pvBVsLZwd7jZzNpQ0rzcHotHqt5c0T+R0umColfFl3IKTcdVXjB
MP5rupLimHijWjr6+ATtVu00W3pLr29WJqpAlOGkkhWTo332HmaFKz685VSVH0GAEOfBySRsGFm7
rHFWdvmbGF8ZGo9B5sRkOumUuvYhZj0h1RprEONhIfDVklF3+4xKIGpCMFJ+xQ8x27ZqwmXteQhI
Z7JodAcKFszq1GJbJ0srDlEbnR1Rc0fmH2w4Habi8ezD2g+RNhfVZKOum18Z8KNf8/8SIsFmzxr6
r7KH35qzT0hFDhotCjdQ7i5khW9elzG/p++eNt4x/U7QByklSEouAeX4BMoUJlNsvnTKvnmSL4M9
vFaadU2E87CX8Mwx8GjBFygtzP2Q4YckAMrWawG0S0AjZa1emY3Y44YYKkT7MtQUKjvK3dFy99EI
d7yNZvCYYhhnCiJzg25zc1Hd72g51UqZSG/hUFPv2MlPfhICcLVETc36qyOdHJWS3TCFO2h1dY+J
Fdk7CC2gK6F3qR2HDVGyTRtq2OJm23ThjjU25OiHHUcjNLuMguSvMqN1mxh7mIGLtrhZ1awoEsGF
5z1KCgu7MVdW0VQnewxfHTOCeT+iu9cNFHuvbDFnYAcCrdrTLMcXJmYnDhiI9rQa98lYRm+9hwIC
BgdNIOWDNxvzIsiNrzNndraNjlkocXE2xprdf6Yle8FItjA+cvNjzqeLrbzPONDCLafBDqjSzWzR
3JpQa7fhjPorH6GvEoNWbzA8SiPiatAXzjWxEUnCsUdrbw5jgcVUzDfdJVwFWJlWqx1dJCs+Hd1X
mbPS7fkCD+pN6sTDgTgyvUI6dSVmlt5ymw3zx6nXk3+BRxAkIz6a1u0NNKncDGa5NuuMnUObvfUO
4wAVFJjLKZ3VWkWw2LyK0mRXwKrD8+Q/LqCAFcP8Y6iogWo6/YuNvVo6dvyc5t4JyRz7mOSstbbJ
4CJFEoUEk39NxfACx/Ze9+yy2o4dfTadSlhPDEP19+iyhOpdA1YnNRzTNO5cJViFhViN02Y3Koic
pTe+S3CQEDxYXLNYIfjP4lB/ncv403R4s/GXGJ3gea+SCCErVc4rcXs/tetbLueaCrUOGxUeuDFL
Xhru21Xj7sIMi6wZsuGy0xCeCc41lrw/biv8WhsOtAst7TY+GBoyElFEV3iftcFU5zyED5FvI6el
myh/nRMxXTKJ1Xzkw+wGlCZpRUjAdvDJX196Guza25flzA7JzFGeUyNY5RTWoSaFFac/H9xosTYJ
bQrfQR4ggDmEmAcDrwtX4KAoqEvjz2rnGGED9ZyEBgnbidkyeDQtyuIfs/1Bd8dvp2x8aTt7npmn
mZfY2rDlmdblYRnZMP7gCeyMBxfYi8O3OWVxaDXpS6Lrh55UAM0gBws7T1+l6M/a2S7bU9YHhzRu
/KBEDjBaIEG89GeqscbMn2JvT7ibZEOIASe3vWMxpe/G4D65erqPhYNWqlI/MVC5PcAltBGsgQS8
NW3nQKjn2+Ig1uRCPQdGhnBIotQLg3etZI9lzNUuYRkrbebfSBMfbYbA1lkeKU4bg2a87nS8dugZ
qLFtMu09s/0MRvO90koDRJNxCUbn/wLOpyQj7hd2LuJoQ/eLjaKed8SDrEc+LFLcrBxeI0WTP3zT
BLgaP8HeaIYUmJYhcKHumk2kcYipQDLDVlaOf0NnnJUOi7+YNpZMae3r8i9Ag0xRATIzQO3Zhyqh
kbM1XDT15gMFIFuAmOieY0v2j1Jw/SwMhl3FdGGAH16LNv2zzYArYig+c6YfglDjVvT2LW+Hck3f
1D7X3TPkv+9hiLKlloTNNsnGr5Y+1IUigKxrZu17svq2BfeELvsdu5YLJCytpYqc3whU45rJjtRZ
mnxkuF/hoLaK/FJj7MepSnCCyi++6e8SSNiynJtgI2wglxrPzKyTk2iArS3EFBDENqkCFyZ1a7K8
jVnw3CbMnkZ5eHDNdHym8xwv06YgGQxttJYvkRmfBzta1+Z0qrDhrG3r8dagH2FZsyOW+KtH0+MM
HqxiMUfyAzQvSGJVvdPe8YTpVBHtAgKpV/uu6A+dl21UUoAntKY3p8rgrlQaHjQj98uQZ5UZ50kw
Go6dmLbNQ7TBQVauWnprOj27ckSd51hdoFAjfTsAuYmpDMPdIf9RCRYGrnFJeVKzYjpzEK2k28Ny
RN+gvmVV8Wrx3G4f2kLsS1kUXxBevaOOC0/jKx+O0abV2bTV8gOUNRJJto6khdzLCMkCgvzD3m7C
vVf869ORkraR/ca7qk+F/s+UN6UKDCsFLgj8Q9O/IXqVub5otWob6NfO/Zyxlg/tLlX6ztSPeoYa
APERnemhnOM4biPuWdD8Odj9VBUwymBWSLr6UmsxU5boiXug7VA2T9w+QDkjjIqp33DqrPLGvklp
wpeRh77SaaRAxK/2UaX7WvjIS2jZj2rslQ7WJhvVofJuuau9ZY1YEQbYR9CK9Cw6RHzICjeaThS2
Y20U9ji9soiKO9LB/doK0SrtdheQLu+o8NB0Y6bHGDafMa0CrJAzl/U2GVcydc+BAEPqDfbJ5PF5
3Nsjsn0teaPB0u9wFn9jmBXgCtCLnI6hlH8T4tMjlkBEklaDZdVXv8Ci2UXW6cqK5Qt+1YMmyucG
qVs1rZ8QoO57zKcO35rJ3ttDu9dFeKxNiy04H2hfC1heiI6RCduB3L+jphvQT9zNX5piy1gkLLMg
aFSvXTvdSsPAz4I42UuaGqcUTk0UspDBWsaQxdyS5fbODoNnGjJJ1Hbce1x2UhXZtzg+loHxHNTY
+owUJ2Q+mH9URN+VAaIiyilMmB2P9X+2d9N82uv0UoAyYdVEFAAus3aEL40AxVq0Rnz2aSU8jgC7
uNxUC7tFlZ6AWFwHsN5MeNo6zNnQtRFRZlVayB/GV2p7G6dQwKqCI3rdP5Nyq9rJ4FrIlQ1hTxk4
yarsAgLwaikHysSgr7WhfbZ7Be6QqHRb0ojahX9xbAR+Se2SaTp04LF9DFLMokEfPmlFSFFuqCzq
m2eUmBTUUcBURz3oHgkaXwJlvBatK8uyYDKvbMCEtaBkshMoDDhu0t6hyzS1D82M5ZBq511UJj+x
E/ma0SPlp0+9431SuPE0kGm4pYj6lVAnANITnVidC4vcOmSBRuZEi8SBEtpyPRojXy6HpH9VIJB4
dvc1KBvFmY6t2my/ZWwdy5FLDt1nFv4rQp3ECLCYJCQwTE2/D17e7mubS7LHeUhT0oxPlF+VK6z3
b6gQCFI3xB4zhJi4EiwtqQT1rrTp1HWtQXPVfJtLeaJfnP8lZaJMGKgM0nGfewC75NLdgywoZddp
31m14/BjjiGZjqjFDWRQgZYXH9MUfBsZSwkwo3e9KyFXacwiYvAadvtcrTK9O1p0V3dhc5Ga2Kcx
zbRxtQ9dwrMpn2VKolT0j9HNxXNSxwCalDu9OFZZYvSW7AZHhW7cVobfRfjdpq6HcGJpJOmZAD8m
G2HeSFjH6vXwOQYwJ6Qz8e5yzWzjKJ6HpqONuA9Z1ttDtNEmcQLXAf52OJtYx6mOQy7qDqZuXSI5
/3mzC56rNo+h3juoegU+JlODOxM1n7YjtnbOCt2JmCQiS07QWfg5hJtjk1WTZI+IcRHRl1vF4wNs
Zl5bk4YTFe7SBHR6McTdx2hFRwdCPfN2h3u3F/wjzXDs9xhCRple4VH6IVjXKAowxUCo0bmPAl23
z/VsP3O1oYRdy/+66QEkduZVrbOWd4f0mknjFwsy4ilA00Vv98mO7/QeevghYWdmMsLwB36m0Ib2
gvDF6ZPrEFOz0fP3Zjyyb7pZPWOq/QxT/XssnWerdF+HANqU3uDAlwhhjfE5G+yobLYWnMxs1VyJ
Tc2Mh29Q/hdbC49ChjclNHzifAZ93kcLLRbHpAkY/UxyfyXac6Xia6ICLjkOO7RBtE/MR9cSo+wq
4CoTRHKAHoWEmYVGuyy77MMK3fcAWl/qFgq0hBjx43OnUkCyFqE7/U4d0bm6lD7lA7gxvEajYrPb
SNWhasRzuAqs9m64DlvlCQucrLS3lDJSeg6MU6t3rFWscGs4IeCfgWFy0mDmYnrvDcA7XodGNCS4
gRP6BfkTjYvKwGPWWdEHXQ1/FCtlkC5BaU/2O3U4MwsIO/SlAZzNFuBwPYOsirKrY2OpL71sNgN2
QcM19kYGYkZ33B9ZY5VoiPWuXS2oSShAtqkkJh3do/WCYl21dWr9gwFpXpZu/9YgzHjq4fjpvD2/
xUEUuFAVWgvthNwXYrtDgiv+RalHmymlBfCDEQ41YVGy3j4RwnzXHaAAbkvHhbwr0zG2oFTxqhjD
JmNa4io7l6tZgMSecSO4noq2TalvC4pqjn0V6uT78wpjqnuxsuqTstG/GfQlTYIa91e4yRurn8TB
62P4DFyF0qH4nYe55YVQPsNFEpt56NIj3da0/g08KITrWJL1wasskLyNwKhWxjSb/3o3l7goRlCF
KnwcwjPMxADMVuThHHAz9BqpOPRA4hO65CXs6AReLbP1bZl/9n2sk/Z0wGEVENAFz922zQReV6md
K0rXjvFkfVGd8w9uIMajpDsFs3jO0nldFs6dOrJPIexpH3aI4UMMgcLQ+35vCzmsZ9GSiZo9aiVI
c3WauyFooPGVVVutIKxho5pgORBybaUwAgT56KPUe3xzDtzDSa8JVjnftYt7dGqNf6ahEHE4pp1E
giQP+39dYaOwmiDWwjZ/Ktl+Wsi5C1S1nvPGBGspWpcILWXPbY51z5rhoRng+FINwkYkyT2Punsf
0n5TkrVGnqK0URE0tobiyPLkmDGQmyAkdLu+E+9tCUFQn8bGK/f1LCSWoa6Zmo8kDa80E31Slvut
ldVvBBlgKUqi7HrnwXeye8h4EUwhezBe+5L6QXoCCNkG2bOmbBxnUBA0jZuplm6NOr/oJZbZzDxF
KcwST13YV14ovbiiRN66nvUE0CbH1S/5RAZ/Fpci5pxsql2tD/exbdcjiyOy8OW2i8x3IUi8zpxB
Rqdxh2swI1brHNggutXKMYhbCappCwUwwsr282jdaZ3w9qMV/AJgWIIa344Sq19qFjuWCmvLcv+S
sWN/6CIhhJ8z5Y4s8pjpJ7HtrZBvt8W9WxgpqxNcXKAFKNnrWPQaNBiRfA8eAAoLgC0uLW3bct1g
+3R2B/tiD+4pVWxiLRwUegtJQ8+afKtZRGIx9a+ohTrU5ncRThvdkBe4ENesTW5g3di9uX4EDSnP
vW++gF9mVvlAIbGgMqqMIbAinG9OOR61rj4p8+HJDxn8hdrYvKFajxFeOaRDKc0e8+yZqu83fps1
fbIro0ZQa0P8q4NckXT5HaW2HtkUKW4AeYCLkc7ArLYeCfJjo2lfXGvWqCEcotZ0jxDm9Tyh37Ms
/8xpfjKb+gfgOY1C2jMZXyKB0gVlz2u6D8RfGWifdS23Dxk4wDBa1xU/V7HJbGs3kFIfPEznQoHJ
Ku1mvpbVBJcrdbBIZY5+GDm+awKA64maNwwFmF48JL9uBubkTfqXRd9G39uu74WC1M6oLXulIYTy
m4sCjU7q3L9LwrEPYuKCMvKDOUZXb2YRExcmEQcNmMm4S3h0eHD7bGWlc3yKZiAnfCBs+ASZSacV
L3XuXRr+emZqNSSnsAZHWIc5UvdYEwlI7EeQf0NJoIVip4syE3tbjiQcWgL7oKcrBck7YdvvPnro
dPxSA01xpvAbSpn0h9WD7Bl2+V+u64Cq7Nf0kaiPWHfCCTsDsjsjUVm4Recn4WifQ9vAGTbGP1OJ
40T/WE6RTRN7L6Htsu1J9btqNMz5JZ9tW+EybOAWKnP8Kvrc2KSUpYGMayfsf5J28RodYOhYPtme
DvtBdy52JzDZqmRvK3K8mSZuVqz2NuMrvxDe/wKrOwLoVG8CjdwoXM0Jt2Q/Q8yZHHPvoNdQJPKm
9817WdM9myQ/kiZVack3vl/o7hZfwQbFoX7YDRyX+BRxK6xvBbYC3RmeKJJ8GroW46szf4D+OadZ
wgvABHrb0ufkOfLWgUPiiiFq5OgR1oLWfPVmeU6n+iJMF0+JPX7C0vics2qlRfNTy9XPiUwq/xie
SpiJUqvBoEAKGMnog6SwT3kIzFCfTBfI4bB2Z3lNjNbaOmX8B7J/U6Tmmq/PX6ZFJ2eIP2fuwWtR
iYM0jSdNmK9OwGANk9tc2w4e3NLhSEKCUe3Aq5aArDW5DzDpbOF6hLDW894DfBi/hEPIOmN8UmC9
oiB8HoYQ/5LxhPDUIqqN8mSa+tOM2K+TD+D774Ai36Wkk7a2nSTrLJinfdaFX4Xsr4kc2I+7sNaa
SlyH2m2X7I/BokH57TQVk5Qb9zRJUR/g/hlWS3NYBZuycSlcw2w61p/1BPfa4apRGQgEljfhtWq7
7LntUZsMT36H/Fh+SEPEWrdbriaetS8zyUYULrTf6KTxVIBbIGuSnbSLjZEU32HGBQRtGjW7Ly2/
nBN10qeBvXaFVtYVjx9K67lIPGAfoi/BjJh7ZM675ZRvuZJkWUT+oaw09LlNAhdFfupcrGkwUtNb
FeMR6lKN94BpTsswQ/FEvmo8OlQ979wXkpUk3l995pFzJsIwXR7hjG1gtZYq+dQdSeV8aparqEDs
y6Ph7ukN6Fldd2mQ9SAVJ4oloxa+i0bcK03/mRq+rsAQsallI8DIR0Mq83TublIV+llxNl1qKYiq
0KNOqO0N3PWR9QDtL9x8ZMGs6B2iqdqR3J/WrZouTVLsDXZSthXjiKXwIMqcY9vWd4doduO9Sqv7
N83aJcSU3o+Wj73kKuZpk4qEH6kgpz3Hn300Y4ktNo2bnx8dI4Ogmq5OuKFRwL5Bj9iGiGSmOf4P
6LwMxfzSM4LzB+EGQx4TNKvh3LOp8vtYfVqcAJDM71zlSu6bje7T/boKqwZCg7HsWhS9p2xmYUUv
lLR5uTTmehqx7Bjtr0f4xtJvIwJ3Efw83jRNCLWTOA2OACCBdAGtjewnhgouXbjB9UdePidtfsi1
hjzCB5jYZWA4pEix146/uAT/4+g8lhs3oij6RahqoBG3zJmUqERtUKOEnNFIX+8DL7yxxxqKJLpf
uPfcSx/+DRLh7Fiu3AwfbkaEt1Mc8WuePePcokmlj9LYv+uMf0YuIi10ToXCf/8G8hMbE9OjVWxv
OnVps9/SSo9h9oaeWEc2yUgVljEfnERtDC+PZkzg3APhNRrkWWvJewxsWVOs+nrGRrb3pbOO9RGM
jblzq4VFyXfzonXTUdhWiHnkrmzeaqvZRr5g2EuFjrNgwJMq1M1LjwaSjtSxGE/QVw/p61Aweq/M
S876o8jkaaL5z6AmtICgoFIvKxt+Hs8HB/9+pIuksqKKpu+Ejy8q0OACDqquthbz/KJGOqluPs6Y
4UhuGj8I9Ji7D409QKY5mOoaWPdRp9idQVY14Cpt/tUQsZeHEpjglFyoBOAnYI9+K5SDnYhjw/hq
lI8fTZ04MJAfkLwjp7Vvm1u/0pdyVvuwVaC8ITRjx2ibdbSD/Rw65sThDowsgDtN5taywuzmk4+p
FF4L7deZ1rWOfX3rdvfEO0xSQpH7STy6lzLke0KpOdyJVuZ3LhZ0NqsEsQjBVxTTjzkULIfCYTQ6
jTd4H64slLGZ/6+f3iA1HGHELuwKJ5FZPgo7+qzRP3VpsDeJy50I8cE8kfHxXJkQbUjL3hAfDvf6
a3AgChDmHKMTcOxDm1/95ur07Ja5zl0Om5j33Ei3kbg5LC/oJof2pR/PpKjgLbj7GUJu6qV26vcl
h5GTfXLgrQzLPdoFUP1xq7R3EmRWSX3R6A4bxPMi/3YCjMQMQWN4xGbRHidBD2T900r6ADvdeATP
Da52nkwmBtAHigeERuXeWyYYCWVTNX6R4rRJC2w65p9gzG+jguiIIOpmjw9UUFoxLmNEjxl7bhDs
tsUVipjYtx864NUM2pjkC+go5p6kEsbhEWLd/wIJ8kLg+X/bbnEpBMo3A4R3NlvVF4xyNnEbf7R1
iSGq+0ycZpk6jMXFpo5OFhYY6Jy6bLZuxFebcDsDVJ6lsGYMJg6y/jCNP4N6k86hlGg5AvvcCx8f
OoQrG0ZyjaaVQzhpgk1nqh1iJg4gfKr2Nzk+tzaDRMHnpNk/2fDCjBwh6t00aBinp6xDkGw+oKkz
UOtXfaeek4aTABg8Dw2juw+Dw6mK+TWKbMsuSPUXFz6J7vzW0tnVIsGopnB7YOWvUXUXbKvadiWQ
aUwd/QzC/KhCydZzaJi0NSZZ34SP6MwpfE7G4qQLcx2EzSLWhy0tyJ68Kcaz40px7bGko5zB7JoS
FN++h6yF++FviBFxNOEbO38qQw3O1LwJfE2yvWPee+LCnKA6sDlGUGGt4zxYsaboET6ZYb5GKk3A
AY00U1cLF2qlXYsafUXsPHVc0m5xjpq7AzK5dG9t2W9JO1gELrWYBtK6YN+MN9Aef1Q/QknEi6FH
r2Jelk4hnZLPaJoNp/9Qvb5k5PhUu+7SENUmMb3N5AQHsEXEigM/LLU96S3PqaNwl3t7CEFrn4cz
kbQy1kdkZGehzfR6XPwNlorm2+LvTx0UseLD9+pdWzHn4PCLg1/UvzsJ6Swxmn3rvNZAjZOaSV7/
QizyInM5wt91nVsq31VMcs0a4+mNrNvGuRtMcjIwM72+8BBEBNYevJ0fn5Lu6CfnVB4JrFTmPi22
CW4D89pmP338EMYtwKvglcfeOlcdlvyTcJiTZ/AkQI5GT4P/W0Z3K/gZGtLH61Uuv6T5CUTGCzDq
oMRBNuSMX6OB80D+S9u9rIgcvMXxYzQweL5K6xSia5Ej38SD62Iw57Bzhj+HbPMJ3dJaFRdVMTNA
WXwMzBfMBDI5lO5OR9Ho3qfhnQVS5OMZ4KMuYW+B8IZ2+twGH6r9gKm0CKq76rsX6V4K/5d7rWZ2
Oo67gCsDLwoRl+CrJnbmjXfJyWofv2ipov4da7jMNIiHW7REY/VS+j8zjrfETRMT5ZTsq3GVYFfs
u3qtgmFTaS6SxfyiKObVuC3J1ykbTL8hJeT4WfZvhi6ALDxHzWoorHUV70hC4T8TOWjv8vyrGVdd
f23UpulunkXRTCHcH9gjLaCazA7wAlGrGZaLsHll87uyvGE3MkbkHFNzvbsEx6OzSgehlq1HHWcc
trajF+OwfEr9X50sGkJTerE3213toioBd7CqrHNnQpu4ac7NcDeKHOlyx1dNtEDrwBew7SDJ0Utf
Te3bSf8J9Pr+ugUH01wywA9two1EH18xC076ixAvKSaFxH3RgN3reM6NAvcWoGdR3T39rS6SXUnO
jcg+TJJCkqtOMTLuqDGYVy6i4BRBqq/To4XSdWq3UfJt6Ds1/IYOVNCMn0RWhx7KR4cpJotJ1K04
TaoyWhUeIyGrrPZ9hasUhuHRytlcJR2bbMQagJDqYlX2CfE22OmSwNtT8LKcy8EoO+o+BMwufGHT
6cxYv4hOD4HbJkDXELWCLRtxK221SePohvBnHeXutnWvRofQGdeS3vWstmcWBmUaWUmU1HzETiX5
nPEOs9vC+RD7n6HjbUuG/GNN7cxYCaE4IdQxen0AIy3GPLqkg1bidG4soOUY7oV77RnguNYdsSyT
re/Anp5it2droK8DX7BRQ/Ee2rsoSg+C9slzzNs0hudu6LBEomCmU1oZ7rc1PcjoA84THCBSv2TY
L3R93NqN2JJQvusQUdIRodjvwFV00aYK3GUDjzjoRpJbs6Xw2XpmRwGC2I2OBt2glk8rKORLziZy
aBqUPGshLPQGNmmh4aafiicv/EciGn/pb9WLi4vCAzeiz5RN0pYveA3wf8YjAOcPiJlLYZgbkwmf
wPYc6c1HQpHmqndr8rA6TVe0Ta9lrJ+A9CwMVfwTAp2m5RFcjFFY67Vw1SS8bWZff4SC76+hVqgh
2GE+Bp7w2qg29GwvHkRFxq6ranAIAmkaBI3+NjUNIsmnZcYAJZJbHxhvmr1RQpHW2C2qpN5lg70k
I5up/WtmlBs/h36Ay8SAMobfmWgIKk/ZXHu/ujSFfbEQ5wnuKBv/JAPi5za6xxr/6HS19Suf4Xp+
LNz2b4KEoYXjM9C0g1GW64l7yi+crWVUO/bpA/s3+S5j+0im7KoSHwHv2+gyMYvrgzn+ERVNfOCy
zNonxVMSWMavwFFGDg2UcXZW4DtXbozPiV0F7oC10se9rV8UdvGigHFo+lvbYtjOikLHHylopbUC
6VMbnUpcYhnFPx9ThI8DFT6T1iTmSCv7+zxyN2N6V1OieU0XjduuCdBk/Od3BIxXLHSDba2M9wED
lWBK3WHVDME71S6lhNIeOoQh3F0HO4gp6rD6B8FrigPJ97TVHEDBVbXjDVxGnX1xIeiaIRyAjmQ3
k56XHD3yVUnGPpLJu6gJJ7Rr+1JD0x8uusUDyvSxZ2fq/1kJpuTp1WGogeh7EzIXyaDUO/50jyD9
Fa3ascvF/fdscqCQTLaqCd7I/JqhyPPYqZ3R0Cy32QdcHVY3lEwwScdmW9LzJyRDIe1dqOgbiZbn
1xf0fWjoTuyxqxaTKDW6C5KdM2M9F/V131C4vY2+B7rjOMsTmWAuhyDhM8ax6JONwxc6d8VaxpRA
8qOMIuixrP4iC8N5vU+zdgsHnE28eBelu45LbVsh3yDPdJn3wUZikiU409h5BcIYYSCxdsH2+5gI
K+ciK2jiI2rusPbPkW2eQiQqzAW54rhUvADpzqPFlAZCUJISJeDUrUpZHAsvfSYg99aN7o41KIpz
n+lH+ZQ2CfyVmnktYwqxMAzizlzWkRMD5Mj8Qw3G5TEYzFn64icNCR9/qpg22hziXpmS1EtFlTTo
JJ1nJE4brzDhQuXbAN5Q4AYcHzjAwR8Mp9D8G9Sxx/k7YOlLrxarDKb2LAMIbwp3MnxtNGJ3engL
0bk1X5LybqJbxB7ceLuavb+L/adGW9MjKxUfZf4bylkfpM6ZzcixaM5ZYV9HNyI7a+1z0cZ1cLJH
MDQNgW7p1eDVuKnYkrawlhgVW5FcxsBcu+5hVH8GkyRn/MxN5EO6fM47EEa2u03I1MQVnswA5mA8
SHM8Z5EGZjnm15xT0YIf7opnHcEgXFETTVyXUFo4IaLpCrX6Na+PXfhU+u6qZuFYDdSwhavFjNUx
AyY/WRY9gLmtQzAsFvsx5NGfhpa89UXwlHjWFlL1HjE9V7LzMBQjxCxa2qk8ux22nPYL7xXRo9Bv
9RVrvGOclGuUEwe77FmRH+3m4AsyN6f2uYrA1TOnEWofsCgrBDNke8D+SPRDUVdPdj/SvpDUArcp
Y9AcEZtttFjp9Ccf6EZexie/gBQY+Q9f+lddgIBx/dVQy70r8k3WTs8w5rBpxRsMoNsB2oxN++Th
DCEkplWKWgX/aYqlLLi7Ql+3zceAod8AHuXzJEdI2KfwVdku7Tj8DiKqyetbp+U/B/BYTwcQOFdF
dZkSPYhpqWje2ax0pHtZ7z1BKj4rzYFbv2Lk6qePQl3t9L3hjTMdWnR348afvfeRwUrXkTpqSw9K
Z9lcULl1rCZLBzul9ZIYr8Rjg0z/KBMNWND7SGHUKN4pC36YxnjQWxaIhMd/XgTo6qseD54yluzf
sXeyfPgcmmsE6dApfkVyC5oAD9uTiYEkPQf+U6XfSJGGRULcC3Z/zFyILpaT9h67V995bgyMYDqz
O2WuSp+FinPVeTLrDn2Z/o88xxU5mEQA016yrgrJMCNvCI2DBbASOSK2d4U+0ecV99M7fIPlYPcL
HFxluxscoqzMv6B7pcvrGJ2DOwRRixHI/SPBpXPXiUPdIx82Qj9N/AbYIXjuqOmfWoIqgwMGzYVG
py0nc0vFxQCRtUzuozHljbHdA9sy2P+UdnHgk5xBRA6a1zc1JwhhzkyOjfbtkwMcoAMmPQquYPSd
l0+WdmuSc4Dypx72kyiw2QEHBHE+0jAlFssyi9ARGj8Gb3J4dueIi6pf6SwfyXuQ7oFgj8hGpXYA
gWjOmJl4OQ7dRqnT0N2C0SUinIMJjjr2xWWLTCyY6zUyP3LHXrUNxhy0hZ7zloezCPjZRnwwzpmc
XYimnDEzNFa1k+4KL1pWs+5imabWaugnDa2P1mQoZwLrCGs3/jfv1P8c4KRMAJxuRsMa+SWcDDgx
rGGct4p41WAVTzNk1qBwO7cKIyv33dDuwjaPnhsLbDCihfBPDxyXGX3eRz+5E40gvlMcQwzF4mCr
ImfnKflrwafJhpna091V8JTiMS/tL3NeLJI/ZjMnKzqxD9Jv4QI6H+oTRw4LMJ81OIr3oNmTAo3/
Re0n7vXcHLGzGnC5aSqSb5M1j4GN0KPl0fkkslIdBQu3XB7MhFMqN2+JDUfAAj6Uv0aDh3e/IPdv
2GR8ZpmYjS7uWsPuDRIEbeJAaPfEMgauJ9ZQH767zYq4kXwU1EUdX3mt+2zQw6fxvy6pt4l57qx3
1yRCNIKkIW+W0a60cZcmA2bR9tzmv0rgwc//hOJBJmgV7CtiEcZwynp2yPKQ2Jx7c84i19mrpkht
TSR5Hc8lR6VH4QWBIUxjrrh80Q8/mInHkJ2R55yd/NUjjKdgUDKRIKLxvR9NXNbvqQuslJQbX54F
Lj81/ZjM2St3LtT55YvnFP9CgZ62CAjpy/EcgVjv03XLFmJi1Z69c/EVTXNsmx42eHgMrGlBgYxV
60cxuyKUmKuXM5gqPyutN5Xax5Ht/2guSVvAyvHk0H1b5nuTWU916S5H50maL0ONwgQfS8/K3EZv
JXi/w3NJTRpxdvgmoBLgsWP/Y9u/evkWt79Uiilb3Z4EtVIQwc0WKORuK+c+6aHkX+9oJ8kafiju
dhWubfASksB3H8WiU/+zsZqU2JNZqZTZvaPF8jVvRXqJnzubER1Am1ZMms9W/J0EANNmEsh4cuqn
TPsu2SQE1jajEm+pMbAK2iDLMDs5kjSqZC2Kp47ztaRAbKlG1QNl+AFd88vUXUvtxh7unct+wQaP
KhRYAYS/lteQvoWZQOw1R0ei5fTERzz63DgMa8W9iT5xwCwmEwQQIANf0j/MkQQwNsu117C7iAgP
9BmB7VR/Bi2esss13oV3MU0P3w/UWupY8lXyaVpHMW2yC4mycC8WIxkDpIY3Vrcx7nEy9jiIekb2
cl5TL8qBySKFwOzeioM3QDZr0D8uA5Exuyo8tV5+y1ycQabnMdmdqjpAvZ6GEvqfG3InoiNJ9c8a
sA8JcE+5/1IS8u6y5dL5GRiE6iHdukQ24lZhur1XFh9utmlboAQDQxHCdMf+D/gy8+B/oVR/fVtv
NM3YWwELiJERCRbVGsssFs6lXv7OorrC+3TKN40bhav8MJgniS0NgvkiM/e98fDSRxrC8nWdZhmo
9oR3lp3IqZ0+OuO3dmmU5veBRTGl4DIbAYgVzzU3dg1LICY1NmXP3kifP1bMH/06dYxrMaUnq0Xn
2HfrJpColt4so35PmeuUk7OdkDYJUHwB8cj6GL+zMmPTMKxx6m6sYrhOBF9aVEVO/KYP08npHoOY
vv0a4EMj4I/9Js6jVp+gyo9G8KUFPLHhkTWkVj5j+YER8Bpw4yXNsK4BTBR4vgr0lHZhnwf5ltZo
TovngDGE5vn7OKvWJlLghj2IiMxNA5M/pu4su90w9g/BI2EJlxyqn8CT6xQclSm+MmZZXtpQb4ar
MjhI+Td/0/X2oaJ2ZY7FerAQ8SPCMDS1qvp0F3cWHx5rqM5E5BIwzfqczBOPCIEnZ1XuKjzHyHKO
A7OiGhtpQxZGPIEniL4mlhEZ2JjYDS5O2y6qGEC09WIyYArmRXArWxJMHFAeNY1d0+SfUaXB2GN3
RWCIVdM3qsbGSyy31TxEsAsCe8IeKzI25zz+8RpwbIN+NWLtA8LvTovY/9leeBtl3CFVb1ZN9+Oo
eJ34W0JK6Oeg9MNwrGp9N/vGQNd7lBnxxGSeB7EzhwtumaWgpcrMcesawcYJ0VmOILzj/D03po1r
fmbjXSBnKf1yq7ufjJD3HQuWor0I8DApPX7Ge4IfU+uuOJHZ/e8l6QpGiDsjT960CcNfppNATcWp
se6iQR7Tl9Z71iMyw1ikh+2jLn4KXNdD2e/75ugU2KhSujnYWGzSy10NqSgsJLNbHFUmAArdII3G
3k9Q/bIMITk27ax0v4smxsfevshKDpsEcRUBWRO3QOE96Q1KIXeWOjMxkG3zfwVCUZ90W6tKL17o
n2KZbZwUqhldIQoA/PC9BHM1JuybHS3knRzOUnHC6pUBtWaqfkVh3LwKg3vnCI3WtzrZFsKtPOOy
DQGsDQi4yMhFtItRvXofzeLYdZPBiY0VT4lEksOZg2dyIP3U3WAsojC4+kmxjpyS/L/wEgiPgXP0
02I2cot5m0bGtS6Kl6jPDlEJAjZzuOfFRTqDg61R/CUTJpeKfZFRx0fEMthBAx+usf/SAZvh5HBA
FoR/wkQH4nU498zpQJAmmXjeuYiRc2joYpsh4ISXI0KXlhiY2j/aZfI9ulBDDC/G99r8JBqG04Js
ANsovixbfTY2d6g7EmmVVgr2NM1bx5I59BgNQrck+Q1NPIF8t7TGHpfjv0BoscrC4mjD4lwNKWA5
ByaBnxP0WuQ39gFc05VmXLEDs7zg/qXtNneaxhLEz4hyjYdbkPVMFXMNDFpF129lzKlLAII6CSK1
do0bqktJDbjhHtZWuR69lDpr1sZor+1AeA9hUg2yOJPwucSxEdllZ9OU7+OUjYSRD8dqGDetcva9
VNgNhsMoxJ+oh+8pMq425vXMdo8m9PWU4YTul4+s9j9qRZi5co9ScseYosU6rF+TenhEtbybSEgR
NoHTqEV4zBNrq9Bd+lV0NkX5gkr8yCvddx5h03z/8xmrxshkJMbbtv+lAeaCzlq7fYmNp4koySEz
oV/D2caFhRCMRyZNfnNJBY+9jVV2jt0zGNpTPzIdLb1kp3cEYMaj9eZpQcV42NiUAJUmNYCM1FYp
ik0i9oxjW2cfURwD1iFOgueQmO1icEi2808eWHWL3ljmI87f3Cm3Al6a5zU75aIS75BKIzpHFXQg
0sXD3ppR9GdvOrPOVI8k3hL31uhcGyb7Ji33wlVA/roMKPiysYVOhYhLdx0yY5saUmbJPlMo/32w
03UR3Ssear9pwYSl3Qeyhld9FDs98a5QnzeldDeVgB4YzYx34shml4HoHzJnvjXz2DDPVYL/D8iI
cL11HrTg/pJV+X//FnN12HAFIxPwXxqtzEJ8TKxKiQ/hhrYGpBhdgzLdc/vg7M8UgdRIDwjfCAh1
uTNQsGajeYxCpLmsggkNLNftjObn1ltETfCXS6ptNDZraXrnUJQ/xThg+veoc8CygKHo8lvUszt0
586myr1f00i/Q8QK2H8/grTYF2F+RopN9ixTQ6iy392YDevJUVeDJAipLlXrbZ3YxcxvrhqV03/o
CB0RZVZ2x16YnCwTh9ImL2zymH16LrK8TGxWLLY94EuQ4wamOAbfh3U/B3Yyk6fey4WxziQSH4l9
KNIkxF7/o5zcnO9csq5CHbDYuPE98GrCfm0c7y0T09HgMxxCupqkgaDXwXvwxq9MeRtcr8Cd3M1E
DLrKn8gVFJMH0tA+iJ6dCWpRLrX5IiaHvIFwUN5SzBLudA+NbBNy21t9Bzjw2yFqobIwu6NBUZo4
VR4me+sa6M4zdNiDF053kw1/myr8DGhc6I2UdEhxqZdYwpZBpJ/mDQeGpYjUNeiAqvCotKZV17wF
Dt2Azvd41F/dGGVPuB1Yf2kmJpPkVfQeUJ2c9L+OH52sRowujMN3ZfxlVj4blAGkvr8DsLHRvGgb
hK+lYPBvAXOfBI8s87yJ3A0LXXkE8+tlFgrMCZbxLomZQCK+qYiWjYkCay9pfZrRO3R4GwNWSz4m
EDp3kUEE7G+uyd3sH7ED5IWGuEKXRE6AWIBCZJZMBnMAaRRg1L5WjHkaRGPz1j7cMNsdgEuPQLoK
/8tr8MpLdlrdL0HVSKoWAiLRBIO+YWPicVl2PWGT2r/eZIbKJjFsrGtvzuYQAtDWqLJjc18b75mK
NqQUodFHvZn+NNUra5UkOZr1wejEwUowvLHtzpJHRDSZDx/LccANgkqRASx7n/o7q7dRivvBI1mL
bWY+fYcPDUVRfStnRnKSBavS0rdlcRwsrrRD12xGh66mecH7pwjOxeie6ufQ2siBPCkHGC2UZ/3O
hBOdMnCcbcj0FJ2DR6wy08Dmw1C7lm7LlN+QDTz30HX5tW8+NSQMdTmttAx8sr1p+K0bpF8jWT/u
IA968tdiiainbUyDXkHIZcewVOWjga5b15BYLBxAfWrsjUBg87u31rjKmM/4OLVL1IkBxlY8+Ou+
TA9FEmubmqpiw/vSrkbhGcs2JsOpw1W9kKYLOdl33tDsJ7CprOJhVcAtGswFGzPpv50cutwwWuDy
coQIQeTuLZNJTDxAysyNUECjsfjR0ZsbR1+R6N9IeDb5IJNj3Tprgym7Xsh9mnjFcgjJFKkJScWF
nrM5sNzhqZyAzLsohRZda5CSqXFQ+r4ixRPaRT/2GKpjNLM6eIsght/ZqBeScKutO3H6+BnVppxz
dUcD/lfE2MRqE5vYoTjc9ROn0qgUA+Li1Hb+sA4jhDM5yju4/M6KW4FzqPjSqgEHA83AIIiinthF
ovIJrQPwmGWAvFNOaDBZo0NxWOci+kG4dwp95rZAnhlYLRA7z3LGQ86YetDACyWoPHzPQilG0ZXp
h7KtJra39lR0a0v66OiyFKMDBT6d24EJCrF2wm8id+W6ydRtdD1mTK23hveLJ4chBpb++FaAoFnr
jhaPB4s5KpEWZUo4yeAO/ZvtKS6JACGw9Z0keNy3QF9tjVVYafpHXjD2a4wglyyuvliejtzH+HgG
t4Fc6mjORgywrMeiflZm14KFI8X2UHbai24TPw89r5WfZZwbL0OB27DMZfSbpZbxjyIxu4VD122R
UpLupkBApiFIy6Zh6CCRRIUxb5KSikGNzeQqx522MWISmD17+IsmZq+lMZ/wveVyAUvyw3RugS6O
+xOMl2OGj/lq57iSTZ17JMLBA+WRJS7K0Yk7IWHzkAYeL4mlbtsJC62Abq8NSD0XkUfflm/YizKR
cz5LRqePWwUmfNq8eyllXWIDzEb9VgAOU9m/PNHkMk8z2E1e326H3DCPyseD5jq0GUYUsnJteIA/
zWnA7Sg1BywtcrWxj+x9EePlkjqfgtvLaTkMdvsM4rD4V5kyOPmOPecB6GTdJEW4x51Rc2PECHYj
v4IvL7o3XYZPXieflaG2YvYIh8hoHYeMeQeXKZ3wyzTkV42kMNJS9SPUo1eYxMvWbA8pc5W8B+Bp
9NV9cvXT5CQmniGMm9EQ/pjYVKGTuLzpKoWI0L2nScWAR9NIQ/GPJTGZDQT0piBqk5tuNdbeRxMP
u0Fjtz/7zilgJhjg8SXS/W07zki9kuHwFHqwUsH/Zsawz0G0BXX8aGeE39CvWt29VxLKfjM+8vlu
6mdAcDyLKEIKJBlyhFBBLeJSn62c/cKe0qsede++RkCViqNDZwj2/mQekiLg0KaTUJCRuKK6Ij/U
eMoXshxgZBCR4BrDxtALDO0SV3FJoapwwzWFeK98SUUb0unLdjp1VtWtWotpUi7GQ8JLGRzrZPj5
obGDL1bsI0vU7Ba0WBrLAlJPTSnc55lARWvuJmKJ00y7W35KsKNGHGEP7rLIYU1P5ToszRdP6/Zj
PL6yfdn63Bu16axaG94FY+Ej9ogv6WQ7ZRP/Z6ffTSKJ7OPyTyL7RKohQhYqeNPedw0Z23VJqiT1
n2xeIKvsk7Q6wulg3MfOVROI38OkfcoMfd8zbrMiFi0uAGpkLVPnnNs4Zeic/tptxtRg2g1Du+Uo
xwGUPJmVtm6rfqeq9J73bgngHNu3l3gTi3CUsikz1IzJ5tLznJdWmu3Cw4THIi9kkzdzRsieMKye
usvqus1ksfO1BLVEHFn1PhjicwAXmNoaNDPReCwK+L2ZqjmrHIxAko8n5O64qrjqAwBAYDeuXkNJ
AHYHqKpAqxP5EBp4/uFAwbtTtr1P+AMr0XrrEm6NiTLWLYGdiST+jFX1Fbfjveu9ad17OY1PNBco
AOrXEihW4lN3tMKsDtgxmBt7jE88jcQagleJtmWOZyZ2fuAA+3QGgikq5muUHzRIiSF5Lw3/s83s
+FCVWrYfS4+9d8BU3nRM8p98MlohojHdVu91yytCX8eNNPbpioH/t1Kutqpt09mTtYXFLq1nMBLT
a5GQD8RRhXMdQyH70M5CRO16Ch6qayfQYsQw5ya9DFF/dmQ9LK0Cy3pXhhYVYsk6bN6YMKhlCPhZ
24STWjYTAG7j1Go37WA/jzohsV7lb9yuNpjE22R7O7eJvOykssiEohc2UmhNBvGTVGxRYOyj0b1a
3bAjufegJnGos+wUenm86Kfx6Ebp72Cqaem0WBf41xgWCKRmUbpjj/hUIbVkO9p/TD3rlFqcLUkD
UZRqH1tYbwidBdiXgi4k3qy2HM6jYF+lyAmVM35p9vjUjMMJWVeIlIbBb8P0jaUxFtMu7B+6kVwt
ALE1v+WtCqz4YkEOLcNyR8Oz1z2YpEks56x2w2V1VOKhscxXODesextMuSLTCWOjL2766JtKCo9m
iVomC5+ZfFqsMmghpgh7Z8092/Ysj/rUatYTvRpTeYa2cYiMzLeQe8Y1Z1Ffo6rqrZd4zN6UbIFC
cyDXuncgBfA36fyPpsHQ6Df8jXH8m+vpA5vUpW7041RRbkVVhpxyrMnwM9oMzce4LmpF15DOo5k9
EYzPDmfLLGqCWwBRdAtn0J739z/8bR9W5t5ly5wL3JglvF/JtpSU56UK0d5a3sUYqGz1lg+ohRa1
KBx9O3bFNRqafSK0I+hScfCG8deUFm40uUpTSaRfI9Z9E29rB8vvqKXbZh7QaymhW+wMIMj9YjmC
X2G8JOD1WyvcIyxejW2AAjH+Y36LDtx5CROynjXSR9GznJtg+NQHRbOih0+GhZzRJkZCgXc0MLJE
QS4Rb7S7zijwL2IzhPdJr8nbw3MctNCQbWdvdNoWAOc/AmcfCVpwqGQAsn2qXzlQ2jpJdplQsjmG
9SWM5r2YofUVK9txCh4kWG2ntNwM2H1Zw4KDnQJCq8mSZN9EktVni9hmcsTeU0DBzbbbZsGAGXUK
eam0Li1dUkwzZVOCKVYONWXQjgk92GgPBXLud5eYsaHfikNeo6+pKkCrCJ38WzaNFVPd2N7pfspe
xQ0EGE6fwJxZeYf4jb0Bz+jSrsSrQzhmxp7KBuXX5cm2y+CUVJZ5tR3LWgde8CuoIFnnbNt2ziAO
T5lZ7wYLlxHi5sCz7/MkzJrE7xjoL7lG11D92lFI36eeyyG9iQGQj+6i+uZd2gjU12JKH1bkbXMU
0bNtrBmJaglJeIkAIf+GmmB/7QB4QzbVV/uCTZVnk88xUTul7iZH6V1iTDNHznmRv3T0nVOOWSxq
8fomb3bsv0y25cPQ8C48QmQjkWePMNoMxTVllcGqW16rTDDwYHqTMrmN6uafpsHBGcN1TyfQp9mj
cBDvSwh8fN9uqbIO1WDCJcgYJTGXTkegDjZCj7z8p40NBjVUu6rxDkUsSWzxw1NYsPkyk00SUx6z
UGcvgiqTDtX8zb1n10JxWr5oCm03/LkOo7FufnZpf6/C8Z5rwzODEL4UhfViVe6mNo3/KDqvpcbZ
LYg+kaqUw62t4JwDcKPCMCjnrKef5bvzn5oZwEhf6N29+mHE3CgF4jYDe3Pd6Ta5TEfoCUC1fnuX
O+3WkCLy1ekd6Qc5oDiMX35MVj9FpNBL1W2TAK5h4cILxHEtpSQmaf8zm2mNZw9nfbNOTZU0FfVE
BdtTmVh7IW02JeCQWus3ITzQKus2oHx3I3e4Ebtoi0OAIBT/quWMZvcqsTFNEfZFxkO0j3Hpxa9h
SqyugbWaNQQ/o9T3VseiB6XBThnQiRJs1VyWVrpAb0khrQMf90Nl2prpX3RKRp0pIqmQaqWt47EZ
JG0nxZyEJ/aaKJtXKu9DS1X5mBoPOQSRPJM9oGoXjLNN/I2WDyy+WP30oPokgr1k0/V6rYFvYTlG
8C9Onn7Bb5wGmU77hvDFG5Q5PvkEKWAZlpH7iR2gXthDSZzFCvqn1rTnnqGsSIwlh2NaFCPgX24R
jCc2HbMSk4amIRp4xuB8BSIxnkJr10PMZGUQf8gsu0FFpMQKWKbyVV8Wjiwh542nCMOej/w3Q52d
oYHUwrsBSfesmoBGHdD8hbmlpuaOMcZoRmS1DPEfiiPX1onZoDYIm0gGiz4m0T9iyc9Kz1W63GXB
6ZL0s8mEwCmS6OHH8AlG0DQaUwSkxwHjgqFYFxE8F9NnQjYVtTwhBbxWPnwPeR6eMoMJelyxP0x0
ChL3xnkMJWCsZ3r1rO/KqAGtjU4+T58ZjKe3AOQzp+T7RCAQFpVf7cNYXAupfOnLabKHqcAxzWlH
Mdi3C2gPi7ASqgskQLCCzEGmGON/+DX1CXVcGRMGQKi2kjRgJQRsvUJByM2P0ePCHHWqVIWzpPkn
UCVeHsMLJBK2gI9oLESQ61lCQYow5uOuj+CaFlgw06jOV2CF15YF4dlSKGLFlyyIZcudhw4AsiBk
tb2s09cSwZdlTe3RmKc4oPrkWPPcuZLA3LCPuZZLaRdtuIv/ZSGWGr/LA68ZEhAWQYWZ00h/4r4/
WylzYzNhQFEp5Nkhj+nY93sYcylg59nvOTFmCaX2vbYuMX/ZBSTPhc6ztZAVLA0EoiqmCaXJcYPJ
DggOtRkIqXA0bjhMv48UuB7D5qYm7YpTrkLoSynXmbgXuLxmj7baB4o3o/kN0AWM7F5SzFtxCyne
Am+H8eJdr3KY0AM5U76JuB1xhSn+qxB/YJH6SYvG8lOHW0DRC1gXHYnP5p0oZs/WLpCmQVGdrOas
4KWjHt02SQG20ish1D+MF7k5hxDlEXxKfW00G0ir/fSkBbssj5RGcwedSKqmX+Pg0jIAEpFqpVBj
Dyw93T+WInb6j0R20vCnF/YYZipzIQKqMctDUN+F9P2/VsJwp71ak+jlgo9QESt6gmImtEk4YmeQ
hkmDkJ8lLO1UxKALrbs6Flfmm5hmxBTrvC1Qz0lpANy4gAM/PjhHCU+xggCCmgDRBPwREYDpPG3J
LiWs5/ep8tRpndEEAv5SW1ENGaRexQC5dnvd4ZPv1lqBS9up6t0QruJf/mJL/e/kzRS3AfYo71hB
AJfBs7aklVYC8XFbYxuLmwC0gLEadhG5H0Lm8hIkMgf3d8BzgYzQhDaVMxx0e+vDh4WqgScg0Vqv
oKQBFWQEFeaf70I7gTBMvB9qlMMbx8sYodr61eOb1uFMP+gtofXoANhXRSJkGkkpbXpVjwrth5xM
8UlBnGJ1tZjc20SM0xPoa9rVuugEVdeYX820kZhQyW6Kr0q2acwlY8aPb9Sc53aUuhhQcuTxotO6
nqCRcQVqrOMUvSTVY8jR5Quld0KYUW+dXd/H9Vf7UK9SeAzFMzyl4YQ2O95poOE1Z4OpVwJpioht
axdiPmSQmDkzOcjRnUuXMpRM+yBXzXwiQS2oM8eMnsTy02RXzfv2pBCFATBaPRPWjP5fol+BQCzb
Ul9aSo0NjGEeX/TWVV9ZfpH0owhfp4p+RqBVRbn3Y5Ze24gwNnF8dPLRngUEu6U2OTpuJ0bKxCmj
Cxzkp17s1Z8BTj++eqBTaHkIvkDGJ66Ez9xYSAj1qEhPppBwVkhqi55Y/kwPsnZsCVmGEZQ5pT2/
oRV2e2uftWUrkEYRB3+7vc42Viwx0Gk81+u8XzFlg9gr9ja/PQpaYGgwXFKwbLq8jeJfQzMGYbvR
bgwCuVRUugCtCQTPFAHgSRaI3nGSX/Y1u4/Dvb7JXQFHsz3+WB8FcRkuz+rehIDLRw+a4dc48o70
/97v4UOBDoA10cNjLVmL7uJjcoKnSJRuCUlIaQGxLYD0WKannCj8mWEj+dgV+HW6erzOvgAM6Vj5
MYpAyL4mrypZ6//yJylAMzvGh/fOzjqIaYl/kgZ06EB/Dcz0JQwsMCb5XxjR+gFKw1Zu/LJw5jWt
XT5winfNhvwgw9UrZAS0rMFgY+Zx3gwY/x4C7iUwQB21qU6LORMXkoEDFz0deNWifVlYwPA38Yoc
SQAK1MVh4h6cmAagAekei+Y2/KbnUodaZdiU6XHOVic3vQqoFk84lcAaarzugo2KqY7LKnBRd9Fe
/TtT8BZti7GKU8P6Poe+He1qMr3ilgdeaL6jcMM1uQYXAGJ5x0y5cFTiHvQwFZvKZ3f+ms4jM6KI
PkrnXRMGFVMkMvJ+PDgqicIqjHHbk2jger7FLMXBJaYIgVNTvgJPFgN1nhdYZL+szyB03xV8zRIP
X4yMjiHuQq8aTpvpTgQRy/67wSlzesvOHJ64+aYWvNs8ZeidZKzcVraHYaWLLuARnTLdnGDNE31E
eQr3tuBH2ACf1oB1pHbKTxfv6CFLd90htRB8PbE5NsNOTs7a5JU/A/1M0a4ADswQptjItOTpuIsx
WS3SXf/+ynK5EzdxCWQZvOzCpBXp/XgIw40STKYDvPTBdnypudP5gKZYKgmPYVdbCDtMbJhr+9jO
f3J5q34Bwk4g1+quxNMTQqCwcbdGr2q25w/+dXjyI9FWwLU/6DWAbOo79sRGWxdM9chyvITIhgs4
/2blRqsAYB6woaEe8BUTHpbpffjmSI+IuNOblbpLhGXJ0f2ZfxC8YxaGvVtlR2KrqXYcNt7JpmYd
9ke15elQqB1VvbGvlmr1iuiA0DFUAhwzHfNs3HhRNOVAecZiIpKiDl+G8FtglWaehc8n20Fcz1Qi
hu9GHswnZL1jzUFaM07dH+5dILy4i9T0b5DXEiCH2v9Ly8DTurOAt/p9/DqUXNhq4iXkDZ9ZtTI+
K8VwRNYlHbFm0VO3Lu6V6ibxCovcvU5KeTKfCi5uRraSI4bsebj9IGIykpJ4Z+zs3aODLOl1g+cf
AYK8S1KLVRvTrIbpCJ8sj/6ZeSKgCCfiEvTZwCnTd9m4EbJNpTllupu4LGq40nimvyVyw8aGzyf+
UtN/5N5IrMHcXia8Y32Fpv8rEZTiChSpK55RgabxUj0FBjhrlivxolExDntZWY+SE3ZM5TdIOYco
WkVo+4r6LbFcav1Jj7dTdBDYudrp1SjNgrlPayrISe8uPYeqVsN3lIT65G2+HzaatC+uivJTwdgS
lhpzHzLC2UL6QGzMHuKdE4TO60mFzz74SwjpCbyuGx6G8g8sVxns1V8ksRxBsAUxhHK7EMmYcNpC
pbqr2OR+KdWtBlcNN4is1BqSxH6Pg7ivT8xHFiXyfmbXl+Fp/QkAQZtjYLnG1T80GYO+XfQsGjcX
CCEvopNlHgJlAfGKjA0PAbmeNt9hHS1bL6/O8xpyYqKu5fmYvIkud3KpYnvpwXc9En/dmDyRHthw
pSTm7ArbngZkfG2wKDIneKFtTWtCoTmH2Hs3udJD0rc6U4R4+75myauoeHS09VAX+hvNK17VnBzN
5NJOOvN4aVBR90m3YeJgavtc2hX1tvkkK8h0cwZtwZwhoOFrCT2ilR/F8CWaV3IfYbuZOPS2X/LH
7LM9JVfZ2pQaN6Jt3PGIXpnPTuGj7h/NB9+LxnQ92xbiX3bq1ffSXc9rTBBD7Whs5S6e9mRBthcF
lqHefA+0PaFhBP+W0Yd8KwieHjEpc0AyvglCKd+GfzEoYT1qVKcLz7LbQI2X67W8m0FtQHfx9+Qx
hd805Zv+1xguj8fAsUAgOclJMpA34rzP0NsU+aDywKnzZQTKWT7V6JzhFTMpItv0yV5hgW35EbLv
wjxG5r0+TC/AAUSAOGXxvfFdd+SXmEFOQMVorx9e/r9q1oGarlSmzem2atelUC+kh/m+VaAv73Lj
hxEgO0vor8Z4Z8o7Q92QR42KgrQAzTGbut9LLA5c9BOaJepjh58jd1GM0eCnN8NtKXcu9ToRj4z+
WVQfo755431iZwSNEWwghSjyjZhaym4EfxccSID+M97zcMm5CSRJ2dtvq4p8MxnVRo+gfXHps3Dv
waGY3BBwh/pLrl+WXIad7E5EZ+pk1X/31oETM8k5og4DMewZe+qCjgdsxRnmb4ukyBHkJMkXST0V
2lamQ4H8AFpF0PyUbYbNgOE01axz/xGS+JTj9RiAbyKVh/befhQoI9MxxqrYfTNxRn+tGae45M99
06ulTSyv8P8ScYoU+STV7aK0luWDNDnnZezAjEIopvoyjBeVUD3XrHajoa2IsH7EZK+97yCeolxz
zJbKryEfAIIR+En5PzmqyDuO4A3jnOK7CU9qtKU/SzImgJBcMLAWyMrDehjGssZJXLBJr6IrD1ZP
LptGJHYXuW1QCRdR/9UGL8aa8OD0g8VhcLauhnQbywMhOe2fASGEnNya1aqfE5bHnfrHYLbgDkgn
FVkyRuu8Sjp3xzbz0ksVu7g0CKMw52WjkSIv5w3HTT1eK5AyI7YiPi2M+O7IWiYgNQur3PyjE2SY
+QqnZHYMNrmfwjiTVpcJsLQ7ia5DilvlHTRawLQRymn5IGxPYyQ+PQ6H2l6aOJfJ35xtZcPjtGJO
bvCRC3+z6NIGV7O/gfe6cVqQ46MUH1SfnwDWHwLieByDH1g0sHcb6dFZF8vf6W/UFw9izH64b/qb
TBjcp83BL+5i+Cg4TxX53agSp5GkZUNpN02+xraaDrQ1Jfjapen1FsniiMYo2vJSLMM13cKokxdm
m0rNLWpLX6ACF8P/KEhsTU4k2orkQiPlXCjcqX4GB42gQ+J84JDGsM6bPvv4xgKlhtuBI28U8pR0
i8LfZ/5XEN8LFiDDTptDr6wDg+nZx8COy7NHMaPG0QzaTrUX1M30I9c0Y24TYTNy5hjQvmzwIOaV
S8TcHkb2SWwP2hWnT8QHLL5IO7es2fV5TFYFKbNA2qaWXWYwhO3oRnW0OT5FJGVR2sHq52geRBcU
lz74EKUDpZG9cqS/r5G45uZf6FTI117CFSdD1Nc78t5iusIevOjQYp3miYQkNxZZNZBCIHG7iC4N
DuLdUXxbTxhcqySiy/w5om0WNXKqEnIwBe497cdopYLin7Eaz+1fQ1191u9LaueSK+PtK56OQ1mf
RmFllDcp6+j1hZs/eMPANKkr3ST/rMNVzamltRRP6tvFQH/K294+NLUjzABOSkwdLPq5YiwrXpXK
qJZ51e7SFn9Wc4OLBw4BAvTMfkHvV7ZtMHxgqs/PYORzPzoqUr4KJMUu0SdN+r/IVVfnKR6/cWAl
6reBm+s9hBZLAddJutdbaAPvFLtCfrwmL/qr+aAJpvdh8qK320FS+YlPKrnZiCQyfRhQ1xOiTDNE
iCAnqCg9jLr7C4BnppQZSN/VCKMYoyn3gnkt9Nk65dhjMc61DkW3CgzSu5SzDrJdiqTgI/FPCGfe
Mv8nzTpPjw3HotpcLpNLOR1LhaIX36BCuMC/KoFNxSunPPUKMF833KaUFa6J65eedoyNpzPpZ555
rtpl1+EDrxlAiVX224flGtRpyuVbe8ZRgmUpTLk9VJEt6foX5PsHGDKuo8ljJGOB40b1mlJez6CH
ehOXfOizmgPGautdar4JC+GDKSbdvwP56klWPwHwn4TCd7uxxYzVjeJS6QpUEKS2qix/xG4+dh08
JMukmXgYFNllaCc/Olx3adwS/aADl2FAHv74kOx7fmNms7I4NvqcI4k5JYuEVo1UfsMG55Mw9LC2
CYPVmNFM0KR4KgLkerHddjzF2gtPzIJ1OOD0qf0M4T4TS167xCHpVrFLtuy8gPlrimg2ubYxSQ6R
DU/rfDEitgNqW0XvvMFObzfsXWBmHB8z+ySeQ8P2X4Ekgpe0yPswUbEN5NNmXaqe1R9p/JQkZEwI
IfNyoFZ4ar/jUXNmaB0ymCu7zr87JitESrVTLh6E4Wr0dx1ak3BMBS9PKEI9M7uv9GNobtPe6fBB
vclJKy4bZXGfp1MxQVFzoxjOaXNrfLh/Kss8TU7fNA1jWtrI5AjrTadvlOKScA8s9H5dSBYNaYxX
MTFQ4MsgRUhOEdcxyjFg4RAK+2iQtUeKFLYZY1btqGhbANy8xx2n4vcP5o1MmZSIMrfrZF3r7pLG
/SpXrzUy2ugplatP28b8btonQEKARJHAL3dLa1QkOrEpAu34B2OBA8Eq7BBw/w07jZgAVi7xx8L8
ba7FgoAEwLPBHUp37pcW/20pO1/rNka8piklwwKMTdCtvkdXujLCDBfiQf+q/gADXcoPZkC0FOn7
qvSEwVPPNM4iwKyhRP3pe3EzHvXNcNHEBff2rzhels7gkrcfN8UD9m26prPhOZ21a7mWduiIJ/Br
dvfJuYn3WP+kGPbDvxVbIivmsnql/wyMjfytwbSTLQVQr2TPeOcKyelZLAdP3NJW5RR/eIpszixY
K47Dw1CWMgfgJV6i5i9snJDDHTW/mQMsv/hDO0HXncmyLrFLfAGHVil5v0R7SaVdgl6Ubf/Skf1c
8yf+VvbkPZeDnV8ym5Y+x3ifFoudcG4dZd/Z0am8pF/DlnuiS5LEia/+LVkpW8xSm+5BIEo4miie
m2qPFnxXfytbmYgQsSnOl2THI2Ebl8o2F8hCu2kv7SJHWFKTC44Tc+Vi8lRajcdt/oowet7Ql80b
Exw6zBAkglf2AhPsQlE9Gb/1R84WsBb/0Q/D8qgtYTKsCYJdtRUa0jM+k5bECXpo7WBFJUG54exF
gtOg+GUx+Ve+TQ5K/jfH3m2GtFEuppN6hLTbuNqZ4x/VJdhAubINP8HN+GIKuoTXcA+vpt3kR8zA
m2wNlvAvuEWTO33Ibu3xkrnFXlyXDnVUWXlD3ESi9Y/VadgNLgUuHCl019oMv+MejRsQNeuC1+6L
z4iYBC7D7RA6wrTI2WkXultsmj3q0RKqRnmoTuRvTnA/k2qJsXJtbCnM1Jx6J1w5k/FrLZbJUsJt
uxB/+LS1t/zqX80Ptvlduzd/ysMMNgzz94KCddu6xweJCST6wcJnHuNo+8mVj8IXqoJGFzk9n2dE
SnSXdxR9V1PmBIsS5greBXvmo/IIyTrtTrFxZ4Y2adal5Xb3bDXni8rLn5WN3EiYutiJ+Oe4JRym
x8y5GlGUI7jdHKILLa8Oh8tH9aMjfrgoaE9z2f7MH5RoeIMTfup/03ezrPaMIph6lVvhIewDR/8a
j0gwzvQVOdEq/KkWpjfbmM5cjubSplrr23RfbCsyZAs+kA0kto1xKFbZo1+nNpuvx2GKn3RJH6zH
dQtpLn7xjh7CVWbH5zm2RRK/q4AtehfcJKfG27kMF8ManzrTdaYr/0Y+cCf97S7FRnRkBNLqe/4Y
d6DVGFp+mfaPeVQ8DJ+rtwvNmR3rrDxkV2E2gHvoSlQDkWNRcU1d4uhW19olXJtnXH7zB4NvkIAf
yodyDQ48ptUFTgIYdWUVeQB3IYcrrmJLW94NTKub+JCsa2dcaDYmAcxHbu7S42Inq+YcOaEd/nHi
YrbIJG8jeMEtu6UPvtBF3JgsTJoLqP00ec2KzqItkc8PY5evkTv27af1y2KOijgZS20hueUvArxd
X8d1ec2W5i1w4Kz4qOPb943tbq4NJ/57V+MtI8dyqPKm+HuZuYhF5Mc8XuF6URzqY3WJHN/mpMgp
GysjRojOHn6Gk+X0K8OBVvRbrMjNfZQ3Hiw05G4xniRkul26Tg6kx1ztBUhri5y48tcYpXDuL1A+
dYfCifd8dtVg26Z/iZTueiZ1xXMsEenfj7IjOHxODEKx+32kX/XilF81YYmJ1uOsQU8EEmF5IhU1
7MCKc/35JasUl6zSPM/s9JxUmRF9GfxxKDeho+bbcl1U7lu12sAe7/dG/6DUGoUXsd2/oXVEm3Eb
/Ss8ovpfwZ5QNzD8C4dn0xaPyPJctfiDn+mr3aprw1jUW+z2GLxsYy+ckYe5OFO0SFiB2cKSchGw
yQvtnzy4ssxgmzw6zq+zyOXlRa7biJyRz+PA2OMA9JUP/Tq70aryBKdEhuSwv9XX/hqob+BRWc22
gpm/WcGmmjcADppHIntsDsYH2yk3thE6DH4vzWZ21907XjTBwQQlq466ETegFqhgxLbFMtQdMnLm
ARrsut9qF561fBusJfxd7jsvAEqL+x1C0h8fJxCSAGrwHxU6Tv9PQC3uVwMysbRMPVTjt1/JxmJu
Ey54Vwo70NZePORLNrZF/7KWIKbT7+Jmdqy846M5GRsqjSIL68syuSiNU65rLsGYiJaZiblqrxtO
caddEDD3KmDJk2+9XayA/QNgrvZvCZDdg/GwumwbG3hMyMOLeOvIV4UmygUDOHde4VlO7sjKCKOc
lb3gm0URwfujOJSn8dp86bQs8lsyHZk/Q28Uos5eXtMySMoMA/srf0rb+DogGy+pCAEStJzW+Sb6
5Ird9UtYDtZf98ulEQgCNWrAuHAnIb/bbAwNtZEeF98ISw1khjXeIa9SVkC1x9hJPeq5JnIFFBzb
xqY+9we2DPTDNdDmL65LvKnjtTwRg1C/NYkh2ELmRNF9k4OYHFyodCM81E0QuDgbYiyapEUe4fuL
XigtztQNSFuur2hri/xYqItqP9yLJc65u68stEN+DI/6qblne2ZujBWzO/Mu7C9j5bGeIvOJp2hn
pDb3vkt7GZ1giXIFedtDt/nEvrKudriCCYh5oov/R7OnVXbKGTIvrTWPuAs3Cz+pS1tAPy5Lb/QS
0Raf3Zb47fQ+NC2ozuREcE833bq49WeuureO7XABu9BrH5LzZKe5zG65U44hcyNXYtmcVwNnx2XC
YzEzXJEXOdrsr/WE0+OHmwlb1jmj6IDcE2uI3ZzZ5IE/HZEBFy2Hjmkvk75EZAmW3Hs9NNN5x+qM
NvTDYW0prEhX+B6jZ/aVYl/q3nvrVlAa7pxvHEQdljzB433YaJ75A9lt5yMjEeG8jQfzl1givq0J
lufOuIQvFgfNUR2m88lWeNHfu01dKDr4aDjlfkG1dJUN1y8ZjLwHv5Hh+6n0MlvFirziQZjvSAMA
myBOMjmjzfIWrankXXGXjmzSuqzHW4vTyrJQHBSBDA0dpszCgkC9qLaiR6jAZScMPeHU3kEh4FPD
QEGwAfCkxER9QeGK9AzeRw6WsjXB9pW08mkKwHe+SFj5aEzL7sCYFpBjeXg98EXncDl8T++tsz4S
790CncITyRkD3t2ChxBwG5+RO65YQIiV0AIBHaKmymCJGOX/UKeKc1KS1s1v9JHPnvqC/ySwKMzp
y0cyfENbmYZi/M3O4sQ/y/g92TL/NYKVYDjomAYndjT6ektBUYgBRWRqYPejNxo7hGsI0T276jMN
10riMEVk4BR1mO1s0HflHYS+vqoPqMVt7g2cUz/oegwYwwOp/5P+Ct7nG6ZEkDoAKgg6lKy8XMiW
71xAvMSGIISnGVWbV0NierRgbe+SJbW3F1Fe6B8cO6t417INoZgrS+uM/Z/tqP/2OX8TD/oAIx6V
QNTdN3rBUK7AG1TfWEKFNcwPsVlHGKRD7vNKysk62/BA1whrk19sOnghigSXM2OblGmBNkcg8+hU
zK+00lignueX0NqjjRQDWjURDgYosKe0kQSRTAftYcgv/uDxn2n06vMffPKTiWb2J4WcJgt7Zt+R
94ZKtHLBX50wxlbKA1opyeVdnJ6i5tCMh2g6F/MH2s4ypbZP+Es0TGYO8F+h1zGneO9qxIQ5G5Zw
BjnVk1AXIzCTKV/rUOOtma7GRFuayp+57e49gIqsufoIw2qA0SAFHyNlXgJ8rZoCskF/b4dLZU3X
YNRB10mLDHRdzwgRnxpyqvoRUtglzieZM1GzGmquW2R12kPPQJAWWq8Q60+ROvaFlQC715RUR7wi
IKIM+BxpxPqZRIOqpPLLUmCozwh2FNPhV8J5mEl9YBM+2oZis1GoqJPfsikOmUDOwuVkGmvFLHfa
hH7aWDPTwH7W8ElgMrGE8qA0IDanBJ+m2Cm/IhmrjTEqgitr5gWS1rIZZQ+8GC9p1AmHRIQIkCr8
6TgtDzlU2qwafwURhKYQkSYI/Q+zbJ656F9CgVpBf8qdRiNjHMoFABwJQEnW72LN35XU8kYKDldN
q/ErRvq3kTHyLczBK3B4LUYV6LM4tWx0Ji4HZcicDpiPH4bGt14zFROnpLMpzc7tqtevvky7rcD1
Z6xGtJSWI1lHCmQiqas22ksYmrcCKmH6pMM2Gk4pnz1sB8dSho0oCudYZ5eyBmvVTQS36nnCceKz
HZs+/Sv4XMfC3MyteU7U9JXJqCF+onz1QWkLcXvWymk7Q7DS4wDxT/MxgurTiFWSNaAQStjfoV5u
TT2EmNg39TKJGFtZ1iahq9uvzVdMBFyiem+U+n+qMjwTqQf4LSLmxsKVopGN1aDMZHCB3hSoEYvR
+/3rsVsHDJ8C/B7pXEH1RMcOvxqNHPkMYroVpfVI4wMfUxP99XTaqWzoQvcmkaD5a9eiTZ2Mw51e
t0c6ERdhAaKVzjiNhypmMpa0GtrLadK4v+vSIpWpiIi+lIBOvKpc9RbRRPWzo9g60l6imnjtaK2G
UcPYCrUDEFw0c8lg1hmIJ0X4yky2wlbYiGCcksbCFunDQqjICfzGJjIBkYiJSUfSMNmq3pRh4mQa
v0oACZNswlgzeS9B4mgGr0fh4cNehNxQBOSgsisIB3JvM0D8A6bAK36ZGE9ijMTpjwKMioMNzIKU
ruKxNGoyqzHd7kawTJOVHvwrU5bwWGAVrq6083HkOWSVuZrmbSG5EtPvUsSJhGZQrmMyGSKz48B/
1iwpMlOUmOmJkKFhad+wqu6V/+YSWnAP/epPMWM+hJnsgVxUXll1RyMBLlRFSrHEwvxRpTFTEfPI
2rZvxmlVT8J+8Bl+BlG8y4TqqOiC3crtNm6apURvpjxiGmWzDKjRzrLwY9LkB65IrBPjs5S6L1Ll
LN2cLVLz2VYE+3MTq03HtIE9QJGEkywhfgyQOcYSXYyIVJOLXmAQqx+3yQQok7o5ziQ+VEq/0zgU
bfP6AGtazW8zUHmrT10VNixuIj34pUkDhZBVAs9pGlrfhll9G7yAnfETEBPSgILQDn+IVABsnGyw
LdLrvJd83v+ecUjLAVIms1udKr6BVLvWFRiwKedSDN5Y1U4kp7IW4woj7UT4HMkVAcslPrPWE36H
zKVndT71b9oy/OOZw7G1kpFgiUjS0rUoQ6oshIh5YEUXO6pYQf+qqayKQaVXehXoxPcAcmr5viaP
x50j7x5QBN2iVIA3rX0uN77y62fWNk5nW0sOEheRTOEiWdqMfNOC2DmrQPEglLZoFG4GY/8OOrN+
tHYMyQHYCH1ujlztQM0zO8MKIn3G7LBtzRacobhZb/k2uKMkM468AI0yI5Vk0afChIADWXYnsftO
lBUMBnx1OSrHWMdSQcMy04BQe9ZgGrPwLjI8yHyEy5rZarTuKaXxTcCux4nLRr4b6nPLwVRAmGuI
G0AzWZFBkNjuBIzJkrLJ3nY1/aEXnWPEXICCf4JIqLY7Atutyp9geB8ktGXElTeoEChSNJb2lpAU
UYCEKHr5JQOVFYZsqUgK4Y2dwpy5s5ihiCvBam4Z4wbq/2wVMV5C9wdLiEFyZ6X+r8SDnlfaJsdQ
HkpfRfzC/MsU9zM2OW334Bt5LQtm7P1+7C8GLQoEM7ygwnFd1McGVOcY5ETi4IUyehyL09THpIde
8uxJGOWE4DNSoFu2B7MFcNLtAfo6YgWEzvxIx8AmqgBXReNNnJCwEjr5qnZejyJBObUS4FQgs5bv
KYrfO209O10/ryuDPYjxYndVRnM7T5gEIxp8yK+a207Qn7LakWErMVto0T7hPNl3Mtk48lMHOtVZ
nQTwkm+bf0DeLLHbQWLonw/AmuRgV5RcgIgu49WN4i3VTZsyGR6SbH1CmPAiGnUXVkY/aJEhsYTY
yfLokag5UDzimUDeGVIS+ljFlL4k8kc1UBmiGV4NsDItpx3klquaTz9dVL5UTVlLOWs1JPcF6M+t
UfaiPVgtAXuSbETb1KB6hkn9Gnyul7IWuSLnzQLOTcvtYR6+ElwQTIvJL5o8xy0dH2LeOFrKCQ05
CboLpo76BHuCFsubhVOIEO+lBaBWhixCcRNhzd1ZZGzb6R0R0mFgSgoI1h9uRLXCHa+OqC8AakWI
9tDPBOCFlxb+1Yq6jxn3lkAWrFEjBcuxjEaGtvyEW4xVrbLhW3BPtgc2FdawnPoxP6aMYmVQLJea
PzPkMlG5jSnm0ZbVixtIhQ+ELGR7UfkAA3dqN9g3SHvIGPpM8FxuaZ7n7qorl8j/F+oux84IxirD
Vw2eA80qtHEw7ocNgVELcqTEhIfxH509NgBx2PPduEksTwvWPnYkZLD4WJEO1j5EEA/YVMCrNZzo
Ro64uEfnI6gWPlNoa36fcwpjiBDfZvMQq8cABZoTlDxCGT9OzJVm6wm6ylegVy1I30ipPYy3IoBl
kVmcR+g6gxB7qiJSbondl9iUN42/yy2Pcg4yFQWzR7y34y1nEc4ZT6qb7EOnqlV4DuUuscAV0ydL
E9ir1n/ncpPD6+WW71bIiTgmZMTkb7wGbbjhBmPIjxEUpbYUKlfVjgkzAuYLuqfCHDKhnvFe6bon
8HMGgW0qvxFdDHhOJY8hotrRkpE4Sfefo/NYbhzZgugXIQIeha1oAHojUW6DENWagvf+69/B28yq
u0cigaprMk8eA+OYkAzg6OTqPQiuIOqdGAr3YCoftXlPJkz/vtYS0naANzw0/+kMdfMsAeiHdMBG
CQteK+fxYQEDsoyQXLKlQOwlC7fYXarXgO/GWmnjoVe+MWEuiO5pO/AhcnJOaHOtwUeMNFNncjTB
HnoJWSV0a7P8rRBu0mHOdA2FT2PTQGJJg2ydFxeNVUJyjEJfp5nKYFX04xavN0abnwa+Zc0c1u0w
4JrrmM4UA9nLUJ+b1FzRQrFjVsa/IaQVCM4RcARnqVAQ4yj20+ZZAMMybuW8yfS3DGjvoeHHoHCn
14OaQzzwi7FDecgz3U28eYwAm40yngfr4AwHQr6B+UHOpsrJ3o2d+l/8HYJsu6EKNkM0OODkduY+
PM2fEWqhM/YeN8FNdcbjMZ3BO+lMrFFZIIus/GT24TLZPq6qip6akXwGhotZMB8PP7bpzVekx4mH
6LHbI86m1HTW4r9sn39g8jDmI6o+iADxpi/vw9NaJzaSuY3T+K32zs+DJgjxKaeDTlXxzc0nIo9Q
PywNgsQwupd/OSKYNZ2t7fFHGKwJPkYmsVBW510D5A4fNZ4hAsVeatcLylVGqBgQzq/glJIzgWe8
WU1f8tqdtd/6Iv4B8Wex/IhOfDvKrUB8mF/I5rzZ/5UdQHLmweEfgiaIJUc0mogl5gskmHaX3Yx0
23nYkNyN5o2fYJKttXbVQJsyszgiAWdEPM1I6L/Zgc/1rqf6ydNvRblkYm1mm7LbWJYXx5cZUX+x
Cf8biKxQv/Jkr+vHtKAsfHHU/QI3o3x+GU86vraVy/6GKLIMJKHHKl2uZyQFzFcYIn8Hvl5+ISJs
lc10YT7Obb/ICcY13HxN+clykgO4vl/yNUU/YYwcsjLzC9DN62TPabpwaveL0/1cg/9EbbopPkNl
EyXHXJ5aa1sn+zgnSPBaq5cuQsCP/XlF24J0Czhcyy4Ymsb7+MUy02aFl+4gOer0KMTZd3dUUJit
0XoW5GEIT3wb1t3gUDyrE2qVF4t9NmoBX6vXFJgxESSe/V8oPd4TFiqAjllOhFfrtYKAvCIexNM+
FyH4L/sg8dc/taOyK9fMlFKc1wzVGTDJz+QS/Rfc6MGa/6j+Bdp8k5STlTq/FB4DcEgdfNVD/NL8
IeSkcyPOFeOgvTP27ZMizwD2GBMOv8oMBLscI+hNFEhtv907J2ZC6udWe1bIoimA7jM1dbKGh7Wr
v6o/bkeLcf4z/OleQw+R1S18ZOQ5/Bf64a3aNv86QjFZVe+Vq3oHTkwB6zln1BQM7aqvyTd2Ajnf
JkRtfYv9/ATpjp/G2WS7iDIZ+5jc0CpZt2GXP/ofcRh8/jUUa4iBEAZyrhBR1CJ2f9qXZidPOA4o
ZcXs8zhUZ7Zb7mkJXLsbV/EIF7gl+wHtlmAwXUnf8PkLKGKqZYhKYC+oHHBrNGaefjE+AQG+M2nh
/z4fNX++I7gTH8Vbfcr+Bq4uz8IYwTRfrKtfEI6P/NBuaPl8HMfDaX5KFnA5wP7hpd3wUXyPD+kp
J+00PG13HX/zjWqv7hvYd7vYwQk48qoG12ZLXREd5sN4owoJf9o7/ZVrr7qPkXksR8L8SNmCTph9
NqYfICw1DsnD4W6lkecB4Fk0T+Z+pHXDVIGTeUPtnXKArnlH+1+UacwdSF8BUxmw7PRN8i/24jpE
R2te2RdmYHvnGvgd66xqX7+Vl+zE735gg9BwcKB7vfB0xpA0KMj9mFMUfSoq78uwU3bRM3zHFLtI
UYMvljs6SvD9dIwurBSUVUic9br5lcELAQ+n9sd+KghDuS6+MhyZfvlkxIysy6i3mpf/DJ+4jUMk
x9WmuNX/Fpb33sV9hg3lOi4mwRcE2dEplVy3TNhP4b9y65zbi7gqCVy0FduxZtqOrAZiqj2kwdvZ
WSvRm0GVxuzq3/BMOLg4apm/E3TyCNHuv3TdCn8aOyoHvXWO0BOGTQS/WOyZpTJ9tRk7lh6FqjGt
ZXFHn1Xmb9ny4DDyeCmne5vQNvoQKwh6P5K3VU1HKDXRIF4MtgBQ7LDkd9ot7Vc1ZXRIelqPY49F
lusj+E3cu014av07RFs2FrLaqigSHgFittDkKN4n4pGVfwAOg3LERwF7DezT10ymOSnNffQL1Diu
ttbA152ug2CzuNmYzLDYTdYWbqXubId//aJeAXD7LeedGV4WcHSvIK5bdNSe3Zys8ZbnKEwprRin
u29q/2poD0D9ZnYKUq9LP7WcM4LDMDw14NgBDfa7zL5EuAY6bs2xvlddTDmy1hhiMzF7IdFxM3Yq
oyfca+yG2OcQXTwH/wF59pyqWuPOHgu2Uj2lI6PdMrninpUs+nSNYCsi2RHrqawF03uglFRDJ9P5
gAaBpPOkuPe6i89dmYNYf2jGG2TChFlpnjMOYVbR4vIwVCTdQYhuY9PLX0At+Xhw1GadGcO6INRk
qFEbT3TdRoU/QStX3R+KBSf1JtRstWdVWLt3UesRVjV+kDzBnSup1lB3Y9TZMOWOnqJAHPYpNF9p
QOVv9GlTM9hc4i54B+wf1XrLMTYHXkcl3lzNmI70PVW50bPX7tY/E9unEB/VTcRKiy1cOwJrJAuL
xQQ4uergchkLWF/aTZuRnrIAXLh8ePJsg9OzgNmPfDtiBQa5nhjucOLoy4N/MwEhoZmtB35R7OOc
lSyq4mQzl/E+a74MgPrEGZbRvCFBwGvFxDQ/9+F7HWYiiVP0DG35lPW+ZI7bnRXzakCIQPZb5+vg
d/Fh/E7ZllnfL/5UmPfc1tbOnP1A85rv8Yg/CDA8xjmkGkWGxsRrb+4bgvuAWdoyQfEMRNbRWtnV
W5X8nndW2bxw1X/KJykc+S3HqwXRQLxSpabfLhGnVKssr2gYr4ggMd/wg8e7kMeO6e4frzjbndeR
EcGDXgWwCrNKbEykCC3GrRd5ao4k/u7jh8ShRxl3oJZCFlbtWq/zGTlGBqAzaPS7ZsIVDOEBhYXz
Pn5gR8l2yt1gQI735yH1tfstsSjelv25X3pU4eNZ9a21ecOL2CsvXGlgLfBZeva+OJh7Fi/YGDad
5anEIJ27bfDZe+g2R+BTr/LA6gvRYk4FidNh0f2yR5gpBPIDKymIoXv5XnygX0qeJe4fyGHjH6oC
jP/aGmAPXUbAnAMOzUq9ZUdEZ80ve7zsy2RTcm3fey89LSl3SNgY2YgXsvWCDaoxBLsd24WDOLe/
PRjYs9iYnq76qLwbXMAv8YOMFK4NwsEarv2fysN4j2HowuyZ9WmNO31alVd0Njty2Y13zriZZ/1G
ji1YpxhdumdvgMUi+OJK2jd+foSb0Dx5HhzPfLV/s9NimAQeSH7xRn/S/sXm1j3l+Wb4ZBQAuO5m
fBHicee533KiRz0mLDwQy3oHPd++8HFj6afei1DgvUh0uGD218MncQhIhL3gIIp1elSO8dt0ksSy
4yHbtOMqeFDy30pQFpf2HGzlFaQojeSuOQsYHKvq1Twl3P/P8hwxQlxFN9aFydHakziI4RIf46UH
6vBFKAxUoi2rK8Wv2NS/6P+xHSeuchesEePc4qsGwO9VveJq746YE5VHcvr/h/Cl01lTeswf4y68
dHgON+0+/GUmxTrdvKX+xEh81eznAS7uqsHKwagkuVJ9tg+LFCqo45Q8j9g4gPAIgV2WmBa8TrBq
3oYPfJ3xX39Lz6mPXpcxAaSxitewn25GYV1bk5hIBj0hpaEFSLKoxFnMs5dgFo/xNkTyy4ZvM1Tm
kRTlTSA0z0jGR2WeouDWlMo2Wv5wxfbRoj+Mgq1Oz+EUyVGBXyUkwnIDyiVKPtG963BDp2KnY+3u
oXO0lI5jz0K1lxT6wJMHoz4L3XkXMt0GJdKKhHYWWlqxTUMu1pf6WtFCAc9alqG22JTYtNB1hPsB
fyVQZjyGjpayIfiyY/JeeOig66mIb48RD8awGSDVoTHKPsPCl9a5Sx08ChyQtFUN2TTr7u4ITzdv
MWKtMNvCRGQ+8O66F5rIJNtEdEcW19t6yuU2Kd+LmlFwua+bvarQHB2gQxnNLuw2avPAjl/qK4vp
HJwUhcepXItKwS8Pp9tPoj0WgsFisn1XTfANRJdc+vQiSpJt+nNY7UeVQcV+sjHtQUpf6Q8E11Td
i5RVWwHwqMk1oHc0D9m4KxaY2i1C54WoEeZ9MNIuOTvy4CF4bspgv+QDNRKFsYfUGgDBxHiHlQC9
LlKbJmd3gFgXV/UKhEUaePm8xWC/JZMWuOtnMOEwBZS5NFIY+xg86BRILnmrRyTPZrK4XGYb9Rfb
eeGemxn49oslf6R2w+RTsXzNMrJVDiYFvOuNTBwQ3jAlGepnGh8VA48gdiujumHiL8E7DMMjQVFH
ZklibyPVdwkdFjGRGL4DKXnbuYyDNAO1qZHo/zp3IlCkXUcCHnQeml6yRGGwXQCYryCWIRuZB/pE
zMqqQ3IduKx5xsxg3xIpgoiUNjTD31qzrXWg6axrwCBH4A20yuYXNaufKG11onCb9rcb5vJZKyQu
SEW6/1LSKZ5uUNS7YeCtiAc3uRZ6Q6ZKYj5kPTGD7qTYO44EZ2A3AepZlr9TXP7F02Ricu8t4FCm
hEw+UZk7liQsrjItjF9lVnySpBR46khQXF1MFTYncLIbErPdbUhix2szspCMylr7N2ZdfUGzTsyh
RoHYqWa/1WWFJCbSay5LlUBCpxNvbTthwC9Ai2hV1F7HrOC8y5ROMs9sSQ7RdN08Otkgh5fIQW0N
fd7d9VVBVsJchAQRuAhvDIf2Kxh5FqzWSG9upE4z23mO/06flfcs05bpVgHZjSGggxU77cLPJO4z
0jiH5r2Na5WecXLE1iDOb+MMqbjElZVBUkodbOQmSQKNI76jJuWWccxS3UUZuZehHTHIK3MNcquw
GmpRmJ+xOLRdwYzMKvRLbbcImOBgM6ZlWsU9Khgy6WN0iwM3vaYGWTK2ZiiANOHfsQVrTF9jc+7H
ncTiPBL4NETEFoyxlr+qWc/kYGAgJzs8te2CktSTdtqVbgjVyZoe8LTHiEutB1iRZcVbN0YODZlG
LzUljDZIxagOYWuo/FBdXnzqaQIl2UoafPOG2aMezKd7oZUo/lXI0gyq8/xXkTySiA3GkH9AXShM
o6U0lVeYrvOMxim9yqHFhTOVAMP1OKEmKVWX6npy4tfWTmmzSoMUGKAeavVdW8pikjQdvyF8wC1U
qgStdCkaUoP+hP/gREnajHO3qgYcj0G3A40icK53bfXeyEph8JgCz9NFh/l3xveYpbZ9mvImesyS
sNB0TP4F6vA7VSxTpdkar4SGMZ2vi3htFN3dCHv9MAeiU/BXllW2JkxpQGsec1rkib1Q/cjQ/cpN
1m2zRsBzHbeAGkaF35XyMC5Uf9K1qtlH5FYcjWhimxTGDU+bTOOJAYJepBshBFepaTD8Cxv2VnAO
9atilcEtL0rmfdVcTfeQJ3nTqC2Zsi3O5GAGlMT+FgDhwKoRYvkH3x3WTxXy+S5VgJ4wPTa2JNwG
60bk8TUs3YD82BQcVD5JUhj7Z2WyT4EnGL7UTtvtJyOjtWk0whmmfjqUQG5GMvLe1Kitf5KASAFe
hBr8ypJwaTXquZ+a6FJLMA9OAR/YgrLlzybhP6xNa9ZAc7C1hY4mCwYLOUskgR4VQNpbc6wo7/Ra
gIezrQG1S6PlTy2Q00poNrM3bCqkOVflorJ209QnmYpL0u4RM3cKKYIqx8XVHgN5dtR0OA2xo+0z
AhOwnGLNM6Nm8JSgalBp8tIZlhj2pU2IYGOL/mDUSncmj7F9E41RoGaJdOfgukOHGn/CaQgdCz0M
FWugk8jH/M4CXwNYiphAUHZGUOqMBM3gc9JAKamjxhjCobPWnEQQT2cvf4ZALRiHUAFMXu+bRiDk
Sh+ARBCoxWBtcEnjjCYDcSWpLfWuYVm/JrgxvbttNL7ClGtcrsiOx6hGVlIWBWVDFy8GnjLUdz25
9mj5CD139Ka4t2Uhz+qMoiZgX7we2aLduQc0r+/ICFBzhSiartd2vR6hxgJSa+5TOxq2MunNU16O
5s9o6og6XQe39TDLTZ5NwzOuJ57tIgwcptd1jzjPEFSfhTPfe2OuT3Y3wZmdcpRTiZXQXHWaL9pG
CMQbqEOsqsnOVVpAuZ8kVIcyXexnQ4aRVVPq9JQNI3MmPJZAZkBJxn5WIeCbB6iPkWmSr1GqMMUi
U35lxcQwddQ/wzENNgmpb5tJndC2BD2m3jSMKqzDyOl7w4Sf0UORaOsGOp/U5Z4DlHFiPsFgeqla
meCVnmPoUEpPqeiCtgj0JXcyKQ2Uh6F7LUIFBYgTZcO9siR6tsHk/GxTckGHhMw7rgrKwZrBbT8F
AuFdWESA4Yn3AMBYMrSrUuVilL3NJr8F9piwT2Rhd5hGmf7VbVQkW9Bbgx/aGSSQgtA/qyzCm6La
KH1tYgYdMxhpeFqIMFwkEiAWaPAPSEcLrMYWzITauBw3eh8mp9EOXbQ2KZvf0S1toNOMK/W6SC9U
MkjCGhKoe91iK2InENJkb7GOTAadtQ5VU3edNDV1iBtoGs8Nm3bbpCpewgxeQNaTCboiCAAOgTOx
sXwB60SvpyTAcPowpmGGBYxmOlEQ3ES1jXAw0CtvMDDkdjX4LwQPBbgCZjIx6qtjUEte8UFKb0j6
0qtqeL0kTiicVRMiQH1kkeomvJUyxXg0lDOOdIQtEQO3TIQnAed5kw0G6fX6aB3NWK2PEUqnneaU
1bGZSXAG6T2oP2kR3KFyJQ8jcMxf04jbTxICwp2qEOoQWlThksLACzQUSZXa8VobgtWh6mQRWGhz
BrzTNi5KtihxcM8P0tz1pjQ+hlmNH7XuVO91nFtYYsKhOmi1G77rgfxvQCG1FGk4F9MU/WflskiT
0fDVmtakeI4x0LPbrFImYqBSvPw2AzMpn3EX5VsZx5GnEU+0jR3BrDiuYXbpau8+yPJy97VRfwur
dY/E0Urf7MP+aNoRDq3OZW3CbMSWwSOqZsEARrhE1raGwOY2ZqgY+0HT19pYLxpI1+XTLtqpPxpl
3P/TG97XVaWl5B6NKEX+kF/FG7d0vuPQqtbdMABVU3uLvpoj5mxEs1v4AZQkPIIJAaZtz/5HBaQU
h3i9WloNc40OjCuPKoRVoY57sevK7BjMS6RZWajXooBKx5ovSj3dJbd0lrB5U5Gy+sxGokpWQa3p
Xhyy/tSbUOwYtjkmqYAask5ppf2uGS3sNSVi8yLOusuIOunFLokW5REfbmCI9Vult53nyDzeO/3A
UCMeaErqcH6UZZnxcmTxgK1rmNZjheSzK1qCg90kIlAlDjaqabkbGw45OEBdOQYumJI8DkK/sRxx
jXNWY3Cxiu0IbnrLd7/sEpL2W7PHDmyGtPw5YmSiC2tgn5Mrh9mEZmFPBR/8ZNu/pJcV72ZaQM7K
R/M/M66MM5lumYd9Nf1uRmZDqSn7E1e17mkNqCuRJv26HOps7w5N6s3N0L7Z6YQcORzblQUgFQXU
6J5UR0v2mdkkB61kvep0AwMc0uwbyvARYL3U4ReXBi7NAQdfQJ7hisejf5214aeyBuxPaqc9obnG
e9uwtL1VLw2Pye8FQM55KhaTwUoXiEhnW5dEsbvNRtZEdFU6CJpaAZxhJGa1HizdJqyoWpoCndhy
FI+ruFA0AGNDcOEIgSASo17GCIsuIia2c4wT5aGOhouqrUk/+oRcykQTymHUk/w2wwpcEXvyKuUE
WVANQ9zTifSTyVEOKpm/22bSaa6r1DY/OjcMP8kCHt9S5GueIoTzDKOJfHnpBj6vJMRao+Sr6kf0
ue2YTb5bTsEftEftYtfLutvNOxBDVbIXCGZB7PcOs/aSvp8BwVteW4RN6sbA8kHvTJ7kahy5Wtjp
T3nMpR6Wvfl0ZWxf8tniNQ/ZkhMASw+M2VG5uAXI/9TNoAPOmUDMik5MVWbaSBsOLKCUho2PKsOU
lWNdK/fcimtmB3nibBqXmWAoyuEwdvoEFNdaoJTGiKoCJ7NrVe0hrFCsxlYU7G2leZ/CqTwNMhoZ
ADizA4U77Hd5ClwtDAFbqpo5bKG868SeppRS05D/Fjp8Bmba9Zj7teyuRM4NXl9HQNS7ahQ3IvAm
CBX5vz6vlc3gzOJfkqfSU4GOHupw0PZMT17tQEnvSmeNfp8WNMQat/otat3sOcRJy8zURW1V0rpW
zHPbvzpsQ6S8DlWg1hTRZ+3EUBloiX84W8CSqEF+DujHPnh05rXDV4r9wRySDZ8/hhoz6/eklpbH
OIkgxtCufBpp4RzGImKpT4k/IfctARy5Ew7Wsl8WJEJbhnwdFRQbENu+VlYVv4U0Xx3P4tZqoxBP
tBa8BTGOCcUMTMKa9fIya4q+G7tMns3SZXHFDQTeSIX1Mcr5EMwaky1SXgF4xNmHMNXZYhOqjvew
LcZPW9Cw2MZceEOFJ64zF9TKZGhM3EwCo2ybyKS+Yq3dUx2FpcKiLNIQSAY6M7eqMbcg2bAsCVvz
a7MgZU5Twz8ZRETLRQ2AIKNu/+NrN2i74FlVtcEi0OlSpjBVghfeZRxdkYWyCoVF3K5tynWV5dWn
2SiJH6uzSWq75MosrflX0fLpralYluZGCd7cKuZbbkP0x4Hd9hbSVRXEzDj3LEbtApyXFjTTa5rp
zr7sXP1KZMNZL63xP5FkwUlA02VKPqmoeyldjKlDBDAmSMa31AfpljEXGbSRhoUeVXl65xlrkM7P
f2OK6AvELxbWmSAZfQ6xTyCsPRaRO91tkbGMVPOQmCQwHn0XOKegj8zPbBzyQzxo4clRe82PixIB
Z5wtsQVUB9ZaTET9DgZjQ6dz6oNqdBwCLXpQo+A3rK2p/hJjFYNxXcTFVhDgXTZA/HIiM0CYoIMw
+1eEo//2QyffODHtD7e13EvXSvA+i5g7b/rqnULL8pqqx9vnOpZLapVZPAxhRmfVQK7VhRKGaR7W
26Huwm2VqLPvGhY2G6i9ZbFW+hI4k4jT4lMMTYkQKTd+OM8ZvVSlvqsSXCNViu0C7AQD5lbjwkUZ
jC3cxM0bzua/nJZwNaVES8bjYO/qKcC/l9e/iSzEuhsrQIWyHZ6KSZptElPnc/zCUUNWiJ5N8FS7
MztQG5lS07KC1suJGttJD4CsXeJSQuuhuHp3CERdY32Bl1ERhWUs3zKUHJsZm6opxjF1ZYYVNh1h
dyz8UHDfLesvg8y+snV/48QyDgwjnB2JD1hehUumRnPp3fA1s/o/I6r/qbPGo0GwX1knA5w9FDRz
gV50CSO3E+llrboqnG471tyPTkr2KADsF7WXuMmMLdX6KoWGNRrJRzY7rO5V4gXhU5K+i9iDs2kr
1PmNHAgKiXo82vUEPKfsbrnS/RQumpfC3joSz+EcGrci7eDRDdQWlFHVph+QNPL1JBubdY3GhM1s
grMdyWOTJG8WcQEro0VBNOXBpY3y30BH7sqD2Fnzq05Skq1xmCkCVo26T6EY8xWORyWcjkAX4NeZ
Pml0mwBrh1WjAbUUKkGxE7Z5nWNcmrq+1Zxqh6PhLZDRrnUZk5XaR2fjSJ3dnXIeES1KBTaG0SCn
1AiCQDahCy9StFMyd1w9w7F3UH82LB+mtBZ0BsV9sloaIZZdIazEoL8GZXavqI3lxBKOZZvJWrnk
HTU649a2pp+r1UFJ8RE6NUN2F+YnAgrShiINMxEwFIKpzvbI8W6E+kEt50diWqgL41VgW090ih6N
zcqd29diadME+ysHo0k4bTvkwCbWNmY3W3QM3Y8TihWU4B1DMCrYRSESDJcWP4GRtpcs7PY0gq+a
Uf/ZlrwmSAzUFHP5mN71WUp8pwF6XxOTrvs9hA2+gxj3UQsuVVMv87JKc/+McIHmVbsuJWhJv8at
4RHuiZuZQetWB2Ylw85T0DOVkI0NJCRMwXvopEZv7+1xFdvmg4imUL0CmGwwcyh2e1LR5rn2vHMM
tpukePRvjCygbZi8Ae56RD0xf2rWR6M+7ZwcK8SKe/g1SnZsxQYGBjRNvxP4omffpq/onQ22EtZd
hKViJNGYNmTj31j/q6GtObc0f4CSVNyDINKBJOxQwiE1xXeNrshE0dRWxlfI2ljNXRgp80vagpMk
gVVNZs9tq22mfkeCdNUvPWYWbd/mDObYWlX9Vm4Iv3qx0x8KaPRil1J701kUxMyi0w3zLF29F0R8
ULsSl1j+FgBPo9+qJLeVC2K8xCXWi0XmXWrINyAHPxOdHVZfsj+O/VnNvnSYoxTxm64OEISbXowA
T+L6ZQBOTUKK38oamA64rK7G7D8lajfsTFUJ6RJdOaOavWt1Ry1ALMgCufgKpQ+lTfIApsO9AJlC
9aN9cNC/RKQ5l2NJ8cxCAITdaCGQrp66Npxq3PSjRF84MJKcHc9G6M3AK9YRnQ2L163q/CijBl52
HahdTXkOR4BwT7DgHgadtQacsQ/QZyz3Wbrwqn8ECo5AYTltmpc4/HUGXEdoIMRlgV4sIQHtsBDl
oeRTbcn8x5j1fQ4ghPC4lSgCT88Sw1O7il24u6Uk4VWWPqdSxkHEKLOp87+5Ms9TBAgIp9FJ8nVa
dreLYBLbYviJoDAEsb4OFNacCO6cLmLRGpFDyzvsBJgRCIALGWQkXEMMrmmhO665AHicSe6DGzA6
QCqDXXac8Pfo1j5z852jD2eXEn7A3JOpFsqvjho/mz4NjFqjEMys9RM5mF+zpp/cSBxcFa9sM/e7
zh22bcjgYOJv6/I7czV+hsT6ojO+zgv8j5sUqRJz7w4p/4oC3diI0jYPsgRnZg/ivaU12MdWC4yH
8hmbuPkVNkCLktSkIZk5KLVKwSjKbgOA7Fxiw0yD+UDQ9TI1ptsOV0GLh1bkAK8j+6Q7gqvS1t9M
bdGJ2j3SKu7H3jKcF2UKaiRn1sFuG9bYVn0eUnInZS9e+p6aKzMzvxUO++aqRlZJzMESSsSxN4JX
i1LgIKKa4fraP5Ma+4KGJTewRofWTRmlV04kv0lmRxHZWriIHhUmQzFwvIaOxYg2dKF50j0FvSAK
La9gp7e3oIAGV7ef/QAkd0ym99wxTkbZ7gNiKGk+IfMbQdtwe1gbTqbfQosvrhTXdgrvndsceosI
KuYifgNCOGrZxqmGcdVjZRe7ySakWadi8C2lOjNrOBoO4qqIaG/iWp2iQuRZYs0sA/kMoK0OMIBU
I/5KzexN9sZ7TOTGy5i3nq2WvtFiZApG3zajI5F/a+Zra5tMEtXMvwbKC57T4mqCL5zwIJQJTiM7
T31isHdODwKXOmo1oN2snH6dGNOp79GZYx1qeXa4T1ykp4kAFsil5PbB1uDeTdl9xouuRXdQJxFg
ytiEwO30bZT4novyNSRMkxrA3rEN8AWP1YvSz08xF3xaxluhMyEPSIlXpZEzjbWYIwZrfSQ9hbaX
N9rIyn+odpBaG3LLFmZL9Orb3JV7GvPbXArYfMiTzREIMX7NGMiwrVuvo2ofEwuziEbGaOmeiaz2
jD7e9TF8rLo4NhaSgjL0sgzUHBUG/dXOzvJdkxC+k0OiaeYlEnphCTQBK6/6EbqMZCd0NdXMALnU
v/vIOVH5bRme/TCXXqWG/ksF5dvN9AhS6bsuy04mQJsmTZ8Gx5dlVGs30PZ1iEIhYCXTAHanri9A
7xr1guLt2j/hJq8WgL4xUBGAz7dS5w8KrnmyV/fSKDYDgU/7xATK6TJJ5FYrL7pALRoyWhF58RtN
BEoqff2qoWajEQrX/WQsvM7C79LwU7HgiMSqu9ct5H6kvY+EZ700glI7VTdUhBtqlYOiDLtUEjGd
86QkJMDR8f/oCtFKzTztyKCk5tF0lKfVjVgdCiKYNQZ0bRZsTAflMx2wXOFQ4y7LinUhs39pPJ/p
UB+Z093LJsCZrcAvG/BEOBHK55ABRVqSlUacnB8m2kvZXN0JK6wcoAoZ5m2moC+tAo4DB5mhf1ra
9N+c59c0QetLXoZfxPkIkLJ+6v2yX5qMPZHLe9HUDysOzFNZzxwT7AFXocVEpO4YpMogLL2Bk4QP
ZNokKt+RwTAJyx+DhKaL6SPrg+6OpxZjUWEgMHEm3a+miKpEiD+yvVLisDj8WZUh8sCb0UQqExft
YrVqvxlm65yEMZ0tm/RxaX0t9ct1IUi5EjpzZHG9Ofqi5jccqI/FQXNSNoHlcBszhuZqpOy7qkD5
oYE7kkhMBbztJmYDXGMfiE2490GmeO7MgVwV+kaHC0SC0SliQMHp08g7vYz2HOaOK7Ph180TVqoO
RBVIR4mMeiZf5SXt7bfYUT3Mqiwe+uGHCd9l1FzcY1IJ17Q+3N1R2a5yNf7A8LvSIphW0tpM0t1Y
Tvm0ef1sqW8J7f2MEXmZ6nAXeIBWoTGm25IREEDUoT3ZLs78GCu11fKvxQ6DF+wabOsFr+o8HoSK
kNSslq9zsk6Dspieh+zbCIE8DPH4Uceqss7s6DqmIKyS/3F0HsuNI1sQ/SJEFICC29J7UqJca4OQ
1Gp4VyjYr5/D2byYiNdOJFB1TebJ+Ez78SOL5MOUU7bsK5TBDZV+Jomq4f/p7fSnsMp/Y6sCRsD9
j/bbm+3gSJB89U0lfdIfagraB7bbGq59SOLvhD+cMFOATOhpKa6hIczqzuTgPLWDsSg8RkAPOGg5
Dfhk5vnJsQWSf/3V1a7eMdMy+Q39Nc9Rf2STzZ592oUDCDbJpCskeZI+5zKO3OLSTP6UcBgNA/WG
bM48sNcoM9+qrIGpbRkXM5pNOp35TAJj+W1oZGtkOezZGa0Au20qBJpK+UhP3PnYW9g1WyeYQeP1
22wUB22ZRzOjWgMhTNP9YhvgrEKOcEuhDE8qv8cbXHwXRvTNB4YuFU2nCuaTYeS7EIdp6+KlpJSZ
nGwrjAiVs5p+mUitbWfeyMQ3uaUfo9iRZWphSAxDMnui9D00mF/y2f1LtO21rRjkx4Ch3JhKKPce
Nu8J70Dlg1OgdwY4AqIkiztrZYysGJWZftUmLbFhCv8azIwmMrjj7Ni+wr4G8dbKe+rERw9y3VJR
4WTjsPUIRGCGDHWVHFSqu/bN8RB4zrJ/LQmfUe2D/N84uDJsLA2MU4ktxQnf+95mTkR/5q33VpGP
Li1t43Wq8Goo2KvAFnNzSNaOi/S4nVt1rMp2L9kYNl0IGiczjoUFUNMJit88dG8G09utliHWO4TH
s3sLZ/1qPI6iatLvhGbvfeQcPHFXFgwcBUHyhpUTjIcIkifCJn6wuK16heG97ZHJF/pEaCa0EZIU
q5mwnSJ4GuPgEKrhQ+ryWz1c7pretazbIzKA2wxrFa7beBK5fUgoVZ16PjFDwwQkLmGWf7ORObaa
+Y5ibgGRME6A/rWhWiVImbPK3DVqunKYPRz6JoxjmT9FHOALF+uZGUUnEfg7L22Q+9TWqwr8ezCS
bUaEgIVGb9bIK2ujxuSgkZdWu6DVR9WI93RwfvI22RshNMkpfc8LWEC+wQFdWD8CA1Vd5BvtOxeD
VF3Wwjs9DIcwH3de537iKV+ryvis3ba6utrL0Oro6KM1ATibcF4XqfdYK0OhGgnAyLp1oU1Ii4Ru
pha6argfgctIvSnlhukTSkfd4WbE1Bb3wbfbq79GICfC8fi3uw2odlpSVlUI5GAIyKXh2GAgGb93
Pmpif5brln22lzcvdeC8UvrAl9EDfb4aIQXlqOvIMFjYJBfKoDz6RXdkW2QuYoJMYQc8V8q9+O58
zRUyxqGIfgr0hWoUsOMAdOK/qikLEEHQ9uANYut6DLDTmkX06qATFD7ew9T68CU1fB4/7DUmk6sA
pfbA/Ct1jFWTElhE0kDi2myS1HPaQb4n7K/QnOApZkmcy+ZXhEszTyPUr/7S7kilUf6lcoovgpQ+
K9PbMmr8kYMHzNH/LFPzMs3deqaISWqUWX588R2Qpqp+so3m1Y7eMt8Cb4qByTe/kw7m+8Tt1lV3
TVKcJyaPEK5xJ1p9EMFwrFH0VaAMQ7LOiTfeV0Xz5OYPBxnGTIkhex6ZIvTNc2JMTwFSH0XQAbqS
NdksyxTozIRCqQ/alUUvp3hwYjvZ0JZumbbxosYXS9R/dO6cCCXdzrg3o1oSO2ccVTu9M1798EY8
Yxk9LY0gugyD4LEhPtuVxLqSw6VJvIsgLjEktKal868jtZxHzIlG85SqEXOuZewzlX1NSfjT2qyB
kwQYhRss0k6/zQC1i7La9T1FsNnTEpc1FqFmOBq2eabvwxvSB08yHofl4KVPhapZ+TqSGEFxzx7J
GFV06kbrnA/iIBPUuQJiWRztB6p01hovYY/zvEQYskywMvRtezM5Mworfp3wQI2CsiR4bNtdwXnp
YkIRpkdQiMKPY4IIah92uppt1p410RqtED8fT/doTs2G1O9kG0DZL/MM+jWWH7vO3lJmOMKhIhx5
UBAc4XgcyNYutRfzMaTxM2uZdJ9ru93a2j8LBzpW4+bNR8q/3sYQNZBhdnQ7+H6TwFpRz9F+Tvln
xg26ewd7TN1zImVjKdF20/gHpvPLDZEccgnQv0ymI97gfVcjDya2M2dIYTw+c+NOv0fmRCT6g/bk
Qln1abYbzJlokKD6OhGpFEG1VlLQ08TMff4XF0lZ3j0NBSI366NnUkfqNPsyCM6RY48fzIP649mA
clv6BoeY9Yx7SnXlvW/p1+QzGj1GYB1Cq26i4GY6uJdJ+sdGH5EkGegNTBghzBkssTTkNeXU3E7n
yVBbon5QQnClBNxr46A/u254JRVlR1A0WezD3mUgMUx2eE+8fJfP0+/YkPxe+sxZUh0w9qkQg2qN
wP2hsBfT6+hbipGy+276MUCNPjqhzLk45WhfGo+NfYp5meW4CVxpAoUyRwaS4PQ1VQgzi8Y65A1W
Jt/E0Tl5n13lXGyv3yVTdcqxp/h+duLShXyfAmlJoLtE8fw3ToNiSfSXcxlG4Hq8A4dcdck6L/Hx
lYGxi0Z4hNrJT5YAt2OV+WVGVAXwYRsJ9rwMFReVZOjFxK9180+pyWZuffMw5s4z9/zVZf2/LVEK
bAwVGIfUzwkfDqAvarN4Y9lX72PpEs49W+zgQQcjeDqnhPkQU7ntsvlPjAaIgxibg6WsdhXY2Mby
MRg3jmEsA+ECdNIKFL77XKtpVZLVIu0A0k1rru0Gn3vN/DQenUuh5Xtgdq8B9t2I1cEmQWDZonGM
3PBIsUdR2FNqKSV3sYeA2utiSNwmWnYYrNjMJ1wGtNFKkX3bFfSFFelhtTj6Qdl8In9ZmQ7eK1Kf
l5au8xvrEncL4WMfYiP28AJNQfPEjfFJvfZnNCNqgOBe8qt9wyv2TeCTI2+yjjYJzeRsZyXq8D82
i268RwkpUHb0lFcRokc89Zu4zmtcyajZesLE2XqKasm+gDptem4zPRybxG02ylLvmY3DKzNiPDmI
38mk/m3oMQAJkTZE1DphuyXJTwONc9iQVt4kFdMk0BybEYkyCGVsR/kGhe1atKgBOvDOnndvGmrO
rK+cXdwGb8rFqxYH6EbSwt7bk1g3ffqbtexY2mgAKVw8yZwtAqUPhgmcrbV1T5GI0SM0q7qBLiPt
nsOwxjvsTrzARZvySSMgfYoGQojRmuxnTz35GQE5abaf7f7VF9jCmtz6UhotRVZukB7itpXGq5d5
7xXAt64gScOv9Kvl1HsIJNNKquFg1a1g9lbkYFF0uXLt+uwF3a3q2NaMLl71LKMUV8p5GbPhxXci
8pxyN4Y4ap58l1mWZwmIkZ5br4rZ/yxmzr2p4vDuW/+eCPdeGunWYNuQRMw6aE/p3YZpV3o+au0B
3e7YhR8caOuYOTuuDNKKFT8pohX9lAvzGg/9xWX2RciUfeo6oYlfKsYjLVAAyqb1yNotv0rf2iuL
sb3kUuCnsS9lgB29JFIiUPaav1XtWURbZ1RPX04wfkSWBRM7nLfEwXtrjx3xyoyplOf+5OL+ITFb
MESqBxShHEP72egNys4a5jzvvjmrYDO78785+aim4JYDkEnckYXKzATfJzQWrQtDEccRuyHl+IjH
7uAwNlANS84S23VV+B/1jD06jdI/JiWoiBOfK75/oUvcOTmw7akFQhc48zp7uL/ieIiuhdNmW88Q
oN1mOI9F7NtLJNjHGdqzL/C3Anq+UnZtZ45bQOakGDKFYcOG1pqCJN3CjeCsIxOkytx1ULogJaqi
WFYSkW1a4GFhSkmpHiGejc333JAvZtu9qv8H7Wb0Nk7J0Q/la2umwVYkap9mUCnD01xB+WR0EAXp
tKK1bv/5gNhlWd/7HGtiIG2maO2lsX2oROjLF3nAwRp4xq/n9RiHe2xJqmaczU6/TRGnRUgYz1Hi
UjOETHnG0gyBdUvNusxyES7zG4KO9actrV/NF7GwwvCzrgD8BRgKE/fSdRkgb+yHyknfjcrUSCUA
tBUPriKRf9vMnb8Iu31JR4+HgwsrDvjWx+qPV2JrcWJcyupxnw7S40gldCCOmWlJFgTOHB3iR754
WCC2w1A39XeniXaxKndtEH/WmqUMa97bEI+I9c2BhaEhYWlbp9qP3gt2cdvCQOfeZBUjR6957f3S
J5khMdd6GnbN46TzkJaWQ3JMEdgtaydA42tthGfAskKSHsl2a8Xew0LRWeTGxUwFSjXvJr7YNMsA
zkxQ79r23uvhnGBRcaribpcG33PxqtvpWnoeYYAlFsYkZUcP3XyRk9YNxdA8aDkRIg8tKqxezNH5
SHPnWj64QD6GDAUNsGr6G2f6sZZwQGzCoiJ/QOOLK8+b7F1W+dHTZEpwwfIlI3WR7xpuojMffBJ+
MnqryMf0aMblse8Kb9OofDOb/EniNpERaRTfhjEBBmcHbaHWXlV5lCykFRCY4Y/PGULGbqrWk90S
JhaCT816JIKqC5MleeQ/qd+8ISP75lNHk5XtshRsAfDrLIhe087TLGMQ1qEfLsLivSVeRA/E/tXe
68TKCHePlLtHr9Bl4zZV6d4Y25zDyL50mXiyKn7EsrMoMjj+GMAiE2a2mKGSBbbgTnW2skDDPJfM
z1a9dp/N9n+8N4mGE5SGqoZ/SvFAebBzSCguI4onxkg335zoEmnkfDM/xODAXWfGEWdtQ8QzceS8
M/T4QD+XAesyVuQhk3gT2OXS0JAUygGzPC4zB6IeQqyNK+nKfJmuwpFfPLfx91woEKJsqSJgF+0w
rFtbLL2AbYyC3GB6ahPUw2+Z/21BMEjL29S92jcGkFMd3TTDeemrld/xBs+wKmRwo7rGjCokhRqP
q0YtRI6FOHasj5JJ70Mbf96Q9B9ell+6CZViSd3BfCPaNtH8r4n6jcxwCloR4Y8EjKZN9NWbMd7v
pszXqUG6Q9MzMqk7xpBNXnOesaj0EB5zzUJX/Fsq3tmmxLstW/iTyoSt3+Pyrbp2XfoewWK4QTv4
GWEfnCtk4ob5GEPF5sHyqDAzdZYWAzhbQDb2JTMuszHh0jjtYUzCy2wZr7LmdZ78VTkyuS2AEngj
ec4jy3Xvs+mPSURGbJcXNY5HCcbjYMMeGMonnUwr1FBqwCvdnenBMYNR3QJs7fsvcxrrv3Vc+T+o
dSSZoYOxGdD2MWVR3W+OOO4ZySuNbRRmEYlwTgWNFqcJ6Lbc7+85Mpt1NoTGW1tW03fup9h8RWG0
pyI0xGeKZuDojPO4HznVLlaf6NfRGsEez20DcqiALNLbFjZQU+C+klVPprM2q7WZhHCjHUzhgQjD
PbQk7owYe27lsB/ycxAafdJ3txkzzjpV6My7oPwnHJmtWWZOmHx1/FNWDk6zCoVh2xVwm7VJcEvc
vbdFcMCosE58PCVpTLRlCZZpKY0AWFyvsFJNVXXrW2qFqFPopuDAWQakk4FRM8P/aAzekzH90Mjn
TqmvsGUbE80pjhm2mpA02PUlOz4Ql8Uzn3aLUpx7LEaS3LXRdOzmWUDBSMm5rXAs5Y+Q5zKBH1IV
1E2WAyMvIhqbM6aGdpjWGv1Hw0jN5zcuioCIQFc5Ng/h0BC5SFBP1zlMMlnq07iZD+lAnCdrPp9f
x/HnmxhMOz659uPP7oyAjhoeoJcFUPcrI4IHKowkm5Z6mKdLJLlKEVRD96EQ8iHuMUJw0wcDUxj0
iwjgSMbVnUCyIP4YnNJFSJ04GYxrm8cKRXtUJoopSN0xEDf9TQtGa5uVjPxlOos/9UgdwcyjukyF
+Zy0tl5n2rsmQ/1pIY3Pe3sfaO/SA/HsO0bzWeX94OHB5yOZetVzvEdA+RIWBC5EmCRGe7hVRV9t
6E6gfigy7hJM2Z1f4HWXfxwkA5OoTdbPxY0u4mfy2aU4Cnq+XZN37WTRJXHGfZhA5Oysez6H91mm
n0HaUQTrXRzl98RHvEf0ebYxdb9TfcwFXa65ZZKtQGEaC2tDf3Sqccopv34rfYginn+2MgJZeraN
01BdZwSe6Go/Ctu6CbP8dRFAYTlqnqRu6LMaznv/3syM3lPTegszibTKuqgS6FBmUSQMCfuBtnti
Fze/V0G7txMfjY4VvrZo3YiuglANwiMJWhDykz2tSwq0VSiDJ8Mwwq1Xe/fBZKdKX/eWReO6b633
oSciJmnvJWXUorNxP4ucEz+NSJZLkMyeHGZIXEzs8ecEh05S+xa6hL5eZCEqkqF85h5ZhKxrTHKf
lVMhPrFY7VqPN6wKU4awWHbKnhJ0cNYeKWCqLvii5cnIuoAa14AIF/yNfPHNUeI/trnWJib8NO5g
2lr9k2ErYDoiYTMGdu2eOR1sqDh9NQCQjIjdBfs/+tQUO6qH3g4jwSqfeTLNxER/SxpT0XXjW5Z5
TN5bCXTetA5eVHlbPpNdFvT/yDNuTo2nnweCHhk7tis0XjAV1AZa566WBBdgQ1ulUCdlaTAbSoGB
GTxSQaKZqvT7xPJXeS3/iCG+oEel3Cjdvc7y/oLydImHMGBpTKjmo4MrBVq7KOAvzHu5am3GoVHq
XXDdIS43yngrqvR3ijgJYj0A7upwv2o7WvozBI0cF4I3URJV6MEGV3zKTv3rJLU2J5469mb4b3Lk
zY+YgOCIxJI5Pyz4dmGvHFFD7AVyMffyI3H5U+3y7Pg9TvmoWiR6XBmBCQDEMj8CEyWJa6FlJrWl
8PjrCHTVJod/Hr12jqZJGfZxDjA7iM/hQ1EKknUd5oC+m8x90mmyscdqzTT+z1CPsIQanNGD29BW
tPVwoPhf9wjJ5xybg5D47SpmZIYw3F0TlYJZjBZ3MzRQMVVld7Va3vpcPCwRZntJObgadgNDMS9j
HlPSVBZUUWuhrKVF6oxT6bvjgMDwEX9JnoKOOQpLmKUpspNCYlWb0beTTqcyrNmcmZs0saGD/vHh
bmh714Tdb+U36dJmc1AxtOXmvuUYUHm/oAcG3xnCFi1u1gw9nZStuUzPEtWpLz8rSqo0Aj0V+CBX
nEfsJRAWQOGsKAnI/ZiwBCIC35cSvzykv8lvrmjC1pRFa62hJYTuInXNjfb+aYMgROtH1fJFoiFK
3S92MI9DN3JhAshDWbsb8IiXasCGDG3EwK1hWiOEU0QxbAG7kGQPAtMwRnAbQOkeocyDoZpKINjO
eNIFOCwJ2IGnqK44DjriqWx9ilTMRr9ZJTFTWgyeMZQBhmIBQZ92YJ4aREzh8OWR3kfFsbAohGMX
/Cy/rOrDL28quUXxrDuYnjWKvgCBrNWolZL9eqpNEgfk92BQ7gfcocJe95W6tUAKeFo3BV6OrNGL
Pi2WjqVAAz/zM7MLXlVYzhF9td1fC8wW9seHjHzTwM3C5rPwfLGJyxUqdzhRPS4fgA9odfJGHNyM
wKTe3bfuNvFf2IWxD5s2XukwwBnXOURw/eo5bDDq18ZB628hJplXGNools+irF/jaZkoHlOLECNg
MqzWA0YC1qGIsR9EV8S8ORprC7QGwg+H7wDU2dpDyVzPL83wWRPrJfGvTzMqdf461LkbOzdIPjXe
Q6d6j+AXRQ8CDadW1LpLAIibkDqAdeeWUG509hg1AVjo3Nz4wR+scrtHVrdbGV9ufYJFbHB5TOzA
IuleJIqwDE7IjM8zlxa8X3iGLB4qBKEkQ8Fsc5Z2oa+eQbZS8yrJImSnVJEyG818onN2KbVYRZP7
xe28LbyLM+0n/2jCl7NRtrod3K2C1MWdh705IE04HS5Nke1TNbPTYAgT77X9ac7gU+Zin87dsZ0E
oxN0VR8hixeHVCbvYHSM3lcBuo1sesl5O6GFuFgYrPqge9DsL2q++HA+PIK8c4iuyFHc5tIoQfQY
KRnDnyB9q8uO62eZ1q8mRg+PnTJ5lt52BraRie8JWhSP3wNTBG4gIi8oaHAwPHPKiP6xuSSgrFfb
9mFqJfHLfDNlCRv6GIHHlNVTBZ8JtYMu/+Zk+fGF5Y9nOAReBon6X28+x1ScuESp4pjetHvVvYQx
bQ6ILGU8xL1g0Dn9uga65C9CrgV6rcVcDCyxH7CKcuvDO1dAuCxIRlj28PBHy3I0qfG6q+uJp6B2
QIR2x37sjnHyO9M8tOm8GhPYWFxGuN3IyI1uCcI9A38DvuJtnz+PLhmGKct85xJFPEU0dmgYeMaR
2BFmmvkdI1d8zaDgHPGUQBrmVc7lbwpoYZInCatZWGpdo6MIaPusydvi/oJ9Nj0HXbBvDS739jmq
E3K27KWdsPIENFwQDG3kxmc5Bru6uFOvn5UGqcOsWkOqiHv2qG95+reOTJT8jiRQOKU4s4O3yQfn
hSRoq11uKmDQSE/1nhXVYY6Gj6EufotWrvFEw5WNzl4IFnN8mRJCzDA9GWjYkJKc5+F/TmIS1kzi
YcIwiowmEGHuL8XIYqx/q8Rc2C1zKHNYTnH8rVp7Y8TZbzRUJ2mDkuYjoQ1aoLc7CxeIO3KXeRxu
Y8r0w2mW6OkZgPz29nBqknfV/hqzPGYoJUZ0u4vIIfBU7EZ0dUUcHSfbX7uKvWPytzHQow34Z+3i
EvlExBCeOAbtt6/j4xCpS88oxu7Sv3M6bSSxyX7xaWoNeyxbuXof5P3OgCHhiIeYGUaUZb4FUP90
/0kJc5zjYGdTYsRpTW5ZuLYwIPNj8a8QD8WmS9ELozYsnmojXVvp8wRczGP6rQbsON1vzWLbKt1N
7fwdiWXj+pecEM58Y9T5DA+5jp7zWGzH6kxFwsXBntp/7RBs5/1HWVwwi402QaOrUm8a5s48/BfL
Prs5egvItb3xZICukXpezNkD5zoeGYpDtqgWs/9vVq+iumb5l4rxO5JTZ8PBHfd2/1SwbyA+SFG2
5rD8XYZSFfPJID75gHMTeIOQOOqXGbqTH7DFRYZsu2usZcusOZuwvYuEGPMaiXFIlq657QTrJz8A
9EUOXYTcGFjE6PSI+PzliJ9jIRUDvrBLIXlDmqSxQvu+a/yc9X3DrsLeOxSfM9X1Ei8CJHrAFzGV
djDAC2T7Q+XtR3990N2dfhI0/zQKC/QrHiW685VGX0XyVeaMdJN64TCnLlMwLdsqOIXgilvnkfkK
32PqqbFGtEKtc23w5KIrqVnsBHzVGbYzwHkROBfSYrX61CHYE5FtZRY8mYp1YZyqn5jMk8nNrg8r
N+9Q40wrzF+44lhIUIZXkCMWtU52qY+SjE26wlc9wwioYNrEc/Bs2xsv/WZPB8ezuNW12ABFWPvM
MWTQHx70aWH+Mcd/MTExNh5spLn+uI+AujT2ASPsCl/oDu8IRxGvfN9fajLSmKFt2gKJcm8uQ9Ft
BjQQEoiCgRugZshnhu9RBPlaBgQ54qaid8OWYrIVpVpN3zuX7UehQKL1akeeJdM1OySCzE3YK9X8
6hq5i3YtFvrFfPeCiQYy/SN70nfRjlgjDablF8uY3FG+rXU8/koR/lVojxo+AUf8kI4IYeqlsF/z
DvU3CAUjvmSuvSjCfj8W17o5zslbwEEWA6gpfdhyGbRUKi8s8G0/LpgTlhNdyUtvkQJjgWzjW6Yr
WY4MkryUER300kC5Z6A8hQZ3Z+4q/KmaVHr1sDWa+rNX8AcCm9AUge+O3NwsPA+6vbbFH4V4Zq7b
k0nO9Bjd6yp9LYxhg0wcAN/W56bDsrtJmwyfEgEO0kAsymwt2WEXYp9rbzIn/mswke8lShARbA2H
LaNfrDlLUhCK1ldtJRV0qz6+txAW7Ki4l25x1jj5PIZfrkjvfndrLRKRS8CU+I/QA55D9D/Yxk61
+Oh8GMqR9VR36pyKl9H+a1OEt827gnk9+rc2/cDIxnh0nddHqZNbR+yxkxpbUzpbR2OKpIVIiCrM
HjlHjnHqI6IC+S4mcoSNVH6YFW9N2v6EbbJhskdKQB68DqiDafC3QE1A71NHRsxKiLqwcWqXl3q+
z4iM+rG6GkSztY25Lvy+XISMyfo+XpnJLerey/AfYjxtHUtB5lpKwCYWs95rN5T9qz7QfMpXW94h
wvDaD/uk0muBSr53jR3Y+o0szK30plXPkgOtQ0VeyUmjUFd++D6lxkbMYu8wxaya36n5QoGzzjCb
tdZ0UJlga/Gho7tXnB7lboSobh4I5yXeEP2mwQsOOVNK9PI6ORYR7ZmC+qp46WYaFRlQ9yH5g1Gy
kJAZ6ugHAfyKzRI+yxQxK5P34XnskYoxhivskyajSjp/p/kHvv5e9mQ+Ie3Q8VtLXkmOeNJjleFi
JEhm9oJtyx0PQKEViv4B/b+n+CeTFtSdPVhE5SNax0+2mddBbocYO+bV3o7uM1w0xXc3NVRw4rUG
VlWIL03cH04X72lmDmgztNzA08im3yIDRKrfhAfCafq0xLUfz1RCh2EoDi73XAlCvX+p0p2JgcIL
/YVZqZU7Mv7jQ8r5Sas53WWIDxLzH8PODaGZnflEskckN6J+I4ErdPhM14b3hn5oW44P3wt54ic/
/dQB7Dk0sDW8Ki6tptt07bdoN2wWIcnEUcztQpkUXrjE6/6dnkQzREDDCBFgQsR7RK0mWFCiXIVy
zX8zbAnYOeDBauDH1/gMBOafOENsO7pbRm7gBMD/opXVLg8+zQ3Tt2UMtdJjeNsbxBMV7q7k92EB
x/1HTxJmNwF8whS3NnqIrGMERPEmc2kSIL077TetpopvTX3D+rhuiOgW4KjEpuItqPmD3fIlcq7o
yADttmChuIOj4fHlHR0fiQFgJH69NE5kQjjWUdYAhie56XnsEMKmvCbpxR6BuljZpjTWM9NyUGBD
iaDzGLZ3nR36ao1lwilPLmJktEUwkZ9pIlZ62o6i2NrtEwN+WXyZfDAxYvSBv1aiy5ImodqITyd2
JqQLL1sqU2N4y6tLpihrdL9C7b5Pi0duK6N/6yuc6RzkzGLzfdTlJmgOM3jgmZlIXBLY52GLGYje
DfgB+fDyEvk3d7OTI8evifc6kuLC5g0GC7vMPOAYq5Yd2tUYAWKmWCn0v3l8FKLa9OyEJ0TxeQYM
ANMAzDXTJ9UjG9nZpzZR3dGpcZ7raq8JzVEJAN5SPumiwAFG/BKVcQ6FPpR7gTBldArARNPNNDps
sRr15niOplX2cAkIrDNfegz2OIc3FvcsMZSJEayckC80jCAGz/CtuheoQGsjQaYsfe5jb7hQBi9s
h3uZICqxayOHLfPL1HwgkGKduGhAnwpnXMU2RmqYBTk8cWHjx8FEJMjnwVfA9aqWwzh/emTRTgXx
SywvwjS4Js45C1//J/hoYOZzQyKxXFv1uz0jI6BkDb1jwUDdivhsx+6S0lqXEojNtayvMFYskmuI
qUQEeHBJEQiwlaaYcdh7blH8rZgV8gieHJj5EAGc3j1zl4O+zc/M5YlMyq6W8ywj6GIztLtRhpBN
g01ZduRZWOiyxo2Kmu9oNviADsgWBDwcNRYkUSHowjkARj0deMOcs+s68QonRMAEPTq5Qc6sPG/a
y1gmj5iTQV1UbhBqleW/gHv+JGHar4tHDnRcIJgzEDEuYQKgZhiYiqE3wQprczrG8sGNFy+6cW7j
AMeoDok4CQD+texjvDZG8ob6Q2NJNbXYom99rOj9oxjDP5ivCYFkEaJze9vZycGR0T5FlBB0hIOC
k4GeGJBfJ+LiitaOFy45dF63lcFAFSgfYNlZX8d54k1SGEYDNYHpd1FN9sl8TJ0cB0bREPNn1eW6
K4xP5jG7ymEwOz02+JNLIFjkUR+SHS5clvVa2DjD6gIvFhQWhmBWuC8eraBhHS3TOcTW9GVMDKw8
UrE7W355WFJRtVEpMfsquGfxcYy4RPIaSqp1sCpOrCJbxfKrB7Fs9uHKRoFc0ZJi5yEttLZv7Bev
VhV8jGPEqgW1TG6LGAV5DB7XQLU7P/bPw/TjM17EX+BMmyEYfpiDvgW+/x3Gk0YOhK7Sf1izZuRv
GYrMZRQwCEYjcMFMcKVDM795GIgvz4n/ilT72XQuUAvcYUFDOOaAPsTvMkLLdPAoZrAIKAQUrH7z
GYR4JtuVkMZbA8ydnUrSeOcqFj9sNbctzaeHcKmUFiSVejMkyUvjGtwQeC/ieCVNhiuYVsbQ2ceI
vW0PqAMi19S/CgMkYem/jqR2ISXHSoFcEG5PLEiPNqiR5ujiFPLY9bcEo4GseWEfrh6zFxx2qN71
2NzHEDE9DieP1YfxNyYY23DzHbPxL60E6E04Ywg8/Wc4dxZTOb31fRvoYLryXJ5MfyDmzdMfYeht
eoBvaJktdoYoaoEoesQ52GmKjnm69Y73bAHKjwvnbOS0s4yp4/wVh8R+yAA8GD0FHkpXe7zQCa0S
1R4t50WAxECcSQQCGQkIVRL6box1FBA2+yP6pOAza6p9LuNtNdVvDo66HPPE+NiFt3IPUweHGbNw
KJYpXVvbeuuhxiCUh4SAxYhYrVXxMLEGI0OZe92BReA2sqJklxHPQkdHoTGcOl7aqmHU4q4Nvg3f
8tZT+9brZx29AgEIMBPTzYXl1RmPU3Kz2rOCBp1DhqoYMJI9NLlg9Nm1shndgFTYNqjDM2Q1JvPB
sRgY0wOSR4acAqd1QUE7zKR6+VUDsWjeTMRsoduuEeismyE/z9R4ufH9ADf6CEPUcEwZXLMXX1gF
HHuEh205bCeSWmjbj7X6Goz/ODqvrsaVNYj+Iq2lHF5xtjEGm/yiBQxI3UqtLPWvP1vn8d6ZA4yR
OnxVtavb+PGX37IskK8FxKYFZzoZQzfeW0xPqH7gDoP5oQell2JCKLz5UzPzdSnF7Jd8BoGpsuJd
bbaiyW4lJGTZLeOexYlPhqrtyP6kXFqYv5bG1oqjK6Qknl2dvuVmdykI+yxvdKmJGS7knrA88CQe
GrN/Lsk6e4i4RTDucZmfwvmfAuI91H+43O98kLNagWep6R9Fwm0JMmc9jcY4VS3FMmROGypfVqLk
pbH3Fib52g6eVLTkTLR6dOvd3H3P4q2mxqjqwgdDkEe8hDxqovVxW7v3U/+ZiUsKwBof5Z302k2U
dHyzaWv5w76QJjTjbu2RynPQLeC/kBPoV70XvSbtUnHnlg6fcgYZPRz/NQ5FzlPVQu1NkpPrUr7T
Ob+jzDE2mvcyEK+toiI0J1WYxaxttd3rdT8Vu8l2GQ3XFngKTo3VzHGJtZTx13iEmHHrlH9WmBJS
ZlESfnrU53t3kn8BcEsW8uCax9NjCCQuiTt7lZJwMHAHYU02z2ltEap0DNYAc2MSBk8Zp5p5hdwz
bLQHFi2dabteYhDOveMp0s3GVwQ4hVEORx8hahNKRX6C98jJSYgdwhAaQVYeMwOd1sbBegcgA1Ry
3p9J1norPzMHMk5ArFxTAf+lbiKa3OOwbK2hjY0+U8a/xBr3btdRXZ9t4BaFGG5RT0SdvpFB/Fax
u1A8Pn17cd/p4C0HqbkarDCm1Qq4h4e4CGMtZv2zSdVS9dXgBe1CZs0z4Ye9VzaftQfy0pn5O3ny
7E/4f4r4TyXjsek9TNOsuSO1PCKZ9y3M9r50Xr0iudQp0cvY/+6cjjBZ9ZJVwxfEu+nQdzG1tWZ9
qdSXwSy28kZ+5XgSiXr6vP3Muypg76N9KTNqyCwIx8n8oOfiVuHP8XIK2ZW9DVS6aqfpmvDLJ3u4
jiWHSDOEsKsWgL2FFc1y5A4BZ5t2aqtc9szcerLDtieBw+A9TzEM5HX5aedAA1r31Ex0AMh0vCrm
SHh3kovnO8/CECcLRJCTlOehVsu0Dm0MhITJNLyKCdlI+7HrfQIbxgat7Wgk1V9HIUIUQpvhRZeY
H5m2M4VLYwRtHmVj1WMaR1mDCBkU9HDX5B/9mrR3WPxqv/9ScDtFNtKpFmsFlR2oco0S1Hfiw3RA
RTes0JEEyxuhReZ62nhWDkzAG5/qAY++2dFAVEinPhh2vy2yGUWxr95Sh91NNtuKIOqqMpfMkwfO
Vi0H+rzrP3CU4dfDd8r1R97XY0TMNfuODZj1KdYsndGs6jQ6OOeCu5er2l1i0DlgxO7jHEO+jZf2
IsoIt3oGxxI49B5W9aUdrIk7mz3zVbFqtikH8dq31uRjiZADTJoNgyugy3CX505292VTfM5ueiDy
jnwyvkdogHHSvuUZtegGXj7iSEevkANj/Yi1ydg1ARWecULAvQ+dP99zLsJpHrESuG98gWuQswaM
hbpaEyyulKQlY1L4wE5h5RQZkE8e6mxT2kO5H6zmm1LHc66Kf3aqTnZinx1rdtd5ZGW7EMOl7Io3
Yi3HLgiWYduy7Q9/uNa2iW9/+JOBY8C/rzoElknFW6L2WxJva41U6ofeaVLWaWoADRvVQ6G9P3MI
ntohPrZ2/RHanH6NtLUhuHPNGkfjjbVjFzYjXKj0GAMWd83itQlbHgCggDoQD6YQX04xM9v01xa9
FYb0D0Pe7nKTAV0Q43b05Ps88AnmpYshPXSgRyb1P6Rlwr6LWGI9NlbfPAS1OEe9vwtM+xMeSEF6
SH5iHTpOiVobrrVQm++GmFwMtXEDHZkR3s66kjvsOut2yPYCMnNU4dWn77Sq5w/MUOsijl9tZ+k7
CI/0ZhKAdqE6yBgVoGCcEjfGOk3texr1bpAf7ZXfROtCUTHTsxJC6H3E7nemOhKZhHPeoOAjyErv
84j7W2WBjeew4Mjs1Eb5CO+9uE5t9zCDMjf8JX9WgtWN2nZbTVjdiDMVLMHmX9AxkVAofEQRyKcZ
Jp0EFvBseIiYYn1WZOXDx0/gK+fzdZ6gvfTipJS8iUqe57Q9BkOwDGNBpfiIMsEcPaSp+wL5gELz
3roV6fDQm+DQXXdTuem+D3xOH2plReLcmDQNjQlddAKUFUdS8ekFDY4gtj4hmRg6yr9a9WxhMchI
qGjroRvVOY9FviYFCCEpcjjy26FY4+ikwYNKu6MOjH9GHzYQFbrHMQr4MWywaWSe5CD4HKr63hXc
dW1NlcdAth7T8K3xxldnpECiAk+8wr33RdztDO7v7Mtuqf3sv10LhTRv9Wvm1+8lqnOVUmQBF+RJ
uAJni7XuFEJ7bvunPqqsjcWqCqgNP/sUSpyNMvsxPco9PGfcJIp4VWYWZ6PrsTUiRmEGIOPglp69
genGdaB+H7F+MYhGXzPmn0QFR0GBwl74c4Ms62TbMV+KTrlNyNJ/wWxabxrmARhvMmbU5he0WHoI
vKR7wZQ/rLB68+8gbIPNBXlp7qmyqhrCYIbxnhYNK9Cs71WLR5RX7K4EIbciNseq4qTNjnfhRSjO
TRYjB9SI7DK502M9cfaqPCzivjMczCYl7GXsWfgOYdg86ZjOuBA1Fh7T0nzDx3XwM5I9Gd7EjZeT
sm7IDm57QB7sAN2pman6dqa1hf175c/esTGyZNNqaa7JKi2NMcl1iim+74ye0SWKkYObYoNBEvAO
75rnN7hwI3pXuu45FQFn8gCcAJczmYzwCTzvalN67Blcx1pU47uuSHbdiIpNGIWDpM/xK+F7pAkj
TCtmiEv9rXNnjmjaohpfvBHrMt/x3WsQ2PA47GKTSqq0n2dUn9Y8y6Sgkkqa7k07Ke1Ey9yKgVH8
iJWaE4z4bbgjZqED01id2QeoIxeQBB3dghKA8Vfy3WxZ5tsqMsqFJvguddvxDyzfwhQlS7g0PUe2
LnZ+PDFPTCJwVqNv3w3m8OpWmp1/oE8hGZBVOduPOTQ58z7ui31o9QFyOFfY2AO1iN4mSQ1X4UVM
5RJ/H9U1GYydK0ZYTXr8Zwn7S6eQRgotWU/4YKxxuk0sXG0dJCA02FZtJc8KJ8crhByW8zHgQXQ1
f0abQYJbHbe2fPFM52UCaIGyht3Ps4q/ScJYsQC58VIhsSUGU/1orPsVOwUX8JpjQjNQLV2hWJhs
R3feUNCDbn00EY00QQHGcWrCtyjsXsoqkFsiJPddVcAimIs3wgMn7Y47yyufA6vZ5Xn8nPnzs1vq
h2SorgMxIxdkLFDaD+hwl9rztkZCgbU1oosHRripfSijcU3EMgifkjbed2W1Lc30NrsL3iTD0ijD
h4ZwchFxpgIQvh2nhuWIPa/mnkdC4A/wqbHCi39R1HXHA1vzqLN971sYZEbG8Vl4AEp7Ki34FmjG
bC653Kb1Im8sieMpMQLi+RGjPlpqZz78KKNabFiCIb3zgPPzMTLGnyYtSiYO3sWsAnyg3B6Bd2Q/
1INyWWXsUPfWKYDTFRKogD2sGZrF26kHPexyOXFYdwig/wl2GqIgxTdxpEcZxx/OSPNg2EoW4eC3
DZsLVNAX+OUcy9z7pbR0FiWjzURdsgxEyBA+TjNVWzDnqRK0scrz7BFwwTVgwY+cRMP83HZZ/woH
94AaySskiI2xiW00NHjl21Yxocx2xPI5v8gBW1ORIlLk3ACdOdojyB68OT03+XC1Qo9gFidz1AMq
VynkwUj3VLvZya3yYu/mdHf6w3zGYltSSWreQBjsfHs4QON/LPX8U5fzO0dmPhmcP4jnY0wNRQFj
s5xXjpUaJ8Vyw/nUM8ZHk6jvO6jd5NbD9d03C94/qhnmC6ErjtO0JW8nC1w1wOXi3rGy21w48qEU
WbOqevSdLgRilUJThu54mfve3fiMUVh2uPNNJpMdI2LH0QZ5SJq4d3Frvgiz+PIIUBEBbrnuK/MX
d/puar3uULUjY7up2XueV90GepaJ6hFgVpISxX7IO2Z/JnWdrWoOkQrfx9SELJZjmQWhuvdrrkJM
MldtjSTZW9FNtgSJBP6Quyyf7ms9LgH9HKto9BGlAfuMj0SB7SVvYfroZW2mSBw1J3yzneBRL4uW
Yf1jDvWowhmQSRpR896MfAcxXAm7n6QxXuPSPMWu98CY/jOZzBcOdaxs5LV6GyFOg32LiX/fqZlJ
5Ky9b93RoAE89Qy64x8B29em5AhS0AQ1NtYbzBEKqRNaO8K4/StzJmN3UBxTYEuZe5yH4TsNQm/D
JtXv8SavR1oleUsnaqv6eWMA0hqSPmCxRc1iX2jvEguPf2t3zNBHB4MHnQ1ybXQK6cWtacQtTyKC
3eAxLeV0Cx6jnN3PgtvZpgUuw4xfcoHhWlXXmgCFjwF2COfPuKC3kz8nYkf1TOjtmghTGuDED3ab
d8m/HHLLC2CDBxf4nWHb434q2Woh229HyTgy5RXqZ3b3KYQWUL5YOqNjDRxeoYIH3+NyjIOXC+Rz
HPcssVSpiOYZegV5MpupT2I89tzzpN2fzTz8tIj2owdB2QeKtHZj6+qU5pNyXOolZrWJOXmjMzaP
fkahzGj+6jlhymBirAVWY6HW6YT+vMw/BK2LSjK/5IzfOfkyfJF6vgSBexv7pXXAiH+ZjDH7J5bo
d/5n2I0bPoNdFsLGccNHloA7Udqk/Wor2YJK6e4xQD9NNRrchMVhw0ya1qpGGKe+Y7QRhSROawZI
287GUYW6p3aF1s8Zb18eYVfoJfm+xJ8vzK882GQArbIG75BT4E7yHbO7Mw0174BqExuI4jdpgDop
I+wXHc9D7PuENex851Myu+Bh2MIOTdbsBgPUu7b0VzgGJze8eilH51L4nwNk7nXI67J3gRRykFoW
PgVN0KzoyPUFNVswERJ5jMkTcsRi5EYuGdHNZGdJc20cIfTBOgG5nJNhmwIYYWlKOJhwvHnq3Dp4
7tJmwrDFcjtgf+EMqkwmmQWeetuJVpOJs8QYl+avBmGF1DZP1iJgRj+l58QrA8ugrdx7EoDvjWUW
+KebX2RpcmhE8asMD5pITgUPwyp1mOi2PYl7GwKJw/tN3lOujIQLaZz7HxnF0itoo4cUzCcdZXxo
Hj4mXnO6D0TibW1cSHyMasUhBmcApo41Tl5v0zWZc+ww5+Zm+8+X6T/TzRe0/K1JinnN3926Tb+V
zFcaQSNau3QuDONmtlh8M+dmaVywo4r/2TkHWSNf4GZhvAsnhHxosQThDIwCoVh0XZeQRzouhUCt
iw0YI5jLftz5Gm+aAStpomQQ2XlhIC3YGbWlkBmrX7nApezpqiM6jSbvWc6wSOyYt1ACnwMrBuq0
3AvXeUwbsVGjfS179YPF+AjYFYuXKj/b1pyXx+9PNigmKdUtdOrpLNqXA82gaWiVe9Vmr1Olj1Hd
vSXO9Nv3vNmZF91g8F+KsaWnSKQ4UBq98ob/mYYc8dq6eqbUgftjt/VQWCeB2kqwAIBLWG1RK/9a
SpX5Gbkn0ywkOMqa1OYBnN+TDKZRgH14E4/qp2S3XwkE+GtRTPcC/Rn8FtU6UBB+IGg/E0v8g1rz
3Y9tTEWdc6hNHwR0RNWKVOdorPapLLdcxrmGdt5DaQbAIaJOnWsvbp7S1DxDr7oUaQOEM2kO7FJr
RzQMz/japH5uXYfpdhZiYdv/CNuIN1XoHAJcy+gZJk982P6LuHbOEz5Dv0ecLycu7NR6NR11mNjb
ljjRW5Cc+9E+McbhgG7yb4ip/wbHr/b56C+UkOjEqNM+hDFF03PfAIPPCu8+cydW/yC6SsgFBJZZ
gyZCRS08pAfDL+ud4+HCdCzrNQzqpzmbGYPT9A1ajkdDo8fRluT+GG50hXK+7Qb3CHGDuThmsP0S
OdKMtrdFjDwY4UB0K8CAImMiYoM1g2tlF/Tca+ttbpzPcMDJlNfeJTSMD2XQpTEBQdpmiBh3QlZf
oN8FakaGB5MMaTJejSl7DdL5rlbhweFQrQnhEs6LbzKpn4Wnd57ZfwnX/prpcUA99pjnuz9ySq94
dq5UTbypcjhBp6DKOTVXYQbzUVKWO+tNRyYs48umJoYc7e2iQqxrxTE/H0jyNIO49p5NurCE+eFt
WrM+ldOMlwHVwR5mpuSkCqPAuzRj9dUNKYS0hLuRHtHwIEr1Ur+Gk32MrQnfibDfNVC1wok3aRHt
MqFfZZxdg5RyqvI7NPAJe8FJZ/IyM8YcA0p0ejCrk39LoDQCsKI+L2BzpEAx17h2o13LGxqr7tPs
eRFteuQMDpOIg/hbKINSbJEIzXIOkBZxEiUdgv2POX6RquLI2R2MlqgnlFtyI0c2D0osK4rp+3NV
zBc520xR1ZsWjMULth8E9roq9sppaRfvP8NQ3kc6uyp6puLAO3rC3HQUn+dZeeppD+Cgccjp12hq
+y1DhW1pFjKZBtMl2/4K/ZuBvkZJe4oY6ypJ+RhdvfMiSGc5BWdoZzsVWtuq5Npmh/61t/AI2PRX
zkZ6iXXyllb9vmCJrgsKflsyqco5yoFDvkmsP3RMvIx/VvVVQRqtkuw8Zti22lryBvKkbqoqOEeB
vZW99TPP0zbg7BYG3G9rq6G8M6a0hhtsm//1obuv0oxx1jLif+Wmcdcp95rjparQJ4R+ihicxDVF
vDygpBEe67bf+uGwr7pp01Y+MdsZD6i7qkf7Za6mtSqGfG30xC2WvnCne6FN7U2I+WKJ6KVKxDnG
mc3y+xDRpY3kC2DGAPshj6FQm7qab3EawSpYgBmsyfSe5VQPqI7WUK+3Ln0zT3tZ0BXoTLuhScHL
2t7WGpC/rFY/GDZqjUkv9pTq74ImOBsjCvQkPJVN2qxiUX+zxj7oiPFEO/E5BMH8J/Pp10uDHCqX
Ab1IUmFdC/zxBfiiBEz1uUNDODjkB4k45NEpiEj211P1xBg52mbDcDa88FOrolkR2bmGBaFhG7tg
nFdPc4VNPqEDlMOky76JpGI4Ed5WwN5BAvFSt/qdx+GrBxJAycKWmxW27pmsIrxHqnOkC87VlFtE
h+1UyI0vsXoBJT/ToSXWRgMVQTFIC9L+wpXhrjfVMcKL5yEe9X5xkmTJw7g4gD0+ORWlbRCi7B5i
hQN8ljYLcjQl5SjSU2sA8rh5yWQIkOJ3dZq8w0RmWzV9m2G5wd90UeTdDMQQdmqm1CZwCIYNMXUR
M7D1iG6MzqoJo0DKy8hRPy+rsGZ6eWf7YCPdmcPL7IREK6cXm7NOY+GA1MWRC8BlmZfJgHTYRJmH
6NotZ4pjawASQvzqHGxbsoZ6TR+UuZYTY7ys5b/gINat3VxBuASdj3spNmkNthr7nE1cnxrmLbVD
91OOl9JgJyd74Z2aJWFcmjHuK+6eWPgGca9s65TokU+YvuWpPPjcOiZD39vNUnHuvliz/xL79ilv
sQvoCB1VY/XCNoCO5Qy7IaMNFkcBQqZXU+fmV8Pe6Zo/0rRQB0s8CbXJbmhvwbDdD/XwUHiAG3ra
HHSzpCDQt4RvX5ouuKUaMSiu9QEhYz9B62ZeuGVkQguEcxqkLjehH6Ex2cUvmIpV7yMuyvnVxM/R
GWmydnHIiAZmPX4jlNVVEEPbF3oLle+s4/YxoKo3cPUXotTeCqtX8Nw9YeDmYI/yuQu7XyhUWLXN
mJZxDKg8TuzguA39E4VQm87sv/OJI7jqnVum4QJPzt+Yph8RBnG/8Hac7+iOz5pibc4ROwdl5vFw
bB2YkJX/3JgoQv3wbvlAKtzWfkn0dO84AqBRcFiqwLqgb+5aiiMw+FnntmxCfozFT+ZQ5Sdq42KG
PQ75pPqIM+cnadNFs12KCFVwZeITr1qr3ZGd48KRgV919KNjlleIa99VxT+rZqSy8QfsM1whblFQ
PXVtVmzH0r8OMAzQCMrkklDP4zgsx4EAnEbwwXUFkTg6m9BLy++5yX+NiJ9fRqTXoeuS9FtkxEq2
69JPd1k7b1BgIGBlN4/hiZHjWJ0SukkLsgN/7XIbcqPm3UNu9dP5ZBb1rWs5DXIHfnIBh3UQn23b
APKdEb3K5n0thy0xhGPr1w/Yk2+lix0l5WqKjwWpQG/ovGJuonYK9ANnY9yRRVEi+OTrDH7fxCl8
1TegbFNnFSBDyaE+timrHKGy/ZRWx6DSV+Va79Iazi5/aYqQcWv3o+Z3WfkRwmr8JLPikpKE0eP4
qSeak3qv5OLpzi4mgeiJu+rHmGNr7DAXzg2mgx51XtruzVySfF771jf+Jm+Je9N1iPOCnJaTcfC1
T8J28DQyDU4T9wFh99VOqkcn9N7pdgNkRjn6xBQQp3MWTzvgzj/5GB1J9D9aSUpOrr437PxFS455
sXGtMLsGM8LCVBwZOu99b3wcyuEae80eKOjRoSxGJawceG6mjoYLIykO8zgeJAOrqLfZJygQHO2b
55aYPXqGCd2xVy6NJunRSPFNmM21BbpRFsYXpU4fiqGDSQWAD+MR2Tpe9n/URi/74NByU0P+aI3J
LRvBhPRu8diV5TrNqlWN61BW5m8XAY31WgdgVkC3l2WCWWRrsJiaYTD2qbCb6fplpoWHpANgG2Qf
5HHIVQ4dbxNGAtBmlRx3DQ9Oof37hCbqNJ4fHZ9IlBf8JXn00yN1ILd7T/6AXkSjgovxJHM5bRHl
i8xzXcFNrAA9Qyx6MMfkHhFwqa7+Z6jpycK2TkfISff8BHpM1hVOuTqZlu7FTZqRJ6D/EON1CspV
xfc539NNYrS96QkS9a4m0V6GDEaGeKez6ebGCAhDqw5jF5z70j1DXPyS6G8R9+zKESfDae8zFRlL
Nw2WkvHeT9J9MEAuDdUuzoxnx+SRSSiwFYS24Izcjcwa7zI2qYRrDF57KoGkpPO82nidAb9MzwNo
9/gZu7K3sxIARtlC8rJq7VO3mB4mbAMxJfYNwWUSbW14JD0omFgUrzpAUY8iqk9w4BssQVgONkGc
MbwBIlW7vYWgQTPBYOg35NPTXDGKkiMq2HSvRmc75/PbZLpv4SQfmeqsUzHez824MUvoWlQhUrXW
bTmKnYNZcHPnwoexFtxqSKEeRLOMCgD0G/fV65a5gsBfFMHf3FS5BxlzYBS0rgpXXAB5qYW2CPxd
euID4kC1nsO5ueCxSChowrjg2PghfSzrpwDcwMrEbf2oQXTcM6JYMlqT/MBbG/7YFf5vzbr9S7Gd
jZRsE0/J/SFcJ6OcP0Kf2JbdhyweKlgStIXTAsXQnbPRLgu8p0jeBxBT7sss9I4ww/zLaAbmW+Km
MU3wjR2SW5uhAiQYqBScENxUvAWJZ5EoGOabX6Le0zHue4y1ScBg753B/HGy19yeIqJn3M9bh9FP
Y6yA5K3qbHolLrGt8Y2mZOLNrruE4smicLv3zYuJfVQ76mBGpBXH97xCeugXVi+GH3cpNgLozf83
xeB5xvouEugxAKOhR7ADxXcj7MmWiCpXNyxjUfvBhQY/trsnDYzeb291zQvbMYHAgFEUPhTh4i4a
zLu+YMwXOWtKCC8lheC+ST+gKl6NRJ5Iwh3dvDgMMeRj3uHeGDl3eSfpT5/FCPOpdR8H3rAkeFFh
chQ1st3IegkYloa/7dz9tZnelBAd0M/QIigyZCrVxXRPD9+s4XuPY2zLPpm3nx6+hTx6BTu5NYGz
BJ7zgiVr3Ubdr7bme+UWT4kiRqfFhhqsGwVy62VYRlB/7/U9k//kXI9/yhT71urgf0wrqzljX1l5
mh6Iim7zKuI0iVB+hznsNNOIjEnzLoxHangAQCt/Fcob0BEmfVSEqmrjCPJwXnSPF3OF4ITVbMrO
tlG8eHXrHeOBDcUwA3kifb2Vcn7P4NC+DDntqkqZi8GFxB9pAybI5Hy7eT7blT67Tn2SAhrAiKmV
59GRN+VjD3byNxc7wEm2maQCNC3O+KL6XZyaJk9PwlUPuQIz2dQ+hTjtGLTn36PIfyP4QZBzJgRo
mwM/uem7caIcDfSEcZN1P3zroUiR54fTWIqD9t351GR2v8GzeeEaz9u6fCR+6kh4uM1zk9bjV1i1
X3Y7/NhTcGsaiLFpj9YxJyTPsMj6o/vLmJMc1gDpwDIpgvO55VoVGeUg6PLnOsnrnT0AkUrpjVii
bGE83JBQDoEHwLsJO5yXYegPD5ERpc+4QYzPcBz9o9kXr7XjZe+hgaOErbc6pTlNSLq04Z/aPtxC
Fn3HlPW6SJV/7Lrqhxaqq20ovCahlx+kmPwXNO1fUNr/cjOP4G5K4JRRTJUx5WRtRWafgFN5ZBI8
nhqO4QdVlCXAc2I9iD/+pzEOGSPVBHy3XqDAbJMSMzwxfTVPEKOVNzHWjGHP42P4rgTV7eAATuyb
agX47g8QuP/GPYKvnlfhfR/qn1xMf6IiZhyql9KhT4rlAXvaxHmWV3FnYN3bF1NvfOg69fa+qFsa
sLLuHNbt+NSkEa3GvS1WVcPMXtpsjVU14y1Loh+gd2S7RMBdhEPFzDibZoDchx5YuQR6fNNrHsuw
7S4OLOVVUXG9SytoPWqYxJk6FrFLfJA/bnasK83MoV64YH5pzV9FWP6ayvIuWd809zIan0bHdbAf
ZMVf6IysVpPVIBg6OPfrAU3OSQhL+BZ2Ti158j0PC4qukyVmgQ+nqi3cGSNVkICJGU9V1cnn18Z2
iFpWaVaMoIJEAz+p3VLb1SOVRWillqy32LltwtxW+4LO4m/6VMPrrxuGxVFUpKQtE/eia5diWSc6
WLGlNiXgy6vs7P4QRHSuMeS9CelSEZFAQODPeCPr9KXV40cfkaHpYtt69EySfS4ED46jQ7+RUdsT
G3P7UyMLeBxWW8znBJbwNp3TExloHCkgIaCx9/ocKrdbY5P9Cgwvf5gDE5ZtSq1jGHmCx6uTtMfZ
b/WC/e51M783Om/A4rFcQhfAmxRrWhxJD3GAjPXZanGR5SZX99nBoDpFPEAqhbXtxSenLWyA9zkx
3N55Br2LzFm7wNgKWrL9RLdfXSk5csxMFuYgdp5DTYgLUKZmwBhd024ReyKwmibVTgdLo+y4E5c6
y5iDFb6jZckkLlEz/mlsrCk00cMNgG66S8lZrZuSdll/bC0CGzDvG2u8mfhJqKgM++5fHOCGAfhT
Lsnlhiy+XT8nHA33pZGqDW2M3/DQIzpKaiA9GeffPqiDTWoX4o6I8sywjkujl4RcjETq7DrlFGc1
h+k2tFoPP1z1mYCLBTkf0oykB5bktOCIHjXDxa8ZEmqvJQuU5cktApC4sSaKLIWBWzakZOCOX+06
873orjG7D78rL1HJAK+0ibPDFun3gT06wCxd/2TlVrHLLFxxcWATna9DrDlCgiGvUSHEBAd1yLzP
jvrOvWx1/V7osser3HwEvrsFqXEaihz9K+PNtKL7Yaw/DIdxf56gCVYGoeEMhNMhtKhvbE2cKAOQ
wDuGaxejlEhaUfUXaGDfI6yxO+Rn68FX/XOHvWifK3nAv8X1iAw5LDCwIGHSX0eNo5hB1C+ew3dV
N++OET5zVb0hGNh3FbMdzPFQnIaZAnAz8+FsknganYXf2yfND6DMgjGfAJzXLyiCZtbr3OZM2pYT
ZZ8DxEBgfPXWhT/CaMJwti5fD9oQN96eOkUzJGrbpIRPhjw8Dm5Oz+FyfMZRflcVjbh3cWLfcRX0
vu3YAYAzt0T9NdU8wK3sDTYqhFSrQ36Y3viUzsrBSjrY+OyjwiU0VBU4Qd02+ucbtObG1rIphszk
9ezVx6jTuFUyKY6+NX+ybMR3Zs1PB2zOeG/Zk8mhlytnSgl3qWpFZ9ENJeS1htyxCnm2YQbMH1wA
EX/L+aMzKn+TzIxVBGOoY5Jy/7Adbr3FUjCYM6WOmLes3AlIxiwomzWBz250GT4x0zS3Ce0YPJEu
2mXjHKrAKTbGxMbDlMrHDWZxyq6oH0qxEtA7RBYlDF8HMeq947oHzmA8Jd38gNVCETEGMqlajYJX
QR9v+0fcT/eC4/kOx3u/7yT+z9BPGp4K19jGBac5Cis4i8qxgH3NSSkyhbVlzfDuaUoft10bhbAB
dOIeyiqu7rNksHfV1Ae0V+RYC5SaIXJjyjnkgsytNG2cfgZ/EEwBEtuY+q89eXyinV60Z9I2UTXm
I49FoJuwXwXVNvAIoTVVQagEZ8V2iLz4GOhKbxJTIhFb5ikII5o3oykhq5NiHcDNbi1z429vXPzk
SfZj5ShmrFHDxmoKZ+uF7bwDv8yv3I0ZNGYONlfSGTwbom+vhkfq0GawkwfTo09eBfBOiQDXF9C9
MtN1H/LQ8X6VV9QHvK/disQKQa1MF2uureQhptHFsxTlB61mcbVi/U/1EqgAbtHncdDpk2/WbEzN
ctVK+9hktcAlDLhR7GpuWpz6SVXUhsk5PaIaKxA+xppgHN7diTLeqi6p1kh6789xux/LlulOtjGY
GTpY7ihBBscJMo3LjRUivsr85ERAUvKS/ykFTiZKqprNHGZM7OxsTI9ZS6mqXxfuVgHpupOUs2yI
VIgXX7UQFaVHqM6KXtPUoXMKVoPNNW4xBs15vDMyyPZgwmmzYCWhkGxrFiBsBbsFl0f51vb/cXRe
y5EiURD9IiKgKKB4bW8ktVotOy+ELN4Vnq/fw77uRuzsdDdF3byZJ0sQ5GVPpK/A2xkZ9kdfm9R3
G57z0gvFFto3UYQZ+lbKq2JuaNCpOlh/c1B/0s7GZFi3RB7cEN8/YPGtW9vlBo4mrWh92Z2swf9w
q6D/tCto60q4Pw6rZDo7nJsZqvcJ6tKKG9wL9mQH9higTHtMeaVgIL+nuxUJjQqg1dgRiWarbR9I
txmXNqx/rQXWnDsqOfJnXbswvlLmyOZGsvUTpN9vjKHNzs2iA0VyX0ohp/U9TIvEtuAHZhEPCiHY
sLeyvzgPx6MsgpuDZAtjiKWBhBdPldU03CjnhFkLc+mYByMxbAX/oAL7jcNXPPRN+16YFvCvHg5P
AXGCH8mXGw9smRhgcfJJ0PBUX2ywcb+qeQSGGtcD3gobc+rIJp+GNg3sQSznWRK+TL46IakNWMKS
6qBzitJKn4PBK92HkRd8XpBRmUZiDKWuI05jLBTYbFh1Z91uSsNr6nvfAX2i+BBmoMNpwElaW+Sz
XLUrZVEfUNLLLYM6xFFJG1rbB0+OsgKEEAoMR+0VvNEGGnLENLy3VvNIG6qDoifVcZwpHkpzElk1
qcCN9gjiZXaF3XjkLliqwNgWzgij0W6096HiGak2T8M7yL48s/DiXktHt1QWqZd5qOVqGjU02KLg
0QwL/Z4OAMdZe4+nim/uQ+BQmlmy8uILQjb0bckN0+zK8lY6IEroj8TRNIZneHqSM6lgMa8DbJV2
cAaOenLYur/NWLNhLzSMP84PcTfaxVvzgQODTg5JVi3DEtnwXuU2hdJJ9e/kP5sBI2MGp/4IFhYg
QUSBJWzY4hTJ+MucsvQ6zmSOhe5uGLaBFHUmapidP6d9xd1DDCB4hsBkyRHF/2x7CHYIEiyclphu
WmU+eUw4KKkbZa8eQhytWsNmsoZ7BsAvK2CBHvPWg4WzaAT9SAqnGoNTXmQl6Sj3kmTpt7S52nhj
jaiXRCyOmlALXN0RqkBZVUzXJq8uA7jYWiSO9w3a459WFo7K6QnZTx+knY0buhbAwXLMPdRD81Vn
0UfeTeE1KlrKaqzuPk/a78QRz0Uc/Zm6oK0HSFtAfGfttx1Jn/jHat1bm5lXMy/pHerzBy7ei+Oc
L4zF1CXH3HJE6+UnZro7FuUshPLap6+4ck5u6H7z4gn3ZMWxyHEZ2wQ+uIcmG187lHQ/mh+FZ93D
yyc4PYCxKJ3XqvfeCw9azZTBPx68e9cbcFNje161E+5s7XkUARgBCLYgKz7TiABvxKIi1rX7K3o5
0L4+SAqlRrqseZFAIFgamJxEXI0w6/fFVGjQYSbsCien/8eMl+mWrQuKi64OgdVC7M7GsjgBUHCP
BrD8wzRXdOQac0pyNcDOTVQy3U/4zBNkqnVrFBA2hCDkbI1oMxbhBln548kqx4+ydP+hWfzFgtbF
haoiRGRcem62TrswWBPMDrzWBIF9xhdKRPeGg7PDydiwhIlbkEwmf2T23XuaE90k4jVM/lVN6qF2
ieRqiZENf8ePXzan/zm2sVU+ubSr4dbxoJrEzSdGlGg96pbaRN1fy9T78QpaO4QdkhCb6vrRMDX7
UIGyklXOzVgaOWPtYBGnT+6IQ9t64ltmkBFOdKBs6BCB2F/3lGVgvE/whQuzW0+lmHfFOI63EFcO
a3YZrzGbo2wo4yqVb+66sSnpdOI5KLP6ExtS+RLPBV5u/C4oNhR8irAHH6r8+hhj461XAInjVzPt
FFhiQ54IKluffgruxlElr3blTS/9gKlpZVFvuAndZnwKyIWsjJzNBLMq+00TCpaULsfTuOBvhQvP
1HWN7jBmtIch19o3DBxi65DB2izovo0BR5lMBtYS0GxsAwMOl9jIsRhGU+08om5fSW+NOM7JbvsR
7uyC/dhKl6b4nfF7PSRDQ/IHvC1budoG4id7mfI5VIEBC5zKIN82DLAhCHvfU9jsnc5xPg2rGnma
m0fdkoNBzWzY+bhLBRqnXKPwhvhJGXOqdMXMe8ppEI75ofHvoQIV3nRLGUaJZOKQjbDw0zxX9Lda
z2QE6wKDpg75PmQq+mtIMRAbx+w+0jTtmVNo3vCG0m8RGiBnppIw6ZgYT25HA3Ni5RWdS2wsszkC
NkFIZ8f+mH1G5xFgowVgzar/uaE2YWsLF7CQzbwjW1D9RgyhDxSw3qNhGNuy7zlYauwsPvuIBusZ
9kH/MvnpobCbszS917ZoYfw1+HGFnNU+MSEQgFrkk4vBJjQOGBvmb6ZlXaabYcGn58vcnbvYI7Qz
Aulx6mND2wCPKU2oibzr7C7Yo7Rbe+xuD4z4+VPM9L4ZctiReTC9jJ6qMQFSrcLTu7GD1D0MrshP
Qi3HDRFsokolUq4DuXWlfPfHc+lm6ctFJLcw+9Q+FvtUDWePNAStAJjIai8JWV9D23SE/KXL070D
aU2RCT1CIJWte6cxg31VS/mMPsrzKeVutnEOlmRUT2ST5mscdx+GiN8Kg6yFIl2CTs+hgPpjPNKD
O+5yiayQIX2tclj4LF0FCGbRUfAaEg4RDm+7oY7mTdjUgpIjUkOEYxKo6+Gf4VJEYXuGd8fjT81A
BI7RS/x3hcTMkoXaFOQRdd8A9yWWyJ9Q2vNbErA/4lvExTaF3V3GDgRRpPgZK/UUSPvWVYmJzJRn
JNcT4+yEITKHaA2c236M58erzpNoPwfLcfERwTTng+0AAUdfWU3wXoftd1Sn1aYJRupL2ak9dm5d
3tnKXwgTsjhHttsczNSEPupgSEkNq2UhYsO8Mlh/93Pa7bu6lg5qp2Oeh9bMd0rk9Pw6xbSrjKl+
bshjbhtUinVRMEZWHdTcBEtfbE9wjPyWLH2FRcPoctqUxiE/y6w90huiE/xHsX0nhAe6IZJSXKu+
syDAlEiFbsoFmIRm9xFYur06hVsuzRn+trahYRRh2bM3D7ODWbreuzQc0jRCm5cyM5oTvtviMKZN
eywgChHvG9Q650qLmwHfWhc7/kVHuQLOWHq3JDG6Z8+U+TGgwHTPdiTc2rWrqP7MohcukN2etzFX
FVzzJk6FtmvfJxukXIprEpZIQCfv2OBRkE25D0qLrS6RnUNXx8uLp8YIgZS9bWkdC9yMtt9Z/xZN
ZOy0C7xkCpEoDcHHPS43VXLd6jHR4yJl8UtjCM7vpkqO2G9IZgqKijeFDt/bGpJQ6pD44n9BHlFH
wEYUBKOyfCaeGJfPhR+qbTzNr71bPiaZUQHMcQJABA11gezHSHoIpIC+mLbsEZ1NMdBMVbVIgTkB
1snDUzpl9UYZbYC7Exg8PMunSTmf/YCZa1riHT4hQ0A//bUf1XHyu28zVs26tdVFVwwig6o2wH7T
V90a/jXwiACF7YABVDUNBxrU1BbRem+Y1oIHxUDCL59dqdnUX1mPrQf6OlKSlaS7kHcH8CSCeASd
ul02xMa2VU20y5mbF0xQDIIlqO+aWZQ3t3emh5bSAAdfDQM/MVUDVstoS5uWSVE9pCr0bxmNFtwO
Q2X/o8qEO4VLXQshCLzafyRr9TfvSJiCCo/PLuypnCGDbTnPaojxewXkxoxtD/SmhYk7zYg7hp89
YweN2JQ25IWokiXECT606l5m6sD2NlGkQxCMzzKcbXjPc3EToklhxdDtsy+18X+ixD7wJhm2blWF
Z8Y1B2SJEdybAktZ7KfOJu36S03ib12xGjjhRUkPwdjPvEB6egtjcrIBcvPKas3ytZGa1JzhdXz7
uAVcg2+Mwhd0HQydl8wNgm1uQv/1CqjxRoIM67TcEMLSIAPj8PT6wmVPZ7DejwXsVCvQ1raypHk1
BrbYVEDEB5UMcN94W9i/NMN0r21r/xVK8Wvt4u48GsmidyBSK7/pN03qiXXNJ7qzjYBm3zynXQ4y
BIJQ1OZ7EXrVhSgSmeAWIyyX64TAVB0RdbWjY0UNwcYseAHyX32Loyhjl+F2Zwl1lYBWdY99I1gZ
KjJPwk1BbTmWtwss3rqN2VJrm6BH+b73PMr+Tiq7+80NL7rkk6temiYHcmk0FlyVjFpZnIERti2Y
OWSs6Q6OxzDahkh48J847/dVz1lIyMrdI9VGICHdBxrr3F2mqcAwmHDvo6qxoLi09llqAmBx6gPt
CLJrL23S6bTs4IAL130VP2PRvZGiY+sJmoCmjCzmqzJMCgi1mu/CSjQr6ejfeKz+hF+Fd1TJ309Q
/2+4Jqc1F91s60ECB8jRHcK0eQhCgseS3ezWbCRWpymNWWDNaiukP1EJahL0tTBSZehzG9b/9SEb
Qddb7AE3M/zkKwV9xiJaWzmMJ7M9RU7CaNCJ09gGL6wlIIykiYfZh6JCPpcrfvYvIVEbktZMj3GY
PlWpcN8YJnD3L/QaLcPq2Oa9tWpYwHJd9HdGA4s6oFWK88ALtrNWX6D0adO25XZklfKGIhTtpdc0
eyJXpOg8pHZFqLf0lkSbLpoPX9oGneSGfU4j76+w6mTHyXxHt/B3mnvWwZ87+JDge/4qJ/jlZ8pM
Ku8pJoj21kCtu6uzzzpAPGe4MYlvzd0+i5LhwOdS7W3kR/rhnOLAj3VA/2GHC85KrT3fZ0facJTi
Cpo2Nv0Jm9yFMdFMMLMlcG3Hrnfwi6q9MQTtZqQt+9WOOxqvepzgg6kMct2N+ZRoSYaB9xgG5CYv
Hmu/f8yKgIeA45mARXGoHRAshpV9tm3yD3BlRgqPw4XlTLMpC4c2Jqp1XvrKwS3Q1+UpnrQ816F2
KHuDh5W5UO/Bf/x6kePsqxgVlToefRqnutvkCOTLbNRu6gZ3TE9r8J1DPnBfhjyWycKX7cZI3RJ7
Lrmd258VjoCjSIkD6Axw7WDm3AdNubfcPDsbKjYBbEF2DyfiYIV6o56VtM2YkdiZCuvsUKu1mQLl
ncshYosX1tR7+9hnk2roIbvkW7flYTNd1GqupUC1K/fORY4n9O0dirB9st2gx6mZfbgTCYehr6oN
ga2n0A/kRhWMrVOWvWaqgdvsVV+jLD+1b8O9gbDiOBrQQobC6iw0m+Qb4kS3VhFk2n6kFstJ5e/g
x3/CAOrHZu8S1wF8LvjrT0aNHjpronEgu8J9CgsaijtQvX7WFNpQWkLPwfjOPfAZwNWHHDq1j/G7
suyDSpKguLARYE0RI9ShNUi9kwARjza+5hXNuuj8PmJ/5/nn1F188GyvD2WArc+cKwyAWRs8lDoh
kxXBfDHrOtw1TQwFGkqDUTDG5PZVRALJVcRYZhv7LcXzLyTOXoBD2Cpy0vEj9W1kez9R/XFDoocM
uYLVrT0Iio3eg6J4qMbhixwVgBHI0PQusqUqyva77hw+UvY4mJ/7Y55mW0f4L15Ry1PgSP6sHtmy
lTjtXZoAZbAYwu6R1eVBy8WI3/jeJpj5Nosxe43QHT/UFFbsZjH0e8Tr1nPnP4at8BmmMvGdzvaT
T6PTM7cL9UaHj7eTPaL8RKXQFudKw5lJ4/bgBfeJypsNOBbaHkL5yl6I/KGo/A1jAb6MJvOfZ9d+
Cwl5rGRI4bg1YKZJ6zQ/xy1Tau3X/OLYwdyZNvbLxOTEFHZX3Ml0uNAvwYUBXcnlhMZfqXArwjqZ
q/a38Nv6qFiY7PxUA8lzTabrxviHnWKh+8KCQIvEaZPCWQv4PROOJKYcmPTxdliFeme+i1WI7SeB
2+U6Lx2F3IZohgfbRKoIzJimXdG9QFt6U4kN+sPnv8mEPe9mPxjv3HaB30I82KXF1K6o4/jqRfEY
OSlgopIrQS3d4ZAbijhdjctbzBB16YioY+/kOcilWPaT3VwGX1RAs6HkYsCsgQGuHFlxG1yV13XN
fZ/Bl4+hHPJnbq1IGDFZu3TUJ8pY4lPTxW+AbH9KA0aOZcon2nzMJ+4dBPVpQgD5D7XGwppst830
5Ev3J+dGRf0I77YpEEutct1/VCOybtjFqLAJhVG0bwl+7i4Bau0m/8qU/AjhD8wwiYG6lebGlhOZ
7b3TmjflkngZDaOqeU/rYVMobhH4RbLHWoKJDOfehuyogRSZj6lGxwadsR2G/k2X0cEOnScGGSq6
p8w+jylBuL4t0o1HBOXiZvWvM2F48UTprg3DZ9FvfzclV3pp0rDRsMhwUvVitqEA6+0Qz8mY5zPf
84gNVuE6LYDRzMVdQP4CR1/+OC11QYVRDbi2qp7FHApX7alzVuqjdrN4hxyxK/rG2LIazHfAksdV
1AKNE0u7qMqik4gL8IdxDZErRVTAfPE2dcUXgJVt7nnBo+NV//Q4Y3AK0WZOyktodowRoScfs0U9
JsVRVoAA5rqbD5UfAhDzx0I/MuSzy2yTnAYJc/ga/Ki5t+gBx4ws9aeWKOmc6MW/WaP1ZiEwYiYh
rD1+8tdjKYJtA1Iqy8p2o2jZ4TErmkNCvmZHhSf3grz0zwzo/UFqrY8WpC5K5rAMF4X1bnLDofew
+OviMoJTg88xNyPrdZRT8B6zllpPOUGQ1tbZYRCN/cCITs9hTnNEFeHmy8PYgMvnGexMG/OaJALj
qNmFHzZrPSusn21vQYpryv8iDe11NCYN2I0ha0TKPYAfoflaN8kW6d7Z1JF4iOzu3U6KW4bOtRZY
us9DHZKBS0Z1GEkDbdMYDl4sE+/c8v+2GYVvUe/rAAjm1AFs8WugTWxYORYHn077c6XYQhcR77q0
Cz66jiIZOzZxfqd0nucZDTJ8D5bSVBaaLB9z8ugrCnrkpaebBKKNtg4iaT/LOXVOMU4wgh7Og2ya
AnnGLF/Yo50t9plc59rkZsdqfEgtLtBR60eHPJIldh/yx5ZgF9lK397FY0PQK7EvdhEP53Bq1H70
pojaFu+TBxjWY4B62ZIL6gP7IrzogAL/aY/qCZP2kyfCH20Q3KtnUSDHAv4xZwrblsE/a4lBiDz4
GjvaYqK0ti4DtLSj6Y1PDNDfzKvjxp4SPPuOvaVXxThamKe20dweTD96iCOOHbTp5M5w09+Zn8zO
FCWs8CLvThhz8OSlDTl2JCe80HhTB1DjEbzSt84V9iUyYmq/mOPaMGk3ocz8S8L6m/PBSp+axSWH
3IhFxiKXHnJpr0XfUqsUgn7qoXjcU2jISzWCdltrtvFkOmg6SF4sx7zKUD6mWPy3sEecVTkEx1FA
ulVQtoCssA8NXds4sBGkoFk1d6KWz3MyvAWKg6oZ5viIww7bIcBt3rjjvvIlv5nA5gZVc+vI22o7
+sWN7nlqQDAQL3tXlC3B+2lYrslV5n2pMvBYk0cnGveWfjCitl2IZ99kfVvVLV28WEb8wHqWbXB2
0/FUVqz/24wKAoSxbNUEGDmGkPy/RQWU7ylKAmPlnQyl2rUY6gtmLAttYtqzzrwbELBoUST23Qzt
zfZTuR2AJawLJ37vTX1z03K682ofeozX/IjSICexGFbROZN9MSPJtVX7V/ZsmCZTgCZgdYw4C0G6
xL+9bief/p0gGi+DO+ybMZ7uynC6JpP9gUEQ9TPAY+C5wALTouPRTeCEh4DCkW1bVvbOk+OWL4ln
PkUlhmoOOxiQnXfjF4O9wquqC7MwIwYXNfRd3CBgYk1CmwP/DLDBxmoU1zjt/YOaemcgrq/TatqO
fc2AWlXDOjBK+9DZ09EkN7uKnRZNEavwOa0IBY8jVkwcSMvCkIV+aDI4avu9ZsnJX7N8s6CaLPiR
eD3VhndINcdzAWVgxRxP8Q4q9Yqd26IAyuOYype01VDrcq5cWsALioEpbfwMtdVdzAxZ9VFCMkCs
FcwNcXOFyo1MQJjM5wfJ2mImIE1Ofp8thiAvsb+lY2GZ6TUwCdN573TxbZHXXmeSY0bZ4b7q6id2
Gu+uPeOdnjNznTjFGT49uaBh2rQZVsO58ARgdoxFAXFw2x1TSnHQhlzfuB9l81Vm/gO7ERy1lr7T
84C7MB0vpWrzB7ekBJQSDzZprK0pfPw3BPlHGViXygItY8+KQzjNT0YARJTEh9iy4ke4asl3EoAB
Vj53/I6U+h2FfgjTmH8SgnvqI/ClvT3u81AWpEjqg8PVhFINWjUc/W176XPCuocOd+u3b220TeuL
zSqpx9nhNdiBGws0s4Zthq+VKXHjGfQo5UKzcpiHVzBl91RafzSKfFQ9sj1crFH9FLoH7VYvM3Qi
REBuAnlEL7KkIMSlAdGN2nrbTepAMwa8XcGR2MT+lsTlo44wrwN5P1WR9TzXRn2PNA1FkNYyi18k
D+ZZeea/oiPjmIfDJSbO4LgTKGHMbUQl4axCz8EG5LHhwGcx6i5jPAQSzeNc7iOLNh4MDxZ1BdzT
KnO4VEb0EQ/6VbshRMgYT0Aydn9V1r25nnVT4bxMva9VV92RN8g3QOVuxowptldoiXM5OYfcUmwu
gtg+Gk73oGN3r0X06XcFz6FXt0c7aqmassRzuPivMHaiDen4D5GSzg3DwVLDrfzX5HzkYcvZK7gq
5KIhQ4IYZncfNc13peM3ztnPQXBRn8scaRpkekr5i0T1PcQRrHSOesInPEBdwp9s4QYk30UHcm++
MS0Fm6TOOqpDemrDM698SOLQwPNC+2XEHvkYIj+favJNG+Jf9E2nbDQ83U6YsK0H5LJ7LbtPc4pv
OGApj+i8beq68zbXobX1SQOtMeJulfKOKpHxYylN92TDfdqTxwGz77N1LHADU2+Z+nt2BQ2G844h
RkxvAIz/rA5GkVUepyY09jPI9gNxI3dtzREqElKk7JczHnboKUg8osKl27FEdX7MvkEKcdwXjWGe
cbpNNq7y/1UoV5e+MF4K/DebdLB+OtLjWH2yW4dr+OLb+B9kDvBxnuR7GyHU4I+d3tooeQUThgKY
5i5sfPh/NmmEKkjOAc7HDX9b7IMRsRP2wZxbqUJdj0a/WWWlU/6GeIxoo2HRN0f3iTXJs6WK+xr9
nt9se6rcwT4qVslMa5SwDS1eDa8bu1cZ54cph8UUB/Zp8GyqtpaWweUrFKPlrfvWhAASNVt2mbQj
gsV1J+8m2/qLSkBqxyJdPc5VjbbSUoSJ8YVVs2nfmWLcxT0tTqND5dlAFHplNBFsjsFx7yrVNR9c
pA5+m1TfTdZpeuej8dpbHg4/WdpvYu4ovLK9+RTjfN9jK/Y/ODPxBTZ6KG6zZWR7WATst3SNByim
VaBoCfa5iQT0nkPMDPGz7KCiAOSvdP2MjkYTHZZE1Llc4q93+c4qbU+7zFbUv1uteksBIdzDWPdo
7sWMYAgaYITffI9Vh4yXJqL8546W2Kaj9T3kpt7UqSDzW9GCmo2ufHGjID36g6x+dYq9le6HZ9ok
zZNGIlkxPM+/6AcYLkYWNxWLAEgRDjZ+nUXuh5ML747rPuBbPqdxE0xAOZ26+qaneLFdQqpkQITi
WVISOEjivtE0PYdZmZ49tgh3hmOrK/5uoK9GSQiuNK0Y40+YflojW4motEHk1yAvctH5FxnxY18J
Z0QYY5WOQuhFJq68rul+3UyQvwh6XQ4nJkFuq3b/k3S2dysSxrF+GF1sPzQLl1084/giM5XAhUNn
YifUEdlCbaYrlh+mBQoNo5ibcAseIbbpRcgN7VRgzMUcYsUVDRKV5ln3Fku4zAXlytl0paMw/McL
xMNtywKsoA0ytamm8djv7kxa+qKSdZg0Qw2EqiD6KI0Nq1RI37FGbjOuNqv+R7F03fbeRJVmVR1U
7i25OSOCWJF3zr2eTPyN4dLlblp/doP5opCOwgo07ZSjL1hSxMqfDeb2gWzAKq+YBhgVZxKdndXt
NI2KG8YZtbRI5sBVCUjsyghsld/EDO4+bhru3lMSXZrCYDiN4nkrw2xc8f4u+XgR+3woZASXSKqT
qeGt/mxAigztnIQ0atM5DdkpcL4YIMSKdDXZE+v33H8JPb/7nKaC20rMbW+Olp1wHZ+man5tifUT
Oz4WykevD310wVl/FNSs4rau70uVv+nQVcfAj/yPLrSYcyRBgUfaaPHYoflyBFtR/GM3xBrttA3Y
eev0CEWQqQHKD72KTmmQGLF/wFVi6HQEptUhWw0NpXxNFHw3Ttc+jXiF6SqiondtNWN+MOGKdZ8Z
SEyosFMJM9qr86HcF74NULDDL3Zr9RRxOakfUzBw3GzbfFN1nMDQPYhqznQCDPmYbPuW9seiSX38
g9m937piA7pkr6MQBmtELphNPx03oXgolQu6V8OLly0MUbt07s1YwlPMDeT++JJJ5o+hgvSohf0i
IhM7dpRGBq9dekww34FjE6zvuPo2rKO1IA2IXWvseJlkzVset0y5DdIk+IFKM2N0EWlP4HoN3xLE
f6dhUdK6kHmlW2tin036BYXjDhgpMrBrWk9sdKbnUQcddkb3qzf9NwI2mCB9xiYWkN1CfhgIULIR
l2xTAPaa7gbqgkZulu+yGo5FgXutVvWtFuiUHd8ED2TeHKweBiMx74GcNFHd2sZzMkvsbnJgeRjy
WQO68UnrZQzPMA18bwkjQTN3Wnrf2aY0xNTQB6JDyO/EMCOyn/7UbELEB4QiYAIKn+G2q2qAgUSX
4NEH1a7rsmcdtxcANBOducRcA2ZnyiR4iRKIuvYBtwy1iDZTleEiHQauEBL/UGOwTeDkqmB/kVhN
juFsXTKjJ9qA76vJiMKlTflVWpoaH897KjhnwQOfi8ylozkZ+JXJslnqi5alVPLVMR2vVVX9stWz
NpHgpappT4jE1F+GIftMs+wPI9O2s1xuT1i/MZPG3SzaNZTjAo+WaVNyW801ITO0zflTxDrxAcOK
GXJC5TAPjClRKWaGWt1SRmO59ZMcV6LfYN3d4nibbpBXEHFrO5f3KCYUG3HCVm9u0lEApWTr44zC
J948zmauwchk5vCO7a4h7AtsMsGtlAyYBQt+4IlvUziQU8gGZ0FmE7s1fGfrvubgqq3oZkad92g5
8c9o2y/V2D4yxDi8eKWDXYdXtKhwr1d+BjNW/bQx647ek9kngQOcPW32ahdqWFeGlZ/NSS43NEyw
4TIoyoZlRYbssp7hYz84tTO++lyEjgABcHK1TNeolwhJRWB8FWZPSsAmS7cfBdkwwsslcDZWmUdC
GiFlRVQ7o0CNBm3uA1UlbIQ89rbUV+mLq9k5kqtNNh1UwxURAZoVY5yneCvjd0DD2actqN/GW2kS
0cXloXAfrPIEg1/s495wPPLNiV1lTyIrICuUtfzHPiyl1a3jLx5QtmcHEqCZU3Lwo9gwhBlVBv80
FMHKYa2/476WAK/Oy3ubT+CH26D16+nG29MSPe9oRQp/U9udvofADx+tEbdG5lApzF7c2atakd9B
GqHJm4UVT9vg+ls7DbP7GDfgR0uI5YqoU9+cwWrXMsrZ8nqlV1Blgl1u2FnM1y9KzHQVIjrqnaIE
HvBw5OprkVfN8xT5xUWxCMQPMRCHctoyfQo4Yt74BvXFtOPlHdQgKNSp4eyqSOBoKs2ctofA44VT
Jdws6nYGFd9llrjMbos3raLmV6xyAVhhbue631gL2TMXvjiBu6BfeJwB8OeOwd5IQ+mO0uY0EzJY
dZ3BUZSpCLsa7Eanx/BUdYNklNfhWfEhwp1jeg0GP9w58GNXbRF/lH0Fm2WBsYf5wldfBim3G7N1
lMIsKjrTO3s1bLd4QFBO4rLb25a6twjfICci589WwoRR2C9DReFpwjLOzvoOzzECUKd7MlI2fvEY
fbRyIzoJIoTEpGfIz5LRX6mRQ84zuAYAGlzQ5rgthqg61i4ADHsh9uWWHCiPweat/x8l3Uz9mXj8
N04ZXgHpU6AXpm/QKWh8S2h5iuOSS7Kx0BtZlsakSmYeAlbdUb6G3A4ldiob+g3iCm24vXbF5GNm
GNjJeWw06WfHOR5UlKp7Mw3dfiz9Zzrcin/FsrgqlmoOb0y/pmJ6Vg37w654TfIhI83S8vE4xhKz
1N+FiQyAJhOSg+V+nUcGKGGDh8PzskeO8XftNqdkJuarpgi5uOkxsYv85qridc4rUuZx2G7xUg53
fgYg2Ot4KC2n3VttZKz9FOsn41f0IkT3OoTUjKI2rEfLeuO23vFytNLwlJWEHVhQpvnRMgI25h2D
9Z4BPXvw1ULiatArkrZUuy4VgIGzXt+BaBjXncG5zYNZ/cux3FMay+EwiPxHliE82Wm4BkTp8LN2
n0GAtJTP0n8EThlf6ROuN/2YPCcFHDHWS1ALl6juwIxziOQQ7M2av7qKF19+OSKHu16/D2E+rKOI
/1fLYA/EGMJuvLRYpk7iEaPMbfZbSmr0rPf0Jvur3m5/y8L4KRwYNq4HnzOM+a1xB+KalQXnQE20
X3Wn3OMe7+VQYJJBfOKaQOjN8n91TFxQm5NYV8H8NowOVrn6mcUOBBIZ/vVI30DQc7rSh148OEmL
ZAbWd6tq41h2rrEThvGsAvyzg2J3OdoLXlmIeDv71UPoOQvkOaXDQtDD0HMItvhTHQGdeIz6H5cK
SiCLZDpdn6xm3DA5moN4Cdhdsd0bXoMxf6YWyuF7YzHspNVfPjf3dYDupVR2xQqiGTrp3qQ7d983
E91rI3OWxE5HX9hAfxDO1M6zPi3p14cJ3zjJ7ei7sEoA7pblgm8rXsEF6r2lmoGYFR7x4T/CzmNJ
diW7sr9SVmPCGg4HHEBbswehVUZEajGBpYTWgEN8fa+oHpE0I0e0x7rv3cwQ8OP77L22T3NfHRLs
rwJEK04LbtUuDfEushSeZtKmZSM+Ojfm1jTeURjwlwYS1z5utwM2SJjFAXgO4Rhnxy4vXULKv/AU
eDyJiH4DNNuk+FOPxj5jCuCNsmTH0GP5MDanvSrTcN+44V/Wa2BqZQ83FPznfWlosN6BnXDpH4Zd
V0O1ymdkrCjOkqPOpmQX9+jCgEiBaQRVD+0DzuSyM13eAlH4O4L7Bz8MxgVAYosHcePh/MrfnLqj
IqGurS3rPoFeT9Q1b65z6BRnt3O/54bvQK7ljVfgIwPXf17KfQqv7lsc1NeotczTFOWKGapm9rEr
fNILQ2m8hk3ffDAdER5XlvNDWsH9CIFKEkBnuV4O9bDGJzIdaIjHDsr9mFrZ1L9yy0Rd57ZKNlFI
lljCPaSor5uiLs3VVNxKUxKyDvHNQhu1/ms1hTdrJYou4e3wrGIuQA2BBiJG6hW/X3ru4kpfk6HP
ToMdP3oub0aGrWbvmfW7HoqelauLahdE2XKI/exSKFlj26ZSnri1+VlHNNRYylL3sTu+G4XG/1Gz
i6q7Xc9Thu0sPzEMOFo7+CqH0o1WXWkirDn+wB1dI9UyEc/bNOSQybqBzvsqUld/iMgU0RK7Mw3D
elGUfe8UPoFFHlc/w3BjzBaOu9d+/l1SBbGEBnxfEfFPG//LYTu1ZtziOZ1L1ON0wi6TeUtlN7/Y
LHF92g3cbp3VpzzFJu2PwMkQ1pryVqZ0u9eMk7aW+EwilNYZz0wNwg54k3ELK88rp+LBKqb8xZLD
DkU/BHyi8/vIsNQ7d+pypetm2llkU+/tsf3rKiy6fl3X20aGLBKjygMZSAtBz8BqpkSpjNSOlkyo
X1xP2oUzqp+ppjA85pO3jqXx1rhxvFdSfdrsMYECePPe5bO7HjFPrEblf9JV9d2FMX0rLmqlixsK
la16UU0iT7njDWunv83XLVnQJpTDQXZe/EH6bm2FHfZ7f25WQ1MN2yCbviJ2UITNwnrvt4V7YeNw
hF5K25NrBNs+QLpqVSTwmk/uMUsNY2FLLvlyCL+83sHM6wxvWMTvndpzdzVfri3vmAvwqxCHIIyw
AmEex0X6pbX3hQLNrmSiv8dvu/LsCocdkeG9+QhdF1bv3T42aghgfRT8RnY0nJXb4l0Zhm7FdK2W
lGxrxh8dwRUY6L7J2WHEhBs2w+SdZCf4iis6F2IcZNxTjUKRzaNhRK9ifkTw6UgmVWGRVbZsAQ5z
PgAE3Un6WAnmH6U13heG8+r7pUr3hq/ErQR7kP2VD8HFn/xtgieJQjhYSVP0aOc35rGxzSgttI3o
ySzlRaSqXIXUyA0xNHRh8czpS+MScW4v8hEIMUz7cZgfkBSR87FtRvGLRZ2KKkoONpvcg4d71QGT
fwsawCJvIzSEKYYjoAA0BD7bkDbXDzeCRQVPHcRYiAYt/Id0jj682TrIG+p4Rkao+eJnHQW2hfjx
Ur6KMAyWZQYVG7qums11mOirU8UfIiVpFTVPjHRsxYrxmVqq3ZiziMMUxmO4XM8Uwkpgsbh/7YPj
mOu0jN78vvv8F3sGlxz5M91T2hiEQEw52Lh3Rp/9pFoMHS4xTPh0jm+eNbsqqBoeXZfSPHtZeZqx
rK/wW6M94sRb3iyx38UYcOGI9NFRrDlDDtgFRhGshsws21ZXBJQLDIMfyJB0YrcT5FonuVIXfumo
fdaA8BEEzEVVdePW1QNGCMmu941d8F+j0l0eM8/Nc/9OAHtbdvJQ+el70egnq8h3KUsLF/4ckKDw
xSImmwoutXnu7nMz2A/ae7GqHFSyCQxIDxk8jDQZ1wrP7o7jlyGCAWAhzMm4ijK4x9h+mZ3+e6KA
bke0LaGzbOQZ3j+1pit5X8kzgrC/Ok0uFo5knQQx+Q+yMzRBomBbu7XNhQPYfMnmaYvPRawmJ67X
JJWTzRBXDyTi+EPxl5vmzzR0BRscVPyCMxNtdQ1Lwhk0SUHfT0mClQkRuokO8RVlOTQGdJP6DkHn
vPKEPmLcumDPjADDqg+USPPkQULO5fijUOrtrKrIplHS5KLQmSiDnnZ3c2a9x3p+czQkFI0zxHCN
X5V7iJeq+jOrMFgjpMKB7XlNDDHBJ46b+74J/5okfOpzlzW5/2pSAby8seVkcDtB+KYtbCqfkwFX
ho/VbCVN9pgIeWT6Z5J8RvFNKCJfTZprcSqGxzxhucwr+AgezeAbYm5NeqmbiTsIE8FLGDak8prP
MCbYTSCanz3AOjowBS/NqD2adv9dda5akHz8M3oiAk6dPI0xJ7Pd3+ydMRSwqX91xJRuHGeE88m1
cwVVHA8KoasIZYgoQnKH4b2AesNIS5XxfTmNxBFyLCfCtlhbDbcfJ7UfidMCyG43fXYbnJ2y3cYx
gmpQ2c56Ys30QLYWzoWfvZmEF0OvRKkR89JwmtdS2GdhOxtHNRVhMX0hBnsXt9y5YDzTzeewwax5
6iTCJq8ZFJRrTMQ7ys7du3299jvNvceEf9adsWg8SnKlZD3eIstZZ4Z3EI7FwFoPaMo85CL3Zper
RraGlnlh33meZuOh74u1xThGPp2fb3w2AjgjOuAw42n8QcZAP9gTS0aMwuxtep9fvjfWrsECUHQW
qEORkbAtmoMU1XkaEErt8VhL4CdD8UyS71H1+So17AqIa4OHFTKHNQc7OgP7Veik7bEVyUNQWlj8
6pFznllY9PPJqwq5HNLmxHGGj7Ek1jZE5555wHAhzrg3ClQSzp91A0PMM4LN0AI4yNPqGpvxQ+Nb
9+wCEaqxOOXo/fYQPdC0sHbxbi6sXj8Gifed95I3KP2hdvEnbrv3HLhCG8krWaNL63N4+CDqHZ/O
W4McWUN5W8PvKidUWUZmHAnF0hMp/RT+0YRtwWf07EQYtbMsOZM0vhkHWblMmXnncbPd0mG9GuCf
r10ybu3sXRS1lrR8raPAeJwT4W0j1fKRL7+r3usWtY85ajbZU1vTUUb2MS9I0cdcRIJ42GZ58qdm
gIS9/8ig9qqU+2yq6ZekyobybWuJA2ReziOIQjMo32TZ4WZrmm/fdtrP2Y0Z40At8suE26wWcidh
l69qydajq8LojJgq93LQL2DhNjrD09EKvqqWGV4k93LOtRpueZI/aUR2pybMoIfolsZSJ3ogw1XP
9hdIi38MZfvgGhkrcxnvG/TgZeX6NMhH7pnfDTBk2XxbIQ0AyfjrTmz1QP4267p1f01yJySVHhKH
f9keX50R/DpupB1OlG2pzS3FsV+m4RCayL75bpzGkbbhifcuR4hcytK/780o3aVdtG5quTUIWBFl
ep5V8FLXzVcc+h6lgelz1/snNxKvaiCEaPmuz0lh/VlTx17BbGC41dXaEvp5mtMviIeXgLTCrdMG
UU+6RyAh16yeBqbX5CXmEoNTJj5nxA6mEF2ksPpXvnz0NnjDuTFL7m9TdI06h5YUnrx0qHwkyCaY
+6N9Wo7nmu5er+jRzEz9YCr2N0HafwhQ2kuuAx+jdP5cH3KvD0P5GBCbc0x8gNlcHXozp6qLz9Oi
tpPXuaPJmhFxHZmet4A1NiA9lRi+qBUIGRRboO3twVDY5rqCCHSsQgSKiGXIeLY7g7VY7L/zxucL
E+9zjPnd9aqrZmzAxDFSB4x1woWj4FkGvDVVvYEooEuPWFNRGRwLkXWXaF5bBE5KHwCGAe24B/W/
lHEMMNSCilscwmb8DCRNio4yr1M/HCNLXseehUfU7YCe/9xkUFrBOpwmTnkejGSdt3rPELMSIvsK
mXx5wwuDRDjOEN+iPgM0BsMsrVJoC+FemyP1JU37GI4C8v2Aa6KvT8nkf6dlzIQkCd36b7FkOS2n
R9ej/M4a/F3oJVs+HeNl9M1kpxppLMM2DpYANr/m8ebrs+N6k/NmbMDvOAsfGX0psjzH5wu1bHK7
TZ32uKIYfocZC15S3Jml9xqIetPCkOAKwuDLLXQFbnsle17UOphXNk7lNYaNTdgVL3VWPueGiJep
Xzx7JtKsU0YH4UM3qpNX7E5YqEIHZgJiV1rPmykooeVQe2JPxYZwcrWu4NiB0DljFP1snXI5TlSL
epNxkhVfvETrM2A69B7X5bWLsTcL4gZ+1tP5AI0fEMYlQFzuNEbkrK6OgIKzZeA58ljn4dEeHRTI
bN6SDv4sO6wQ+K6of/Cyn9BP13qUr1YuVmxTg+WAgWwx0QhFurdPNm4jnsns424qeD8775QKe1cB
F8I1nxzsuojuQp9mNL6FcIDzHogG/7rhAj5BVYWGNW/c0l+5gHrdmF+gz1mIZHn/OoTZOpgyzjBF
Z3zp8ZzKnPaepzC9Frfy7ZYYxWrQ8iih6SyUFGCDao+r5A0vTagjK3+SERq5176ncbQnGHeUjgZk
7lGq1GHqxQdFeZVvqhRsKk62mDrsyWHtuJDexEMz/Ryi+TmaemIlDEGL5NZ3EAjrGBiCBKn3RG/t
fm7daD8Bhu7G4G3GGAN4ug82+Cewt3ZUQiAzr9I4P3it+EtbjvIi2HeF8ZqVtaSlEAttekPH9InH
jwmuetTqonxu2fCQfVU/ALDZ+4Z6w5t7ZCd77+KEWBZ6fhatO8GfSp4EdI+CiZbo5gGFD4eAcNl0
FeVqNH12EZEL3FU/gVwiyTwZd0L4e7tz6pXoNDJ4tE/Y6ecTlRKRzyUszhxc5bV3xPF0tivx61vW
xS7Lr24msR0QKszz1l4OhtpxkJ3sijtNPjzNQSB2878Ge+BNc9V/4lGg6dKbsK/yRyHlkpOn77U+
1/LW/YKVFSHJXNEvcV9nBQn6/DfggjQkCDMtuc8iTB61p96B2eB+1eHDkETHIWIu8/vm2Wu7Darn
Q4yXb9107MbwvP7wiWHXCyBWSXkQRfZsioQlg8scaSUNAET6X6c+NrfeXMGTxhtjSExCbL6LBXVq
u1lnJ7eiy9lHcXS5e2p0YG4NwcMMqJ0GF06Ejg8Mr+NuTrxf/KYvlUxPgeEcWlYWDHf4gKyKCyGk
QAwRXfxSadzP00BtLwgPlOqGsAyGb7ZQPsKgEDtqzL9lFrJJTVkUDoykWEdtgpgr9onQU4qTL8R9
7k1foVOdaVX4rdjccV+NVzE2bwv8ugicO+odsXsX+Q9MiWoxkS9ThfWYeDUNzL1PwcnNFA2Aqxtg
tjLkHUddnkTinAQlEHPB9dBJsLPG9b5K6AGeGv3ImH0/eGJXV+59aOew4ZggUgAOQ4I5NeW/WoYj
daUelRhNHH01vrtPrejBSfXBhUa2pdWN2+GcfIai5EeI5REv4960SaA2oVMvR0jKyxHQVepP1Xfj
c5mLBPI2YsURc4++iwTNL5nSX6JmAxveAIV1Xsmt36SYZpv+yI7kd9TFK9QrMhal9phUooNslQvS
yD4DLfeWdjz9uVkbHHPX3tpp+0TIH6R8SrkCQrpxYBUbLVErKcUzGJW6aTw4Me2XkX+00bG7wkLt
pbkghhG4MObxqRPdBRGcp02b7GyjBNBpdH8mHqYuSDfwPHbIEi/Aw5tFYuDO4/7yHpfm2bqB/MVt
1ZJE7nqW8qPFftpHRHaxDYZOezWM7pnF3KVSxql3bz0DlC42ffsFpfW37mzsS7amrJosPsCWHZ+D
aWka/qPpBeOG+mYO19g+B+xiRdb8CRM3rk/n+GKo6otvTubCok8t9rnqFkl21yc3zDrw/Dw+DG3x
pR3PW1pm5e+JlDRYoiKOPGfJu/2CJWUz9PZv7+XZRvVlsIHbep/lqsGaS34uJGjIvR9NPIbVviQ6
Sr9x0EHtq3n4utWDjppnnIOQHIawpJ+kdDCnor+wX1gNtsNHlycAdQbzFqG3wDcHt1jied+MmdgG
uQ+tllpumRcHl2C9LwzSBJQbsa5Y8QRdjqr76VOVrjuWRxuWxvCVYLltazPAseOC24fizkkNGKj6
lyB2O5PsS19Fj2VQnFvqmDspt3I2N5QlNKvUH0ErmN+W5EkeDeZPKtiguNoH5Ng3W66ml/YGGzfc
Pb2XM6sTssNDEm7dFvtIJOL1aHVwCUhdrk28kkswn8NSx6Rp8jkIN4NDyMTie1aFlDFOTbJD53+O
25SOyTHZaNPaIMC8lb5zNMNs1U7Dy5zSJFqKeyvMn31r+uVgffan6StNLWyh2na2s4TELOCB9oF9
0lG29px/PX+LYk1Cp8cbi/0m0AyuSfXE14s5pOvIO3mEg/qjG1ZQlGuSNymMC8t6TwpIdxh7zmTS
N1keMN/RwBWlxSl13PfCTB89y4wOeP2Z+oromqXywj7ivrMhQ3JYrTsO18XsGZtstLdBV34YHROp
Ff1FyrlLI5uTUW/nIj+NqQmehtAKAAD3U2d08ZHjEyVTn8zusS6vaH/aU9TxYGofB5X120pO/THD
snLzDQiVHSzhvgXTsBtEeXEyXXGwsjk16fHN87zbQWRZlTUmaod8bNp0T37QXOi82cIkk+ywUjaE
KUCcCMlr6eGBvYq636a4XMrEvJodtCGrO/ZR+Wm09dUZHXyc5Oao5aQfEAPxkJ8QnP/oy1rpIDkN
HdwYV4WPTSuqhTub70FNC/itDBRl9S3DMDuP6k0norpovtvklZGRuJgykhPRJmdGm0ImED4tdgbo
GK7zYWFU5jdYUwW411b001LguIztKl26aX2ZUbnxpXFE8aw6urnc9lHzNfUK46MSUKbyykFh4C4X
gtzgNBqX2rKeIgQ5q4rWPECibafgXlN14LCgY3HhXjF5B6vBJKFLaAGcfJ3JZdZTAtEnQYt3ZsoQ
kokIef58yEzlYB5rNtyRAOyiPwZe9KXqast6foYuVuu7adJnLOoG3alcMSzfs2+pwxczsc2Nr2Gq
Vr11b7IO3DuBB9sScsdTreKj2covY5RHI59o8S3AUxQTD+OoAkfm5g37GjykU3NirEKsjVaKeJ+a
5o1j4KGT1pbl3tfURL/UqSQ4vHhyJOBOPOLyC42kDJb0JSmrce833gXeCf3o/D2pNe2iekKYHsKH
PjWhGhB/ZdSll1e1t2JnuOtJAKkhKI1jYQT7eJyJGSg6jVBz4Z9GVy6dD57t732PGrKuzI4Bk/6y
mYmmAcR7jSakk0ZbDyn0+aycPrxgvsS99YHXeZeTYVrQV5gsJ9E+DqnxatgI1HbPO0qFL2gbRaIx
CIMvk3UVvnKYqWF3a2QF3oUXr981ICjXhHQ5+QnFs3jAUlqXlGlmgpaQIfhyE0vRx3kLayliYHMA
gK9xrXc8yvSihNYdrv0NRJFyWd7o4eSwRu5mLUuRpmtXurQfJ4gZq8agfQhDtYfZE4d99ch9GIgF
L107qhtOXYXbsVLPoGo/cERw91RvpKa/bFH8enNIeJU/XjO5y+adpSziJfWnQeU/6Cz8mHOMKj01
d+r2US6D7onyiWcflZUeJbqjWheyPfGNVToDhmrGiiYGO9hoo0NG9P9qj+XcFOGz8Lk/ei2yZ8va
MfTSE3jGjmQ0KxTJW2SZ3UjsojsEIx3wLRKDLjwWwdVwcFv2hFJmnPHNL5YbfDmas2vuuQxV7kh8
uu4GsPJw2Qd6ljyjvi9GzroxEsmKMopVbdb0vQYJqSinwiiFr3MNAWudNeWLkj0KqluvBzX9mK1+
HfNxWBQwNhlBbwaCBiZ3bfIwwKgillg0TExiAslAlluZjn9CSuAYVJ3EoMqtSX2FE6H5ZOQO3esA
z5AX06ZBedlyrPCQzGb2YUTmvg0APcPOmYruZegjEI262CJKX0rHPNt2x0BqThfHdpH7S3RfRSkE
8v5dMFgIh6RC0J65GvVXu5bIEknPR4f6waQbXqdYkmXXrO9kZ3yohiUiNMYVCs+2tiAQ+PmhAN9K
5tani7CwD7U2D1SHr/N6vuN68KyLiL0+JyYm7XlrEQDAv3pf1A7E+RZMZkjaa87sv2q0Dpj/J3SJ
+Y6NHcAg11kkhfuK2RqnTOS/hWFxNyPrUkuBAch0T7XXhFtI+R+SKWYSebJUnfksSlyXgoihh22S
npvwAJdlN87Ba1q2qF2UZrgC5dQ79BA5F/0QhCvptyuwdGS0Usr0gprOkW7DEPZD+GviicoV3cjD
9VC628Ylcep1lNs2mXqMsJ6yaOTnQY9dzLB4IB2gwKOhNryF7KQblN5Wmy++XX87yaQfgpjW36r3
7zAbAoKEea3Md8Lsm6kfd57irtkZwcGvJQxjtjGwTRPcDNMxbOZjSZ8GNiYKvJwZ0G/cV6sAr97C
y9LfovIejExTUtcPd2Er/9zO39B5taOf4Wyzi+lygsg9e9BBl5R+9/R0FGJ+oWFX8kKLH5G2j3av
x5ONzLboTKNaNGqST21cvnQNr5CjPe4ZgBYYnuolN/x71SDop1BzHbf/oYr7fYaxQ4rfYveJpcvk
c211PImiIYWD1TpXCNh7n5Yn3yXbLnrvN8zZ6gczFaFA8g0neB0NfY0pJUI7xaAx1nvKqh8R96JV
nYmT9NJXzLhYtKfyw6vFI/8xCd+w/UyoyAgtGieogzgOnBixmq62w1q3ducYQn3+avn6V4LfJCU5
AimVNwhM4XyDRSbVlB+7WhiHzsHygV2uXo8i/TIjbkWTBX8hYXONVTDdhxNieTXgsw6HliWTl702
efLmWvHwYJOp3LR+HOzaGpOTW/DVswoU5nCC0mgN9LberGGnHC1iFw2cuUZVvELHv4KGuQxxisoU
19PWtEKfu2Ln7ZrZ7j6MHjvhTUkXbltzvTWzY9jygrQC5inY5G8mdRL5MXCF2Jch9Qt9u4YmbcAQ
qcS2aQH6TInY9wNkj5Lg6hmps9y0kp/WSHp+rxHroqIE6BSyHNjgbQFHPhX1Z2QHEc4e8xl1W96B
lqi3Nk2mI/C1+amrhMFOVBI6L3Nh7bLJkazBacnc032Sv4ikQ4+c3a+WVBr4FucAvyzgej8M6wgb
9hskausINm/auX7XvFXO0N43vPcPlJb2dGmK+tHWc7HVDiW1ydCSJfOTc4J8BSeNtgGcDY82a+dL
rouKgiOPdSrJam7TAHL5fAqDDF+BzSvXl75koswmmt98v813mqs0r5j7QmCof/D6/g8m7/cATmar
bRXtg4SbJAsX42DNRnlHqViwLmS3DZzpl1p1vAJJ/yprSaUqdyOawKNXUg0kSSvi0DNEcppB0aJr
J3vuYXVizC5IUTZPFeoK2RlAjho03rpxiaSUUF9EzHMr7lZpJt+ydiq3Xe+ES8oytjBf2QOOtrj5
E2t31alWFksVhz80TbYHzBZUaNkmop3lB7hcert50DXTjRcRw4uyQp5sIt3rwIJsJpyg26dOYT5Q
ZF6tPLeF/Mw65qWM/Bk5lX7ggSYYRntO6qZK5gcjSQGHZeWLCdRnoXLlI7opLnC0NTXIfdFLMI8X
ncingP4vGu4QXDHxU4MoG+SSzsDCK4UDGyphBvIV5jcHCdBuym8I2qxlWj1yeHmcC2PwyDkOX6PD
UtHFaMZzOhSnvlLJs0NIGaOIZuKRxiXNGWqi3hSgK/I3+H0c92Z9NCaoZiAeIyKlVD5gsOOjkKOH
cyv9bpwBMwVgTFTLPrgbC47htBi67TQxwmVpyHa0y2D0+mJvTQlQhLY/aIE0Ug9pQNBKb4VmmTQ3
Bo4UNX+QpwOAo+MzxAA6hYTzFUgwIaMv54NkrU90x0zjbQVd4U5lPUlj7zk1Y2fl4lreDgEafGCM
rOSKYdjksx4WbhhxKZ1tiwlf0VjlVc+qlEeTIPu6KtrHrM0/CK3OdyDwXirSSytrdgHY23DMMmGm
zzIe683odfEVIJ+5Hhq4FhVpsl2GmLl1Yx8kcUDiwXbsLwcU9dq1QHlIbQc/sAb9rRHC3m/Zz9Yg
HM6uDR2oRVJDDkDUGFnEcKLzUvcZ1eER/4i74EC++M3M26dymp9cWT6ntaO3RpPXqLdJT8cnt367
UD4qBHUcYTo+tI1ZryIlz5arxVn0Jh1IsSD/blCB1pbZ3mjcdGe2zIA+LQukvxkQe3fi5MoHCIgY
pROsj82wxVETLC22OSghsoIeyViRBlCeomgCtd0/5FhGPLoM8hC/tkpiA4M9xx4eqJzeWgX7Iaqe
wtCBxC2YhQnH9/etdB44tNM1DUEF3uz6ws97C2YyUczDQ1Vluwx041Imyd4MiolBiKVeAMb76IFO
W3YO+Bm/QjtRysQOJfCy7aSt5doxu4B/1Pc5kKx1Lm+Y7T6j0kb1r6in092QlPMuLjO9rOLgaWw9
ymJN2j+mm41+Trrbw4b1YFGT9G8SKo05Ob0Vh1xHcq/j+9lTQbvG2HOD7yTG68iJxhQvytMkG3ad
mPUZnKjQmqsHWKnN0dTkToiUP1LKy524EfYC6YOqvlxCHXSJDzNwsWzreQQp7tsY3kbaDHGXssxt
DhrA2NKPul8IveWurMNiWQfJt2h1vTN8w4LL5nVnS9rmsrMKir+d+FGGANrCgO5U5ZX6I3ONdwKN
zhHGU7oz2FXRTmZh/vHiHOjpgLCMUZJ/7o0EK6ZnkNDj4dKUofssJuaYHJb3mKp5idx8q40t69Mc
aRopE8gJTs2ak6cznXOMzGP7GOMCfnNVI6iwNwnWF8V0khCXVjwes3XpQ00ektl6JphifyHvu29A
hf8q7iM7prJ4T3bB3AsNjwOXcX3pYsqaIJtDNMotzKAkvImHYPvU78nAfWgLFMM9aabQbwBBusZx
ahEAKOqGOgAvlVw4FR8+FTrBBztB8aQCcnVMr26kSRBwqcaXI15lAawa/3hw1/uaLUBqSLzgoaI0
TLvGPp3j9o79pM/ew/fg+fS+og7aRoZLlJCPXEuGHwFw8t4LM950CxADl9sE6Fzfqjev6dgCDrL7
rLxkYpvdpC+jRtqPzK67N8pUHeq5sXFFuaR+kzFwuPCbbBi7QnIJT6ysObjG9GPFtthTMdWBPZto
3mvBUZERL4fvsoGYVLGGJ4XSUQFHO7x79dsRx5L0mzede/zXpYD+QJU2AVijYvaTbT4wswKSs+2b
iBbRmNfeBghKIRh7wCsvLcCHp7zmKu2AJzl7sfojO+dtosqmOsBU3Bs8ixtiw+ITjwNtXUwTYQKe
SzF7robZcNZ1FP/2Y/XrEL3dR9IjSNlpfS9a4w6Brb+PTdQhVbC7giuTb2TKOEu87LuaoDlEhc/6
xWcdFFAUtPRrPb7PZShf+cBBz3TCeWuS3tqhIYU7vkQ63HQmtR6Mwczw8Kc3LKmbtRgyZwPXJNhV
eag2NngT/JISDTYNWuTX0XmbcJe/kxbJ74jjcOs1/BICCrmFfTZ48b5r4HaqJo53zUglBI/58AYH
Byn85qWNcdT0rt4PXcUyAU4dJBMeKYC9+Nuo/4rG6oqYp2C+WtN2YI1/7xi1Ogd8gs4O6uSyB7HD
Gz0cddXrY+W40RfLcuxnNYbBrG+ny9zzFyM5ZeahczXtb7MpgV5hL7u1+qLBluXMU6vsuT572Vxc
21Jx+Z4cpk+PjEmnHG7ZJT1KwBHVfoxamH5TGH4Tt4z3gwyfR8qc94r+3oc2cvgXZq5N2HR5Cc2J
QkHLHU/GEDLp6RFtIyvzaMtHAL3LCQWjTotaaiWTuPnyh2Nu183lFuUF50ZYz+Wa4OKfvrDkpdzJ
cptonbozNVptk2Il8ElhBHboHCs+hTxrDWc89FPGVAsx+ZB4sb7rO+tekeNczoNVcf0lBiEADzOF
EGEeTcteOxamosg2Wfeh7xJ17ghz1NKFIN/TwbsUMtdHuE7xImD+x0npdOyuihxH7kCIJqgmi8+U
4amjMrV1BOjJcRKazPp5nkFUiMyQW09njjX9JrMwz1Dk4fsb2OSPgs77ZS8hp5soloyyif3KxjO4
Wp2IUXw68j4BYgn1uHa6bJmk2J7gjsa20Ju7huCyXumMDOuCHhLlbbmV2lRk4TbgK9rSq4vvDHJi
y7ctwVixIHuOf4MDnaJFIBntsZwynOkjodOaZKMDRRY6UpHuVE1mgEOxNLotY8S4+Tf6D7tygFSP
MTcHMDSXzzVG8hFeXQngeKWT9rcxitfWGe7iimfEnNJhUtAKTaVlKg5UjPPMiFxdI9/Plr7/5z/+
1//9P9/j/w5/y2uZTSgO/yj6/FrGRdf++z+F+89/VP///73/+fd/Ktd2XaHsW3SN6cMUwuN///58
iHkG86f/rRh6JbxRGns/bPShjpiZq44ui6LgchGE2bTrVCC3ETytVVL2WCW6yGQ7w9QOEzw/Z3Bw
VyIzWKfemu9oXIzj5H/4IW8/w3/6GW3TtPD0mQLwteP/x5+RqEJudFXq016tkmuLBXFpVFRypRUa
B7T/TdOaw9GiR+H63786t//wf/yLlSc8MDK+ZKGtzP/04viwa7mDB+FBlp5cdWYlT+4sqPMbJPew
kjCzM1bLLqxYTTt0if/3f7v6L3+7i9Ls2VLxf02Ohf/4a6eFlc0okGREHO6jQ2PSAGjh1wLhgj8/
/x9+V/u//m1SWLDKBGe0tN3/9CL/P87OazduYMuiX0SgyGIovnaOaiUrvRC2bDPnzK+fRQ8G124b
Eu68WjDYzSarTp2z99oALtzK72dgHhY4RBH4oDA3uMZULT7+Wv944iSPm2NxHVe4xvxBfnviPPhT
1jSQp+erBs1AVAUrU8NdxYNfbjqDxA7iPuX+44v+417+cdH5779dtBipRZMKGc+UZsYWUJ/zyJOf
H6y2btYdGXAvH19P1/9xO5UD+kG6luE4xvz33y+Ii8umetP2NB7KE0s/Dg4Ik5CIukd6CogSzMjY
AISh2Trk7bmKE3YZ7Pif3O1/vTuWcHQ5v+Y8RfOv8dvnALMt4i7R/EM758oUkU0PPOm/2hqjen0y
imUS6gxdcih9//0dsIQpKQ+JAjThhf555SrrmiBOTOBoo2bfIGVh4+urR+QAzdFL859tE3M2ddNu
Q37AwStoBtchosSPP8Y/vj+zTBwBhrClQMR09Sl8s8YSietdDJ7fQ2JgFafzZcwh5I0mLr1hu5sJ
J/mXyJtIBP346n89BpYuaFcwO+dYIA3HvX6HORjnsWf2O7uz03Wn5mbABA1jZwVa+uL1wt7TKHXP
dakhW7TaBE4FwrnUCLJP3m9d8k1/X8x+fRSdeyEM26RQt/68Exk46skfojnmO6APAZ+HstMFdukj
1x1FTGxX1YmzKHKxgxxKXOxkULNxcAVI3/rxgXmRt/z4/lwvsNef6erpTH002UhL0kOsPMbpHrPX
QVfmGWDBWmrqdpT9psxpbNY/P76wPt/4v+6GciQJTso12Ff+vBsmvRPOJVN0GIy4Ow4AqRauBQAu
wAT1hROY9z52DOFr3X2uZihgMQs+P/4M9vWS++vb/+czXK+EbV6RCiCnkT5nKb+DX71lh0WBg25o
UYboOMogyS9pre7zIXnomnY9Ft6cKLWHc3NCjAkPgqrAIrQvRTVs+8W6M7XzBNej78lLzSW9WWfn
ucUJ5eCDZ4yXcLAe6E6uRJKesXhjnCOUkb7vlJzEFK/ptyEo0y4QuA4m9neTtEvhb5iPnWboeSZQ
fPgVbR2e21qDclXn3g3Mh40BoCAzvvqSMj7QVhax3KopgEDRMva7pRrxxaM5H7oCJAfy7GyAvFcx
yaBMe9XaId58fG/nh/n657V0k0eSnQwk0NVrT8fGjHAYhofItvytKLL8RTW9dhO2DY2Y/8e1pCHY
POe17tca8NsSK6ehAG8fxgdU6+kxziLizHIxdrs+N/FafXyx691zfmas3y52tap6E0L1GEsbpWat
VxC1Z2HmMATJj3LIwp+tZfjJFqDB5H+ylF0vpL8ubFqOg87HZC272kFLzphkb2TFjg4jMp+ibBHd
p04YjBspQgCbUdWVZ3ZzasCANLrgky/+z1/0P9eXVy9s6+DqwMyeHNo0zemzzcdxMkA5fhB0ob59
fJf1f72agBP+79teb5vMWJgF0UA+sIuDYhziAEF5a8Z7r2+LDi9qz9gAn5Z8azIn2WWJDGYsHm+f
y1lTbgkchHgWDwi5FmPQ2cHh4w843+2/nu//fD7r6vmWLgrwsHMdQJYdI/vSJRXFbhiAEqKz6SGj
f3JD/nk9JNI83bblUhD/uVzCBsCdaAMFw4k3fkXcawVr0bkmA1Z7SO+boZKffMN/PejogEzTVra0
lHW1XQVJUzbOqNQuRNFFbLoTpI+hSU73IrQb60vFIY+EMt9zok8e9H9d2PrPV71+nfEajnUT8FVJ
1UgeBOwKbM5xvG4n0AE0G97op5efLFef3F7d+PP26gEql7CHkZIQS3nRqYeJDFXdwa3dmoaDND5Z
sv65/Vn8kDqVIeBb6+ptgueZM+PP44OOTHDfGpGBxRQjX53Clo4aZhqTKYkvCIDihgbBCT6GxveP
n+F/fwjbVYYFu9mgd/Xnt25zRXeHVIOD61rBxHkSSUlKKvg5KCOxj+oqvGQ6Sr8FzYkGMxQnhbZ3
m68ffwzzr5svbSWkVCixLAS04upeNNlQ+iDkzL0FOpa4jgGOM05zuJicNV0GA6MWQK2RFpUkcQdS
lavCDeHikOZhfy98+hCr3I2DF110NokZKaNLkl9CsDAtSQ3oRg2wPUsKM25rOvb+iCLPgXNZBTps
N/bZHvefVbaETiAfO5UtTZ5NYMVw+LCeonuuPT3D8NAXHiC/mJkYiA+8oGtSmZieD56GhKSHn6PI
YSHt2fpOTSVh0ATArRhfG3KR4n0v91OHwHxTFaDSaDwI90XDhvyoeypqDnRuAAbMhwV5+vgG/10E
c4MtlK5CdznuUQ3/+TvDWUjdcNLbfYhn4BKJYthOZkDLPCYQRJOspHENTsfswZiOqDJmT5EDLMkK
P3m1/9pD+CCSM4BlUQcDG7z6pXUZOG5U2cZeNcoKSYnuo3GLI0AOh45k6PSTLeuvLZPL2YapOORa
LkfBq+rWiKTt+l1h76sk/V5HOLFlGnzrZY721p5asSlVAFHci+zLx3f8X080TR2XaCA6B4Y9//23
isQYNDOcOm2CTTa0B0Aw5BQaGskXNVGtgwGr+uPr/eu+2ozZDIoEg5PF1Q9cBMyDGo5T+0YJrAnQ
cYlD04INXdRPC3f7k4upq5O1E0dI4zxO1oV0M7lrTIkhmCk2UZiBj37MbbQU3Jkm7Qend+HfEfha
Mt0bJq0idFZEhPfJ4FhpE6jqMYhG0K9uAFCmhqbcUy2jeYblkpyMtEeEX6UNEm+6Q6hAe3LXYI/I
fNas93DINiZCRFBzJGXcJmT70ANOQpWtDCzkE7lUxIF0uJO/av4EQgKrXfeoIywAxjKVWE9zpvfr
fGyVtxy6DssRr0rzEwNMVW2TOGxI3gkYDxAKiSp80Zr0l8m0kuW4YYkYj/DeyoL0+KmsF8YQQBI0
O3TFWe+0ziK3rWlcZlVgoxzkWy+nxC+OnPPTH0nWdAP8Xts8j0GFZMmbnHHcx9h6LACzSmWbQqU6
/I2wbUHuSB39Oi17H+9HGzHc6K1adLCxWoccSVTfal3kUf4gfKFf/JKDFakXZnFKVAfENDdhH+y0
ONZwrYJ4gXhdKCisfZe+QgTsfwK7pGkM70Q92OTR/XCk74d88965p97zb0vbEj8qEw/JKgo0hPey
ashWCNowhFGRQxVxJ4B94GTd9C0GJcQkkZKhB+AmAgD2tQ5702sL4t34BweDW58/RBDbXphj9m9D
OOAmE8TAYDp2IzJepjyHiDno9X2EkSVzGoRcDcrV5zYh1iIeZigAu2XPPIghBWAbE3vjwnf5QszS
dMKoSVPC9ZRp4YFwJqLQGfkixM4YQvKoEGnNCyINeWi0rl50wpw1Ra2ysxvKkiJYEdmKOTkGvEPs
eofkEYFERaJJqoGtxeVk5oT+DIz81rEb4KWiFK/ILAgJCYjqYbqfKpn9mEZAjUuvVMgNKGTfelLS
XkiXcQ4g8NoCu7RZOHtS2UH8unYybl1EGR6B1K2hQG8juSfZa1bE8hvii2mgfkCSJbmZWS276ZLe
ZOCiFusqVBZdhFof228Cc5v36pN19J/LmWXgixT4kaV7VR2NkRdaaRUQn0VSO2JiFZBLWAvCqhdQ
X5mO5l6QBpuP17R/Lt6WhZSRaYZJI+vPNdRnG6lSlFf7aZLYct1GkSJtBpdBo42UY5Y8gW0BbNea
+f9nNUVbRWOC2kiIq9W0KR1+Cd1saY4RXlO3lnn2k6TfdXH8Wf/lr1pXOoayHPfXLuHYztVaysoB
VKVtgz3OVeugLAy0w9SqB1JzXq0AMZsyK+uTzWn++H8cXdgVHfq/tjANwxbXm0XewhUGXouAy21o
dIim0s5jQ3H3yWb/q2N9fSEX5bhtOKbi2HL15UwfsoBZkF6KcC2xl77b2w9WjWqRoZZNFLQCpQ+X
DXk88LQUK7QhKkZQWokhOkxZxtaaXqOrKoLmQfYGQ/YM6ONQiOnVIaeNgLShMrZV6RoPUITK+wTd
GS5AcMvf4iiZoz4LqHy1KsrtlOjpsksi3wYPIAgXof1UQd7RDP8eon73vXaj2MbfqzU9LjUd1cik
9fvAG6W29kHlbhK3s0BDYYaYVnEzpu6FhEAGerZljSs790lfUwmkJ7Qg7bJ2iuTgIuCdkW0yuTD5
BpekT4oIDpmgzsNtEguU5LGqLUYaAzZYjz0M1nTowMT0fDksfR08HOQ9SKiuVe2iAYet3uNpCYFN
3Y6Nrq2j3C43Y1TY0DxbhjKNQD+SER2JYxYlYFsY2zDXzBd87MwKjZBQ464xzlWdBylRoHrQAARG
HEuf3Lr5+PX9dUL/89d3lKDvatJ/Zz2SV29RqsHeY3EL9oM26JccVKa7rELMqmsSyWlXUICzaA8A
LTEXqkR8TXMwnamObYT90AuMPeGd+V0ZRuo9BwxuLuwxa8mb7htGtkHGNmQO7Z2GB8Hg3t3qljlt
bUwuoz1itlVOa5ya0n1Wjtb9REuAdrp2vA7Sf5Tm+UpGoXPMIKKmN7GjF2LnJaDZ9nmDyHtZZJOX
7IWEoHH02gFBGDaaKlyPYz+mq8YrnRi1OBw42Mmg8LDIAJI9oQhBukWCmjesCio940sSmPaw//jG
/qv8+u2tsq9q6LDw8EGUurmvijbu5vCCfo1vwH7uQWLd/9fXYiCFM4pDGSNY42rh77ve7Aw7tPdY
d0gW6yYswmSwrrs6LrcfX+rvwygHA/oayjQcVCRsNn+u9zbbo7RNm8BjZ+IZKYDQRhn+2jhrMIx3
9hvk0BecqAEKw6DaxIbIVh9/hL93HFqVrIfMHA3Gstd3VqYoUrBRJvsJUTyCT1ARjgPlTzb2m43P
aW35pJbJfEw/+Un/2l+Z/wpJY1Fnx2GdvFooebJ6UQ5kQ8o6IHiGCDUE7vjhdl1Qy5eYwJTdx9/0
Xxc0LMLKbZ39x1HzM/bb+YQE87TSbEft7dCsTwGL0w5y9B1roIKr3EeffL+/drl5vu0yN3AZAzEr
nT/Ob5cT2uiKxnaQzrcAenDxImykGUB49oD+8XvX1g5vt5FNn5QQv9o2f6xBvy7M0Xe+qKR2+fPC
fTM3FoLc25salsPSNkm41Thpbkl0R0hiuxGxktWtskr7gHupxOVVB3e6j4k4goZ19/Fd/7XkXX0c
2xAuACoOpAyVr14nXUFrtlgk9mMHvnETm04zbQtT9SgOiYY012ICY4YBXXX1U6iq96EdYxfFuYZ9
uSc8Nwe761j+usU4hjwvzAgM8qImuRtTXbe2maywZloyHR+SPovvU4Ee/psjFakBupmAoIh0SGxL
eyyiGTkZox1KbSOHqVcmzmsV2mh6YeP72zRne+3MMk3AdQ9AdUpDC1/8IsHM8/FN+asaMamzkAvx
JLoOhcn1s+GOoT/qY7avVWd/Z0Zoo7cNgCR8fJm/eyDAt1jKXOAnqCyMv3pdpEBZDRKVve+Bc6O5
rK3IH6yQe4hx4coun5f7YtN4rtpOilixwOOoWaWu9snL8K+HkqJW0gChpcMXv1ro6Lwknh6k2o55
RpMe9EJT/SmMIzStTlOc8YGdRGtbnNNAs84qTfD8s9LWxVdaDgni0WmC4PxJk+gfSwLNdj4Un80C
13+1BsWz/oMpfXwAUNyBaOp0SGJDiT6baojYETxtRKd+/KNcLbgKDQL9EZvf3bWpEK9LBBXnk4tA
qNk5aAO4pqrzvVHY08aueSYHg2wPBx/ZAR6e/8mRZr7JV68iV0UboDMZ1h1x1Rqy+q7uvZolyXSg
7tXewQmFexQUVMepwtEPVrFy1pleyE++89X2zZLLCs92SlWsWygTrp53D4qkFbqUh1DtvJMZinpP
NoW9qw1WhI9v79Wy+7+XYuTtMmSV/LjXFRi8ab+fejyTidvcF/SClnFefNMVjgl9CrsDCfXWJ1+P
JtfVGz1flosqZDumUoiXrhZd2ihJFVR9cijwvAZjdtfK8bWvdbR3xOdoTrLvLSLsmg7FbbbWHfWk
Ya0YjHxu+N9pbrzsjeGM3HWpG/k568SPScd8lsVfWj899JD3PexBeMNngyqeqMxzf7hZ8zY69olE
xb3wy+d0LC4jXg4K/xDFJyLrqHZfBzInk3Z8I1SXkK2gkkvPNX8hDbCPTeusR1KbZPXFSLBshtkl
9rXHWnrkRYh1JF08u+LI8MFAHgbSxU6GVY0tj9DLu9q3SNIFG64DWtFINGVWd3Z048bL5Qb7CnYw
MooNYxVDCkaBqlYO4S6+Jk5p7jxGRfddOu2BPMIFQdAnIi13NmLSaip+4o06yJYgHKbTqStz2uDB
q5fDgc6t+A7V0BIT4n7EtiPK8cGNhkNcOy+lO/2ok/i9JJN1AWLrUlRBuWQWuwcKywRH+ZeA71G3
xb0ejGSO6McR4xX+Mo8uGR4o1xkP09AfQXF8mTRz02r1GuW8QWYgMvxQa45S03dpHZzsblxHfY7f
zDynZbv3BqfHM69OwEJWmmRYF5EstTDr9L5LY5LhAGgLUkeg25HpgI8xApkXIK5lDMCRFP7Z6HT3
tZ6sqtxYi77CamZqr3pCzy8RHfdZlofWKl867ImFXJOr8VAoIZZeJMa1SZ+uqUIwZrh3RPw2NYoM
VXOVp+KW865BtBZ7KUJtsDxYy0X5Pvb6GnG3tm3i7LnBzELcpYFEBc0hzhMWZaNLnuoeGCYyVJ3P
6qVOvgSneC5CNuSmlxfNG7eFjxqejsVN3IRfHUUwgaqSeI1XaTda0YwYWA2NXS2UqGdktHnHbA2V
ea8fmjLa17PydwQHyG60LeL40A10oJBC4PY29nWVIEn16y+wYZcS16du6t8M6HDLzmnvAj05Bb32
Fprdz86xv/uBtq1F/n2ciTBDcmYubS2CzHyCzoAU33oT2bhv1Xgoh/Ak+eKDwxEsMo0bKV1i2vPw
PAU5mlZsmnk/HnIcWEE/bGY0Om3z+FyWHhp+f8eZal935iNwsXU99IeYbcokpDfvg+9ERzyx+h2a
Tr5K07qFkLYGjPbuatFGrzpG1sWutIBgppNYaRFqYg58NvlnpqVtfNfaO13UrF0SyLD+k56oD4Rh
OFtHJ425JTRWkS5uKZBIQb5ytfhU4b0l6uLBC8atUv5+UPXW4CBsNQVwGgEoYURKKh4ps2fd5IHI
1BulTY8QqQjpkOumAkAUO+iEaAOoVmeT5VceM/Nds6ML7OsXV+EILI0vJdBI20IeahU+HC7/F7OZ
xyXHGIX3NWteqUZJWRp+9JbczLABiLQbI51ePSgrVTx+xzm8Dtx45eq0gtEZaab7PpJVU1XOV3ME
jRAIHCmRJX+MqnxpnWjrAgPU4u62DHFARgUxUMxKxDQ+1ljJUH4bcxghjQAgzGla3o+xdhO4OHHT
GBSeTl9TmvmKftKNhYssGcqzQ0M5KqP7oq4ORtZhL3eXNECOJe+XpkBH6fQonKx69HLMqkN1Y+Xt
DcrSx9DTD0xKn63c2EhLu6ctC/Qv3AwRym38ayVB27OhDe/iamCf8Zp+bYj8p1MPO8IBdkHDGquS
9Jl5yNb2vZveI4txNFf6qN/GbrLyo/ounpn5ACkggKOKnwKLej0i6nnM6IJEl6Ko1qSHr6UAH+2T
FdrpzdFoky+ezV1RBUH3SJ3Z/OgQcuvN0NL3tU2YMGvpORnzS5hwTvfD1l509aj2E3EshAXOvmoy
TjmZHvUmvw9TYLLIzGFTMnmoBtLih/zeLgXtYbEvwmCXh+AeA8xco/bNJQBlBrM/BhCJjaDdGrLG
EyppEOBKC7ItiJqbiFAjfai2VimX5mDgAuXNzCxMLzLZIEW/DCN5Ggb4fAzwUAWbOTGkvCMQai3y
eDMBnwkGhgBeU7wn5njrgDRRQXowWnW0Wv/iV0yXNIVFpQWXVdXpQxFn0GNdc9dQ1A+N/62Ea+p1
2V1AEoqeAyIh5HxN5wM3T7PJlX7fTenOGPxbEQZbdrQNs+9VmWeX0QsfutrZNG5z53XFkyvqDeHm
X0etgHUw7URWnsLK/gLpU1sUTb7JpuzNat1+XSptS9bS3vObnR7MPouR4k6od9ceQkSo4dKS0SuZ
YYS4DbQFSaXrWa+SOz+WP6wCumFLY3BpTjYGwAGHP9lni8IOXqIUXnguyPTIbub1qCKAGJXKdsSd
VQhaf+281geasxSFdx/pWKFNAudseYh7fplSY8jrsaUFw4RcXe5niHYNLSQSwQPxzTCJKY8QwC/7
NFmPidFsoPRehgbEqhNrI9SLggQ/ekDTsAbRcddZ/rEBKaKL4ShrAh0wtsVGdy7GYGfJeM9DvDKw
+Xg2OJYC3feqb+w9vRyQve0h9MSPJmtvpFEo2k3dFxILt0xuwyUY5fdZeFZ0EK+0uDkTwvPqxfEt
TO8XH+giCpzuGYB/vBh8IGOehT1ipi6LdhdE0SGwCbHV9W4rGmuX2Q4skSGSqwzoxhLarKLP0jDX
bsszcbdk/ZiQg+HARXq01tJwq8s5GlAe7al+YtpDyID4SVNhPTTusSodTqYVr7EUFyhLr0ofL3Vq
PpGYwAJtmE9Wry4M0nd164CcT/f2KHZMwbHEchwtLe22h7k0sZzGSXECIvhAjNOREAv2WoDzKwJQ
j05eYOUyNk4stkZfPXP/uLi35rB4zJOCc1x3h53iR1WpdWPWhxriAFLQjS+6B0k2CsGvT8iaHYLx
6rPOcprXA0zu/IbJ/44PfluU8XFQ01tQ8DQgM/nReeQa2s1b6XlHzRp/8gKvRD1zCttsrw/M3jBN
rXRtvI3J4UIgyb7uajsznwcwUbuHqArYNH60g8bAQpNidojfNaeIwC30xGTE0Vq5yUMyMAKzx/tY
Bf2iSIa3Sol9rinEyCMVeoCTApa/JaEDYDpj+jInllJDkWXEsYwHZhF13a3XsASq3Do2vVqDjFyP
FjQh3cD9mVsuvESZk/7rDqeslJytCbrcuM341jfxTe04r3GMyVzXbrTKfyl82MOe6BwGfQILbb6u
0uCprgBgxNqwDz3ryZTBO9ajldCxo0meJcydK0JU8Khj5RVcL+nMdQIjR5j1bSBaUKWz81WefbwS
CBtLKCwaluusDTa8Kd0SWNpXmB7b2u/Omk913oY/3Nh9HXM2f2D4AFMKcZepTK0Sfk2vgQxZsotg
H1tGCtvRhOcJNhQDu+E9J+ARXuqzMy+gjefsmxiUhXQhNeta8FS4ELXpzPykg7kbPWsnOEeQYm+x
ShKijSKE9nuVqrtJA6GpovwWDvudbUV3Dm1py4L5mxr5bixnm0zY8QM08SM+qXOeADxncrtLFGlr
VB5vYV0+I3vcWpa8bQSGp8bod1JC+8yr/q6j/odxZ63bHic+9TzWof69GAjOGhu6VIGwVtZQQae0
jtlg7fO0PLt9/zQAnLAFBoRMbbsqPmmoERkmyBUv/PQLktblDILj4kstOCCFNkESJdNGw1aPykj3
JJeDl2p25hDf1lGw54x2bNOpPAwNNEdKvfXo6PEidnNiyggNZr67DjT5mGXpOerhh6Y41Di6rkoN
QJeK1T4BNb4AP3RTY39ekAx5cCITT555Sd3iMZuiO5xE1FZ2e5yE+ZVuxiOtwEfZz4AZ+NA5IVBI
rFpogkJBAeh86JfkDnSTceOgIl241fxPDirAHpxfakPscXEdpyXSgiwvAdbwaNLBP9dY05Y4UVZm
47yNerxpSX5ZeU64t8Lu5NWw2/v8a4K0e6tk/YbW55EUtWFn8s7Uo39Pks4hpx21IEH+vhy9S2dM
myKlDZSOuou/z7q1jWJlRbyBWSiZLznajWlH7kal2YvD4OJgB2xXbJ9rDsHnPKfGzqMzaa3mYqqy
nxqfLzYjWHQW2mETcArxytpaq/Ndq8BsZo9xWDyFIn42S4D5I+AT07awZ0hqOd2WZ2CFzdocAcU6
kRN/rUyCNTRwc0OPC1LlP7EGXTRfVhu7IUfOaJ2T1ZUru4f9o/ziNu6Id5vhbqXWOdhCi4sgp2+o
LH/FvuyzGejsQ6G5NFP7UsBFEJrH8bJ9IboB231OFAGgammE29GHomPHXrJyjf5es0hHGfLyHQAu
4GttD67uoAnlLP2m+QoSsl3bkUZq10jzKjVCuI3+nGvgX3p/uKU9/CMK41VgJjuTAHFZtZumU4/O
5O05decwjfBvlpr3UE4+fANxImKBJqYjTp0OvMsK+VIxeBwd/4pK4czXLfJnI9VmL61NkGZprIvU
8Rak42mrJmrOEfR5GRhbDbjaJpDpMeLhwKIC5jB/zQH49wgpUjCuSwO+b9KIZ05Gl9YP7XeayLct
HfulJJeP+lThr7WAg0ZkCzpTtQXyesM5eyXNKDiFkVzjTTi00PXQBHMaZbYVZW8RFKe4UuQboFJd
hixkOv3IoY9wwqVi5U4iXCpN7LKquckHdQxsk0qHeSVxoivWxtVoTsQ+BM+ZxME+qOi9ddhbs4lT
hFb7xGjwfzuMe1Xzkmv6O/HSQH4HIkmC6a71ga8O5QX59k1QK3I7y0My+QcB3jQcA0ho5fji6cXJ
yKqt2UhqF2ujgcuQUxXsnHF+okbVntwpfk2U9Z0Yrm4J8tiDOOAyHQvtlaHEa9pnVK/dsoUykfCy
E0RQLDnnntww+UYIKgIzH9GsUisbyM8UG3dROHabsXIxx/snTJEwyiPnkWM9pY8+Puo87VEsK6iv
Kl4RoH0MOa4v8hJE5Zzf42T4Ul3q9cB8q1r9SOf1Ke2IHyUIZVpW0j7Swz4SOuOvGys+OKrdRoN/
Sg3vFiA1aqP2Z93QG44c80tIcAxh6gfM7NSc5vc89FCQlPSIMp4jmY03eoVptEo7YjOTHUplYKtp
GJzzBjAjpnQ24HE491rwYmjWD8vsvlk1xyqZi7Ouul1bueBle56IGsd9ExOurt2VKruLDLwOA0k8
qG5RIxnVatJGQDwtHRng3WYOPbvJH6PIeGA3SleEV62SGjlLag5n5Pgnsx02+SzhG8UeO2C8jIL8
XXdyY+mbzlMb6QdyYpA4FizPTQmM1muBEivilvVeLNtKD6ifKS/C3tgqJxlXpZXjukwouaphY6Gh
kRNzMaU2vDM3gSffCU9jMYsi/LDBD9NimB+mKaGfgfWqVZI4p+DBbvSFsIcRxl3LgyiMn7YPpQuX
aYR0f5l7wyX04fBb5HZm3fBcC6yh5Elo+w6ueZ9bS02pM1ZB+EQ1ifB6duckEx10aFHw5L3vInSe
/ZIXvhWwdiLcwlSAhX2wffmjowhZNIFxgB5L6qsK3rQ4qZfYKKimyK5bqJZDSSGCdTY2mGnbOF1l
NT56HfpiZ/TngaXHNYrxPFSNtTB7m9cPSY5l96D5UHWtMrJF1kApHrUxaXH20rV0QTjaCb7rsCzy
Naev4xj2G1mAUAyL5p1T23lS+kMUeuSTJQoe90DFO+SPbTAOa93K7lh1yAOQ+Vc8/DuyO1tQAiAT
QjgqC0tv4Qx05IXSJLQs0D0jS2m3N9idWVYRn83vSTR1rOvll2psOP9m+RJHBhEZ0ryH23tEn0en
pbXvCbLkkaZlUNvyjofjuzGGx8JuVmbL0QJT/Lr10pNpdqfEy/e2iFcwyCBdOrdTr1/EUD31Eqlh
btzpTbZXefgFHdKzk/o4rcgGE7oF4JR2Qm5pu1o315nT32AyfRx9Fqey5rTOM0cJvCa4CjHmeMga
C3zahHbBaR57GmdZXj2BSFxVAZlLbuWcRdTe+3X8PQwgv3nR9CPy4h1Z3OsQnUmNYtjWtGWRqpuI
aOjQMUgIJJ7Tyry7GLBLrcOIJEkMprd60MvXyEmGZey9pFAsbdoOXAdeZwul1UcDuOkZIyzLEpFJ
pl2YhUF8C1hyyuo9RW22ghKrEZmrT+toxMPlTHMI/VTrpK9pah+MxYb/gzmonfKNGznAjPGiwwBD
o2dO94FJn1WKl5pU66HD7jU6/WPgGY9aAWqiNJITs8B7KETnMdQ3CV5zy6NEzfWBUOoODSaZ03Gh
LkqVr2hgl4M53gfkgwaTs8pa595lf4Cxe3Bj65QZ+rGFBGEbxHoiSt3YOscANzh0qfgyQk1fRkVK
J143v5bRnFgb9fsCyj2nDJteUp5/pRG/8ei9LjIzfEl6bVdUJTtxaMsFP9qvYgAftxzXvjk+B229
LboZrZOaG6f3qPcSe2sMxBG5/Cv45VvZ1GTQKKfAL5U+QebZG3SVbc3ZOWF/B9rjvgE6K934aFTu
Yaj828yyLvCYHjyz+mkY3lPqoKnMzZsiHS9pS2jEABGHVxXfH5G8U7KsUYu1Bc7wMN9ESf6M03BV
yO7UeOYS3MZuMNqfpd1z/pqG50gQX1I61qPv4VLEPrTwCalZRGMLNmfYEtP5xWe70czRX5FVOBEf
6xskCTkcOKmUFy0SkoWdh8+eqA5gm5DhinSHsXtcDEW7DYqBYUTn3qHfXOYGw1tB/t4yoSBfUM8x
ZMug/RsC0yqnydkBTAGPHVerjpVJikhL+z80uRlD/Sb8mvKFQAs60k1HRlA6yhufUbcDPr6uulUe
eetknFmkhvkd9gdRMElmomNqjjo5Xr6iuPQM6DVexlLnED7lymgZB91dEDRnkGILMy8vgaT52xXW
ooi1d+Fmc7fRP2i19qXQiu80sW5MD8BtF8bY9YN9VxHyAT70EvPaRsW0z+uJXgjU/1HX0V0ifAp9
ClKSycbmC+Nvf0nwGUGhBd2BNL+MI2VzJb83gg5gVhd7gtd3FMsg6Of8U109MjinmZU/O8L84g26
BeXBuk8je0u481aF1tqJ3C9d7v5sZfQtYbhUeukO5VW/gHOMmsQK93rjvZtGdiM8XyzNJH5MBh2Y
VNh9iwlaxHD+1gESFSZRJbm5CQJxzkn9TB3jf0g7rx3JkWTbfhEBavEaWkekzsoXIiU16VROOr/+
LPZ9uGdyBt0YnAYaKKCAiggKdzezvdeGaJG8VEl8NwXxRkqR0DVHtKWX+RuAnB8yyIA2slvmNJwr
yFwj8EYERru6tbaTFu3mNwMcynujf6uYFK+h1heJUtm6lOaKQeVTkRDD1RODHbdQN2Mtf3c0mGGe
EEhawWzokbMPKj+AWD7dKlJrlmjPUfDp4A9AvKLLEYcyxveQt+LJIFPEd6MjfOCNBPNB6ZRoq1iz
36wWzaZfJgfmJlfZiU0YhxVHgXavjXaw0HP51Y3uaaxMnRCKaZFM9t4wk2sMS2iTCsZdjkEPCfWp
jK5ZGDFP8UFsNWsiATbTaBwaKKOQs4mEFv66L6rNUFrryai30I0DniB1NATkzVmEQKDkYD93rnFX
69Q/qiHjT18Y0tupqPhoNLkDhbNOEWVJJ/hsUoB0Vu2t49ajSxYEV99NiPzoP5mkPg/au/AN2kos
qly0Y5KCWubdIHZdJVAUSd0rW2umFLNj1h5Lmk/KSMCRlRfLHO0fKwjuoqTciZbGoaT46Yr8sQmr
iz5ouKSDcZHC8/OD9Oxk5tm0SzYxzJYcqIo4fh7A6shOrbTQedEbuJ+cgkgoWLXZ8EWh8Mcf/EvQ
gP/159lWtwWLTpCh0MCvgAur0OuX6XBMy+adN//TkPKjhWkwVggAo2jbCthOXFxY3X76x+UVyAx3
X1jaI5seevZiS3TNugymW+hhCYzTje4SaFYaN8mMpHbQ+ZjTcujZJH1Qa1q+sqJ0447xxmq9pUb4
MKL0Zdumn07VACcddn6dfMS5f+in8b0rvkSGWSbQbKi85RLxNXMKMPYyrxh2kD/KESek+SKmbCVF
dnToesGTAhUVnq0B7iwEMx1EZ8V0VlrlJk7MTZsM52n2gdjV81TJdaJhELcJYCLxYAkztIO4Yd1D
hdwRJr5oB6KISiAlTsWhCdgv6YVMYDxvOIWwsk1yhcHvMH/1+vToDs6mqPi+Hcfbib4B4Tvnhk1a
R//iRQRDaWLfITsxkcC6if4QRuMPxgWWQ4AlKaJ79VqK6Gz5HondJPANyrgMk3lfAUyDb4wjQTe3
kBW3qZ+DACWCQPcuFkPlNSPHvZ8SMNcFcHx7ojGoKez2jlxy2CkX+gBhO6xJZHlAeHgK4+8SApWZ
Yu81KU9N6Em9pi6KwpCB1pujP9GOGG+DxUrTtA65FtkuhAnXEEUyBdV+7AT0Gw5pERlZ+fDKQZLk
V0Fx2tfdHzDzNRafvoWx6F3MlPqcqQJ2hp+x99/ypAwPZZVutC6YW34HZVhL+OdYk5GU2u19bWln
0yX8GcX/LQ+7S5RW33VGI0TJLcEbbFuEzgRCfsYTnLSgv3q1v3E85wBg6BR4fyoF0r+Wa0s6r5pD
vuBIyR6QZ4bbu3/0WvuTRj2ttBFMs39IVHI/C4AqTaPA6lmbcuIonisNKxwEkGajCw/kLcfgRuse
TL96GvTwlVyb8zSn+tniNvrBwzRo97B7dhKUb2tYm3Zgwl1pOwW3qY2jJzsIbhYtcdMSJ5LfH3sO
4rWALS6aqwXNOI19zAwct3pXXXNjPJCCsIgcOt70e/S6eQjJ+KGFkqxM508dlje0oXtlQm1Fow4V
9imbuifdzO4n4QME9g40fhmFiAeVRjRCoifmJmiOqv5P54p1abcbJcyEkQdonijetZF4YMTF8qZn
dyyCa21gbjxaJm++BjRcQwQdCQwaYfBClkW1tWPWMHCJ6F3LZmWHySFuSMhpAuejaxRoe0k7fV34
LV24WPnnCr8ZzQZOHmHqDEfPAsWdk4PO3xbcWJrIDOhoramjInRB5Rw0aG76bftBLMGX0oIjB9V1
bBQOwn+02sqO53SMVSi192xy9gMRUDtO5O9971wwVu68kHzBFrty3Cu1LQqXR4JusSmcs4wocYug
vJ9I1SiG7L7LQ+KjbGBPbXZI62LX4Hugfbr1wg79ihIQtSDExl1z7xjWTS+NrdKqkzdgw1D0xVxM
RZpWPuQJ3Dnh3AcjbaKwv9Di3jZ+bd2Fnh+tCqdibhCwHogyRWBBfuMCdhNOEufYNuamzEoGAdoC
KzHHZ3ubFpJQmfLeI0tLspc1otuRNvkQurSbyTRzku4WlcTIpFV0LAuQtLo1rIeC1b6qbfRmVZFu
YWEiOBNJEhwLSLJ3pj/ZjzLLg30uw2CrE7XecUUJYTCMsVzXRvA8WT1sNYnD14fZZPktbZ2CGzWI
zdCASLaY/iX0AbAQabm2tWA6PaM2YcpPWWvnXOO6cgkfc3mig1p1H4HRfAOq30aF2LgpkSxZzqYx
Y7HJ5qB9c/bjcd+ZjDAGm+jl6lR8ajZMOCPdNA3qCct8aexarXS7fkUnyciDU1LLXMFMomublydC
4xYaQTB5+9zRjyuD8EVBMGSBWXtszR05ppMQN02CIQ7MG1n0i7CrNzaJ6kE1MIsVi6l1t1Zi7PM5
9ZczdAtGsSeyDMJvzCHWurmk7hrRG2A/iKxMBOA2K7daIxG6BBo52j1qhZhWJ9CFPbDpx9TZUhMx
9ip42LQsWsPOXUeiWukFiEjGkr39kdQ2ncf0VFvZlaQcSnB5EuTu2Rh6lpZ5l9XsPDVBCiuCHqfF
KLN7Dx/bonGqwygpJglOvSDVxTfkU6B5TJaXtgXlNzOdWzdO19YJ9rrUFvqAvq3mca1I5hSeS9yx
+VoM/tE29S/qiZtCRgB5cSM0ecE8Skjf3JMGprcPG46pBdKZIjsz2p5WhlVSHFOomgLqa6Y9aqax
BnW4zNPkmPMKAv7X3zRfAtvjTD9lZMz07mthMWKMjPhqkksrBzKuA7WBmHib/I4ZF076wQsAoJMU
XTHINUfKWEpbi7J4RPIiM85wMHiFrwVrNPl7OibjNzsCNS3AM/uniaTXLpM24IRMel70VYSa/UOb
s/iu/S57h9I3nh2vbWjWDSp7HVDzA/lSoffdBo6/s90wsmGuVaJ5k73Pn7VB1SRQo8e7FJwhz15a
eRLnnUcwQQP4l3QfTZsOQNnNAzAsjlLScowK3K0PD7ay6Z9NeVk+y0jGBGB9+8G7pW5h4ZLjaO7s
MPwWwTN5JWDY49VU+HtvYMLmRB0F9SCXneou7sTppOltgqRjLsIof2jgfwGhekzGedbZdEcOUOes
q5/1fjiRAzAnzwOFjNUVS/BSh+rAriLbpTuHt8Cx2tRiXKcB73xhr7w6vmAW3dauBOmarD0CydQU
3Bt0fA0bgHZn6Rte636hIppIamJCWDUwAvUPj54QOD1vmxVsbml3NdDPLiAhH3u7f2bZp99T77qK
Yi/vzWrZDM050rUPpiFAY0k0HV2EGkFGanCPOIbhtE6l3aCr0ugsQJBdMxcO6PQX74bS/9QwaxRD
Apr90DUZbDajvKV6/on7s1jHPYlkKRNSJ/oJmPt2ULqGEk9fjP8yJGKOkzWI201Ikl0ttAUeq4tH
NBFuILrf7XBqZHutJ6qjkFLS70CMynrjCW1VM7MWZc8Q3qKyUlsNtQh1NsDV6dIY1ovTJ7uqCI6a
Hq2NUrwbSfOmygaWfn7hDfpq/IxefWn5a80JFr6XbUMV3uWj9hR1M7qVlSdRpKER8ncZEkGC5rSp
G/991MyNOwc7Z1RynvEY+9qzZRNBwsiIX7XT8AfGublAQLtsbTKNSfAlY/4zL6e1ptzTQN+bHZw9
L7+hdISOLqNDIkgElsaiGOKtX4aLPkjrtQN8uQ7KS+CIbekRu5FqD6Ng62nT6DhUnLoLwPI0EiQ5
xqXeLyPFRxT09vv6atbuis0vvUQDL3BOuR1XcmWirjUxbhqSDpzDUQMo2FmV+rcV+ZzDmYGXzYcR
WJdCqzcBL4AiDoxoBNoH2mrwiydFPZvJdu+2wkafzKWIxD63kPjZqOfx/t5ZlfFUd0Rb4YCkjLKb
YzrBWY0z9MLEEl2Qf27ynuUHzOgij4JDin6nnYABkufi6mh6ivCNX/VcjgVSEAaWk3eiKfSYdw0O
LOumWhLyPHUda8R9OR3sOowTGjuoM+qiO/UoGIIpuPOt8E9mZIRfNevQTZbSDb/7nFChoVLLtG72
JAefJwCSgUCrpO4U8AycQ0vUwftoCI5+0a8zfWCmQkPCZ3Em/OyYTRa2zxYLcGH6p6mi1195d4No
jm5TnBKrhgqA2jBvPuw0f/IF5ra+bst1G0G4F/NUi6AMGyEztqB9wgCJBC52K4JW6KPctaP/rgMJ
R5y0NKzhjv1jM7T1SqL6gA/KybpALUXgAKbTa0hzQPrnVitvUvrrSHm8vP5OEABp5jO1H7Srn7Oy
h6m2VhNhZxS+nQN+W7jrwSrOXnMLZfGIVTjiuShfOODPMigETcQz1B2H3Clyho0QZNrScAbRy+3s
gj1TtmsgIRuj8Vm4cbs0SFw0wuCuxt5NHwB3asweJP1iIwiRbqrgGmqvlettqxCCKLxiKtBk5drm
plHqcUAug/MvxhCoDwCOi5RpGnmWyd7TdGfRYNjVh+zacaOTSN8VLgFNLY0iDePfwmX3pkHE/2SC
GbFxcEb/LQmMO6vXVigUD32PCBCmfgqOYTmZyUuGOo348R1apNXYRze7staD6XzUtXudo9HSDuw8
q/ZOMGYA/LwerT++mTPoj/gXRjKUGC5c5MhMJB3aVWMBMBbhld1kW+cNq4S+GMdkLxy1aQZ/W9Ow
YRdejeUETXN88oyBMbVowXl7Wxu7sd7UL0A9E5Im55YEqaoEwgVRuqQpSJRReCD0aVVL7dVO7Qe6
U1svHlZhkG+DOaUQx6vk6jth/CfmMAl9hcyZvtrFs4Su4IQcSGh3fYgAtv8sGiR0fapuyic5Os1W
kV095pSFC9nYR3geSGSGc1BXS71prqSO30/jjhcs2crRN1hshc3sWacJ+dj01ptjjB9+xIhE0oAB
qI0EOHk0HJL7wB8hyww95hUe4Fg7ugRCu6XK+RlHeldCK0dUUorkU0r4puWtGdxyj8vhWAl7KxOc
eK3x5RFXscxm4eusEA0lsbXwjel5cB5C4pUz3mEcSxJql651XdxhYnkpzW6d1eWhSds9+TiQj4pz
rjeXHkhmB4yA1sNXmljA1nlKRyoJle6GRGdWG4hmMSjGt6WfH4Pev5nhLKrl7CO7w2B32Mot+aBk
9MdLycyTLrRmcC0cRoTfv5UaaUwOiLR1bwYvtWPfyri6ZITJmaTPJZjScdK/mzYo8MCIwDvzMkcd
yr6BN3rs7VVR8VzQLf3IkAQtibVkRJBmIG0rDgQ+5FzaHALciv+YGOU+MsOdS6eXb/3I8OdDurTc
PVLVIcVziEZo30Dp1jLrsaBzunS05jXx4yP+oFva04XKAbe2JvB7eSJ5jqLEwWjGNP88CtgHJgTE
RWloj02X/emdgPFMdGxNmgZ0uu8TL91giLvzMWHoTn8X9ngsJyz4oGoQFpMXXieYeUtiNEb8sega
OKl4DaDXeFb7dTHBES2CxwnVU9vaOl6iOt6Aa36wBpDUOQlwK1GVCYhiW23BvmwbRKaIapDZE6vO
XFvFgF9b1RdLo7aPsY2Mu4abi2srWXJGPAQkBC4dPCPLBvWHI6svwoR+vOHeDRBwIOvjd3iPTm4+
cP45RXb2U5XDBXTiQqliHbSSQtz+SXGxL1glriFiApw3yAWRwzUGAU01ajpblkfTbLqNTKJ1GzTf
cQnWoMw7NouIvCgfIis6QyDGI23ARD25qiPypytPciyfVOaSOUyXu6Pvyt7Vumtt7OZT/V1pDlcH
yZGo3Ijx2nCwIzffCtM7BnMIceKfGR8TkqpxBOXeFoIWhW2RDmF12WGAcL2YOsJo0/DYsMcwLrqY
rGQEuYRUUuMJZMHGzKDEhfobsQTlCp3Vdmx7oNw+bdDgDUfKemitg8wTjpRz9B414woM8xcNEqaI
eTTDWS4V4dAYeKudKwyU83iUNziSWK+JxsbpXaMtYCqWTMOCedM29sSrsopnr2GumVfmfcoZNxfZ
kz2kK4nXgyu5LwuLGLjpAcy5vRJuoW+ylJlKUK0Asu4tMlsRQylszfm2CLxmC45+vusWamP7VUgG
3QPJ2GZvLwH1XYK4+LDYw1FgrROqpAwhLJiuz7gYzr0xbFI3vZf8K3D2tv3UbcCWPw7kgHYx8dYR
+UWZunphe3XjkgrEueMwyP5pstMaLsdiXHdZ/yWk+im7ZNsO2aVU6f1Qo5K3PfHiMUeD87LRALSs
TK41S9cZOtCxR/ncDeoRE8qmbAeShSKd4CRe1zjVP6DYnvWkuGOIuepUdmdFOXerOiSd2DIkpTmn
H6fUe8l8kOF6Pu0KOzrOFRDO9GuDMr9u9D9mQF6gP/zxpP3ksjsQLHCuhPNuNBo5GvZZ7/wf6OPV
bbIZv+bR52iQsEzzkaTUyxjzy3Rsh7rfJ4vRTRH+KQgpuOHYzMqHQDYnuGTDviDQcI2ey1wkVf80
DDUEbJt+f8ZSUFUozm20fm3xHfF11t3QHaoy3pKCfHRb95L52klDsZPWGtIIp96bUfWnVgED7Snb
ObZ5JyMP+DJMcvoDAcNNXb53fE1AibgOiupo1HHE0c3/KXIJAy97b/XxFvvFuzYN8LFArNDeGivC
xTnumQ1r/wR+v5jwSMvOfo14DBad5rmrntI1zuONrUc/eqYTMph/VymJ1KK2nkoD74vG8CvVjRuk
KGqXBvRUHZIsLBFzCESTzvRBwfpU2tVDrFfmSmuHW2hpX0rZz3k/chLKnG3H0FKp9qet6Nj3uv0i
LITWtIlcsg00q3EwNtePYYm+XXUPRUuJjzPn3oO6tp7iDDK2Zo9rB7wiwWrupyR0pgys18gr9Z2e
MViKm+mViO5LHRL/kVYvVaFBss0+8JZw87Qu3VR68e2XwWPW6xQaYbKS7XQOrWY76cUhdBpSN4yn
Xuaf+G+REoT7QvZyM6XOWqLkeTAEexJcToKKqcAaInb2BSbltRjlbqRf4Ziwc5ORA3bYVIqTpnEY
fF9bNWmJrNEjV3NKfFwNlX0w7e4+ia2VMYzkmxJVCLSH5av5mYZhW0vPROKtmGtIij2N5tx0EDGK
Go+FgQIcLJobxnwDYJtu4+zsHFxMba0c1TxMXvTS+imktIyFuOnl1qzkRiNLjVhARLCEmykAfQn7
PG3J58ou623ZUOohuCN+vCMjK0zU1sWERO2R/dSjSyPKSNCjoOMUYweXTXSvbRsd9WReeNPmkPbZ
eoicXSync4f+PDQZ9VUxzS2F/DdnSmQb+hdWQqiu1aVgEDI08sUmz5dzDFcqHMvDEGZnY5Rbdv9s
BQ7m6tvOOirr73QWBHnDhsjHNYm2ghKH7ZplzSMpkOsA6trJ2+yIsvPVqfxLFqdfuqPID1NEMAvQ
A9De6yN62HWiU7LFiP+Typu7bQb7uWsejWJ4UUV3Mztrm1r9fZbJFRGXF7dQvBMjnb/8wSvGZR7R
Nk+SleMiivJDTq8psxA/apnUGZxQhTWT8bQZlAe4Ih1ebDPc1IV1sgpGy8ymaMFtTISZDIL9fRbH
915kik2qT+0DMgzzFDQ5yxcrT8Uzz/tOPqltnXA67CiT200J7hDVY4fsDR3bStXdOUtp+XXEla7m
P5QmBV8X7iqKNMbq6TFHkrNIvPpLN82Da3trqcW72kwB2KUWoYeIDZJYHhDCBZtkJFRMDk+6W995
PMULO2EoqifRZ2r5K6XHOxKBK9694i2g82d25uOcPrCKPczymAiHhUOyHVpeQtVVfPN136WZhQK2
t6drGAz3ldDIaafdA4+HZS84eroAVSGHdekgRhmT6ZJ79pmOFWla9hKS/5VwDpJJ6VgEZM0lYqqX
kTnWQABt6rWWIw4pCgEci5Eqa8zia4W5oIGMOKvl7b7cVWg8CWZ8KkFZE4a1I2xia+TjsbGal7Zj
VuY43tEzx7nfvas1XCxOc2nJJdfthlsitzLObqXrY0JBRbSMoxYrEWCnwDKvCZoCHu7s2Z2YEU2D
82I3yI6xFdwqxRnQNHA8FE72kQZQBC0XHAlITrEC7b2pjXGF1XmDGuSpNSqoSK7+IF0x3zkEVwrD
imy2aW05lBYAWHKbNFQvevfcam+Qmkxql85woud0hHOrI2iI6aZEOmqp/t5gHV8RuPRMwXgtPXFK
wFBRGmon6eQ/zCNyILs4NQVOBskmC+vPAx228mt7DrMud8WEBt2X9z52bMJQGCWyMm3YP7fCSB5E
B/yyhpCxR7jBu6tX8Qa/gEYrh/E7mJJdFvIjOLLx6MWumMM9TlzLvdMYWyfrHv0O5AnIVDJ0yoMw
FWWReULe8mXr7SuJFUCEBW6drNVfrTzke7LYWhxLwyJ5VHPKvEKYk9nG1nOoZAPD2xSMTidJfW7Z
by5Kz0Rv71w5x3cWzQFtxFZGc0Nv6MCFdc1nJVBThyGUWgMxbaRH5IdpUbdA9zUsNJonjezPZQ3y
MhcmfR08o6y8I8IqwEsrI7VKsMji2xbsWQmDwWUZR9B8MqW2Q8dJ07XlH4ftd9ExpekhKlLYaywN
zRXWIkngbOZ0PF+l7RG8N3EI7F+njhPB4JOk2t+i2RHbRN0Fd2i/0odiDexziwb/LCjcsIgyBkzb
57L0cQ/JQxiOz1bvbTJ6757sUCmZOXmH2lVLu6VEKuea48kZk8++TE6dUrsQvyp6fEhrBY4An0QQ
fb4eXrGtonbakJr8lqftVi+0U8VEYxtzFEC6J5909ODLuimthSPTDycl77zE+hqr13SUK6Jz5Bqm
YL0gs+FZdeO51BE42hnYaK2YhXreOxSIrzCqEJr16tsZrReOfm+RSfypOyRn2chdkhoPcqJ9PFbD
F2MwUqCL8UcfLbxh9hNRg8NiwMpEm1Ccazw3OOOOSsYYHzQstF5DypreUKgU8wMbDpfWlOtQGi+d
zM7EJWyjVl5FVo3LVOkpelUtRFpC2RIKYsECw0bFU29qR6GVku86gsCC2ZDD5r2uy/CWmjwhidFg
CvU0RjxECvIqxE+5sB6BH76mpk6+S7sFjHk28llhF4sQSBkgt3oynmMrHRdmy9HA7Lf2ANDPIopJ
kjmyamdZVVLWVwQnNDFmHqVxlU56agu9WZFUdabvfzRC814PqFT71uAUUrmHoMweB5uZGCmo91Mb
b5PQu0wF2V0F6rRGuIiGGBg5alp2BBThQjrEcqRR5UVHoKZb17De4C96a6BF1wwFNbJUGhTBkN/5
4juuGJuRW/jHinEtN4iFKXmdFG6RM9HoyL4DuyxWeqXfh5ill1lvs0FVaEdaZsHBrGiR7OZEFiIC
a+mc2z1t3PRmUfcwu0JmRXTNjtbPQQ3Bo4LQZLpMLsnvgMqwU3OcVypI0Sx1BjqNeG04HceGeXBa
bTHq9s0lbgjC51EDFjdI40PZxXEK8nVuW29W6+4q2/hSXvE8JvpPHZqLspSXNk1PWjG9Eulw4/l6
0Ng6nDo96cFAR0hbT9gcsqC/tS2b7aTFl7E3PuvB4Z62O8Nkzl2Gf2KHmbyhT7cGHc4i8OyfKGEt
oFqnwjiifkMzTQR11O+YABySlvUwCALayUjsJsFUJlu3FWZlzNwAboOV1hiflozOIcPbcfjoWe7N
Kj9zlHzy/OKmJRbvHCwIAMcPfaddO5wKrk2GPUWSKOlKOlP/GuZA+/xi16d4DwLvFrnfZP9eCRPd
GfBRVhNX3+L4F9e4jP1BvlSmcWuoU4oQc/NYviVRdzaxVuPAbNFhMrxqacf4nu0sowKrbNO9pV65
JvPkMUzklpH8mZ5NNK+BZxGqB6u2HuugIgU3rW+aUg+c0cdlUtfc7MSj74F31HbFDQTcrcyHD59h
o26nVzIbN35XMKv2cDHlUwe/D2l11jNCbtqT1XlXnpVTJIxtBHzp6IcShkAy9Jt6LJ4KdgMvE1vL
bNfoCpYTKKourr8IT+COh8ODa3ecXaLmq0Axa/nyLE2JBZBJpG8IwmvRqAt5cZGTrQfWJQ7CNA7Q
gBliPOUxuXYhT0rh08iIXeRJwZtGe1ZrzHsoi6ATRzz1NqPi2EXu4z4b+EdpLwVnqUegHr3pEHf4
eQAzvHd9tssdQc/XRGcNQLgys6vfswNEalhGIaLPIjlhxViWgUJPgaskQalRTf671KpDJWtQOJzs
ScFaB0b30Qt6RHgtQS9E3baI4qvnt9eKxcBV1U+E14onrMONagwnt5ePFl/fRpLVGVhEO+vo9+a6
SelSRW6GT7Te4VXH6aixItUPDUUA/8LJyFgXavPN6QCmWdEZv/Pa4kQMepQY63TGTeTYs7qGg2xa
frRze4NtCV1VvBszcBZR8BoMycsIxD8PpzWWwL2C6pcRHJyE6oLO6pW551H3hkPn04iYBUMR63nd
ryNGfnAG72gbM0BOrT34sM/aKDd6TxAlL7DD0E9vjGDpDPMFyLJVK9NDZhBrJONdlhKSZjjXxmBz
Vy0g5MCLEMTaGy127rO8f8HM94L7ex/bhljh2L/gTNoZhbeq3XFH3bfNTNznvi2fWydcyprnt8jp
iwbg8sxXvda+exgXcRuveS5JWfckLizy7BnO7mtijlm8702BBUSQxaYpHhsFio4eNAe4ldfRddUr
YxsUYs8H/wnGHFtGjazeZDRY1Ls0+Eo99ePpCXO16NzaxjLXsNd603E09dexsA9J4aNVsnahVI9d
hZI3Ho8pgagofAsEYs67a3DfJr65V4K4y3UfScbAGUv05iHAQ2YWqLEyC6/x6CPUbn1kaf7A19e6
k7T8h55j3ESsks63jpgD2zIh99pljdJYx4MlENT1X+pAMrCXgnmpZ1Z3qiSDraJgbQhECxkTW018
EUS6ZqF311vRQ5dZW41hkFFUMKA7xOUVK07xpRg+AgHfQi68JVG5V9NAfawVX6ADnBfe6DkPFT+5
OT75HFpBqeYkjrnjra55VD1mNH4g1gbVYZQyX00Erx5Hap7cUqJM0F8pCqEa6JfZoAB+ZB81OvJF
c+UE40p3Y9zn+sAKmq3cOvjT5/ljqiLGVOxrep1x5eFwczq8VMkrFKhdahgrpyeP15tupTYR3a7e
lVREMGMUwDuPnKHDzV32JNDaFNaEvpb2699DbYz/gJfxLYINLeTsJuD0X6Aitwd/PKDSA5HBwuJq
HIqNyJVr2U1QWkzEE6OasUlZJMRGc9CUKz2RX1S7M0KcRqZOg4LYYM/8B6TQL4KSD/fGtyiFfM+D
4qb/ztuZkPSwGNrTzuOcjXl2qGZQjXanuzqGH6NmAvD3l+I/8H18W4chZbjBTFn8dSWCqmWWyETv
EMCKWE5GBdPByTuE5y02Cc109r7bav+AjvsFTvrrV9rIoOD++M7MnP5XpFqEKIIYtmbYDUobH30f
R0w5erMSsAHxkUZFfcXSPzDz0f0Fcpngv6OXwozS9WAm5juBC2bI+sVPyofU7xJonodGs/Cvq1Y1
nJE10T/+lxfXw5jiGiZJBJ5n/Bs7PHKbiOxuImS1eWcyK1uth7KuH5zUZ0WHVXbOCZn7hzv6b48Q
Hzp3CmwH6ZDl+7+YtxkFfRFPsb2bolyAxVal/+RYUU8MeWTUYmE1svjz97/z9/vE0TKYIx5cAwYh
TabfYLR0HJFjGHl2AFwHd3FI801PxwH+Ia72gAuzdi3Gp7XhYpHUAPVNyNFYd8jFtWvEXjkQi1Vh
s/z//Rf79XT/v+8V6LoNPBZOrf+L0IWbk80VsRye2pr0XMt4MrusOymnL7dZn7hXFzPkP7zCxi86
118fytsL95d7MCty/vXpnmqbJCsGwgcZp369BTBc+cmiwPmcrXE+OS++3UXvpm5w/m2AzOLz7AzA
G4SvH+shMT/T0URm2ZCr7C3auTVBOmvqv//XlwaWoY5xw0PFZBm/Lk2BUyLSkio5WAWqMEML7GUk
R3dB2fvoYf9debit/+G9/w9XxtHJaQDpqjMZc39hRw2F2x3rmT+rKIJdK0lpjbUImSa4qee//3m/
3oK/boLPu23OnwQE7xdAzBTa4BWmTA4mSqxoORSufct1i5sSpsajMEDn/N8+cObUff7/DMYAeQKM
oJwcDEfhhWEE+RAUKbmSY9BvlY1K6+8/799Yp/M7R+gVCE4GWRaBPv/6gWHTVBYhxxgwclQ7TuYS
MuJUGMsSBy+ZtMXawjFSpQdXcLzqM4Tsf/8N5g/43/g7vgBtW8NgZ+Z7WMGvuwl0v0gcrNIHIwbt
Qe+zMnJmJeOo/8MH/Yd76bB8slYTQeGCeP3XXxoV4Lm9tOXwO4xkufrFdChkBnS/Kr0NxH7vH97g
X9vT/Ow4Ph/lA9nzTfhz//p5mCUwI7qhts/HnA4Wc27gSRC++jEMdnlHa1JlnjxaDkUFvrn4Hx7d
/3BdXR0nPv/5xM2Zv97MMc2F8juwgrXGGJyqfe6zuCGj6X+4rvMj+esGsjkFnqmzE/Mzf/1OVzBY
RmHD6iha6y9FQtsP0dKEnIIVvbkzcKw8FQyfXv7+wZl/wO/P5cQBUpXtwv23bbFAjDLR7+VzBxre
/8PZee3GrWRR9IsIVBXza+duRUuWLPuFkBNzzvz6WdSTRQnduAPMHcC4My6STVY4Z++1Jcm1KERw
zJRWae1tEM4I65B3nR/0s2nZsgHkwu80YANbi++lY9eN0NyJTlmmUxu0i5Ykc9pN0BtwZqZ0CFSY
XRFw4B9yclnmzUcGQyd9BpZHZ8RHZMuxGGB4cvGH+OSFg1/Kq23YfEuOpd6/cIHbZdIy0+gETbJ4
rvzk1zARBQ6wDLNZnqTPtKYjxJ9s7CN6HRdmZTnvCJa/B8uVUJKlcqabvh8+JxSqca02OtVpUbwO
rfJIrfPyREdNMuk/wsrPE5LfOiSj+YBmNQ7F+DPErf2oJsF5RiuBsrQVbakLH+InH77174UtJnFD
Qz5lKhWdgPO6dGcGDFwhcfJ+A4K7BcG2Of+OzH/f4kGweWI+o78J79KdH9Q/c3itZ21J/Tw8NROa
1EPSjeqpqhvsoL6RoMA/P9on37mt2BlSbuNDt5YvpNDTMRgMEZ8Sr8yf3Apj/tqckPH/H+PAxLaA
QpPiQcvq/V1VCfnohZ2Tnims+B4bff5a+L1/c/5uPvmtbHIpOVSZpANJsZikDdZ2piv2E3lrJNuo
c/WNQ1jqlQcdbI3n4+n/GI4gsxnLzNfoLs4tDfXXPGvH6NTYIZNk2Ed+h+6roHmnZZW66U3yty5M
Ict5i+fHWmsxWypXsvbNn/E/r0fXI5S248Y/qljcdgHt6xn3fR0Hg7aL49Y6ks/tXZijP2yt3wZl
E8MjZRUlNfD9oInlxeY4RgGC1aIExeIOB2YhdIIEZv8gj8RekXk9h/zSfsyMasYmoelTJoUvf6pC
jLfEt2e0IC9c2PLtna+L0C9OjSabDwKS3l8XQPxxqsgTOGn0hrpVj+8u2TkjRoL9+V/6k6c+x2sq
zunMBba7GKjxY/rpWqcdhBGrre/To83pDj/oU5HvPFLKn40E48b5QT/srt5uz6AMzfrEYXGJ2W4F
wYLF2FJtzZNb3w/IDkNEkL3ouWX9aMeyJpozK7svJWJ460AAwVak9oU7l/NL/O98xEVwfnN19sxz
frVafFO+8lWUIJ07WQDnKZFJRfu1dBvq/IQaUWHpttIKMG2KcNi3PKZVrRti10mvuRDkd+l56Ivv
TRubpDRiOzjSWBuOg4xRIUb0GEo81JusoKbpjj14/yktn6IAITdHzvHXhR/l03fOJPyHJg97zuVH
b2IiT1POQmSQaT1Y07GadXBuP2loqIDr3za45fwNBasRmxWznnOPyzjpH0YqdmJntiJ+NIc0EjiL
eIF3dKmL7sv5i1yuIW8vzj/XOP/7fyYJDC+lsqqBbE9sU/d53ZETX+CLMspM+79+lH/GWmzgoGc5
nYOh/QA8KPo5En11zXl3Zi1aRNUxVZCyZJsQX2rnELh2w9wQxBdWl/P3qy/nfUEGcqOGxD+OtUs3
UbObu67FHO31Q7Y7/2iXS8z8OUjWGFPp8KiZdt4/2rrH4AUven4Ho3Hu+1c3hTkjupoeBl8JK+T8
eJ+8bo7iGG9SzVS2VIvxKlBFZVNrKXb4wig3DelO8UrZk3vpgPPpFMeuY044AOrtLhYWxxvGVvW5
5HDxFkOTB5tGxE2783PkmX4wYW7FCHH+7j4bVEdExIhQtIzlvNpmRUfrvXIOhqP9KerUOnlRotYG
9ueZpwB0ys7tx/NjLk8c8y84Vxt4piQycXp8/wvmdatxmOFtjBrY3KAuPP3K1Wu0CVM77cF/uFdt
GhDSlA/R5vzQyz3229AcdaSh25yqlocdOo8wpcPQP5azksPNUZMru6quK05AG2jPxi5TAp+sqCs8
54194Wl/NrxBvZlfmOIcYUbv77wrgN9xBktPNYTJVUU6wdXUg2Vu9Cjd5o726vVViifHBg9VueJC
wfOz5873QsGH27co974f3ZvSqvKgLp7KxhiuAh+dR0gyIwWD2EcPH9wh0RHrOFOXYiM/u23T0OHy
EzzJtmmxePuhPymjd+yDPqlAo5tsYByovLj6auYxDJteZOZf0DxBsrIcL0aqEfhDeGEd/WTeIPab
uhOZt9D6l+XeFAqPb0oCyhPlg3bXkemVYHtwJ9s1RFlLXpgSP3va7BIt/uGoyS7p/dOGcKlXpBOx
T4yS9kbFEatU6nbOQx0GWbElrMCytvaYdtci8Xrj/xgd1ypOGMIQHERF70cf3TGuQQDitsoiQLiF
g4+1TbRtDHdrjwhq3HW4end1GY1f/9MnNpfVJRsVkymaeQUZxPuRCyt2B/Br7cEZRPlAwpwLTTgx
oVJoyW3MFnLTZ6BGCmeqryoX4Ob54Rcr0Ty8w26DoqtydMeQi8cuNCItGD8+WTmS8jyujNsJJsl+
pBZw9V+Hwt8/731tadHNWO6GrCnRTdBQ0clNFd25xqX17saEetm2OJwf6u2y/9kEclt0ZYhD4Mvl
RIpE4f1TJVa+m0xXRCcjRGcl0uZPEJj5M6ZcNA2oWVNpK0z9hgU2ECNzpNQ3sg2tTRfm3YVJ7OMT
NhVRF/xDacxRy8ALPFOjUcdDfArKxGD03nlJcItj4Xszi5+/8Q+DuQYfLLs8iy+IbeviPdbtLE3M
XJsONeePPyN6y2+hViXf0jG8uLtdbLTfnrEF5oYZmDIj3P33z9gDRFb3VY1NLSK2p1Xmr7L1i2fU
KO51Pch79I64DQDg3Plh9BMsLubthJ3m+TteTJZvV+E4BldA+89gx//+KqyumvAYqPgEznRcp2TK
Phq+QG0/gGII2goyMXEzGz0YqpPD2nlhO7nYEMzDM1uwtaJKRgdyeeRxJj2LJ+mTuaE1zVXPn74l
RdqgvBvEkxhyAC+N1v+3uZk4J6YKqk6Kz8jR7WWHBqTHJGiSwR+HbB1uykSIJ3IFrS+BImEKecuM
3zn/mD95sagb2JbJckAej71YkyxmJ0WKXwqskvSOmJ0fvEsMmXVlexfu7sMjdW1KuMyIijI9iTiL
DTrpLKgHyMI5yLwfnqO2Y6hMVfu2rfsnLzXE89Bb0dP5+/s4Y7z1NhXFa10Xzocmct/XyDxLK0Eg
7j3oNVz4ssJbnAZ98hPWkHZARRQ+yLT7iz1aeykN8OlOnlg3eQAe/fzFEMDEW/tu/uJq6MRQ2OQQ
TwV/8bhJ4EHBj4zv1JeSKMPQH/eEmSSb3mP1tUcxbDQ7mva5rnd/NAfoWCO779E4mF8BXkxHwnkr
HHhAF+IUY48ZS/dBRS2R6uAI4eXrVqyOZAA5t1Ve1XexbiEEEZBzlfTDRwSFyWMaxMbBrT0SE8x4
OmWzXTlKHIljaRyv0pmFGg42kr90/BHFVFrtzrtlKyE3QKFOBlK3TVuhMZxCAgpSZEDrauwwBqSl
8X3KJRBvsBaIlBFDS4Qzm6EZvWOV1t0Bw5YG8rQsv7TtEBaIRsjqZafD2telM/XcrzRwf3ZaPOUs
5Wt/VnP5KsDDx9lf+8PEj1PShAQ+eDOIo9VwRhVmu8rGwj55IJ1wAcFHhUA9I6H0/kkNWvbkOVX8
00T0CFXN7sZTmFnoY4ugynaDCf9vA31J4HHDHhf2pvNodzWoR73u5W2gxcVTD0obNwJeraYJBdLn
fiTyKiuftBwCEtUPRnT9/BgWFf4+D/vVgTIJMBDh/fWRmkGJmINdRpvXr3TKHTqJHpkPm4cHu9On
v70zlvgZlLox4pTdMIqDCYl7AO1A83O0/lb6qIahfGyFAoqky+F17EG/IHRun/uo6X/CdKK1Jwjb
ytEHnPSSV8Oz4madB1UKiymujwDSezYcAGsFi+a16GFaN8gK1xwDvGFVZF63N9JQ7Kc401OcumZ4
b1PI2FZ6lJCmi0qx1WP/2qY/sZMdrGyzMYJTHNbtA0SueJ2UKHVCEyGjK+XRGQLzSHhEegoG5hF0
1tdUxFB6moiwjBkODiERoyh5RT+Lqq5e0oZnXubgBW0jnlZAh6G1mUSN6IUDuhL+KaIxlPuY8+IH
wuzRfxZFUBysJvvT6hBSZerN+j+uMyRYYetmfXFPZbw8dp3m/CLBFADOhLG/XZtF21/7wD6fNMLS
N26quV8S2wUtJnPbwpsGxy8OvB77oFGerLoYUEOU3a0zht5WNtXrKCr3kLOXXCF8iY5tRWeapnaG
cWvyj0YyiI1s437V2Wl2x2fY7Z0aYHjFzI95PQeBCpf2LtHT4Q7svMUtT+ip+CLyu24wddh1Y7Or
LQrgxCbhwwm9DshWbaLAUSl7uVmmFmqi+dN1JXxBEqme6Q2Q3jnHNMjEHA4UWig9y+C1dupfRq21
eyvAdGgOYK9Ur7SdLb3pXvcNcSuH9hed+ecgzsl58IPwmBR1u2vRne4aJoIS3TlGCa0cw5Mx8+Xy
DOV9nAn/FxAD1t+C0MHWyxq6+f2PggygBz9B1geLc2ZzmygNsqYJrgzPtleaOaltTkzECt4O1P5G
EjItmemCFtfWBGuD1NMtnqg5ILx4RYbfEcXg4EuswaNBUAja68hzJTNQlhzyRjXRShfhU1Tn7nFq
y37daDpOjmj0bt0o6n9aKAcHjKwOTPCuqTedHPtdCFl673SetiFLHMVbHBFQQ+/4Ht0G+GODVuh6
8Gt9I8ba2eFb/mPYeXRvpBFGO1e1VPj0b5WDuXnKYu8uSENor5qQV5Yzu0lBLL/YfT1gQU9eesNB
y9vq3iYwR30VJDF1DE2aN1aBOUb5erNuQ0hzvRuWR0/vDMrW/CUQ9gpSB/zhgbiY6G6SJGf6ZRVv
VT3numcxuAJaUPUJ6r18aGXXn7Leq5CpIdRzcyKyMq/x13GI/YB0tIk/KmYMDCEbQDDhWtZ4dFIA
01Xrq7Umggf0awTfaHDGH6C0mdu6dvLfTtTpD8jDuFL4HUfHptuLHd/YkkCinxJ9/gyl59g//L6H
nRGwQfSbiayu2MCkS4LxAQYyoQljhjm0bOXWzPqnPKs9ucqJQ9nZDZg+K5gUYSdRewL3XO3awY12
aW+FGx3w1qGr22ZTT55xNbS8JMYU1CcECyh3XM/YWtYw7bQeUb3Qm/CQJko/FC2tMC0exQn/fX4z
6nkCtAwgqAsa51g1nUc6BgGgeip7/jj85HOefyNeq2moIKyiUlpFg+t8w6lfgRAZ800xk2GcJBGP
Rq9hDcrJLA5J0nvIWtQsVamrnecQnmIVdOWiyawedSctNkSbxYQL+xFWPBK9No5WjICRmaoPeuM0
0Ob0DnR8X+56YooRQuc6dpcw1zbYrWH6kti8GjTX2jrFOJt+TbGlRm9s0o74jBEhK18Uz60OInUA
vYXDnSAGcypwEwfI0skoImlExkGzs8emeuqiiA6zj9fENbUMl4KLwQ88OLgKQ3wfCQx6qUizxP3U
P8qmy65R6D/ziof3kz/7bohgOQooujsrHaz7Smb5FiRlgmt5jOka19U6CAfni0Slcx0ipH0wUlm/
NJksV2MWjidKYViowfi4B5JdigLRaxxtMiI59jLIho2veTFLKzNVm9ckB1h69pIMkXrhUAjqu9c9
SDo2guv7EJrQN6JWgca21bjpe1b0uEipdg8gG3FVVPuUyPp6lSJTQJqNv91I9HFDB204OrL7GhhB
eRPmo7FtCt4eh0X2apiyDtM0zr/OmsMTfW5tyAb90FOoPKRe3/EL+XSWSrp+V04zqd8G4OxTK7ps
543lsPfzzPgGSM3Y0XoPdlFrBXsDdsQRSBL0A5ekEmKqe7CjQw1QqC0jdgxl4EJsRym/dkIbqgZ3
9MWtRfzE5lDea1EFcNT3THjHfgZs1nchbo9Aw/k/b91Ek9vEIkU46mEjNzTkjkEt+nsXfToMFjg1
wwQwc5pKtWrsmoomBYsH8idgCgYR+OjYGw+OqlOgoEjFRQ9o39KgH40580xtpfpdP/jZjZYWGsRE
KHZd3ZECMGTtxtJbfSVAsRxTck6h3jn4tH0Tw1AroiPEIuyMICDWmfRJF9YSdR1THP9WzJb5qk1T
OoSBuq0Gtj9FZ7kbUpWMR2s0uTTXy+9Lqt5bx2nLfTg008Zs2NrpavrWqJ5gKCUIchkHWGwob8Ta
j9LmzugNf0vVk/IOhhWU7WRMWEOoTlMJPBeUY0IAYJzsmQOal4qgjrVfAuJFit/sXJEYX7wyxW1S
5sVjh1+RBsEgdqVusKzUOkQVGBFAMcUIiLrycTPm3ZPkQHOVlrA3VxnduHXjF/1dROThrh+mYkt4
klNAKZDQnmcJd1fF+kvXYbOJQCeTM5JY/VXaex081ykguRTGydSCZYiHsNnQrtC2ZcIcLjs3f6Q4
29yUouhv+qIPrpgDiBHi9UdiCG+8LoEIkKnuv4JWYm+lEsO7eatf20b9VLsiEFvDTb190U/llRkO
gJVH5bT4iWlbrUN9Yl6ZWvW1c2z/jle32wPzKK4Ho+MdsGFJtjRftpkIJEiUAmcKBA5Sd/LA/waO
BNgEFcB90BgQiZtMv5YCIWswZGJLPki+I3+1WIkJlBqwDliAfcRdumbk7bn78SaslHFntgBJSP5m
LZ9qsXVF5n5n3vSmDcxBbAuYe0AhqgpYoJccRod4poTFcytV0kMEYG8RmJDraP9YB6lNzoOWJlDP
9JSWARLYp1jNRwQ/4VXDJXBdGgrPdT8wPRnjNJPFiWktcLwSHxNMTGZmJO5CxXPS3br9Cq/XDdaG
i8O5tKv6FMfNtO7QTO+tKuYYqVfJa64BZk3ixtzLZmYjacCO8pHUKor51oz/GTetTK3HwewCDqRl
tbNRye1ieKSHxsue2xpEPTsn5wpgZMQWf8x2yIO9fTxFEVsvGz9cl9YwPJr25JgmREZg/HiQdAII
nPBOKwLnQJxi+wo22QOwOMIFCzw8KZNHrk+IW2c9VU1N3s5sPo3rP/C9rL3TNh7mvYAoyNwKtj0z
AzxbPiYddMtrPyBkSOcJy23y6SvrsPpaakH3rU9ZyJOu7e+NytfuAtuoYL2RY7TpRHbfEIi6sqzE
2Ft5Yd9ozZg++R0m2tGqWKoVeFZZeBF+Jav4QjHFYhHEiTrGAgekld+VWd6Q6DNn6qSxrt/ncSS3
IQbHVWi1mJaThNOh53dXRQTEXtYcCXM9y35xSnLBHgR8MBJbfoBSYa7ve/CosUK6kTD2PX6pajUB
UqEIL17iuJxF5pmb7oMAGygwahiBMfla54//i9I75R307DbqE87+c+thLnn92w0lPII4US08icK2
v/hll9/kMTkLFSERazeAdHZ+vA8lNMYzKAPP0mfdolL5fjxoA7WNYds+FKyPX7s2D2+plgb3UC7w
Zvk0AgjbAeUTk8z4TAAjheLzF/DZDaMrd6SC/EktXL2/gCp0hVbOfIUEb+s2jpG5k2LhwsYZQtJx
BP2NSyqpj/Usl/h1Sj2C9ijq60XZEFu6ryeWOR4svR6OPbRLdgZI2DBE6+YFlc8nxRzHkXTPcL+j
F1s2kmx74puRlUfFRfoHQFrpvY+EGVMi+Fi3mrIDZCHvQvfqs2fq8Dj5bRUKI3NRQQLL67WwT8Wh
VcjGN5JT+2tkwKZdjaVBJPAQaffnf8Wl6ubtvZ1znSntz2/Usm9FyoeRm6USh8odc1xn9TDG31Pq
eSSa92Q47OIqsvEMJnBVtprPWXEdiSGM9gqYj2BT0fQVraWk+Nq3pvsqsWdfsop88rPPlVpLge6g
yicWr/oUanURVaV3KNBZAulMJqPeTvj8/tgajtYL7/WHoiK1Utp3pjGnbEMIWzpT/JKwuQzz70H2
bY8KkkS/Rw942i2QtPJHLIbot57HjsS12lT+luAvEABdngaw5UHnA2tqCraB53+nxes4K3Vt6XDz
tH14EvpiegnjaUjYetkgX+X0qkMh29N2JmwrVnH3WNjE8mBHw8d0ftjFLPM27FzRdQmc1xFBLcQw
IY01SX6Tc2S/TcTjnICA29HYTV5V32YeQs7KSWOcmE5JYHOm788P/5lgk3HRhDG98nMsK9hFGSDX
T4lbKqKa800XyuBalZlbbRw+vxC7QDLeOKHTz4f+fHqm8MfuRM8SkPLpJAFSdH1Pv5vsoQuX9ib7
+qfa+/ZoULEi11JUfKl7v5//0rbtRJq6aEl9v7TBCLJJWLfIDDi+wj362na1/S0EW0P+R8vOZkUh
BM1ehMEWGBUBjDDAnFvUazGwdkMAf63VAPq+0AkOps0EiYd2YsomZqxvfURTEOLZGX91wjnKzWiA
Mq3iKujggUbUT+JM64obuIDmwFZAJ67ZjgesME0bOg957YQ3POI83naOL/dNOBu/G8w6z+GAghGe
SBoRRcE+AgSvl1HWMrMxBFSSWkG+bQOUhnA3LAaOhjgviTVxSp1Dh+ZiaWtn03ZfXZAXffbGA9+h
A6fInKcN9/75DoWfkR/HGzb2rNgKOdrRKmmkp2CQrqNeTL9B/6kLjd3FVDP/qI5ucPjghadPYyym
GoS3Q1NlQXSiMqkfTatUB4xL5HEqqjzn3+3PhprHo2uCUkQtFxgfGhgyy3LWdaoYyKiasiuOpma2
riayvrbnR1vO89iCaAGZClmlbrGXXwpSNB3OxzCy/XbrKIG1KTguRkNOV8hATNc09a+qqMsnos7U
KZJgQLqCLThq4PYWn48PfrWjIo/H6EIv7sNjcFhgXUEP30L3R9fk/c+cp2ONztwjdzUDprUi5NH5
UiV20KwsMRTP55/C/JctvllXR5ljObRALbF0Q9ZdRXpDR7UTnelvWXLoHCFlB6vSDKbrHOUw8AV4
dfAjLjkQPtwmPql/R17MFghVOmkaGb3tovLvYC6OGe3NuBpgMLaldWHa/uTbwaZG3xAVjDRptL5/
qGRSe3VVuuGp74EGx0rUmxaq5BF1ZXqayLneAsv4/t+fLTtgyf7XQby6lB21vpUVsSQmJdKN6lAX
XnrXythaW4RprDuOlts6yIOXygwvvdsfnq2DlH32zbDxthEPL+6WkBTC4RMZnxwano9sdNQuKVvg
OT5k6/M3aSxfIN5Wgb4IIbZEDvz2lf2zy5+0XCUVYVNHrXKrI3AKeY8+A8PE+WE+LLvzRyFmc47i
iSKaf//7OcDTqKG38Qm0jY9ZNEnYmo0OuY80y2O9xcPvV7QTKWk+u0Gn/5qSuHg4fw2fPFWF54k7
5b+5nMXS35hWrpzS9084dMrbgJIKK1RfZLcWgJdLAsTlYLynKBKEgf7XwRkiF9sbTSA/jP1uFgQ4
1q+YYoG2Qpc80wLDWv4fKkRELYisHd6FWSj1/vG2vSVp/3BK71qld1e9NUgEnU6qP5MzksBjaAP/
mZViePlvj3S+S6YB7GxCGcyrixc1N5zY6jmkHjq91m5brwvLdam34pWIPXHhTf1Ex4zlaN672cz4
7N0WM47fuY1s4ZScJlz72goFWHulqMJSgNcCavuaNVKqqeoE03/TcRIC5GYAtDeaQl441nz8dU3J
Ci7wTBi4hJebV69MOrYnETHWDrKlVZPTaz3i4qAUCfTG/a9Lism0xwLH/peSr/3BBhK5I82WBOa4
ZmZAzkctuioyWwO2Pk0XdoEfltW3sWyXqv6s2EfZ8f5VQkvrObzZySmKJvtYt466MTlDHYlnIiQt
Ir02pO46FzgjPMItsNo502moA8pbptOtjMx8JCZ8ff5FW05T81WxxiOh4miHMG/x2zPBa0apZAyp
01d/soF2TDPp/s/zo3x68wSpMFHhhVEfrCmpBGyb4sE+zpMmYPLgZ0I3baN1LvcuqKANAl6+aAU1
G8LcXo26+Vb1rUNNqpJXBpvQTeHXl9xGn71tpivRkqFn1vnP+59kMAYtb7UmPWlZZx5Lv5yOEuYB
vRJzvLB5Wa6z83OmkcLig/hFckJ7P1QeBHSGZitQ4YbeE+zNdItANHzs68jeCUXPghzAS1WQ5SZm
HnQWMgt+11nItHjlMk9E6ZCI+lja5dRsCbPQXpuSuAGLRsPazgh+dWUAAtI3O1leeLM+e7gcxHFR
mzbCT2cxdVZBYw8OCJKDDXjjIGDV3ohiKKGsYSQ8/3pdGmqxJjhBxy6O/LbDVCVyowKbIIUkVGRP
Ft3/8xnjmeTYj+Iebdjih+xkaMVZVjTHvGroHZvKsySG/b74IdoexHRbV+R99HivVtKJfXubTCZh
bWaheeVWs832WfQZwfIKWn5/jNg//MeDyduPjqCaEiM2dqEvvujRyjJvauvmyPaj2SKeMw50LIet
7lvO9fnn/tn7ZSPftDD0m0iaF1U2DvwlcaQFhio/S5+TEC7VYIcO4XnAJ2OhtesMKc62qHr9eH7k
z9YsycEKIRoTp8ty8f57MgeUc+5U+scgDJqaXQ6SjrbH+FCjZStoLiTdj7S5mWjdts0TPaDO+T+W
zbnOMpdwLR7B8lhmQZcMYs1wDorkwIdKVYVcl7alqTUhC9UPT5nuFxGn7Z8oqaIvgw6tqg6d1fkH
8cmrT+EJaeIMmmDTMM/v/2wzMwPFUtZAhaFJRUffRMbgbTzDx/ROY1TLLz33j+sFmnGH9RlRJEvn
8u0ye486GjLCY578hf9S710amSQOSmhThfnsJ7jDLegs634ODgQpQG6DRuMv6yyH/CDHv5HpRdvd
W3Hn39Ma0xyzJYxGJnJ2MEsngd9lAYJDMzqZRVf/RCzk3IqxB+M/mPD/2YYeTQXlVZS63Os5SODU
d8DMB05OBEj8PJU2pSGoSyAq9JsEwiGsG4cmuYGlrQk4hmQ29DHFNnc7VeDHNHf60qG5WhUuwKrS
qSU5UfWdtJPvIjf+9i155NIawA8i9Nv4aeVc407L6SUpdyvAVvm29VerreB7l9gv2hB9Ab9DAGIg
fsfW1G8JMlMzjG06Fno+bbTM29D1+sM9xtvRzv8mssFnLJ+TbA7q1qf72vAlE3rdP2pN98vqwNVC
qznVdcfF+s6f2DD/yK5q2Jcnv4x23Id5RTrCyKLbe6TzSbNrV0rBSXRG/bWmNHTwCtntU28ioKVU
zcbNwm4zeg7KhEa8RlXsbzC8/RrIef2CMOsWwgo5F2nwOLYzgtD2xyu3MMurlnbHicSk3x4r/Dqr
o53TkYDjheTJh3bz284hQ3U1z6XQEMLDwHlBExevwkG7qrU5+cuSAYIpwhpGO+6vh8b/2xum2pPC
AhjfcF/shoTiVVJJWhhlQpeHrvePprVIc9OSdC/GpF8Hon4QQeSSxGEQ9aJSUmJso70ClQvNSpGX
TjoJ0E6+T/jC5KFN2c2UeX8wmt/Ae3uOsuSLbpI+YGXIk8ziZzuAZhqc4klIPLWJRSue/DKwcVMO
1SvObqSooDpKp0ZZCDAbwY1/DZ+djppNVE2dwUhj+iaLqLHp+1vD72BK8vXo6ONK2AgpOlUThk4A
7J64pqfSR9DOOmuhmIleWzLy1tmYHkyvp4miE2PXxO5XjCtyRVrIF8uQ3rVsAHz3ZJxka0SQ/suQ
02ptZGOvUS+VGzcaf04pHoh2lN4aifVdlyffyM7yV43lVUcStInJxkHMRG6wcunIr/2+jp9R7X4T
MRq0VVkH9Ohoxa1RXilSBQxtbfltuAuL5qbuJ3rKMFxXOsrLFcdT0oVGAEqWOUDjDIJrV6+8rQun
eev2/XdSgGiRK/XNLB00SjbhO07t/tZMwIVuokPNlj/EKBELE2TIcmp+N4X3ZEq/4JOsgr0/GTdT
AHUOBQThUOwy29YT9ylH0rUSDjwDmz69xGoj7fA3GcN/cqBfWxFF1SNtYBruE81eMaJUI46QYuck
+B3TJ1e0j4aF4s0JxW3ZZckGjNm93xmnzoKvCNQVyyT5u4lXfE2j4mdaRH/HRqOhnbrbcrTELiky
YhDV1RDZFMaboN/lsSqOyk2DgcpqXKwTwrRSn6knDv3qNTBgqhn61G71hv8FfgB0GJpjHM0YFVvj
hc+a6/+wmV790HtsLPhbXtKJ/YgAZI+YnfpxYSAuCaEmwrMhigJ3FdJxWn92cBV05cvkmsldKe1D
KnGhjE6wD6Loa9vUs+BDXuNaf/A77U56CFH1StuXoBk5hGTfB1cHoG7b8Q9k4uFVOfiAQXVRnCY7
EBvAgMEmKeGkIRT4XebZvershyYAVMtu6opVo9jQhhfbONFPRTv6J6/qXzuLmwmSlyQGP54EzVfi
hB9KBK4AQdEyBXH7DHMkMVdOoNS+GmfBZTpd9TP/drLFk0MmB1H2wb5W1pONbeFkznOLZ5fIjN3A
WUMVCXeKWCBWKMJG9LJeRxarQTuHQxYd+dlM+KTFzRkMpVd/yWrjJU+Hcuv3EHDN/obawF3Yo79x
iN8azExtmvnbCmsMKF05ouXlInel7/5JkW5s9Dh8com85Df/AWz4xpz0+yIvr2Lg25uuHuLNmLk3
pTFm+yKw53p8+dIUTYe+Vvthm1HyEJr9U5MC32Zf3l0hM6OY3jqkJo6EMFJpeYKzTFqQrm550/jI
HXVKmxD8MFELq44d6BrkB3JTFGV1Os1xAHw2IwIdzTjJCrp8ygqF5UwTSNp6b68n6qdj45j3wqrb
4hp9TQsruSKLl6pvKQhn11CAQeLbOvG07ziSPRK8dV2Z6YHGgSDD2ntqDLCluqxveuIbvnq1BRA4
lx1pDCiEt8JLvpusEOvS6r4TJAe/OEAP5cJuQ2xTXFNhCACghsYaDUFPIGfpJ3vT5LPMNf8Zftd3
YjKgv+r+k6WalkwdFBK5Y+9xDf6OZEmc6WR/d/XAJjOqvNX16XrokHnEAKGPruZ7N42KnsyoaI8j
YcobGrQhnSrPuymb6meml+HRy1wuQYwPxTiOcx4rK8kUZNdKEBloQi3qi/CrPpKfLZrklXGpO1Xe
TZ+X12Lw7tF0RkeLq13JsroekEZuARHoG9WV2UNi9P49MmQd/U/01e1sMsMsMm7O7wU/9MDmbRBn
Wdqz7Akhpyw2g22E0AXil3dQZGgTSxBr6k86zMFzOIpysK5FPqD3UEZ7GwA7juYlS78TOi7l65Zd
nXWI2FfDUC8yp79Q2bHYiC63aLRLBNA3is1sm99vVPMap1RiNxoKuiG/KhDZFXdaaSblYQhdL91C
DwZheuGBfDx180DoF9DOwEyD5uL9oINygba6RK23ihfbBY8UvYxzxquKHapLaUF4kZ0Q8MdOYW9o
JnGDFlzPKWpiMq3IkCLxkhAd4WMKkHG/po7RfT9/jRcuUS6ei6hwOui5S1nI6Yut7/XFnV5QWSwd
k7gNmgGruBua2/ODfnJ8mh+MYwrOT5akwvj+wahaM/7H2Xk0ua1zW/QXsYo5TEUqUGp3srsdJixH
JjBH8Ne/RU8+S90l1X2ze8suUyQBEDhn77XRwao50og6JavBdkvMXAC8h81cRp4TzIVwvwDTTdEn
Opw8niFmJc4LFlEvvjFs3x5h8AtqtJ0shxK2c1kosPjkOFPReYdhnsrAqkr7KGaDbMIJvvb1+37v
YUO947ioY56zrfXP/zktjU7aaIabMgjLQlF9S1/goOXp2HIep3/rIki3O7GdY+Um2ea98U+R3tTw
dGprV+D80jRVFM8VnhMqdi+H3Qw19wfYY5IuDEzWG5RImfFf75ZYdQy+jurQJKAUs/6kf+7WQq+R
5YMojnYhojJovNgk2L52AKFbdbbgc4kIdSUDY77VlXhbGPhLPqSoiMsJ4c/Fc/ZiRdL6kBk1NYVP
Vkp84+88scGKFlXyTKgemzYKB9+Zuc2NmsR7o4klhmYWQD0KAxc1iW6gZRuVMjrgKsycu3Yxc283
tQnb11Rt2JJfH1HvvVbHobwEFGFVg1ysMHSX1YUwaDfU8XF/YPkUh6UuPR/jyYrkt7v99eu9O3Mp
WVLT80wDlOJ6//+8VG2mSqlLJTmaUZatBCpKTl4CDxGrYhFmjpf7+JmUhwX6x8PSz5RFhFbdGFnv
PGRvXclpwzJfjL9csX9+BFpgI1OTHkZiXxK/NRsirAXxnFr+n1t2fNM8hsFKerE8FN4X7zO162EQ
KCvD2o6Ll5mwB6ImGkKHJV6BGy/z8rbofOsG1XBa31jiYZSeP1tzgcMoRsOjXWdpeOENXf4Yss77
OBVYjK+/yMulaL0WHyRbQ7ICyufSylv0qlspkHqOrZp4AfrgFDA44VX9YqKbmtvfpQaA9fo1L6cl
18Tyz/aA7R91WfPiW9PqVqoh1LL35ixqcqcWQumXuApmkMWP2Knmn5ZbrSWOIj785yuz4K4yRPQL
4L3WX/bPgAHvP+qKjDiUoQhbj9h1GNucTDuJ16sYCR6UQ0+ivLVot2i+68L678aDmwYURSsf25dO
9f1iAFF3Qr8RG9EhIorTCsgDUZ3AaJtbn7H3rwN+ko8YxbjLT2qUJnm9LHN0yCqETpu8gIu3RMjX
b7zEvzuCtzdEv8KzUUNQ8zl/lrmCchxJ8bpjsMn21Ow4YCGGBVcnT26TRp/6tH/SzdLcz+6UPqdj
5N6Vo/l4/Y2+f7v/+xUX37NsQn5YkioVDqWn3Fmt0T6acT1+u36Vdfl8c68GKgGLVroJGu78XvE/
O26bKnboZcRQmT02mxFI67zRBsPaYcxi4z8SLabOrXbvRWSnXr/+O7N0VZQBT4DIzMf04hNqJ5OV
AJv1wmFKEaWDTqBAlpGtlUux1SH2UmtdbrUzLh+txSVNFncaznBorUvknmV1ScsXs8REWOE6KrwC
/ybYfpltr9/d5cdrnRo0IgH6oFtlS26cP11qI9IQZrMcWumYUDURy352K5MEC6tavuKhieTu+hXf
WYHQStFt5uMBt0G7eJ48ZzEPFkFzUFBIDLOUCaS3ljn0epNSqn8iNFXDrlOUjsNJK4nbuX79d+4Y
89PazTdZBtEQnN+x1nbOZNBZD52u+eBUIxG2fLMOORbLXTs5N5p+t652sTngIO72hGoOBxDHXrlz
mtYgQk2pKWapurLVJ2qTN1aHy7HDK2VTr7L8MILW3eb5DZqjTfhnN3thl0qtC5RIa6jfsJn4df1B
rhPvYmKSX8msZLDaHuCx8+vUHgeHri/F0U6peWxrquTfWCzgJE3ZUn2/frF3Ro1N19wkmJHZ8AZF
wdkgH/sed3Nu9dODcJMJo15ClklD1K6Jk5EcqDH2kUObNx7ne7fJPNRA27E1cC6lEWmijgIQYX6U
s+v5tUHkrGGM2seyJSLj+k2+s9QBXucktK429KQvJmMWkRhIXiwZgJz/ZixraVEFJUnkd9JFaLgR
bLnnTWzIeQibqhjNYOjr7NbX5Z3xw37LhS9i2Ggq1fWB/POhnhRT69vaEkc3pQ3faov2ZOFnuzEN
33usqIVoT/Lt5WBycT6giE5oFFHCh0m4y661Kg92JD7R2ksw1l1/ru8s4YhJkEKvZYf15HV+R12E
8pvo+orOe4eAduzb4SCdBqkQsDQKR9OsjeJkL3b95fqF35n9dL3Xox7gIRhXF1ME6zJsFUoyx9gR
aRCppU5mR48FXNEgVKaklyQ3bvW9x+pisfBUi00WDuXzW0WMOOc13bdDbSQYjdzEcUpYwjpaHYU8
g/+qHWQPvOrs0dHBfeA4cnGDhWcmKU2SIrRqj5QkdbR3XgSsYUnnIFm4u6iu9P84ctZrGvT40Jmt
UGBnfQT/jE+EGjbLm4hCMB3NvWZN7fO4jP12zgi5vP7+LgfO30u5aKL4XjEhL1vMMgc8RosmPyoa
XrAxGaaAL2KyncsEiGBEz9VMCdy5ftHLpW69KIYzcnDBz0GgXufnP/fX0amezcItQzaRS7ybmimv
D8JkhxywpXdBMLuD8wXDic7Op8hS/fX69S8H7d/rm54KswrAHzuQ8+t7jkKMuSMRKKFegHBsV6SE
W3I9u/dF01EP1lxR3rjp9560ycrO+q6x5bl0KPWtI01c5HPoNd49GwBq4gU9J1mxDs62Jg59zK+4
fqOXc+XvjaKwY3PHAv9GkEPIR5TEfeyGg2n0RIdPRW5uFXzddBzVZahv3OLf7f+/H8w12INJue7Z
Ob6jNzp/sDZh55Domyg02qL5pqDkIlecz8gn3Pkkm2rWEKebSUSRHZgdxpNNHznlSMN0BnzSyqH8
Lbqi+mbnufZAvmr6OZ0a87Or1dXdZKsFUeeJsnRBZKUk1KpallYY65TO+qFMZZoEdl0l21gMyg3z
k3X52bp8jheLgBZj6W1sLwoznMnDGi6ExzkrrAEp3ZSLHyJXaP+5vUL6oeIMMgkVIltsMqmaBnNC
hVu2cyISHCN3+WDHmvOjTCapbiytGprNSIVsCcjqqcxgsvsp3SqCzu5mSojShRxhSyWILQdetGLw
DAgr9TBiDw7ZWVGilkHUyGKhxQAUg91CbTKF2zXeZ1AW8y6eaiI6nTG1HtWeyj9Nf3X52E92Y/gq
og3i+XLYpVt7BcTQZRmau7hQYrrv+fBF1En5MMg+dQKr8/RlV2T69ClSpQeYPpcE/CieNlY7245Q
eM15Vj9HAOQfYq2yy2BUZwoMDVWifNtkdvXZVef+D+SEpH+5Ps7/qm/PBx7TSmWcs+flm3BZaKC/
qkgcIF4ollKpeNi2Ob1oQuQfIzg333rEbhGODdlY274fRO5n3DNpY7ZdBFj3ogRQCdg4GM/FByJp
W8KY9Kz3tawZJebcufA2/WzO6Ayqdn4WvUePqeK0srt+H2/nK+sD9TXKtxA6+c/z+aPgR84SLcdf
1Hm8mKasw9zgsGu7eXaDZPe3pnT+yKitUR/GswPumPrA+bWMeDITrYMRoDeF+cdQFO3YEk7+TAwU
WQCl6qbfzLpI70UeTbi1c+1T18ZdFgj0zs4mFjL+mKogX+gzznGYjTUB33PUYI4HuJRsl7xxXorV
lua3Ih3GG8X9yy3cOiNtXJYUXGBQvyECC8OBgeKlMkyqrHlB5Sciv3Sr7NZZ6p1SJBdyWMvWVAhG
1vot+edbVcUWszoGGlbUOrq+oiGgqx7sPxS9ukCvBuQZss4OZg9YozZxf4OOSm8Mi/e+lw7KVWoD
qGeh0p7/BoG7DMVbngJ+KrJ9XXtGmCV5stPHuN3gzdYDYQvjpRcgvq4PyPc+WlR+2Y2gh1rVb+dX
bocBE2+OZHT2FrKaDL1uT5lWUY9FZDHN2wIj4GsfSTO8ft13JsIqvEJ6ZbFFhzh4ft0hyVKiBF0Z
pkQc1oHq9cVrLJGAbhw1YxG7frV3XzKqXQ5dVLbWs/P55Uw80XBC2yqkufpaWOr4jAu0RVWjmvfG
iD5hkr27oY5h0Oiua34EjrYbv2Gd2xfzkd9vqkAb1gbRZU2fhiy1YbuUYW+VZqCuo60uGmOXV7mz
W0T7QyPS8xugdSeQ9FT2Xle6K/HaIrnamG40GN55IpRLsARAn9T+ih/Pn4halp3aD4UMayq4T+we
HL+op+dGl/ohzicD/kdWHohggcPN92w76kl54628HXv8BEooq2zdXjeM5z9BjysoBVkRhayDMNgW
Uw9MxfMCq0g08A3d+GzlbnKj4vfujbOusPNejSaAVM+vGsWNObYKrQen02QI/1Hx21lJtg2YxCCJ
EHZUnKB9qlYph9hi+JJ287C/MRbW6ubZWOA8BXye8ynGIYiqF7deS0HroWHD4NClPlpiQk3VjoO6
F5z0frlpWjobjiWkzQPqsr6ZUW+1fiXY1aLXGvqb+U1vXgXCeT4UGA/XtiItzPOHEkd2VgnLUlBS
T/pG6+yvsU7/Z1GTaDNNJOnVZXcLgv9mz8U1OZiwSadbytJ78SJkzHJEoZtcJUlhbxtZnXVaet38
RBg4QZL60i3Gk5iMhjy+Xou+dhmilRtD8L3fgN+H/awOyJi0g/P7lgvsZr210yMpufKBDXrv9w1k
Ptz8mFZ7OutjFBW+aYp2Q31+vjUY1+d6MQ4wLeDjYkSu5ZmLg5Jk95h7eo7rPs/rfp/1GczVTC+o
qNF+yIB5YAge7iizllhUtRLORClsvfFV6Hv4k+LR+OzpWQnKRqQAvq4PU/uvceLy91HeQO+P8JRK
2cU7csxR1D1pVziHAM8as3yMtfEP/xNCsdq3E1Uc+q5jUKXqxyjuAQn12oYXN/D50H7QtL+TfNBy
r9pKrd9rpbLXkfLYGqy31osa2CT9XVfJ05ChwXIb99gVTlixqRyhJm5cNdpmWntAU5kFRQuxhpz5
/egQX96qH13BNg6FFcnE5O2yeB2g3TBhlvSkD2NYSDY0sxbanDw8MWzllD4mOfnbC7DEtvNeuqg+
TY11mLNs38bSWd2ee3BLzcaI59Pk0dwpq59xZqK3lPFBH4q7pSr+sO/xkzl5LubqpUH/dc+/gaoS
eVtW1PyE5XVZ7CfXLUHuGAFiRi1hahtHOgyPyL3rg8y8bFOOGng7TghuPpDQbeZ3hdP81lP3pdQn
8B5FyhY19QgT1+tt0kyIfRHBb/RC2zoauJQJuauYo1eXSZM1fbhoyM2s5tApNuIHJ/bojtkHxVMg
8tXzx9Xhd5icWRJXp3DyFUUtQ9E10adWKe7b2D15OUpJYMQvWZ5U4EW6FTq8U2drq6TlUfOWEP7d
ySvUEGVfGWQJECZVdM+EH+ygPp7qXnuYE5Snva1+mjV1r5F1t6Gp/EVRl11MdLA7FntCHO4HR921
g3z0qjq0iqLbdAje+9I+eHLYL04qgszSQtOWHsmwHdlMc/O5tbtdmpoRxA1n26KxzOu4PsaKS1jQ
kiEONk5jrs++LRT1DsT9DzUeA7Wv7fspK3ZWzS0lroV8bEzC3COAnHBItUte+qrOD55Rhfkc3+le
dij14iRMUmcrFIjulH2PMoaMoY0/l1zjOCTzIkyTodyQDnIfN9a3ik/6JiJY3Yn4co12MCnlPcBs
jmj296YXH1LQiNAtIFa2xjYdbXY4S9LvWys+YCJH82pD3Sra04hUS5P665g7dTC2tk+q1bEbHJ+N
4c4q8u9A2NpXfbYoSPXx3VS7PkqNnQmWKMy8+DOtrFOUms9ZROKtzcRMC/PLaCm/kijea/FrEy3P
Zakc+iR6MqE8IzHTYLlJ0YWDML/rVrIDWb4mMCF4qL17xSQli/zaNCid+SEdbH/wil/qYvNS3cUf
DCcwJbHG8QD2L0lAvw3CF7F+14phDFzpQc7rdhRgEXvCyLJbcu0L6pXJIgOj7+OglIRDJ7IRu6VO
79yRCBj2GUtM7O8oQnP+viTVU2cbIX8xMLzxMU6XvSrqPyBeAKhBqMun5vco24M6Dp+W1vxg4ey3
l/p7D2DUTZfPmW68UGT6ZsIIYJY/54v90e6tHzr9KJuIaqNTv2S5va3KRPoc7mH4kb7rJQGklyc7
zhC2zsauakbI7urW6tOwH3W/hjK4aOJH0dZTQA3sN8roHQ2hBX1ggYnEOpVV9Uhxel8tzfeqM+7m
VocCN0DW7LodhD5tA1jxy0hRcs9xUztF8/LQeOq3Ru+I1yjbR5krD2NqPhZd3NHXbkYSm/NvmjG8
UAX5Mo3512Zsy4BPqz/BLuhy52mCWskJIxgjsqYMSYB8nwRm0QISc1+8Sf9gZ0aBHCx5NFv7hNIb
9JubfSKpWSEIT/U1d+EFlRMrtwMdqc9ZQVKJTBCol1BIgcbIwoHfC6Mkj4i9Hz4vfDbbpNO2jWY+
KsKBBVjuM4WsXRaYSZg/ta66s2K03UVd/AaceeRwcQQVwjtofFNNH4h9+b6M8ces7k7WTKx1bDan
jLz5VHGPidfsXX3IWSqbQ+/oP6lufMRuuSELYaPXeBNM4ciNOahoUitAz+VzlgMCjUgKn5T96I67
LmcSL+V8hHmFtLl8GaflYLt1G6ChwvtuTw+w5fdNX33mJCA2ipnEsA+jU6ylO7qm32Mi47W8+hDZ
3aMed0+KMvmExIGr0e5y1fiAeeZn7zl7b+gOEXlp1AC3lTV/HFIvmFPbj1XYqPqEWN1ovrVzcUci
2+CbvKoB6pMzUbPocvWZ5JGwkuprAU7rYU4toJ/qwZ2jj4nC8xDjp1l6P0syu3O9+Qqo6qsnJLnT
8knFqVx48XfcHB9Eob20g76nnC0RnQ+VPxuTvs3bameSa41LMfJVUX4u7Qrd6oJKFATpRhEWw3/e
pxKIpFB+V/EQQ6aLn6pm2VFe8MkyHTatquMSGXSUhe4UJhlqwpLk856AV7hpv/pYX8leAc78Ei0y
ImBRZfclWNPEtk/aKphoh2M7YWCZKh/nSuhG5c62yq0xpqcB5rqis7bGRhIgtn0FBr9RaaryVUZD
S5qrj28JT0CqF9t+tD9Wlf6RdZuo8PkAsuYYRZMSWksTxJl3QgVCvp6FrDUfjtkYdXvMSydDibZ8
An9m2E0iVXx1e6PesEQYG1d3vydN8VrVAG1l/9x51QuKp9ciMT701oQFj6VcWsYJhLqFXIe1uAPq
W089bOZG2Q2tciSz6Jnz9X0u1S9mZT9IcyZcvjS+Tp1RUeWrNtgzocg6o9hGHa4F0ol2/ZDtI5cY
34aPQBx9oSJ+KgbnoaG2Esfmto6HB6uctzOonU2EAAOwubUXlvOqK8uWVm9NXXDw4XXuNb6Zij06
G7p/6qaJkVvapXVnE/7ctsMmGqd55xQLaVL8/a4/Qj7b5q4ealn92GrNpmIIZ2bx01OXuw6C4yYy
6BV06vywEPC7ZLpfVc2DE7ffqKyH/QR0FM/HglJDLXQKtLhDUi8zMSck302vPjUqiMd0yQmsp+Lp
mEoYK8qdp8ynqsYI3IglKOEuH/Bcmg8LKCsMj2WoUx2nq/iRdvIJN8yGCPQywBYGpzj6IjNtowOR
KdR28qXT+ums3g+sW6YS3ZdiDuwYlfKqHK95Kcukmf7Y6J8whP8i081XDPExh0sXSexLpv4BZ+Gp
0dxPGjkxDdzyIcZfQWKzb9dGu3Gj+Gia6a9I0cOhGH1haOEQQQcf6POht71L3fTjwOaNlv+rxv6g
rUZ8WStTU80ARnlecdTM8caR/Z2zCgqy/+3FL2oYibt0JpDaPOy6HivKLJK9SDp7F5XF8qgtFcRL
QwFc0mpfHS82nq+fBfR1q//2KLBSyCBtrNLs86MSFyBgcFnyUKk8aIh5to4RdUmhvkpjlN+MSJmj
EDADzJoE/XuyS7UuEX5SGDgq06Tp3G05aFJ5BtCajJBlnYmESRg7R+FWGtNZdwRoSaGQ3gz7EwJo
bC3TwQGh7Ox7zVTW+Ku8/tknRfGYQkz/hQmJjwbGgJj9mFWgu79+z2vp7/KWOdVhZ6NERaDARZFK
ZJClE0N1D5Jm1wdnnphmepHda9RtfODAyY2ywDuncE6DK2MOC+QKhjh/xEhypiwvZ1IxZ12BtRjH
vqc0xn2kIOzIVG0kTN24JQ54WxChBrFiCmCOgWpASX1+1RgMjW4MhQiBUvz0YjvamhbMfIKpJ3YS
hdgY/eIEipfA6xla/bAY7fz5//GgXTywK3nDNN8IpNQ87rWW8kNtt8lRto362uBG3jbRkG9JPNdv
TKU31Udu2TJpmNmcuKjHX4xls1LBcUatF9YdrLcMHd1903oKBkI9vlH2e+dSKMs9Bg95wwymi8rK
3E4pcN0pOYIEzx9Ep0yHxXTnQ8Fh6UbJ/O9juhivPEN4jBCkbBp0F+O1mAprkZEZARadVmPilBol
86/wGl+JTGU/62wWQEe3jekbtTU+mOoEMitrCDzkLfdaucWYhza1nXOj3et90wm/bvVS96N+Rrqm
uSlI4tlO0iysp859tJMaMQl1PM4Ui3QfYHGLoyV7TAqM1GTYXh8n63u5vEEKRpTrAQKsktrzoVo5
gvhmqF4hTsboONmKtW9it7ilQPgr4Lq8Dk4RKkKALanJX0yJuqyp1o/2TKQUvtIjNBqDgB61m9wD
Z+W6AKI6VNO2Ix9AnmbDq/kJPdQPeyNlb9ivDWilaqsPIMWeXEC+1bYUbCrA3VdOHBiRo8kbS8eb
pUrDzUwDgUWSSYTA6PzJyK5NlqEFmKpGSAqdPh0OIsPmmmeWCKrevunSWcfS2SPigmhvKRkSf4Iw
9aJyRkZvPamgZ480oXruj+3oyRzo9m9kNGdJMC4Qn9KiMxJ/tHOKBawsFZkHi7R/Xh8Ub/KfLY3e
BW+Kbj8fJtO4mM1kozZQAZ08nAWORcjZ+kPfY78yLX5HvBijDw9a3ZbaUtwls+egau1whcaaxUlz
+FXYWfZij55gu6Xd0tO+mf48JqY9vguafgZ1zvP3QpwE8Wxr2minrsBvK/XKnxz70QXON30h716L
FgePA60pOrPza2UiLpqR9e7Qjbp6SjWmfSamZM/mxD5cf+bXL8Ulzy+ljeY4GC7FFBIa1O8jEoQ/
MSd2nLJGcP1K7w1sOmKrwhMDFFP//EpGEjvW4mXF0WlhenM2Fff6YqkfRlq3h8bwqhsV4ffv7H/X
u3yI0aJFQozonVRUQEHl1Fnsc1RRfa/s8v/6HVpHB+Q9DhloOKi9n99c27YmeEInPRLZ5pFianAi
iybP3WEPBL1x/Um+e2f/u5hxcbGk1IrWSPTymMhBfWxFV+0yRY/XYHTr4//jUizSOowR1E3W+lP+
6amWS4QFyWmKI3KQ8ZiPc/RJhVMeFLMJUvH6td58E9bZ/zeFkBGCTe7ihS2j2gqw64gb61F7sq3J
/cDB/lZW8d9u+cV6h3B6VeFzUwjjL76t9AfoTejjdKjzZj/JEQx2mkcY/KvHqaAeqCj6tlisQC72
g+lkHygNzxQQmwNxREe9U5Vdm2hfZFl8r4Tw7oYh/3H9ObzzeslQ/fsN4HFwUDh/5iKuIVMnfAGI
oQL1ULbUY2GnhfS78t31S739PvLMSU1V14w8DEOXjkRZFYYYpCmOUWk6955T72FkEOhhiuKb6VYT
xd9p9HElIzETwjj0oyy3uppRgU35AzdPs23R9c49tmuwDW3Wb6//wncfBttoNGigFg1VP38YuY6z
28gz5xBpkedDcZMYq6tiG9XzLQHBOm0uBwaSNdSRhJzRybv4+kBbz2KBt/4ou1TbqKVDgXr+0ZMq
Qe6U0s1HO2vN/25N4wUQabcyLhFK/j2s/TPBYkw3iWvq06EczDTeu61GhWvQtOUb+rYs3Q1eaigB
xPa435RufEsH9uYsyPsnhQwpDugYTg8Xm9pxGmnaQP0/Zv0wf3XUYm3XoWBAVSOdrzNW5odFOE6Q
N958Q43+xjiyfu3XIwJPGgUa2pDzV9vWaAqHwZMHqlu4XwcaG+T5WLvcXByig+0Mg4PpfdTThhKz
52q7TpLyQe4seJPrg+ySnMwecHUC8Sv4Z5BXXtJ6jYQ2LgYnQTxRmW3radS2aL+SQ+5pbLbTqthD
1YafUhdTuQGclnJ8rEi3SVJvhzuiuLHqvl0JHY93QmcbOhtbjcu9Bs2hmVzxKFQcRT4l8OnggHgE
8/rX7/uv2eh8yHOhFSWITJdrvfmS5NmStHMlw2mex1dhF05EiFNXx0FnGQtZS1WuDUGadvlAk0tQ
/6Len3dk8zpGSVOnUE6mKId7qxPWV2HV+iu5Q8op6VwIDWpbZ7gcZRSvqUM5VH47F0Rm0eR0fw2I
YXoi6VNq8G6T6WzjpCl/lJS6si0L32BsjVpG5OOIhV6XkiMZerx+92/n+/nNX7REawusrDKNZajh
qNnnNtQMLzNejDizt3rqfFfmKvr0/7gkvXBKAmwVkEycD/nOizykb4yzzpap77RmdQQO0W7SZP7R
DaCPUysSN+Rjb/ddLC9IZ7HiY2h+05l28UbWMp0EfmrDuiepugJaQ70lMOvB+mqn8ZTdGFZvF5X1
isj8+MSycl+yRoceH5Y1WHgJZw3yz6wsarRxa6xj+87M3AdD58kjcY3zr5NuJ7f4S+8sLFwfiT11
4DU5275YWCr0+7odkTyD7kL3mzROfFDUlIkJGyHdrwocqy72/WhRBtZKqrjL4u4ktoIbb3vdsJzP
LgoF4O7W2QVp8XJD04B7glncZYRyLIp1TG2NwBgjhfeQq4ml7SLqNASkdQtpHcs0SPoc7eD8uT7k
3n5A+RHMbXB7/ArrcooT1pQraS9F6JqFt4sKj5hJMkOXJ96C8/36td4baig6scXibABxdzGjIBAT
w1WmechuA4Z5LvP0tPqb7kvirw5NYt6S2713c0QDgaKGH0Dp62J3YIpubCYo28cxH4sPui2i/TyC
XHH0xrnxjXi7WrhM2VXmD9adysXFrmxKXacYCHg7YmGnOJuTaQM5PkfptakVxcH2POfxw8Lesg+u
P9W/laWLceQhsWNCQZhFD3uxMRYxOZHGsJShPZTC2CaKmenbtnebu4jewiEiH0/sZ5XwaNIWuize
JrigqkOyFHjnCIzC66UbimiDyo2o/Vz/dQZVqbfjnN9H0XFdYPgYXTyatjcJZ00cO2RpqzajnMZt
Hw0eOPDW21HSF6fFAwZM+x+TQKuYJ8OJwTBW5dG1ByQTkUbcaWy8EnfvvPCu0fwKJACRWcY/R9zl
QRvXh066O/Q3w7aa+Vg4utQ2LqoBy5LFdiQ+oE4U674qXMIha/3RqizCv3rF2Yy9GboYeYISRdym
INVuSSPCc1zssGSISh2CiizHH/lUnmaTZmKd5S6tSTfza2lGvjSXT61Gi1lJfUWfHqTNg0zIdarU
mPZyJV87Vx4UYz7oNXDaWFlTqzrCOeuofCyUekXHQv7qfoOTeXBrcCZOqgeF3u+rHtgXpWGuRjdj
h8LvJ2lhuYVmg8USpwESkRLixYGyk3ngx9h/CtHpbMdz8h+JVqo0GNwK/mzdjoEOLqqKoKXicXuO
+NJD6HlSB6yas57Hv+Rk5dkWcVK71doBj643qkqY5LTEUTE6Ow7l1UFLnIK7NBL87B0fjWdU8W23
ZYtqr8gtkD4eNqxjM0T5CXFCR4gSMUikS0T7Ll1638AYt3dYhILF0Yd9RpyBPypq+QUwk/5KpKfh
R0pFz0PU+cvUR98MBfgJe27dJyPi2Zz6z3iTPJ9cv9/TYnxu6gSFjVI7HxvKT69uXhHVQsCUfWgN
h95njMBmEn290xZOA4ZQj3Cp9gnL7rZJIYgQDk02aZOAgSI3CPdarv9SBwQlrapaYUpfMywWUe7Z
5ZUPGTgmftgAOiwqWD5aKsH7mizQu763xruqbL4WzVB+Qn5SHV2VKYcynxCsJUqxa7XaMZmmk14r
v+VKsBpBdwUtEpBdljfA/WZ87gEQhnpHwCUGxUyH71faNM0Z0NW8cnsQDRkGehzIPZtaKBh9dAOu
nFn+SYAtbmc055u6J6tBRqqaYMVw3Aek3PonhcP4XgASwqmap1+JUeV6k/mTiCTsCFM8+BF2sC9j
0jC2dIeEQ0BqOwMI5YdRJu5jHbvKocTDAF2r0IO5liShEvXqj5bDDXZ99WE04m+6Wsida5CTxYDl
UJpq5chJMZGf7NzsXzsbkixiks9xi+JKDg4N/rnrnimDNHc0HtTQEJq7t2srf1YMKjKxmrSBU7Gj
5pth+0Ln54H3tz5nZp59nyyne1C9sd1YojZ2Se05X2OT/K+F8N2Ypr4iuwCnxuQGyaBP5YFBn+Nk
WFyZbahnqieSKtWTsMfOR4JEv7/MJNO4KvJ4g4fQeLGWzNsaTkkff2YtylY0HfOrfkzVUf+i4PI4
iCapf9ca2FpfDq3q23rSbEslyYO6LoRDgBcMD1Ir0uUl1tWo9UsGILr8dNrA8Vk+aK29POBhcvay
jqeP0RKXPv3H5Kn34nRPJp7hp2OvhNECcqCGFAMJplZ+sPE0v6PYxPwzJeb0BCJq3o208n64hCG8
kNS2bFvdyHYke8Wk+xjxc6wDsdKjcfHxo3c/IyrqJ2sc3Ltu0OY7PZ4IHLUyNFxaofjILyd/0GpS
4Ts6xqk5iYesnkxSR1Ob9dP4TtxbdoDBrLx4Ge2NfIp1KFYMcOJW7KBHUnOEB93+ylzH6v3CaMan
0SDq0ya+6oNHHyLwItv5Cs5uPnY5g6odtGnHTjTzExAwz8CM0g2dY6f2W02arNL5gkBEL5mCY9sH
Swm5TMYzDMLZkiIQUb/8brO0oJnMOVGfq/hQ951zGF03+QPw/V5VMXFuDGs2v8TuKBCDE46pmDis
kcCI5I9DqHEi5hyMXDltCZortgqRy9ulsYfdqLrx87yYxQGOm1KjlCM+8YATRduyba2fQX4Ho2JP
v/POoUNgarL3JwQAe+L1gLq4JMEFbBoIU3HaOUQrR1dU1E+ytSzwB7W3tTISKzel2sEaVEt1R7nu
/zg6jyW3kS2IfhEi4M0Whp5sbzeIbkmDgvcFFL7+Hb7lRGikbhKouibzpMfrEfhtxKrbzoiZ5owN
Oy8VVaJMS/1JgzXjCnWWhutctufSqpsdh33PE7RO3akSmnfS23JBZjr6wAwnN3iiLJ/uwIeBYJbG
cMKhNO+wQ9FXhAJJ3T3QAqidF7T5Wy31yYirHKH7nR83kRU5kZGaozvoUFxec8sT12yU99xlSuwq
rNsC6KOPwPLoeE0Wo8/KIm1YmcosznTKbHK0vYFj2ckcLramr72/TuGPh2wzhh5Su+RSE6s0L5uT
bl+Bkub3UvvL1UtHgjIbG1BmyKygikqbqma0pznRNNpxTTQVqXCeSEzUwxdSN63b6HkENw9dVk8c
CO6QlN0YyCiwegNJ4ZyXidO7y/NA/iWhn9QibD0Z03cVrqgw9QkoIIvV/HRnLcf3VqGDsbpt9KOl
J7TbbL3mgI66jEvosndhRzpmvDQy+yMyUb72aWlEtnKoQ/SMigcbCUHlk41+lTextztJaVGkIR6q
/QpfDxfdP3iQhL/M8D+btXxGlEgRkS2grrPhCz5uvZ/LQP0Zg/GblObXwUwvnkBX4QaE6Wzy2hTF
2R7la9U5RzHL8awRC/2Yukgo+on3qjrMqpwOZlY8ufJO4ySTJJQDKMKZ61aNI4GS5NCy20KETfZu
kmFhCwU7BaOw3zarP2YTTw0FAB8HOvnwHoIadp0TmyWV5Gp73BydGQUbR9tMvOZOlOULaoFbP2sq
0i3x0EzZR6bdP2RWacaAcmVGyKCWn2HNlijokbdmRizz5V2ArQzZab07ufe2DBo402Xa66t5c5zJ
CquVsPu+1uod1rA6kghwqbfIOdDSLKSAfXCAyxLS/uPD4fRIVkvm0YBMS9ypb8UaKE8LD+55whY7
ZUTXmrpAYeMTode3OtIfKbz0j6aaLq7R8dyqASVObbjpg2tKQVklLCucXdlFnuj3krQKv2g0FHPp
TgvW8iKyuobk6/m7nF3VfpDOF6miewJp96RpHlTgsRIqnpaq2QnPucxEModZURz8afypN/vbq7Tz
whbs0UzJYzdb50K2wll4vtp3ZnZqRTBFiDTfB6HtyI37qQZJx4bS+pZaDF2MAvWuO0ifg7F/WSfE
vmPVdoetNl9X6e6tWl6NGc4htHqXpHHPqPmOl710hzi3kaP7jaY4etHBW546dF7r7mrHexQD/sTM
W/eIPLD755nDt1HDkao+bX8B28KBVYgAvdTCT0NIeO7uda/+0Qio6gvrSfb1i22WOyClL5xifyuc
IIqTjqLfDPut/uchP/N875+12lNsdPljVxLxbg5xOgPdIU+ci5Upc5kljsn5QccT5Rw7eksook8i
ZzUj4SucB0g2V83P/zaLCyvUJgB53REd+JdB9gtd9a3UqAK6dO+L/rHJNy+0bOtHVpI9d/4gawiz
QffZd//XI8MG5+l44vb90dfl2V/nBb277+4Ma7s2leiiyZvZhtqsc0gL3GH1Pi2Z7e2oFaqDWTW/
CMBiazMfuO4+nYr/HZDYcEPp4pDn6PRJLX1+Y3FsF/ckeSy5O+wHkllPwCpiq113a2DtJteI0zW4
CC9PXJNta9vT2RQlOrBtVNEqqkO1DSkie/ctmCgaAnd+MRi6IX6tySF1eAgcxZis0F1jpzUdsXu5
7aEQzo5p4P7z7q5RL4tI6KMdWa7U/8lQ+EhfmvarNQlBdMQNMY8VLb7xtHjLPki9X9vjwLa91I97
ufyO0xQJc9kJjO1y8G9uVXxv5rxDrnvk6n+aTCfJi/IyL41Aa1h5cV4Rk0E6+1VTjNdK2DRTv1ej
+IP79FdM6YM/0SGt9Y0h8Rhl9JdRN+ky2YCl74LCzDhBND6fgH7Br8fD0nRfgZ5O/5UjmZCT3/Xx
RNZXVHTBs1B57HWmEyE/RFQqebSCwbsxTj9lRvFtF+Nb0xa/hfS+i4AWqDW32BYOVUpw7TQvRoQU
t604wl+mC7pbfDt/P3nOd91pyT3hLjL79V+z6RDGvRTWsAUBNoe1WgublbmRjJX7CsqbCtCmuqvZ
TWsLb3MH2wsq2hRJsGEhUJEOMwCDRhAaGC/Q1TPqDaJ+ND38A9N706uOqrv+YGQn+Dip87S+pycd
5K9VBzAiUpzvQ+1pEdTOb3+aj8X9ZekCmRR6dkCjm4ZTB+p3qXpU9ypbwtHUOMBJYG81dUvbwAkt
lIukEhVko4+PU0WfIurbynIpKOlMtu6v4c8vi6XzJ5lPLW1WJNagHpQcCYW1uqszVV+jxWFMXfwP
8V3KTdM9t5YNOTsFAWLXVNKLXr9VVne2oaGGpI/uK/KHE8HecqdE/5qvznPnCnCOXFdxm7YbCyb5
iwIZ+ODGWNlaw3FUpKwzoo17Z3i9B79x6ZaXJremaDT4YqAwHTJHA0jQXu18iCcL2nxX2VeYIc8Z
/p8kn23ozU1/JGX+0XTSAuG+OpJON6KqUIeg7478VlcD74k+kv9Y5FwTay+aPcGjfynDIztr/nqN
caSt0K4dKvjQamiEey+7Qpb5VSnp87rPl+tWC2Gi9IyyH/l6YLmrrQu4m9dL6vI96MhHE7fQCaNs
oeTOvTVTSGsARswBDSphWumFdky/ySlg4TQJ52gC7h50dpI6cY6ovR8LIz+qqT+U24ZevPnglA7X
1thVRYrXXq6fRaVDk/X95STN+T/P0AbsMxpOHjM/Wbp6HVaHeGn3g/zu6bqMkxE5Hn2UXgVonpvu
ZN4r2ypw1UtaW9jLFe7xtj9ImwDRavDkXrcaWOUacxIUQnQcnOogr+b3fgx2d44sbsxrm0uCf9tX
gMQU0V2vh5rF7l3zRjzmHcJvxrcNxXCLfaNEcbpp18UyTxScR8vOz3dItE4hi9xVJqmlOZGYahnK
jqOw7u2D8CT55HN72Jg5HWAJdeGid7hs7OVtDkbav8H2qnhOuT1sLf+iQPmoRk6E0rMf16Av4rxT
7l5z78eTnC71og4e3tEI00aymf0tx0YYVoETgRrHNMfaZ6zmw1Zm+6G2Dvgg38HSESepX0sw9Si0
Q1Nz8kgHJJDkNv85etWu8khDHDa8IZ13xLMWV2J+xfb8ZpqK3PEuAZ+dhnPQknnLuxwalVHvOjWu
keEtXoIOzTzk1NWgJ85CNDu/5HOkdlShiakv1+anYTT+FWn2LgkYDg0jTbou/6S+j9POeRbmnHBv
fKiV5qn19XCxN7yQgeZAmFmvUlNvkoKxGbXnwG7n42imergpeZR6xoU33lZ4cRqjaUj/P/3m7KjM
9uQEP6lUvUurpS0v0/2sMNrbM7p8fUn8On+eyiW/eKso8OzQqeh5Vke1x8ULsruL22YakyafbtoG
J12hFAzduyHDbHsnrvgy0X//5zf6EdHEh9XbBm1jgZdz6479Yv013Ho5N5JfxptU7Kf5YyGbc5YZ
D6Lpr0z4/yuKhUGdflMtsY+A+n8s9FuxqWf/UPadx27Tk1rzHwGK7JSthZbqvhQh0305Pbc1Wlil
+784CjA+uH/quwliy789TQt2iprBQR0TGdv0ndUkilUuFzJFzhS7RGd3UkMRNTxnlEq+rexD7ZTf
ctTmoyNyxhr+yIC4BYzvF0PFrCW7es6I+roSx8Zi2pbJyTk4o/tQGNPJcudb6fovW5rNxxIrWej1
fJ32ttJ/bB+9s/6l7HPjmjVc2Nsrj9b2bCvzbZvLvVz6K8yWIjFW6Ln16L01xdBEaydfkW81N2nK
F6I5nHcyel9gX2DSEpt/t3wcVWZd4I/H2ziOp9okkwe4/t4YrY8yECmCc4DEgzft/w9otlfx3Tr2
1adEF5sZz9aQx7bnwHHEP2UOmYt0wYpn10swzu3tJceSL+EOfM6194pHl/KySYa+e5DO8lF6zt/C
qv6m7vSg13Z37iwm1XODSrsTOzn30FIpYmDtMGOoJXEuqRcHo0lbpq83uvcHabvfVkniC3yWdqp5
32z93LMXCbd1SpZ0eewtB3dlN+/bvo508hhcCMe13iZrvu22yf2YB+vHF1iJl+C8oX3o9TkeR+wk
iypunOxpVKnJhM7cMLdqLDqcbEB+cw9BsCi4xGFLa22/NM3NJ1yduIAlKrMUqwUQ/2ABtasD87cc
UOedoq9y9lkpjm6mG+E4uyGy7OFuwnglymFfDOOZ+OIpCrzsJhsmC6U7XVsb4rxJC1LNZlggkWv9
7MVnoQUD/9Wt5r2XbaetKpi3zzXFYHDU/HHPnisKJo9ywjxwgFx8ZzgM3Uq+O0yCXl9FpNbgq+j9
/QY8fTPqU9pmSZU3O2k7+1TLasgt9pH8asZzcJzsQJ24xiM03GcQCpTrWmJhjjKNIV7bZce6PA5m
hWaCj67qirNHiTHV1WM6Kwa36XPbu3tcb4yYt71tu5Sl861V06movCss3oskX6QSal/RE4jRZv6x
RoVn3HKj2jFDvlSzv5NDH6c5jAtvag+18sjxyLq9FeBXUGN9nRTz9Vr7bYzZvfdvEervWA3zhfd3
L5hvBmkL+y6D36LipilDSP0gU9J9WrUnoZm/9pbucW1f9Wb+Bv1yJGL6s3W51Fv+oxi914HJW1O0
uyYdOXidaz0gEFm3M8LqJPCD22Qio6FVWdpmj9P3ICc9XirsLZO8QcA6zoZ+RUhzyNo2tmxtN5Xm
uVEkZiChQ17VXKRsjHhsOnLgvEM/lMc6m+P7zYzU98DTF21ZhYNGJd1Y7yqq70IjNE6l5vBQNqWK
hnV49myy5a3qJLw22chACbV5xVTRp/ZxznjIS/Op7MdrnamnSU8f/Ur/WTRt2tV3+k/bz3+kg9VC
UPl7ItZ0dQQ2cNFF+7wWzt615hulAvEwerVvC9tLRGcZF6cfznAUTfYIY5TyHd7kZpM2bbqP5EL0
x17fHgZ4nS8t5orFw/6Tu0y2/CrJ/XLfTXKf9vmbzfPgp+KxM5bLaOcsTLZYrsMZh/2OdVtiyjYL
80r/kH0aMtCKdeWEtU1x2bW7vtzSqBudA8PeJNvaWzsJ9isBf4Nz0FuaY9l/6RlhIJ2hv7ocJWj1
E22tI99cMWznjAoZ0KSmqjkAtNe1UAm1KC4YtBiJm9I9OYN1NaolPekaLvNM2FvkN/ZMQ4vRrZIp
u6EsKDhK/Rd7LruYyHbKARHojDHqj0bntq0GcelKeRh1zjN2Jdd6Ln8GqLeDtpE5mjIdTzsdNYQ2
Pzpz8OxK/z6vi2TuKt4r47l17lJD3ramXE92o26d370y0TVOvczfGVe2F446Rm/GVMN+taOF+iWc
N4+uU9OeZLX+OFl1VibtVN/7t1WI7yzwGT9kzblUateO4oH14X62zEMwFXvBYIy91hIz79yvDb/R
sqaJ6rUTS+bPigeDmdd2JN0mrmoKyjx7tDIKNd+dTLKH2lPjqjZMXefqQ17Z2L/ro/FdWPdBAGsP
DNxYvkZW9DXRr9p3bxARs5bU/cOQuqfUWI9awBTG0x96ZYL6WJqd7cw7bqiLT6L43UGYkjpwj7A4
ulIxaKysWzHkNiPNgfzleQzBPz3ktvySlvlnkLXzZjd9R7Hnkyg5rQ0fZU3h5DbPbYcbWFdryNrg
6Ds19QUigWFJlrrdZevinEUgP4Ve+Ac4j07cWR2jOpda1mYy+iQDdc7EvSCc25htD2UbI/qYZy2p
suJVl93XuE0dY1u9jGvd+kg7kVSOkYHPyG6sf7AhVowflIZvm9QmqkLYIkZ3wK345I/g0qtAe1c2
WRz95CRyHQ+ehpPU6ZtkLclIHhbdjXsKY0YqTpRyD4yIlyLLoerNR/auOUHcx4XPOfbxNPc983ez
XD/WOWXNNNc8ZykEemc0RiAK3t6rG5jtnbez3IFmxFuvDGjfuPCnuCflPnZ7kGBYB2Ly3kOXhVio
hHUw8+DN7dhW9l36lVl9i+qES5uwmWcZjEzbHC2pxbBvHLFvcvXZYRi28uzir97FpoIJl/Y3V2sS
aNrvsukP+pgdVV98BB0dV0FKk6jTO3iz2s6jufw6RQAbV5Q7ZQasoOxdu7EUh1D+02O8u6bYln5U
t/wpDexMTCScchgjDOAP3lq8l1V1mXN1ydmxmxtLhoxQIbciOw7sLxNJpUWQvHZkP53aYvovL8ur
w4rpJHzeVr34FwzW3qkwD9v9h2GupJ4XxD+1yjxPaRWXznJtF7CuTpVYW4WHP/vG+k5xU8I1yPFb
lvc5twWVoSur79zpv91C2wP7e66H/sUwl3PJPG40q7dpqTBgBYQVCdT4Ayn2TfZSZgXZW+awd0ky
FjBqGIPjXTSyV1VsD7Os39qef4hRfBb5W3dW5JCyJagijCJIssf3YuLKDpyzXbCaqUf50hiLj19a
U/FoTL9jS0HgF9qIqa43Y2dqfsSsfzHuG87DwiGxeE5YabxHZM7dF8X/0I8eA5mXcXZPqgZk3rMb
FvOtyaF/TEZ1tre+TyrqtEgQOIptz3/2RbUvWftX6PeXWV+PnZa/yL7fc8VHljY8ap1/FWbKb9g+
tNMWk+T5sBZDhGubgWZjhabZ96FJBI0MmkdAY387ei5nzfRo1stfZ5Nfdsp8rGu5tOoF/7vM0x3g
vaTOZEE0VbBr563mb2hjuTBdqvOWqCtz+/EmRhDup3BHJybZBpr19qp56jeY2JmtU3bUMV66cDbC
bt3GyLcZhQsz+w56IfGCYzVdBXaBHMRcaGG92wf6/IlOaj8G1aHrnds0yuxb3rFNWUpIjP0aaOkc
k4vSH9h1XtJJz8PJTJ8dfYEi5R+zjJiOEdtdrE36Z4d3c6054ZwaGQCWKXLJmTpoGUykLO9/FxYU
uy3VrqW3vA9bTb/M8KNR8wsEiAfLVoms7fWyNiBzKs8gdydwz32F/8N0/tYlGrVSP3Nd4RidL6v4
aK2CIZy9tczftAt0si89V/u+Nl82BB37VBnvjgoeN3e7jao5McXimtSbk46NJciy3erCiAjavTtq
feRkaid7x2Un0j2TIvZgakLFgWHG44ACILOmR8Wrja1LgzZAFM9UXTC3U0sE8GYwOo/ChCSQ9i6Y
O7s8dL79aRKysC+ZoDEQeuLFx4MmrkKWt0WJOcrszvvkj1LlBA+lPezIGl8TnHoCGAYZEanhvlQd
DQBgtC5pGZ8gyqVwCEQWei10AKfdiVW7tdKGKKIRN6mLPkT7tHOn7UFO4x+7TR9nXfu0UY6E7lZ+
baIjx2d+nMv0QS0B3vuFi49T/l/f1F9d7eyGVX/ckKkcALOGGLdYR7F3bNoxalbjsGXObnZhkNwN
wsaGx9XbfobceNZN85q1XVQ36Mvq1aTyVs8I4GN7ZT7eLgGvM2sxgx+eo1J8koD0C64oSHSW1O8b
Q7F+tvuYxCi87ubRtKdvp89OA2ft2sx/y02cml7/t6b3N1U5z55Ox20HD9kwJD384Xswkc7ZQ4iY
PaQRV9+BeRM0uc3fz0HzHy3LI+mklwIhrwr0HxfOTcQkMpyzjsDM7pxX+SNRc9RG1vLBzFKyJPaP
pWQbbIjmr6vp9FhsDKYRZ2iKUVnPrS/DnjlUByZMafmzBMszoQW0nCtZNV4VNuWCi9uKTCv9ldPy
4U7jOz3luXHKeMxnRmvOEaHn0a3nV7NxybdRpwAZTlis5T3VCz2Q+zK2PGpWfdLT7LY0NB3EJWNo
I+AsVW+uX5CtJe/Fn/W+5mxavJkFhR1X1YKvAOyQENV1doJXjsiE7exxLMUVp/MPcfKspkpEvaWQ
R2GML+PWPVv+dMxEcUgtFbutvGRbGRtz+51ZzslKafo8d1d09qWEDRFM87mXxn6RNGWadI5eQbWb
jjbzyDwR9sgao1WYtIL+kwSb/5DWs78my830LpvRxqa2PllTDpqAdcFYX6bO2PWucXBs3nOMm2ab
XjBDvRU+JCdb68MxxyunC5dk5Fo9DHNDbq5+CRqGcDy7TTVd5WLQXXindbaevWCNvd55yaacFfJK
WJvu7UcQnINskzQv90LIC/1J5Bf3yJ+Jp4JNCfvbVehruLGpWueavqbEzN6dVweLukhvnY6fvt5e
stSM9ZmJbd1qQeShN2b1Gvcr5A/ICVaWHhqQMrbKd3o/PEyzTYXK6TCMQazZHOYFfjYSaOJaYyTR
I3VBtLjzxPg2e4oFCC/bMM1ho5pzrbJHKKa8Og70Sa5hRgLlqZbN3hTlhT43kYV7WN3ibBkWMuaU
SZbkaW7+1ulEnbqe681/yhz3VE49Ay81E0nCgPk+DpxocBmvnxpneUOPcaGjO8o8PxkupYyQU0Qm
1YMltWvqFZdm2Y52UJKXmcl/jc2ctyUJTINQWxN2MEMTkMyVPRI8w7QwLhqDv74AReFvj2uDuqBx
a/zvHdAAO30h4AzXmu5AAQVou/jpa1aUMsxK+8nQm6PQAOixBbhp67o3S+2/rhPfTHFptSv0ZSXC
OKia00WY+Y5QRdbROotaJohcFjsQr9qO4Q4bErWtp972nskbDpVlNnCRmshdl4gt5mEsLJ4yjWjO
1uYt1cRwXH1xUUI8V7W6yfmuviOqdzNuhEs+eeXahgZD+8426F3Euy4AK/JzpqKmvXf80IbiM7XD
gZ+E766Uf1qji7ep/Fo3DJR6fmMzEckqfdnMOqKo3itTMkUVD6vUYh0i7eBrl4pEP3u0b3VtRkpP
P03UB5VmRNXmvPe9uoxmDZbf2mUD1bYgT5gbKotW03upCzPMxuxJagY/AlyBdSRHZPszzl08d+XF
NRbvVq7L2emA8SBKeairIZqLBaQHWhmjOAwVdaFPv+GM2tVp2FPzrL1aRXnLHPSFwEjABQEgqShI
6a68E4uPMxrc+cCWx2AnL5kX5uqtdumEgIEcy4JtsPSsP60Fnkbyb5yZGIRBP79bIt+nU5DAztii
DjlDrOXd22a7N2sZr/5GkysMFc96BzYkcPdNYF4qPydaR1rWddW5tbf0dbRYsBB3eAlGuhoTl/dQ
Yr2cNVwCPBfGlOtR56aPdKYHSCAnK2/2sx38Gc08CQbtwYUFZmtsnERKTx2EROJeGkDsbL+t93RQ
7/AmYUwQOVgP2WvmiVuaj+e1Lj9n5p4eA022d0+YwkVUD3B/jGp8wUV0ROCVVPXAhhXJUZHZ/1bP
Penm+FRlwf0BPXhckUxACVpMO3qVxQJk4T73A60UpRDCitCftbd2LUgtWB75gjLAv+YfexTYQAqD
nFqNNujeTbV2vYOFQxlVJRjkhlDrC5Bu9IL7TEv1KN/sf8SXWdHooNV0RaxWYd6fara7U8J1th8r
E/LVRN6n3pzVuPQvuSAesqBRX115zLb110aZAuem+o/HBmDRPD92yokNDxWyt2yKVR+1iAPYLkII
Zu6YiS/vioMttjcgg8tQJn4+aiGimC4UwwIJGG1HsqXbgyb7x75hQBdYp2Wyfl1MQknjUoy5Rrf7
v/XcBrn/gMT/JEqUHw7xWadCOPtNLxfksIzMF79gBQvnLh5YY/LaN7GpxLPe9p9+aV3KjWHhyn6o
nD/YaX3PtvWLLLm6UW1Es13Wu5wV64VVz5zIUf/TdxhE/OkRGfT7NiF6aF2D0w0qM5mpa9H2FBsG
LJWmvUlGd103bglq5xvbfoIC8+a53ujV9ME4GHmOlEnZeqw1YmfdDRDuQNxqVTxaFSujecwP5iLN
uGtBorXDDlnVO7ZsOylIzRqCgZ/PcR4CN7tmWnfxFnhyTBFZ12S+ogZkeZHXLvNeBftldix4Mku/
JkIVH+S7vq9a8585mD96mXNydk8DMb2AT9JdNtfPmzs/VdMKGN/5GJgII0PIknVDStVoSQ+axh6q
pzFg0rjNQRwsIKMW52jN41urUnhJ+QxYTy0EwNoRGtddGsDNC/7fzE1RlgsX1uz66Tc0Iys7YqPP
BYhUAesa+Eo2PytYmetqnTuT965L3d0GGbJp8jelZ6gRvrq7SLdQ2VuFIWFnjU4X4zClLcSCtuvR
H0cys7jKZf/GiVCGtQ+DLSzvW0S7a3BHBXqHhzg3L4u+Sdgg2sxTN8m4s6dPt2zfC79MY/QQRth6
bb4bZFfshlR8WFm5n7KuSkDI+TGeq+G8SWc3dmk8gDNAusPg1E1pAtL5gFvpiZ6F8ErmlkghT+bM
OS3lPd4XWFiq0mQxm0MxiIMxVn8tNkTh5pfedasQQPdpEbeUz3thiPqhkgVcc0Qao+X8rhJ+EDKP
gwWrkDGx9TLwRvs40dOGVO9AG8szljygPC7WuUyKVx5z/eaPvTrqU/uGrulKsgKTf8t8mNflbfMB
ZVkkTdLgsFGzvJd1bJO8DmZWJor9eVs/krAKk1FcW9W00Wz151Zstxr5TpRppIlkrsV4f3qFaccf
9V+32XDiXIzAwws2TER9Tkng+sygmvojLU3GHsb4bTlF4rbj2WeciaYndBaxMP3MTx1jrhGhB7Ng
YIwBe96qJs0o4/PPKic7V0F5cibEgl1h3yFiC1pBFbyqyT4Urs8kxM2hOepTYkKKBKds/miie3HN
4cWYxzWx6D+hUzNSmsYydnBPXNoBrfeci6cADT5spE9MMHPkUuEUVfPFyfIsG+VcUQFGwVKIhHbw
RTY5M2TgFpHvsy2mmYjaLW93ikUqoPWMZG/EfrvAahRFWrn9YWtrYTyTzi2ft2cL4elMQUeUGPrQ
hf1F6ao3ZVQfnlOfWqT1oltP6JUjXQ37zJh1uHfGQz07SVW4cbnWcuchc6/Tdp/XCxnmwRuhkOPJ
M5b3RlTfVb38VwRI6qwlOGHhWdjKGAdTBe+0XmfNr8GDM0dE4UnubHAMGhPl7/hUdDJpxXwQhXNq
bHNASCEf1GiikXATq4MI2Skdk3XrlbFXd+A6RPEgVEM6kH929HoPfey36o0JVKXHJ1R1AHeZmseF
nyNCEHq3N02N9G+SXULbMt5FapyMbAEIXcYs7RDhatk99brcnsdpe1rX1IJs5p8zJSBC6nV6qZuF
hbKy+92k3JtNielssLBG7H+sxbmdpKBmzF390tszag4ohAWq6MKGGFgXL8VgfJgE8TSLd2p89+rB
4a41eE3GvJEJr6Uhbw7rLmqPE1MWN6KQZVJPsRwg8efBvOo9v88w2nOEZKAKZ3CQ/sBSAMYDxLMe
Lom5pgpLC2v1yTfgh5a0NBtTFhDU/O0us5waWej04FUcsCUm9kNZkhm8LRPz/o1sT8uff3AX75rS
jvuhxYml4mp1/ivK+px6VRGpkfZubUdyI5cuasvxWVkV1Y1lHPrS+ud6aX7SdF3F+RK00QKxLuyy
0kFblWogM1ys5bMhb7lnsftufThliK+XgomBxwjMpNIsx+VL9N0fZvsL37c7h0VjvLgDGBfHZbM4
uQ5gRBB/pMngtPY9xjYTKLLO1z/FpF4bOhV9QG3nBDD2XERy4gJ26e9alH/SCadbMe8ta9hVOFlQ
koyQDVv5I4vpDLaeaX1W1K+psT2VLM11zdi5s3MZGtd8LfXyYlb6g98w0SsY0p35dsyYT/9/nJ3X
jtvI2q6viABDFcOpstTqZHe3u31CuB2Yc+bV74deB9uiBAnzL8zBAOPlEit+4Q27MQBM38dQEjyD
XzaY3nGQyludes9+F99bPM0UeY/srmBlqFm9SfP+oe/cz150X2G03oV4EGOp7MQL0OwkPdkH87Uu
bYzWUdQvD8A5V4MdHdtIBjSQjTfColcE8FHUU/bk5sipG4JSfuLsKS34Kwu8FRUxV33BtsKkCsgz
XwkXvfuYdSCvxYeyAKxfV18NgauvK4JdOioHON37sAcFH+r9F1uvf6SDed/QwgactMtl/TR2QbgU
AXmXb0XxsjazJxIhkiCXpUVJFSoOj6mK30tbwd1s9PfEw0XCajHc01DCoqVAuBW5xU4bokeX1tS+
boqY2yaghuAHR7VC+5LnDEE8D8OCZJsa+XdTi393KJgcoiG0l47eI0oJyJ3CVreNmnRHu+R7g3xr
5GDNnYKUyIJiAN8XUJrzPmo88MoM+ZgWsUnFw/bZcpYB0QlH+11XxEfjA470LVQpRk/7kGY9+bUX
R7BkBEWau0mbZNUWOCDCfx4qgUTi8NLKosH0nQIkum6Q1JNXjMR+kyJ/q7X+Lq7lSxe367To6gUS
5XcAEPf4NaCKXi7DqjRWhle8SChvwAHZMblCAOwbmbouLPPJEp1Az9X/YtdmSSsdFgXB7NEIQGjW
jfOQB3Tmvfan3Rb8v+hdxcQsfRiIdWdiujWQEKyaunwzY41eZSa5+hqaUhhWLZ3Ye/OM5A86+F9S
ArJFG+Xoxfdbw80xdwke+qDeKR2qtW0NGMcc029VjDWHyA2SxaH7Dr9kcgR3VrTcPDB+5A8pdK5o
CPhDJVp7AHPwxLrzXRB+PSQcUd/z344Jep5VH9KuKJZNHsBzcp9bqFg2ksaF7VNeDPK9lWeIZTru
V5G47bLQ9I/AVMwNQFt9xVu0lDG0E3uy/K7CfNmZ/Hen/sSdDp0mw9nWY/aB8OoDQgw5z7H4aUKM
ATCa/7AsuVJCoz70FSAKobR3cLe6perI9wpi+dJEec/H+Xvlk6Wiufbh5JR1M81cpBlwf6vh9Y0p
nAPXHtTgG48SniLpJrDsZaibX2RhAW3OAFKEjvEhPP/TrBqwp6khtjpa7Ectxj09QEtqSdXIXHdG
+Vy4HRbWhL2bEkQALUBt3zruSyy7ow13skCY2pZhsqz98M6tXJYur3d9ma/8snjKYv97gRAlGrOk
jF1SoOfIHKo5tifV6KxDmkQ6f+8CR5pvRWLTJTQFnj3NvWNTHe+UcB9E6Y/agOpLnyVzhz/SbV7Q
Vf5aoJrp5gg8NE78rHjak9k0x9jFeRzhY1faOPGE4QKZ/2EZwRoAQ1kINKMwUm/zdlsbSDKhJwKa
wH3Le+/QRBTgLb04REZ0jGpj18tuJUqwpujBtgRKVeCBMk7/KIJrQPO9XSXMJ7+VLbM+8BYbq9LK
DzQQ3gEuoCapNawvEBJF80GgdAd0XdVdYOQfdSW2yHkwz3G0r2vjUbe0rVa0OJdzg2ayOBgAOjHj
fOiM8QnXnlVuGA99AgvOGB9Ieza5Iv/4yCZxOKMN9ZXH0lf5myz69sNzCMBPuOWPwhBrtdMfc29c
NaNprdgbjzIAT9TH93iUTQAPQOKJ9xi65nGsC/VIgmpsfVtF3DEHRdZ/dxJ5V0bqc6NxAiLTunNJ
uhLL/8aveLOlduxt8l+lt4lhjIGcGvAMKg97LXUfJYRNqFS1chfpWnv0M/dOb4E7uDEov9igUMU7
tobdCtE4ppEAR8AkyTbeSsVvwKdDGqLl9IiSsb+0suyLaxfJKqiMBjCgTbxD6v3QdYRQid7jjxDo
f0a3OaDPaK6sVq6jKpmAAx6xeA1ctiDQ9jqLuM3bZz3ipiBYN2av/enadoW0/dHrw/t+sN8MaXKB
1NBe+iAKN9zsCcgpv1wCAPhhF+Zep4kUeMApxfBgjCYFX2XVpNlrnUPM9jSwNPFhoMG84Aysh1gf
tpyzgUoBydYAC+FgFMMHsH3I9d5BuvoXJbAostTlvYQd+EUnZAI6lKo7wLIYhVaTr3cRwEbxw02O
dxhlFQxEgyBnmWO5lKh7OHb+iLzLvo7UoxmofxQr+23l+W/TqP9wKXtb3UH2Nalp+5FFl/ILV9ey
1Gl155/Aw54l1XQ6jMe479Hw/FSQkqgyBbayQh+Co5H4Ow92EjnynVASIjdf2dsjdhFBvUKL4RjJ
/MH06TiHzo8msnc9oncLryHGAyzxQiL2SCtu0dF+Q+cuOBI6PKFZ+enQ4lng0QRaTElJelRaEXVN
yyRvVbqDoK8bdTuWtG5M70Uxoh+1o0yewtm3OKKOZSQfwIMexqw86gWOEQrXTMGmaBrns8wjNmyA
oH2cpgAHC0gW5SFXqj3RA2WwZEet7b51aU2in+atR9t+MHQUa4Fy34P0XaZt8Om2gB/zCsxsdABc
sJb2+NVwjHXoUKfN/UnE9NXN0yPIE5+IHKysw97Oe0qjhaB7qFJKpcwF6aQHizzJumbHMPc9Cpg5
pG9xSLvsS8a5R1T8sSk6OMfRs5kW69bqaY2VUxs1gLw0btJevFLxQikc03MZszkbF6NDgWNXAIfP
AVAV6z8iJA2tPvpQQu9ebxWbXKP6LmgLDUlEjxcEFmLgMq2/2r3yHsDDWkS4vy1ii5aVV3ffm7j+
2WXDFxEo977db218OPzIW2XYI20iaK14QCi/VWRn1mz4t4ikfDmCrccL/ZCC8BWgjAx+MfRgnJyG
gb7rQFOz994xcj3mGbXJQFcfPC24cxp33DYWd3NTglyzuhxMpGoAqK6MjzTkdkgSJPlTmVFbTEPY
QCotwyrsnscmbA9xj6yuHervTqq9FjWUhsbY16q4Hwxg1VHCS9kH4ruXQhXvCwCl7lCtbWtc00T8
UpIWP5DLmWu7M3/4UEVuyHZckDZwUCOSKEFNgjRzqRAXo43WhH96sL2k+xhtWpVWxokT+qg/X6fw
X9Dr+HeouZdV1cMv9ey0pzwUwI/omnygFJ05rw5SO9m2G0vjyYwqMr8sjzNj/X8YHZVUzUE2AoHW
mR4XJVbElTuzI8mqualFqdIqKs0XrNIefE30O0OHXJ9Y+XhDuWCSAZnLKqD5g04rFtnolcxkQko1
1lwlJwGFwpSbeyWxQQPYwExvGVOez6+Dko+uY6HsICEhZyJLJar4Iqhw3lS1JoBDUOvPWTaGb6oe
y6+x0w1/6i5vYbb3BNPXJ3emyGFL1BgsQbiDkqCq8Z2ngjPgz5UCKr65S0IpH0YEkBZ6ULaPgctq
drIzb2hVXBxPGqo1WY06ljrt6n/krBxb0Z1MatHBrYb2pWw9+BhObxJfeBS0bYrG179vdkr+932Y
HyGyi4YZpJXT8RTNSfxcdbJdCaZ5V2s4LniIy+Bppimb60PNtsv/hprWUarMo2bPPk2axLb0atUd
ajYRQB0EQluwP2Fc3fAwPJtDrNKAoyN2RnlGVecOsZnRWHZUNskhgIk2ESeTDVrK3g6ErnMn8bLp
bhyEv4I8/5wEpK8YUce+SMdBzIRUejqLtCDjSuTC2elj2FiLwR7iybWict5UCMAqNERpvtduX9K6
CnvVWvQ0jR8dv8/xLsnAKW+asNFpukujMJe6pYj8hljY2TrraAlNJlfQ4ybLvdk6g0kicGuIy5tQ
fOpO3IHt0/uNq6nOjctwpvMyzQWXARY5dBgsi9N6OhfkNo5iikDdDSiXfOT5SCMfJX7gYb0OLqSl
vIEwmaqXH9e311zzlw3MLY/tOQtv2BamnKcDdzKOqcVl1DR8sLCKYz3kIcUmpyz2QfXUKNESevxO
GNF73VINbyGRx+ALsNkBGr5sMSxG/EP7yfO/pnC5y/2eriFS7n38Cg3+UNMI8czqmQ5seGP/XNiw
J1M2U7UaM4G4xXS/JRUVlFWNQRvIvlhtfuAIHX7a2MGJ7fXZ+islNNuymoHCNs6CWD5hxHg6Wy6c
2appHWenCFctdwoQ5gwOcxUGTwSRWf7dswaFXopfauWv2NCrJ8WW1l0nPTob4FhhQxp9BW1alx3g
1qocs20PmFDeObKo1Gf+gL7FlZOArwH9ZACa1ENZf8aDggmKmiKPCrzEnERyY9xpzSbR17gQmDXA
+RijVL0Nh2+Zo2YUe5pfvSLzCOhj1Avg1AWMJUw4EB6pTDUnUjH1XwbWJsmSwCUYQWaq6e9IKnBk
NBt5DFtN7XZdVKNFVdEK2g5YsV8Ne4h1PaIQJG7CPGQVeW9CDSh1KCK695Zp5QvkXzboPr0g5gFI
fTzI8Du8xY7SZk8HKQ+1XTba+GZqoyyJ9Iq2ydedVaCQMmLmm99BqiitVYL71ycmNs6zlRbhD0A4
+jtZpPnioRLyq05Hj0KYkjRiVZkmyHIp/G9xwG8EHN9OfH4L13dAXFyhSysEEwC2wW+A1o8gPauS
lsrC9qwi29FXAcnX2VgURLRA90I0xdcRAAnAddvAn1LVRfRoY+AxvPY1vRIP8Ty4w5ExKP99T0P9
FTZyv7Ay8QY/3V+moffAz/NwnwqQVcNgvqpckCskggfOWumvr+/nWYjwv1uH46+iZoUr71+Bwn/e
zbwCpVWJYtgVyIZs0rqvDqFBJ4eiYD6+6H6uHRwI+iutyOPd9aHnsvH/G9vhtUZyXKAIP/22f8bu
0UxoSkm/B/xLtGxl1G0QE/lDGcNftDIQd2HTBGvIgj6NeBhzwY337u/NNjvLJ3M93S///AB/tEYv
0QKxK6qmyNFpEUlPsFvDdYNd6T/TXWyPRhJoKMc5AR0ux6x+qaQ0b0GdNL8dpAioPEfWU6KX2kZH
ivRGVHM+RdKComqicMUEmeb8UUhaCUqil96hy0oo9EZU+h8p1aaXQRjGe8ON99xijfzcZv0Ii555
pkaHC194Y5tc+iEGcqEIFyKdzmaZPRKoHcAVtxxlP3DS/HUZ2+4HOBHQMR4P8N6v4Y6i7NOEfzBM
YTU9g8yEbFIFcXd925xd+hx6FPct9CmJvkAGnC5aiaJpZ7eaRwiU/qlrGa1hseLYAzcbGQ7XvbFL
pw872SOEsCZhuobQmzMZgJ4Oh7iRQtipio1p5Nm6iWmjauDcNhEQ5hurfWEoAA3SIGxWOQ3zzEuq
hVepwkCKQYRSYBoLPkDD5LTaWhlG2TdGO5tHlAF1hMt0Yi9NxZP79MNEDvTB5Qo9KEQId5N4z5H+
x/gMapX6EjP5X9fNVsmzSLZgUjPsmcb6KL1Sl5F3SJtKYjhF+LYsut7/mlQj6XGgJbxe17fK9Bb/
s3aoq2oqb/Xkkcn/VGO2do4A7aqlOmL/eYvY5ACSkdIEwGTssxBqqzeF5kchxfPQ+kQTQKtfel8p
5eP1X/HXtv3sZ9iT9iYHGXnl2UyHHS9oGtTKrjeQlgO6lzf5BpkZ+c1QAV8u+lZrvQ1wXe+nEweW
s8OuRhtfhRpFoKFpYTxVPIYmglH2vrLBpKwyL0AUls7UiJI0aQ9eV0x8h2cP9EGe2KgdEZwszH7R
+LL7E3dap635TPGZ6r1pb3r80W6pGM/209/JFigU8myp7Kd5sgmivaSxjTJSHBbR1u4NYO5OCxzQ
g+QZj9qNc3lpOJRzDd3kPpiSzNn2rTW9aXQ3OaRoDf02IKa8UUXiikT55WdlZaK+sZmme2W+iqjH
k6yotgORbjYg8UMTZML0KRdAKKKP2k1R07DVoPqt8KeEemT4/pYqhnVj5Nm98HdmTWzLSQ7wWSYb
Of1UxxWlVuu9s2to/QOPr+kaD2r+PLZYTl7fq7Nck6EEkm6ktFIabNa5bYWiRbktR63bdUMuKAKb
anPocrpSNy6fWbLzdxxWDr9YgaGJNn/6nVGBlDTg9JEl0ItSr4J47nreN0JbhBxdtjJtzOBG7H5x
0EknkkuBis9ctJMXvM9HSNO7xJDeaw98v1y0doHgCsIV91j9yo0e+IpxY07Pdyp+86qh4gOCT7Hj
6KfLJ1o/dTi0+CYOEDpXad3pG72pzJ8SSqgFxaC/MeD5fhEmuF/2KsdQ5eU6HTDUkqSjezSyX+hU
LLloVLm08RN5N7p0+Ly+Yy58HR/GJYtEumap6mywwnDKIa3aeGoMTDilwvA3dls2YNTa5CdyNcX6
+oAXVpEIhK7SNJWkYbMBzSbSx7hRk4OhZ/4aULr63LVe9WhI9z1OEGprSje5sXP+Ttnp4YdQZiO+
OuXIAvXw0ylVTZlYwHc6ZItS+7HJw2At+9HdxUGeH7sCTaasF/AcHflg2GQ5foKSgwbIYeF0eJED
mTXv7RzBG0fxA2T/lF/XJ+XCuWVj86Dbmq1JlN1Pfx/wLVQ+7NbbW0qow/VliqxNbaferQvi/Ekl
UsAjQKVuQ+3WNE4HQlWn1vJOBocKXuYOq7qtm/arsRDrvsyyrY3y3D0ICLEvJKiv6x95YV9TG8HC
gzzFIQicHSSLRKhOkzo56IbtDjuPlrKzNE1axcBf6Y78X4YjXEFKRLcEVarTT3WrLMvDMYaV3ubj
kX8jITY7MiX8yG7c8Po0bSf7izSbp5PoQLUczuz06f9kInWt5GZgEF43hHvAY+xk+IagrkAib+w6
OJy53o2rrhoT6ABe1MNJc3L5PdE87St6r9LnTwylukjAOj4lmahelUwNAIAVRYgkJHZVCN44A2R8
2gv1e6XCC6BSYoNi91Xy2wZHtlvV53nOYBHJSs0kvyP2ot49f6LLANtVyySdVnwoojvHjoCG1fkQ
wJ6UKhJLtExAbxAqFI85wgEwLwvEWcDbR0F0Y4bPrqnptxAl8NYgOM/2OZ1gCAdxoWQ+5B4lqp86
V3PARdsy/4GGtYveHIpb1zfrWbjAgJSHdNMQKverObumBsNRsUsJlb1m6okA59FriIANqBnZkfeV
Oit1tSKDhr4temPobryvl0afIl9ct0mwnfnUV3GYJQCo3b1vCN0BvWJ3f3qtCsKF4wfFYzu68hu8
TSQ1RRJn5o1vP7ui+XZKmcIic9IF3gank20UlWwCgtN9gGYKmokDGtZLwvzyPvLDdmMW9Oy/WKRu
N4q1lxb5/4+LrcjpuBW4LapXckQPuh+2SUAhSvoI/ADceVdsvbzxmWf30d/PJBIk5aUuM/cSs7UE
4HkzSqSwLACc0MoxOK71Hcxx5+36bjqXumYsKgB0AOjJ0QyYXUa4abtVHeRin9fCQkVEKZqjOvk2
LhF8RN7Eo4XmPfQgM3/LwAaxHKtU8ndS6+pjTM2/Bu8MZX+jJaPj7qirmNmdGnrKRJkafmuuPSrH
RqGns4DSIIcn0IXKUwll8/36h2gGazC/6XhKCYjwBOABn+0NsBD4LtHO3pdJGUOCQcY2Tup0rZkK
GpVYMG6L0FSQJ7OCvSXqCB4cnc+41uBLlYH/pUTX6obr3aVt4wBCmsx/CNWc2VEtRlQkldC19rhR
g3PU1dwZll7olr9UUFeoKoQTzOjGPEx7cT4PDrE2M0AfkYz4dK/m3IbqgOr1AWmZxHu3a6VQNzIb
M1SBod5qkCh0pEqUvtG/IM7U4IkR6BgsD3najDfCm0vnFQOSyYyNS1uf67zjuZaWdlUCwfDceK3m
7VdEQvCwVvH4xpXVOgy6uOFbdRawGBwZ7kD2Mo1QGh6nnw9mZfSKIULfJDINEPyjA1Iwpopl3WhE
npsyTCOZ5BqqNUXD86vQM61MdtiO7qmtWMcAjg95DQHjr4JMeOm3ZQHFiEg8tRFfsRBt7kpTxeJQ
CXY3lny2z4jHKbk4PAdsM6Lz+dY3rRpNbbdAxyjVgRhAoBVG/qNLUTOI4CQqCsxkMZqowWck69ZO
BkhMjBQWpfbTG9HTre0uW8U1Rcrrv2x2kdlc0uQm2LIKwb/qfztE/0QfWUvMa/loyGDFqAlq3l0l
ou/xZGZFFULkNzf/tLn/2fw2h4y3WKNuppH+UTg8XX2rbMMyCWwm3amNtWGMB6QjGvgJCe7P2fAC
S+sBissDSrXHBuYUvKj80GZVeuPBuBDNThVEonrHxGpMnS6rfz5c0wsNG2o7OSj4bz/3MnUWXlog
+uM7X0gHBI48qBYMqWV91SMqNden/W9x/Z9pmLJgfPYwIzKZdJOr/XR4g7cZESVSmZz4EyWgCStW
hkimBd6bMKG+m8qkogxbDwsmvOQLZMnvWyuK3m0nQwrs+s+Zbt75r3HI4WBR0xCgKHj6a1STcnhp
0f5VVQ+leydtAHH2VpY+4eTUPNX66L5HfQvMyGo06+n64BcyLB42AbPO1lSmY74UgtIRZS8ftSH4
e1+VckBICAEJKh2QuzIvp+0loVgrWk1zANr3KhHx157ttaIDBkjSyyUSB324qXukNRQKqDe6BbPT
+3ex/pme8zY8jmVh6sX7YnAQ1S2SYlujVR0u9FrV1zImsLk+JbNTeTbgbHfEwuNxNFV356VB/M00
Wx71rJVvjZ3eyurOL0l2oiMk1kCUsmlmzcZyytTn2Tcc1KKSwV2iNh5/dGk59TwGO3htjEYBjEYZ
kYab0/WfsQ4peYET24BokB7eqJhenGrpkNxTaePuma6Pf46lHztNPoYUvEAsB6gg5n2/b7IIqY8J
CtuYMKmuT/WFre+oRCOoNlDt5zk6HdASIQ67gVB2w4CKcN2jSA8zyk2WJCTV62gBaQ4lOuAujewb
p+7CKp8MPYuHDD9rShXF0F0f2y2KBJMqO3BoFd5AW41ud2NTnb2700JL6LkGmS3lmtkhj0MrHBpD
sXdoeJSvegr3uaLid+PRvTXKbAHxGspkIlUcO8CvvqUB+tWLDP+hbH193c5TTI1qM2V1blH6ZFxe
pwuX+qHacJMpO4AmT6h+mqus1e3XPAg63AAeBrrqIT70bv0omltJ+3koy+BUoKde1BT+z8Mmq6us
kNDa3veFZzoohhSas3AyrLbBPwbSxnhpAvfWZSDlxiHMq7dO23t7RMejbDGJK00MLSs/lgqw4htP
2/Tls9ucGsk0KzxtGK3NTrRUo3SsVZoObOM637YQ13JEAIQvlpFZZJ9Kq6MNNepCuje22IXT+++0
yFkWVud4OxpOJ3dw1N0p1rIj1GegpiQvtkACZAvVliv6+k64dIwo0VAll6C/MP863QhZOIyGqjTe
HoA7udhg50fI9fUxFKa1vT7U5XX/Z6xZ1EAHZfBdb3B26ICF69JCyHNsTFAwIcRfvdXdvYjKfqlG
eGc7k3p3q2TaMquHPxUV4BWSw+WNDObS11Pn5ShQSp9imdOvb7zeGTQT7HITIvrqigyaU28owCuy
9kZl4dK+MoQw2O6Mh7X16VAxbpxtFSn4tnhoXYbILNGRSJoPetFwpc28RHE7916vT/n595GaWXzY
VFBi3NmtBSnJLYoMX2KtMKptU6nNtkgwX6h0+BbXhzq/uhhqegopwk1dw9l97Iu4sCkk2DvLJGNe
Ij4QIZbfyPRWTfnSN9HqxdrWAfhFgD2byECJ/JpCzK4DjmzgDSF0ZZkiwv+UwS39df2rLgxGYMWe
pQAmLUozp4Npbqd2ZQDYlIfdPoRR3G5lGMAJHIvwRmZ3vkFw9JaEcPAYKI3MbW4b3UsGlio5hLpE
4Q7hoNJHF1SW+8zoYUhGvtu+FUR5t8ASlwYWJmsHCpSSo5jdO9MByMBzYMKmoFAKIvMnknLxQqmz
ieczDKhhKv89RqOD9c+Ys4OXtWbvZl3r7DKB4L/VyHhvQn/co8kk19eX8NLn8WRPRXdqerSvTpew
GLMBt6Pa3g2gdUkNPMd8C3TfjLdc9YoP55CeGuQxHC+310c+Lz5Ro5S0v6hBERtS+T8dOmC7VHk0
wTwaqDUB0JgCZRUX0bMeb84B9YpsBF/W+41xhIyK64aS0W1GOsmU0VYXlf3Za4UP4WdArCsxH4sK
5yLw3UaUL+EiNDjH5aWFEOeYRe7agoyp7fJK1f/zmwhWlnI+iSdBHs/26XeEJjZtZUaDHTYU5A29
5dDdo1PTG2vE5hFEd8zB/iY4iPqNKbxw/ggvgZJQE5XCnp+/AsnPekhad2dBaIJ5Fo7P+MMVG1TK
7M311bowFGNQdQa4SpBnzY7B2IdanOmOsgs7NV3CeFUwnK5NtIp15fP6UOfpM/XdKZj8a3ZJSn86
n6g9piT6mbtP4NttxiKK4UaPOHdhVbKsVM1bWU097FH7yDZKC1bh+vBz/BYLeTL+/FkYbCvQojJ0
dgg3JF+iQPh8r47WgeumL00zPAhYHiTzjf1gFa2xQo7J2ug1XiN5hzwhZbU9vW1t57Vmsb/+2y6t
Ap16kIVSiinQPp2asUmx8TY8bDB64Yi1kuTRJG7UoOUZKp59q9dynsAwE5bBvhY8KWcQk0IfDaSW
fMSQlMF96srK/+j7geX3Ne0waL386GycuHK3b268lxdC8NOhZ4dK60wzCyPV3WfOONzDukX9CwHS
OxcFgnCp2UpxH2GRsvIhJq19MuaD0BHl/+/TbdKqM+l5gF2Yo7QQOiPJylLvUFCr2VRtQu+rG8z8
4MXJLezCdNGeRtYg1amTalyJNms7C0YUIOhOSR1xLyNdPQaOVyM/oRbtbtAVBbJp32LCeP3zLi2v
jTc4/uCU6IjoT3eTO9oBEkSIN4Ppcb62+NctCtNH1wWF3fELmS0+txqeVRiiZemNnXzh3eE1JaLm
KJMd67PLX4k11IjbzoXA1OhbAGwdJoJBv9DMCp6b9CFmeWV9I4E8b4iCt+MW47qWgInA3p1+sYmW
gJ30MoBBH+k5pIe+3eVpPcK2c3g9wDW1/ZOGVvG4jcExFw9hmnryzYna3t3IBlDUvVMK8ZR0uuYu
NZmmhATQPP1FXuT1PdLSWGlhuDI5QIaiweMc60VoqK7WQJA2FAWNSVQwbhQ2LtwKJ181uzCLEjM4
y4XEqQ+euRwRv3y2lTbdqbAlb8zg2S4lJzapOPPWgeRx5hUds9RxCeLMHRK7tr8EYBGaPUYoUFVb
P/Z+NF2g3uqHnT0HsyFnN4Ht2iUua0p8cLEvODqUMg8hPaAFxIYGFyP8VP3YknduIYznxsDs6voh
OZtchueboTHoNpHKPAlyjJKa3KhaO+ShrIcsde2tiCMWH3XgG+H0+ZfSgSO8pVbJXUMX63R3Flqg
wkrE3yaPixyQnSp7zF7QP0vHvnhRycLuAm3iB9t68r3tBAiF6996diEYDjnDdN/R2yWHmE11q+GM
FjgI7gYDShQLaMBwX6GTPY6G4b2HPSpn/RToKHlWrv/z0GQR9NGpq9AzmEO3MNktC6T+4wPIhGqN
H9n4POjGeGem8ST3Q35fR4pP40qJ/2tmQb8IzyzSssnDnELd6ax3Oti6QCTqrtQCd6mgGH4f6Er+
Wvklxg85qtJZbFs3Ykbj/CAxKrbS0yxPDZL5S251aKcVfXAw2XYwM3NLfykw8lAWZeqgGZGjjoyX
bKKbr+D6I3PtOZXzlQPuJWhAyKBeYDCqesB548Hb8rR01a6xOo/UKO+RG0SZPIAP7I36G/IFGlr8
ChJWIdfxwqGHLuDNSTtYN0XRPDt9h1egj8gSghURoiTxIMtym/tq8KinlvPm1hpiA6OPCK6Vww9e
Y/fYucsCGlxBI0HLbsEwzw8dlUTiG7bidFXPQ+qWllaWlNLd0aEudpiL1t0S1yLqXVZwE3x0Hmuw
ChibT0BI6jzw1E53AJKNbeLAvDuULQwYWtkIN/RmtMUnzNwNAfIS2MtheOJow7JqFYwbe0d9vr7/
z8s/fDAIVyotNrgv4FanP8Jo7FCNxsbdBVSZ2mVmVBGmSFbjPnrYU1rLAUb1NxkURrH2ULx6UQuk
AlY1eg0tzkKap65pOiXWEqVthHWv/7gLmxWMvzVR6mivke6f/jZ3LBq7A/+/83GDO1QD2r4mhGrK
f/CT0jFpboTgF5af/h0kT2Cc3AjzpohaBYHVxSVS9KLVHmM4UwdbSQf4Ouqtg/iXj3sSdzHvILqR
44URQfw1W/zA0FJpK2bMCAZGjfhLUj/FUK2OUXGE5Q3X2rfrTQdRqliFJUdoaWNOdy+SXDoPdhp4
vxDrbp+xi0XFPsex9S2kWOJukqobraVbojmLhSk2BJYffK9KH4NSP9MNNMV7qiabILc7eh5N7e+B
5uN0FGvIUNBVrZpV7yIavB7QPLBxVECbGU0nBy0CGpnqUhhded8qI0rEDgqY+xpJS+8QRbINvmMF
ne6KLkOkADFn9cEUJXZ0mkf/GHE9TXka8OiAh9nqZr7wMP2CA6/32qHFce2jaEJka3E8b+MlTgLG
Yx1BgMDY1fO3ricR0NdHK0rQBUu0b8pgwGhxjBF9LzXKUK1uw/HG9ru0HeAuUqfjjjZAtJ1uv7ZC
bZlXSNkjho7weSmb2NwHYxn3y6LMi/btP+52QX2bG3PaEXICWp0OR06NdrYmqWp1Y7YDSxYcdQeW
qkDbeqEqeXXj6J9HpQaVbZNXHwAZeJE5DLRp6rC1NU/Zq0mvvmkFrRoplAa/w77/8OEg9gu1qhoU
9qSZf/a6mh1wsvKPQZixSUondp+i0Mb1wo9N/9dgqvSUKVahyWX1FFAXbp+E2DrmSqsuo3ysv/hu
gMijpoIzXenjiLzT9Rm8sGAEWiAxmEIx/XM6g5gHllpjoPlhuxaRonCejAbJQ7VDEvH6SOctRsQl
aJRwcOmcU2Kdrq5/mnoufoKqi/bUQdB6qlEQxMf4GTH2HpNuqGLIx/Xu+KZkZqttXBmp+XeRikjf
9KgQBatCC9voP4fI1NEs6CHThUJaNbvILTQaNSsb632SWOU7Zoo1uI8C/IMziYjjttfc2D9nt7MG
YwHulE0oAfpJzpIaI7Vcr+hKsetVt2i2mksrl+hA8Uk/Mh++VOLko3MrQZ/+1pN7k1GnXTuV68HB
zNtU7ErNaid5wB6dwRpVRq21lp035PYKVZ8IzAEdbHfXjnWXYVOik1b2IZSVJYqPWKnRzvIQBPcj
/xZI8WzzTT+MpF3Hdo/Coj4rSlftgEGznrj7nuzZnYymEIsP8wK7odJTbqItpr9uPg+sMsR2jVoX
UfvpBozD3u4Il+xdGxhVujdrM/pdumGMuiq/0tuG6tD6GHYlSfBUUbMUW3PotoPgQds0aOiiwNgl
fwzSl/eyRkn+xjpd/Hlk2H9BURBa5rsRj3HNBw9CySKNsbgUNqIkNh488saZP0temHYIZjCwpnRe
s2e5Q1zUhTHUBlQ+8mdAqBhaZzALC918UipHf/D4eH9ZCbinS/Sv/fiYSk9kN0oa57Hc9DMmSuHU
aaFONlsOPcNsPrId5P7NxPqUbrKOLZAH2C66d5bZ1H+KxFe+tpWOcpCN7suxFCO+DLdupYuzAaEQ
vgutJfbH6a5o1CEdsl6na1DE5V0PMX8bK5VYOCEukxReGp5WossFbnkIRGdZvYIUk64ydM4WqoOc
UJmb2dovQuunbxWI2QooCHT4oAN1mYpsQqYtAqbxAJYJGfRK9VZoUjcomyZIQtY5enAKrupqiH4o
h7/Y+l78KzYtXGslkGyLiAIrqNBCHhkjJGSXfRIRGNWpQZcFs+Xcf8CikI4zT/pz7artRoOogD1s
wi+HUsdjEysCZnY8mfUmbowVgqGI1f/j7DyW3Ea2dvtEiEh4YAoQtEUWq1ROmiBkSvA2YfPp7+I/
OioppOg769NHLRgmMrf59rfiQvu8JgiCtfTmMQZ57VMlMO5GBkHDMsu1sPAxSTbstArzWc7cZuO8
WAlQ1KLOi5PZVsY1z+jur/O8yW2PQfW0LB+sAfqUGIz2khvS3OdJ6h4pCopdR18gqHupcCWGjdjp
c3VSMI1fsOt8bQy33/rp6m1qpvNCCtwK+1yi69W6OUphm5t9znC+vWPv8vDSHUGDGmP9aGT6lAMQ
gZGdFEMaapNWXpG8Y5xT9WiniAnkzRei3Vba3N7Zs+lF0q1GmK+L91VMChIvQrOTLDDKAmwPKbrC
KFuBr8Lq0hqYOh7i0BjTdT+Bl7n2a5O/mYnmTgHmt6UKSe3NyPLbOpRt2hyhSMfQMXz7GJfr+9/X
6p9OD0Z69FvTFW+ejwOUZoWuuDFVchgWc3yM6XbfCa1y30vXSJ5GjYmtf2wUH+05qK/ziTKITueQ
sgphz6/fhmqF7EtiuKNjp94bFunGc7+K3g2SpeyvctDEvUpGy/nktzLGts5PWw1LgyUhf+26Iczh
iwqqThRmwpVE7b8b6WBsw97BuyAf5Gj79f6Y9NObGRba3laWbKN+zdAPxqaRlP/YrP6wSTD97JNz
8x5QDHzYJNhMHSbji/yQGrMrj7qzWC1+x2X8A2p222HUl1ZNZNVL06BSnhosPtF4/svu4k93gT3I
rf/NbXBE/Pq4aV2tWd228cFuTePM2NXwPuM3w3MzsxpblfYmwUUc8prqKZ79bvyPUsgfzmviRGpO
t1FojtAPO7YSaTVDxakOkBJwrUWXwy6Bg2iGvSab6M+/L/c/Xc3GkABZNsNsoK4/PG1RW3VF2Rv/
4ER8gUrsf11Ya1hy5bH6h/7r9xo3USnL3GTumkbBx2pzNRNwdnaaHgrbHM19IxP5Lrw2T3eZwPk0
ELM2uW+qaxrj239+SqTJ2PrcEgo68x8+sTlpoPvgt3XIELbfV1aXZJFgpA6a9kiO+Z8vZnLQ6vjY
ULXUP1Yuphqvi7rvkyOBjRV4ek4fPh1f8TBZnv5+pT8sVQuh8y1Fug0+fqzFurHdlh7HC2zlFg5f
Y8bqanndoON1Qmp00voeww57zvEMqXNWbUDzCC7a3+/i9xiDuBJLHIyF6I6xYj98MbGgY55ro35Q
QBfxyK67/lCKxtqy4kAf4jyInn6Mw4xW9BF8lLVdhjT9hzjnt3dxuwmWlsvw2s2z4MNPTGtunbPU
cvmJF3mVODl/yoaCAyYubeUFjpt4h4rYHI+jheqArGTxj9zrt+XNHXgE2TSE6ePgKPHrp9SPAreo
tGQrNooCz3CQJJjIeEDQ6655mHMJs9RYnX+stt/OK65KxYaAmw4Oow4fXr5B+69daoH7uKJ/xFR6
aV87PMVnmlhftKVzm+DvP/dvO8btgrcPmaKcS2v4Q2POdWl+jhMvmu54iR9O22ty49Vljnf1SL3k
H5e7nS6/5BMm1ShqUmh3cGVgrf/6VrXUaJO6MMxDlwNYCfSxWJ7oM027vz/VHxJnroNGiGvhFEQ7
7Nfr1LNM7CmNtYPye4fpeve+HTx5cVdz2VhGRgRa2mB99PRJF6MeuIOpAtOCivL3+3D+9Ly09yjv
8CGxZd3+//9J4PmO5xRuSXmcHV92kTnjg08VHh6pdMz2ztfotEW2BVR+m8jJfsOA38aZtXfMsFCT
UR3TNJ5tOneu2PplmlpBhn3Oo4me2gpyve5edH0o3lYtb79P+BN7AXAwsZ9VBcWtL4qrB0gvj1JK
PHXAlJd+YBQC/Hq3TOpbWebKhDycmGlYNEZ8X4F6/ELWGadBlxigUtn39G1V4xAe6Fbqf7/Zcc33
RWm386kE79mDNoOEtdiOt+sITCmsgSK/kjXM+B/nnreZZIOvf7II42la7ebdnIsJ5A1VXzwc5kK9
QmPFdttHHgPb0pjhkxhuzr4DSr3/Ns1T87iu6a1s13cvsUiW90mt8LkXRKxdSPSdP/39J/vDzoOf
mH7zvkAKihfGr7/Y0nPg6H7sHCxRNz/izHSiHnZxMBoApxhqTQ7URuvDRKDNVClNlP98eexMGEg2
BIow8fFsk2YK9zxfPRw8yWQ8e0CexGvZJqtdXdp5uTKnxrR/iR6jXLAk/vvVb5/fx8/TokdgmWx4
FFw+fDZrN1rexHAqaa7bhu5i6WHb1smZ0hy8PDj0VDbM9lgIuf7jys4fLs0uxCSN6TKKTK/s1/ee
dy5NHTCAR7W0/etAU4RpZb6Mx37q7G+AVxmz08lcbnS2AQtUkbQ9GBJqOOs2burpovtNU2/8uVJv
k/YQg85AsJcYTg/udKm0cjPjGKZHmCmSoiSi80y0+G5nB/USDydv4tuC4e4y2OSYMqiGAemF1vt+
vPFGZ1oC/qYZXF2D3S4a+37OznoBBRx9CL7/0VyA1EIsk8ts47HNMJ6VzJRmWjLdcoPsQP60sPuA
8YimcAQ/Za9VGHPOQv2RjVGVoQ0g3QsXtNgoFHylU47X/E+ZHjc4lrXOFxwVq4tXafiRJXQyWPy2
QBK8rHnVbyWs2naDA7L/PPA9gyBAXYHHogf8K9DW3M5COPbYqqZel0HR6fsSdBpNmRKHYnR3FLZV
918TALw6//cXvf3i/7P34agglblY7PWuWNtdJYUN+DmZHierr5OdtHrDfKNQb+aRQPy08N4M//3v
C/oP5yniHkRk+BCg9P1osCKaZODhc/8wd7mJk1nfvjeobyC9wpkgHWDx/P2Cf9jwTYfoCWUx87zW
x3BxXVuqlIxfMt9aedcShscnTa3GP76WP5zaeFURjN7KsK7zsShqO30KynJ1QE7F/qYR+nhg8qQL
VWP+y+zstziIJJFmJZksgT5j0R9OsNmnd5e5eXmQUyuPqQFOdlrXfI8jHuigcaDS4o/N9e9v8fcg
9HZVvCMZA3dustQPa4evAjDbFFNBAa40wQaEykhvCd2AWTV1etA0lvA298FB3coNSmwGXP4ebb/3
3C9/v5ffDgT6WTcnEoe4nE3Zu72g/1nG4FjrGIREDPuwbs8YVWAYjxfAmUW8hIRpIsBIvn01aKwE
rhj0w//P5S3CQRbTrQj+6+WhWsSx8tt4P7SJ8zW+JVuQ3WiiGAN8JfwA+0NSyh4DaqOLT4jY9H9Z
SPz2Dd1eAI0OekZIxUgMfr0DkVhi9LXC3VfznO6xf4eBIDBY9rM8WkCK/iNj/uPlUEEjoCIDQT37
6+U8WfV4VoBuTNuVhn9vzn4Gi2Eu3yEujo9ePsl/aCR++5p4QMq6KL0xf8FK4sMrFsAjWI0aIwjV
UoJomUT+5Kd1XYc3cdq/5M9/ej668ASEJvp8jCt+fb5UalM5lFZBCGxObLzYDDxIGptryNdeYoMN
EHH8RzqFg8Tt/PzlaOch6VqhxSAo/l1Ny2SiwGmldPbYR3bBVC8DIomSLHPcjF5zMmwJs1Oj2kgC
GDiLDUKmearcEYQD9B4I3VKuW4EZReN/hrf0WTRUScE9gjudp8vSDpvEdOqATf45YRJTL94avwgy
O91bmoomx8XRRTRvrjXD+R5xMx9/tn7ThT2mG4e8Eo+8gkvWTNEgf3iLPJhSf5Bmjdi0uoN9iWSA
HWD2vtu9+GJbdRpie7FuGQSeA9WzJEXVEj+adlSVxaldqzHAvuzbKJosWkT/ZCVA/6T9oJvZrqrK
n1oKq2CtRyNKSkwCQRLepYV/LNf6gSCXQqYOHASTTApwx6Wq7sAoRHUJ176FpNrINzW4IAptiJDw
ejqvCjXhAuyF5BbURgfo7QYjcVVbnxIb27G1LB41DuZIGXpULy7SueaTUs0DjIAvEu/EoWkOk40D
GdjwIV83tf2Gs+w+zRgZ5MgPVWy9JstydhLxkMXjFZ/0sOhovXh0s/0B6Qo9VIKb+eLA0Jr6/Dmp
2s+m6qPCmDaDX+3LBdsAQt4hyHIrQup9ABGzyVfA73ZqvbL1FaHdmFqAaXmUlW0T3uCyPojQ2RSX
sSjAfyPT3MM7faS42IVr6T5OorHDvmaOs65975IKF0evDDSptu68Or31w/yNw5I+dhbZO92rLS6I
pM5uEnMz84tc0rdRs08iZWhx1FewxJMDtakmJsGrdr4W/fBF97I3SDDXstQ/rf18qRsVH9ZcW1HI
EZjmenbhSIzimTJ036X7hnpUrrRIFqUMxrpmQbfJ0ajBQYvakds2plNnGuVt1gfuiQFLTW+rn4rB
9kh6xgvyyTehOcDlmz3q9zYsbPFTTe5mNebPsQf5AYg5frEPakhgbiYbBk2PXu8fHe49LDvaYwzs
Ihr0W95ZHNXF6kRZo7bO2j+XZvK4JGO2ySCdQfumiI6IoYBWp/DfkKsdUPa9mAWdB6xFoTdAb6KY
37/as9zOC7KnzJoeZ6pe26aex62/YhnlzwZXsTL0D+K2wOAEwXrc9Z0wQtNcL70srvocH1XvlE+V
p74mblUGQ06R2cb4biMSI/LNZQnHFexoPNB2KOOhClSthRLek9ubwLUG5gKxRTksfjqFc9s/pCr1
I7B3Hf/JoGFn2ybcNL8oPKlQjGN3Z9qYeHUqxjPHH8QJpYNz0ZXhBsiBDCJrfI4ZH92uQqi93Q5Q
/iwrDpIGtHe73koRtllub4q1vS/6Plj7fgh7d/0mGgDw48jiZ/+86lX21liArr3haOvVhmIHAbjB
v2AOPi/xHjVREw1glGLhvti56rYoyyS61mkJa8190C1grnMSD9GC8Tl1zOTZtmGaLd7ahvmYfLI0
dwM84JBzx1a3/Cxh43kOAgO06qFVm99bwzhYHSZsM44Rkdea35O8HA7EDEZEjTzdpCabu+9kT1YJ
FLqjvLUrWnEd87jdu7OYQh085oVgKg8RSm7HRn+omvyA0dJP9PkXx4dto+vVj16ZG6QvD7he3CWF
fmK+Fv/vzLYwONEAwqnptKJt0bosasyyDgsQDsFaZGFc5XfN2pxVlQDs7ZwxwMTgkjmlCMrOtYJp
wHB+Fry5WrbQpuX3uoXOGo/5q7TdtwZpSCzNJ5/U+4BLVjg5xj7xmiNEiQ55jIYBCSdBqgNtaXvp
hGAK0HhZAhFdjq9Vzdlhle4Y2UXjnR273WNSHKoEhKfMjsXNkEX35y1Rzams0u/lsG7wpjmY3QQy
qrd+DO60m8WN1p2N9FjhSvveiLNg1WUwgptvMs45NOJdSWFYejmAoR4GwpDkD10601aJz/W6bFDz
R23fXb26+5Yb3l6q6WqaFDxkO361HNp4rtI2TTzBAiEKyKdPPQKxo/RcaiSTA4dOk09Qe5Jd4WVo
rC02IsutedXpqS20hzLODrajQIAKb+PabGqDik+K9o7btcc6T+Sxdq3XeopRv2bAI7GWqUHk5Fg4
1bIPa5Eae/p31wzzUkwh77LEfwUlB3rE3zDGSd9/petWZ1/NCYKUr3fXNIMA0TefPHPdcxzse8e4
mr31amva1RrWCx/lmy+Nz5OrPzVjxfC95971WX9OVP04gF4OXLvcljZUnta4Cjm9jrDnBk0ClmrB
0jlOeue3C/QuxeQg+enWMOadj2QF4l3jRAZmYtvFrR+zSkKMcn+kaMY3tp0wYFzIoJnXx0X6y3ac
5p1XdCfHG05l2nvhOFteqPf6N7WKl9EyLobwu4Dm8gIb0XmjEP2kNUm/mXQ+c4X+kx7aIAPM79kc
kINs/F6nUkrzBdDkip50yNI3u57NQMO7KjSnNUXxScm0qZimpdHmBnnjj6FiyORCnbUyCLZMUnVK
ElNoJ5mNWQB6U6uIk21BiYzSV5V+NvAGo4Hixcd0qe9G16TiPWd6QL8VcaKjP+luCnB0op7ZzwTi
Xm16WytnU6STjHm34f2gnUfmjw6POnK6FVQDNgomZ04PJbBlC5Wto6blwnuhbzJA7PONZQWr5WFs
M3hXvR68rVO1L8y5JZFmWk9GI1+MHkzDeNNudj6Lxeyr18xd7g3ZPkBuAd9aaPe5LEZCaBiwsYkn
hJ4pxjNr2sGMX1Oc0OqBikBubRxr0M99yf/skvQ0CO3ObMXrFDOolhr6XTOP9sYsHbWpZ/6cUxwK
17p0nX3VjfwNhPjZUdoJ8ei9TIZLIuCRJzCj2/bKOTYGUjeeRnzAmWeZImlZ35zV3bKV75wq0YIy
M9iBJms8ybG+t+pka6TY3k92me7KtdnSid7Bxumo2coXp4p/EN2AMxT2185sHu28v3O9/HXUyss0
t/fe2nx2YoPGgf7et/GxyMp3+MBRoUkZlImzd6pq1ybJ1im9c1Hb+F74tBGKvv/MfvRuog8MTH99
QciThZ4+TjBphmMBdDpUuv6iuCna7SUl44rIM+YPIYpM2bznL4nVfVvTjJ+UATVcu3aYzr2PGgRP
Q88XnJ6ht+oYUeFAeyw87xGh7SnWYcT7NUquORUXw5mpClnj59QbWQQ0D6MxXc7JiLt3t6Zvelzp
QAasbZe2NpuPU+Ab6XAY+Qb07nG/EixPMydZuVDurYFjKx2w5kozPsCsfjiI2v66+tmPrpsfh3ok
ne4TZ1Nn+vM0+vbmtmADj555INfECvFxvjN1ja0ct8qNnBz7tWtUsSGk/ByPRRLo1LDnVD6YtvVI
MeXSaZitl637Rdz0Arc+EwrD+dAyMRu1VU7F1GS43lyPaETjIFvdA8XQA/30RxdBxsbp4ySY03wv
FLBHf2bpgncKB83vtpB354itqAZ5i/marcXf0TPzkuLVw22meMF46co414GNfAtN9yJBfWWrcnGT
pAbmsAWcU1f/0WGlt2+zsQuwQDG37Wp6G1tJNGUuLa+iwUkmoeJu0sIPDBnPGAgmW36JKXC68sV2
6ykw12lmTlPiRzSYczBZdRagwbn0TvalsT2Kl/Yn8HQqiO1xh76FMQc2ziHu9QMqotd4mfoLY27N
xusVcYHfnLuUP4S32y0qegKGZAaIXtlDteHRJtIJBghYDXNDYTxB5YPnAnSWv+be0ScNN8dS3w0m
hr4DG7B585fUMuteOTWVz8nRzxTUoTOa/avpNhV8PH/H25PBAGsvqJhAC8t0fJvacY2aEvfNzJmf
a+S2xFkKIx+CH1mIn06tPfQrzOhkatJdag77YgF6h6XOitUMqDDQFU45vVNCdqJFemJbxSlA28o5
dxU+PA5DVv1QNlDfBiy6RrRgMSvatLKHZAQ7VtqaCoQzgPXCBPAgNcfl5yYVaDLwwxmTtADbUZhd
TGetIrmi7qFuS2K2zB4wE9+LX8vO0a90Yawwk2lyXBcv2XvChW/D2OgXs52Fcadx+vhh09CmThYH
4jDeAEGeGO+qcH9kll2AOI/r3RAX5oXak/aaaPB61TyKBx340Vtt9fOuzAvwvwB5o9y7rePBcHem
A0l5zNeJIT7cJjFj0/XzMkNBDSzdm2rGxtPpvvftMSpcNDTYMwHRS4dx/pwOBpzSvBu1UC2aCTIt
K4dzm8aAQdtpepgcaTb3i7MQkJeGMV31yZD3zO4lu1FP3m3+jrAoB/Vc1W5272hT+sm2ZRkmZOFf
zFwjF6SGNAUliXdYxh2MlBYLb6Yf5/2NCL1ttDi7ZmPavCyZXe9WzPx3oAwMXnjiPPYMJWzNGp1R
iTnr0fJiEZqV7hyBQWC51if+NvUZa6Fv/GSvSUEcH7fRZNDJZiAh/WmiNr841Tg96fUN6FGSEBPN
a909/ZMl6uveP4lscfHnNLXljPwNV6KcQHEa/DdbYBfBIPVybEVjRES1/iXObH9D6hY/2TJut2bq
9OCmlVZHRjr0ewPNbGQIJimYsQENU2nwPSuzOnCKJpz1iR2tKSX7Ht7vrkjXMRoleyZGfsgIVv+r
RQZ7cFdw317dM3Y2wU7GV64LZriWexJhh8r5lB8lXpjkecp8VJKh/VI2FNObodva2Pjy3ZvORlrM
xJWj7+3wYcWlj2T7ZWUWbzsSSV/lBIK8RrYeZUs90Wj23Y3FZnfUO6Pd9E3pbsjXmtcUxxFiHYfB
t1prHkD1cjPKoQJhSNc8aKgXrq6bytDppuE0Zp65HXAyvRuXxDr4M0xsHtW5Ihz1mDMVrQqXmhKD
GkZc6wmXyXfysfusaLhvcSjIz5k3lTs0mxBilc5GzkYRR423YB1sTkUoTWSwbS1rwqu8Ho9LTfCC
8iT97Md5cbDdyjog9dO2NJfly4zl7Jds6BSNDsdeItQT1RZE+XoaOyzd0jg/UuPd2Ium4++mCJi6
+IHtDJGZtVGaulPa+ikfqsPso/x2ivme8OCbZ3TPTeG8Qvglni8vXPnVmdXPzh4fcAxRsJO9F011
P0vNO4FPvY0Qk4nIanrF7fd5gX4EcG5+xODvpfb8gdmD5NmanW0zaw8kFj0n47zLKDUbvWYEkg9q
I4AnOBP7b2Zu7Th/Z7LiqdHEi8rzo96318TJzqYcvyN4i+ayu64SBokg4MsHcqxB0p5ql9aMprJ5
NpS2W/DJhcF1pW2zdRxCv6TyozgHjIcLytYlFA0xLoNbfhOXT+WmavU7cpn7Kak/lzBGu6I7OLN2
n/FpiaGi98tfH0C4ZwtitSIXCAwAjgs+AzgY7YxBb8JOAaxlTvRZU0YX9I1+oLh9XJ3qyRmaCG1j
EUz/5xwVn+jPDIQy2T4zu3cXxHTGNHEwc+OdMpZwUPbX3qsvK+prKNMehs11F4p5UQSc0ifOLJoJ
6ng+pF+TeZ5a6jk4vOTlSNY8+oydinPSUxEEGR/a8/JaVi4FdX9+tJZCHZQ0QmFW+y6T701yA2Mb
d/1s08AzmAzU5/mor+7TVKUvrrkQ3Y6UURJIBbZ7FsZ85yYMFEj5VZ/0CpA9oT8A5DRIXOedWvLJ
bOZNppNM2BhfU3PQ2iAu9Memxe1T1597b/jhV+ZhHJczMohtoaxrSjIILTq1Q0vnGWuv9HgzYHb1
PvvuNAPeoE3XbjurfqK1Cg0lH/tDa9F370khw9pyi33Te18yuO284xwahtosY0dyq20nm6pU21yb
hWK3u9L1nRvtTEsCEWruIZV1j71pHbXJ3nMGv1YQi0IEUsGYJJuiN0JnJLewkjg9GnGZcZZQjESU
HSa+O0XFVO0rPBFTxEJDVZ7NoTsaCTMflSaCJdZPLV8GwfocLAtZwaL8t6pbolrMW8/MXvtZPCUw
VNxVEi+oajfbMkqRHAQQOnd1AV+tbxHxjWkNuNOXDwMdf9ccSOlIaIesvtMWx0K505B1FpE/2g+K
qGBsumjkAJFVFw1WksHTzJA8KpNNx5jeqH3d9wj1qkFtsN/NwsZxv3t28YkZ+SdXcxCceZEz66+G
O/4QiziOjOkCYLooBumK7kbuLbcTQsMgxZOR+50/2fn8njNQGOSpdnInr94Uk17TO7WoLAtFccb8
kiT4uCYKn1frrsmMaBrLqynis2zFs8ZWkpf6wxIv4Tp7ZzttvnYih5oJ0nuwV50tC42YY2Hyo93O
pMSrXm/VktXv94wBQs4GKT/67fe+8LZmZtyvsftNj/uoz8CI+ro6e0T4OyRO/qYtfRWoyb9vq/qL
6SWs8QXnWi/vr6uvFCaDU0cBp7gbej72qu8fNKHeqLmdh1Yb2dy76cLQyAPWc+Az+ikNHDH/sDQv
CfvMuhpZ0dNwZYRKziRmlHCZOyZIb9ZvZWq9tRnuA9Y4V0GVFzJMarrLNjvFpcPNb1+syT0MpFfP
174Stka01197T3uF9LsdfWgvTkbAPlBOrDvvbBi1E3S6/c5UJHpt3ao3Ttl/adP+MJu4GihmQk8p
azGk1ofEjqM3LDSX7dAcHUJSvWYFMzffej1vrzC3TVIxke10j8LiQUs2W7M9xSlyCU38LCgYB/bg
3hl9+xPc6jaZ5LMQYtv6+Pf48ykVKXn98FUDkRSnzbXMGI33Bku7Ve4i6v73mZauUcs4dnajAMew
KUCIoe9OjqWl/zRoWAfeqo5teRsgjfdOHH+P20JumlVdMy87T7p2tLt46/VptU1Iqyoa0ASnX33A
zH5N5F34WJm1oTNR6V4VefjyWgzVyb9JbpomMhrvVHdMc+RWe48YhXCrCwGBbekF84VZDO4ae8E0
ZY8tOD6u/GHzZMSkIXMzRKh8HtPbmZVQt7G0w9Tah0qlx8lotrY5RIz3/LBTHNO7eqWAX+3God4s
VLnH/jIk4zWvQBon0zuzWe+paDYVZp+bWU+2rRj3NWiVIrBjObJVf9HsLEIs9j2153mnDPs4Mnmw
SZT9KOhbyLLR8NwR+2F27puhYlZrcJ4aOpihHas7fc3P66IB6hmi3pVs6nb2tpYw1ApBR4Q50J/S
a3fSLE4VuV9OMjI0xSmz2jFwxhkstSopiEs99K3qrDU+eOS2uSvKKtC7mVisHSUAXOpQZaoAj8Wj
PEyLd+eUCuqT10aFKu7TodmrmF0it4zXGBWYEkQnLRaV5dh9mt38rK/xCyX3LdnqtyTvj32f+uy7
5bsls0tBMsU5vaEKA6ZAv8tGTOM1RTUmTzZM8FCAjl9i3BTcxKI9ZeHTvnybDGpOWqsRawy8JHOX
W+a9lcX3wu3vfLs+O4ujP44sy7oYGGR4xXHqzmK8Sp/E3rU/iV57FoUTqGTFZbhAQ03m2tC0Stsi
mhr3te46Kjxlfi9LwBIuvQDf3GDzsM+J/fxujBQo6SXJj8M8vo04frDVP7axFVU+uMipOzC2ugST
sN4sJl3oVSUMFz0zebIVTvckV/GYuQi4O8DG4pYDTtpWGeve78tDnS+PnLaPSPk/2358oIq4nRYS
/ix/HiwgyCkoEdDP8kZA741gKcgIp/I/e0Yg+rvJRZC54G7ycWwJPiBrGqOLIzsz6IgYmU6uOTSE
MDz4h9TwT81jdJoGirHbkKP3QS+mSRv6L6NXe32YqRvERmx/zmqD6kmidJSbf1cD/Kl5DDgEgRYm
AsgnP4gRxsRH9EqGeihZ4qdYLSXBqmA8y/YGZE7Z179f7v/kKh+7xng13kaskL3Z5oenaytpeFUt
ygNjRKMM+UNadoRDwPGbyPFrLFHxHKFZ1ONjVynv2e+UcjfDMs0+I8Kt9WS3neKDzvuZKo0jOQkq
lbfu9u/3+ZvqhkQSgAdeAyjsb//4a0+9auKZHvEa75mEBlDDiHWrnrPYWbx/CFNuf9Fv78N3eBEQ
TRApfFCplUKfqgE85LEqDc/e1U7Mzjaq/H0wvM6i4VsS/ojK1Dd6uSDI+ftj/mGtUa9g7hJ3FwOV
3AfpgFZhIYc7SAk7c+Tb6aRwL54jh3XnVkziRf/1ajigoDkgMmHaEAHKry+1q60KC+m4AzKf5DsF
VPtNtJp2bM24+cfvh+Hcby+WiznYuqNxwdjdvT36/6hsppj1NQsWFyVufTMbQ7Kp68XYlrjzhFU8
Npve7pqNDs03qmlcB2va38RAqQhFhYWaky9fYuHYOyS3EwzcWx1S5Ujp0sI6qq5i9IL/PpBymtHU
zuXJsfsCJ45GCxmkdC5Zrsc7o/dIohC20I73lsjP6uK9RR+Nx9oUHz0cyfZjR0nQ6DRKN3UXn8nt
p4juVr1JqTluJ1FA1bO0+Vq3ixfYqzEcu5Lukg3G/akpmAErYzbxHpeewFpr790clw7yTRZHmAyv
2860imgh+trnIEL2yk3eZIu1emyKNsKjdtkh+PKDrE29B/qbXVB45nJpK4odQ+bLk05v8tgadn5K
RxwtI+UCFaW2T/Mqrc1o8f2vomzlFa9Zkwa0V54k9WmKADP5m4Bv0mk5llfl6JJR02fT0q7boEy0
3o3UFls6z3QNVqMO+7IYtgTTYrvaev24+GSTIEhArNpWfzL9cQypDlkHOfTLk7Tn6dBNSn9WJa0c
/C+HA62x4U24c0bEM2Htmg4OcZXjjJiHl343CWBIKgtdmVAFVlmJZCXrzosumlOT8rp65BoHd1zM
C+e8fRYIPdBEYaf3fSX3vvSzReMoi0XAZCshr4Z8jY6kBXu0GXX3UzfMetAnQtDMnl60hUeys6W9
b3RJlrgOa2Q7cbcfW2/dt/Osgk7U8q7BuyGgC5cQVxTufQHY5yAmO941pKaRmtEt1wUxWlMk/dnK
TaYaPdvbGKs/3cOeQVaSO0+9O5Nygv7dS60d9potx08OitGfw9w7Xyi7TAV9KtN8LUbd+DSt2XX+
f6SdV2/cyJqGfxEBxiJ527lbrSzZsm8IJzFnFsnir9+HPgfYESWoMbszmLmR4RIrfuENbRw8ZGhG
X+lZGiOqoK5GR6XbOu5+eq0fnGSq8fqnpoNRnm/sK8djrwuDLFSPPLWplalDEjS1VRu3pCPhUBy7
Qq+I67WaoisVrX6UWOgMoj2IrnavnNGig2qo0sbh2Kx3obRi8DPK2ttjO5eIU7V1hRiv02Gotmaq
jy/Q74yNozxjC6ar/kZ7xz/jVxgkq9Q3fhh5RQ+cW8r8EhVCHZNpdOFT5B3CR114DmOqAvxvREa7
MjYi1U6GhP7PtvcopUFy7ULdA9gQWT/iBko/cqrRtpDWtTkpd4Xod8wnuNmGWkh31hxSiJF++o3f
jPpxcKS7RzCGygCb/S7qvOlWZm5+Zu/DxlOjuA9Ax9wYYVdvgtiwnyhvx5sqmkrgR8iyycoY1pRD
1OzrC2ez7Nxd3ybf0tIeV+ipA+tB0u9Pofm3paebNwVF6CvaeL8kzsenyapbGnz8Uc+qKWJTNNkq
G689xONbNTebNNLFNtsmxuBeF6MWfy0bF+8rFL13bm8Z5BC6dx8mfX1DF4sQNed2HNX0FZ0D7YcL
aw6XxJL7KsrzR9S/XXa/iNaTQ1pUDoF9wN6KWNKLvGsIoOo2kYXxIpRZvdSuV10lyuctaVryjkj7
VlT27zbpvtVN6d1omd2uceGpmMPc2GngZem1tyxQaCOCjZLhFr9jag2fvzzv6Rs85XgMQOBAdJvm
0eKh0wtK2omPazIAFSozsDSB6wOO6pCz7VGxveZaeMB9qVnFk7stbaRtvfZfWou6Dr+ETzjhoR9q
Y7a7+CVkBq7WI9s60i+l4EkAOP4uuQq547xWMzaff/N7nC2jzdQvh/9A4JtvH0A59n0bAj89TjSW
znlU0jQ3x005ja8lLfStGAfzArL1L0z4bTSD5IiB1iLv/KyStwibUhFWUWSFzrHsaPDfDJFV3Ac1
NgKg1CnrrZTmC3XX6FmUn2EFWF9geQ/RGceZmdEsB3y5lQXeY627tpORFHVevh9JR8wr6M/TObIE
8Du/Uu01OANNbboq8L11XumVepFt1V8hOAIQvRFF9Se0XBryjp6n21hw6ZcyQOoFF4NsHUyhlYP5
MBN/neAME51Lc4SPVYQN1RzCovy+r0rRXmuVW5mc2a56dZPUecE0O9fXPd2Ppx5MCJ7UWHmhUO9w
B21yv27i7QRp312Hbqir5wodje+aKpLikCSR8ECFGWm2oVsIRfzz5X4XSAL+JIzTIchCdAPqvFhu
PR/AChKxZoVfZ6A7bDxVx7q+sicrXvtFEmxikOt/RiCrF3bauyiSGeJQET8aHC+xxPO6gEf6EbXx
QzsiPpmGwj5F3Fg7NWUX0od3e5qRhAHNi7Phcp7mbOYfQV3cuYHoG/pAGSouR9202u2I4fqqcKbg
Npjx09y4lxg0H30en4UdpwULm4Dy7aBExkPSA707lmKSW/YobdpqHPZhYEcXoMrvoeGcH2jeDk53
MzZ+MdRMl5JcQIDvgfvtB5w6btA0ftE9rQRrUHZxvZJeitNpWdEkdR11SZ/jg28lMWNuuShZ0iW9
ASsrvcOmJj2iJoo5mz2M4PU0f8j0A6FPf0kt2vtgPAD58DqgkAtUKBZI6TK2vEinYk7PyUl/l7Fv
ExhprfdQ1vV0cOmt3Yc5IM05o3hCHieQa1G09WtAjWQnY9GMu8I2KA0hfhttDIok6J+3VHapVhTh
fVwq44QVkHX2jKp6QP/HIhKpmy/oBBZfvFwED7U+dg8gGevn3Aymr2aX2Mc0EuMxLJFhWdn0sA5B
HXYbo9PyraNZULfcDnEHm37FzRgF1i+zxXA3HGokrqckT6jJlA71+bw2bouuVD8ip4Uhl0AxICLK
KvlqZqlBSjD13nmC1XKriB1RmYh7f4aN+MAuSougr3Jzt18HblHQKc1LKq6R0ah0Z2Qx+UoEh/o5
zpP2gd9s/E4akTnrvmrSDYI64CRqizBoDAubcDMoz6YtxQ3A4/EpxWFrm2ZlvB/Iba4MI5K870m+
p4XlnoreD0HKwoR9qDyruxJjhSV06CAjIWB6fdXN1otWSa0F57xtmjvaMUN94S57l7txyExcubAX
h/GPpebbE0fsYREbCTqRgXQkBSvXEWulNK+8UGv54D4ROrppEPoB63P03g6UhDq73B6TI7FsejvL
WlDDnuQkdwFKA0A4kqkhOJ0Fti9k3vPf/OalxDMZzR3LpJgyixAtRm7ADgQ6ZQb8aN34F/q8+nRq
RYimeBb12bQVWkEO+PkT8ZfsuxiUwgtSDQa1Bpva7tvPTUcLh0et1KAiatNJINW39XVQNxpP7Abg
Nc2Vqig3YW28tIMV055vwxWBxFNnCQyCNZWthxxTPxHEwRXKB9qaek2zjpriknnh+x1AMQJTNhYf
BQPHWVyEVOKsoPKN5BQ1AStQWOZwb9OSvGQf8v7+4dGC2QuVQUezbyle7aZDqwNHVojJmY371IFn
G6+lFSa/Kjq73z6f/8WaU4eYXVIwGIVoRfKy1IDyaoxZK42PokerniwA7KAv/IzacSFurfyius/i
4/47Ho8E0TxB4NI7tQLKPnq6KE4su5dR7xirfaWVDT0VEbqXFJmXRlp/h/PZCOiAIA/IRnu7u4qK
Vq2ZsLugYlRPFZlRsK1oX3+NOIFUgq3wsehpw3tBmd1S+NJunUGUd4leD79VDTx99/l0X/r8xe9T
mUMYNrofn6qwrOcbFID+rm+A3qyU0Dhp/5fhXLatDkkRptnbz8+zjJkJkSiF+IhBUtS14Q/qJjWN
5ij99flYizjhvyv7v2PN99o/4qAmMCMKioZ2aILIfeyrms5j7p/Jtp29U2E8QjcCbDtShdvco8zw
+ejLbOo/w9ucF9jMf0mDb4fXLXc04gZdaB/Z5nXVttYP4DXUfwZySzsPyo0TSbWuR/+PqoZ6E9NA
XPe8LP+XFabJ4aJEOoscLIqnuVWkPmKk5tEt0mGjuZHaA7NT6yAuzePn37x4Kf6zuQkocb1GftZY
8v/rTvZeZ4zaEY9Oyl6aq91UTlSRXIHfKLPxK0+rePl8zA/uC4qlsLpoOriIOS6eQQIKqosgmo6+
ctxt5wN1bAYTjf+IXlCiRf2F8T7YVVSDbYOwyuLONRfT2Vq1oPde56d2zMJHHbnzO+hr1a3SI7td
RRFxaZH75jEARBSu3bqvigvv8eLan2cZWuhcssXIle29yFkxsmk6mCeg6ImzfiZjZr+WlC+2/35e
2baYAviocfDAv92+AzTogiAnOg2ocO9KI6WNVkdpdxBDggmGP1xSa/7gJkJzBGKt6xJUv7sZNW1I
sgrhbJxgPQplASWsyZjEM85F1oWz+dEMchyYx/nZfFdj8CCzkl/QiaP7BsZb6iqgGNbY+iU1pg8G
QuaDVwX9OE7f0iy79STyft7kH+PUYv4oPWuPGYb31YXFWjJ32ROUa2bPPwNEDnO3uFcdbQRtBf7l
kFguXjlyh5l1+TvvSzhRuE1c2a4lt20J3Uah4nhbOMK4sCuXYsPztqQzg7ip7gjetqVLkIX+XJ+O
ZnpEM86iU6AlqtyPhpBAuBqbCi6VaZ+GazWam8B0tCdX1hLcNY6tt0OU6uC6cciIAfaa3YX1/uB3
I0KeMydI1QSy7qKhRlGpFkVpakfNMCNvFyWjbzxH9tMUOs13f7BmKLkswMDYkzQcGCShPWxQ/kiG
LewYdcIVIvzamSNEo89P2fsbk8YZnu2z4KhJH2nxiyUc3NwoxuFYABemVB41CnqE0d+NttOIrYJk
3W9dxLqCC6H1+4FZrXmr/FWdAJH59nin/tBLk3L4oXR1DS5qIrd+R386CetbCzhNmCC38W+/FdnW
uSiB3gTR5LKzZU5thBW85N6KKv3gBL54rMI2ZbYTd1V2QKniSlYX9LLeVXzoUZrYlgrO+2wzsLiu
4c6N6FvE0dGpEbX6U6SNMTw0iQMDDXegqca8OMvCvZsk9ms8wM+6cDIXNwDll1nkByo7MFLckJYf
7cS0SOq+145djDWjF8Q6TSELIfILG2l5A/xnIP5+gToXdcylCJllxF0fKnQf3A7Q+WaYRPtTJQiu
nWrKjSVqh/ooj26ctgVtuxzp3LJogZQNXh7/2yj3P7+MhY4ATmgO/KHFE2UBLjbczFJHr8Tg/QuC
7xq05HaK6f5FgOJM6BRhsiOKkN/SDpe9bQSnNCKVLNVNm/rYuZr+EIjN5zvwo82AfifVV1bF5S15
u+mHmOahVVv6keyx3eomGKPenX01HLoyBjD8LYpbydb08Uv4fOTF47ZYHQrNb0ceg0ZituXEJ2w7
7XIV2l44U3mH7KubVXgxfj7aIkb572hE0hQ65xO+ONzW6LayyvFvxE0kRS0BnW5lFM02Rs79moe2
p2JDXjW6NbrbcScunLmP9jw73iOHZudz1hcf24HA6ig5wjcBIbCxDTnZK9vO+vqCLPKHAyGAZiOO
TNSwNDword4IukxmJ9saKgGHJTZ/d2JMHz+fzo+HAWyC3N7fZ/bt9/QNt5YddM2xxwwBFJVJSQ0d
UfiaF9ZtEcv+XTdEE7H+IrFH92H++T8ylqE2+pY2e3hq6QddZzkgu9CvYugeufzhmd3959/1fpsI
RqEDgcoETfpliIfuepbqem5SdgcbFAqrhDECDFOUO5UHgJbMGF/MlcL2AQi4aU7ZWTdUPV26Iuf9
8KbiYog5R0Jc0J9ldq3FsQQjhBYCKJVT4teY2IMrrHTAbrFJvzWcESyojd1axhiguVzk3TflhPIr
+vJgm1wHMF9CQvk1THnMV1GsQZns6UpbMIy1mBKn7CcIyEPnPaggHR8QcEQNFqpeBirMGyE91H6E
Wg9Q8xUAiHUzK+p3U3tvlAqVbShb2TcUHib6vmyEG5syxGms4FRswjTMr5IRTDqUIf7ZhKUrruKu
auO1M+LDurZF1Z17TLQu3CaLx5t9IkA+eWQgXK3zhfZ2n1DdRt3MDELiknC60fQgvy70QG1yCZPG
7hq1QTpKuxDgvd+cZFjUZXjDZ0Mpe77i/rE5sduLtNjXwqNvZVG5Qfhl/IvI04p9DVU0W+VkBmrz
+Rb92zdY7A2iWtoYLoUnh4P+dtQ+rtqmrKz8VNoOvVxOgjutIMh6OWSxoJvOoaoV/HWz7r8XuYxi
3hAjuM4hLeUo5NbKWde2KF6rsi6uVS85udC0ynpTRgYnq80o3oUyQWcRv7JykyamuCEqsX9keQGn
0HRz/1UQwz8Qn3kX8HIfvNnzOs7BH2YRIL0Wz2TE3skNLYpPQWjSjYJgdlCZPawc2cuV5uFDWIiw
2amIqnZJvWRjqPhS1/cveO3NDLOUvBJzMwOlJsoVb2cYb4qywcczP7mBZaSbOnaC5oBCsXjyUmru
OzQPIAa080GAuBua38u4wNZbof7U7ZWIVQGdp5UPXeApdErMKphRkNIG/9gjJrRqkeJDt8Abml+C
uOsptnX3ZzDwxNZuE8JTQudz1dq1carFJNSKxMx5dUfRbRrNDWAnZhqHFAS9WFMmqa3NAMzjlINH
/ZoWeXOOPDuDJFGKVwE85GfXzAoVYMAn/eR5qfE7Jjzbp4VrUuuZpP8IdW4IV2YFyhcpMhsQal6L
xLgrFSScbUVWn6w6uPDaahr8+oeuUh+ScxzQjCDSKR6mOk64LZUOCTFz6spb6Ymbw31S9RBtc2d0
sk3ZBOob2hqwqLpxGscD0Ap4A6lWV9oqHGadFOKzWaGkLsx+F2oWVlSGkTg7NLV5Z0rezzVyErp3
Da1K/E6GwQSoXYvhizPV+mvlp151QNlFOEfXrJ3vdcJx3CADy3tfFYX4bdUjhs4IrMDtFL2VZCvP
C6KHz0/nu6gGriuqcZR7BL16tvLbrZNYgWZSgFbHtCrHG6Pq6TRanblvvdG6cBFQ7ucvW+xTIHhc
QLpNdmksmwEgims6rNI7wpE+oYf0GyOVL9HYbbS8fWpkcpUa43Mwqi8h1ZdCgyfqRyBjKfuty977
CcO6XE1WMO6MCJpMFUMMQjXdeHBwst3bgw6XDOQdWLU8ZsYQoJPJcCP14HuFWDJ6Jqo4thG3vB1N
W3+yNVQbQhPueljp68qxEKjATC9GJ/BWWrB1dVR0zEFeZaP54Lfl3srbk5q58Yitf+twNFNESADf
8wdfog5QtdpBGvSlItDOVwWp2RoTUBD8hXcf9aCzpwb3gUnct2JEaJI8ZYzy6Ptke7QiRnEazJ6u
SP5XgURsNVWF+wGMNoCsNViRK1Fi+YWsBn9EO5dCu7HkY9d5e7N3EZaFxLuOyuymLZDbCf2N1MmL
2o6cJdzGM5ZoKIo/fl39qdruNuisK6H5dOmcZstTsa3Mch962m97Qt8lBFZT+0WNeUNw0lCg8fM0
es6r6tbyo7VvyOe+hO8+au0696svPtjylcj8k68nRwN43eTjKBCOqGPr1TArivzpvfpYJaDwRQQ9
yeEU6/qj46kHbfIeifa2jW6v/RELHc0B89Vsijq7A4K99SLtiJcr1q929txO4jHo1TVTd1Pr6jpr
UwRCsq3uAWjSrMeoQYnawYHRSuxrq+gUdBUhVnZkPoWtfiWH4jRl+YvmhogOFn/yrLgiyTlOFLBX
Bm5OrWvxGmd3BY5LmyIf90kBhlvp6S+weLtMJnfcKOe2nK7Rvfjh2snXNCPfD5oXrUPr0AK4NrqP
lSjkWo+in3Fk7owhPCDtXCI0JH4PukStx/wB3xsoZh4ecBC+yy3cY/yug3anfQ0ybDlsBHmg9XwZ
BIImXlPfCxHcNZr1w+0Rxgj1a/rGBTyoCWi2rSE2lEKYRstvm/XGMXHLG5oNa9NL4Dj143UWFBu3
MO/LOoNj5CKbZaf7PtW+RFG0blT2xSzlSQzjzy6kho42krTDmxY/daQzNnrgwo91njzNu26icm3b
CqZXO4BkhMev+p0/yjWaoPveNUlK4gZ9zXHbx8NOdQLdhe6Y88ijCPZC7WabaP6ON2iDAPYWouFu
mqJDkrf3VgbuSvrX7BJ8vuN9J0xQwtlm8gD0590jinaQfn3zEJT9jVZav6JsejY0aK5ZsdX9AJHX
8RbS6FqPIUZhg06W/AI/bDuTECMzBjaDS6vMrwKp/bRMo1jlYYuMhbw22EbISDjrBNSao8nTIMYb
8FqnSlpbHyw6Ppf9d6i4OySNN53V3iF+s3b9YQt47zAgnzH14UtjN08qlGcj0vuVBjxuZY2iReaI
g+Jqp9yHWIkMpsa0uIaD/EmzhRH2DMfjxtWKL72XPdCOO7amj9KHBU8lc+4HTBNUqG+s0rlyE2fL
Lvkz+HQIa3N8TNG9iKfsYMfOMwKX+7aelwOuloZA1NiZN5QLnqcgueuqYZ8E0ZbbZe275cOEt0pQ
Vr9sjYfFN4NvMElA8daHspi+ajZqLyqpYdWUNrDBoEczNw4URSXryhtjSFFNtqpLc2O7YtiaSdyv
Sst5jLQBgoUbbRCZ0rZgjMx10shboJ/fcpH/HKW4HpGI6cr+FNmJt0KENuJqtXd5bR28mMAAHq/h
5Ns8TQ+Np289PjFy+11mVQ8NfJUdrhTNGvzUY+Emt11jPhtjv9GacAePdFUG2aHSvdcQbZ4yb/d9
kQIeScKZ1OmHa71xzjjA/qKGD9mv75/tGOSEFyhOh9hm+dSueo+iighv8qYHdIEOqIPttG/es/bn
umixmPPguBEIzXBf2LVq+l719n1u69EGxtrdEKPKNGba95haVJzVzdqa2q1TGafSoAZJrnlQoYc8
ApDrPm63KOIcjc6+HrDdCI2M2RrOkMs3oE5p4UXXWBkD2q2yq8xoxIp1O1reJNZlEg8rX4sONnjp
1lXJKkBDHrGPI6u4KTvzWE/qKJirDTHFnY52GOlRU1IEHU9mYp5g7FxZUQsuwnvxwurodFGHeItA
+MLe1hbCHuWAUTvKGe6wydtwE1XD0e7MTR2U95bRMM1yXSfeSUiUsooG/frmO8v7mEYaKkWpdyxt
tnAScMdop0jG2QbQ2lUxJd/N3DRXU0bQGPWgETP91cOwEYbpH2fKZmGOfqcEdyiSCIPTv4xYL65a
SGvQq3+lmZWfVcp1roxgp089EsLDTVA5t2mtrmIPoYqewHadyum34Y3NSTpOtBU6+Ewf2RAM2+CY
9au2c06FQsgqC8tTPgXIdImfYqx/UGPdOH14oCDXrHwVHRBPWMkaCBKIMsC6cmjXbT/pu1ZXT1i2
7Ufln2WSfyEih1WYPVWq3tnYjq01GUdXdkpHMuuba7KAL4FnrZq4l4fWLV71THLblA52L9Q8NkPm
3gWqv61jQvEeAqxVtudQf7Wq7PdQ6D+tCtWCnsC5Fu0VaSGJk33oxnKjXGdrDFO7QTD1pkPXdo1I
GY/dNH6X0mL2S3VHNQxeZKYgL+XUjHBJKWy7J9yJvtFRfU5VBHGaV6jC+wsqGaJvxnYUGoQzbnd9
yh8mrb033eGkm+KxziLEOoR3AHh2B0MBWe283ihPuzGhmSWF/afzal604k6Rf/GV264WyL61V2oQ
gODTu6EXR13BKO2gJIbPbe/cell8tDOPTMlvoagVmKFo3trs5M4Mmr1b2A9WrHbw9G+8AbovZ0br
rCdYUeka28/rPO/AwLW3qRHc1pr6moz9Wg/SfZqlX5rauYfEdRfYkNddxS6Ut+CGt6Zwv/m0v8DU
7aFR3Wi5RNhcXDuNvIELvJMT1NMoyl7xdfydDv1Tk6szZINb3D5hoBr47BnhTZlBSmtRiBngto1m
8OT6+V3ewWZIy/OQVZs8D257C5rgANNXnyYO3whHdzwCarqpfZ0wqDsUCe+5/y02q+9Zk1+XjniA
dHob1PmLjvHPKlfhvdemB9Daz+bY7XVJ7hY3ITj14SuKpwqbYe9Zlh7Pkf+16RTg/hzOZYx0yNgg
HSRk8ThJ6zYy5Etcmzs/QPirkdyvWqHtJ6nTPO/wfMI/FQkCBL/CYuu3/XpmfAhe6DwlRsS6UEv1
fY8m8mrU/U0vB2Jk8F9Vnm4SiHjkoutc6L/NRL165sQuiLIH3+/CVY1ZJ8s5nE2jHCnqeH+gIBE4
lLs0NG5sOZ08bJ6xbryKnIpLWGt++Ulsrkdfv9XM8BT2uOyo6GvZsSiAmNdwmV/7Ln0aquHgUvYt
SsjEGTyF3Kb0RQ72aI/VTVl5x1EWXwqopF3S7nPWd45lQyNi27oY/SDH+HkK9V4hlE4ZrDladuCN
fHuJiKgoA5bUm7LTGPboSdUTJPJ1pdzI3iAL0JCVDHl+lbZd2hyJdo3vrWtKY9PhSXZFo2bWpe76
6hYW9/zOJFUnt67fpOG6hV19C9NG/pFh0ObrBio00M9YpT9lkpg3qZHB+4Uv7x4taQ7RStK+r9at
jY4HmF95ypMkv9Vrp3+OcmFfK5hdwaWs7l1ON6eO1G+pQbrwjxYFELfg5UEkzzv6hVfeBwbMjBUA
lPR+sl0dLq09IbtSdJBDPp/1dxVdtFgBzUFTBOIF6HZRVRKdrhLpK6jFTWo9VVBWNZg8VncJ9Puu
UMc4wqa4A1aV/qiYf/6PmlkiQf8Vxpic/E4VZ+LakcYayuTKatW57lxw2/1wySzwLwRhkSl79LsM
PC1oBmGk8XZUTQW5a7UD9Xc7RqDB7pvgGaXynui59rTk2hrb7lxkk7ubMi37gUoFpr8eEeKfcdQH
vMPGGjU+xIKm1ym3AqQTM0SS8lS1j5QeecdkbnlrESLzuBumKknXfYvD/IU1eldvZO5clgjPJLCn
oJ/efgWy01ozmn8RzFn/Ctat+9bz9j169GKvXYWW3YWj+MGm8HXKYLMNALti2R1y4nLM3TSENI4h
uLGFfT4VBzNLiout8rn/slggan4UyCzPFOijLz6NZv2kFYETHOOx97dp0FebwgvNG8uF5uD43R+v
1qJj4xYKwkkCvaUL6wuz+/5j2Y/AZajgzFTVJWwml6RqldIlVh1mgQ19kx7GbFR3n5+z92s4owIM
Q8xtBoO+2ds1nPqpzPvRcI+9wtV2lbSRj4SJ39B3kvC0HlEiMS8Zjn80JurlgO3/ljOdxZmrO0Qh
ix7PHg1mF3me72gZjQT0DsBFiFbd1uj/Hz//zrnQ9XZBQbRRP8VzZJ7LZW2qrSH7aVGbnNTgIrnc
G2KarsFG2uEhR3P3ysGONdrGuBI8pdMU7zxDjRdQ8e/LY8CSKCZTSwYVT7Pq7VTTVErMFOXQk+rc
9G5K6uZauqm6LX0EhD7/2vd7Z24q8jrT3UN1f6mlDX9uchqv1A4W3uIOkWtRDutISp7jzwf64Js4
ioKODEBcIJqLa7pVKU7KkQWkBPWAE8oW/rGRZnYfNE5woWf50VBUFblzCNU5lYvpszKl1YHphcca
rcVVBnFuhf0tVLY0ci+gUd5vULjdjKGD1SEdsBYbtAKjTvKDQO9kl/19Xgd0qaRIE//QqyD6FsoA
Gbd/PZH/HNJdDCnxvuvbPIJIK3PtuzbZ0Z9mqib4xZnWX2Iwf+A97IHYRmcQfIltcb+93Ypm46eJ
nLrsmDtSRtsOP+l0XTSWxHoQCAyCuk6FeEGnZP8LuSJXX3nRpJt7AhuXtDOq/DtElcmY7clstXXd
JIRBLhzWk4svrX3uE2c4IQ+jfhEcO1+Qzwa4grl3Ve8K3E+7MxSQ5FKXcp6ixREHrzq7vOGpDDB5
8VGwG4yx7LTwFAmkgRAwGtZZ0lqIWc+IcLdEFznOLyG8l3BhbjDK6xDeBJAZ5PKXiMoGi8Ji6Pvg
2DlDQDMBG+2SFi2Ca8ClUDupbscxML+ksgu/xK2iCuTJHMKLh/jo7ZQEfYtMkKIYuP18Q80nbzEb
801D2x1aCi4fi9nAH4lA3jTdo480CxJSN3qGsHQZzAAzJDR2U66SPcTr/efDfnDzvBl2Plr/iKey
XuQY4k7UYis7Qzeu92ZjdSzK+gvwqA++z3Fn2B58SKjvyxd6imrLxKsmY8ehSGljs34m1PLu+qDO
EMVFkqWhUrmvI+3X5184T9xiYumDY/zL3erY3tKKrDU8AGieHZ+KuNPvhtqG52KN8tpTgbf5fKgP
7iGG4pXEJnLGeC6uPDHZkOGwMzr5pYr3ZudSD0tLtWWLdefAp5j6+XgffBpGCMQbFjL3OpZ7bxev
KYfcD/MOD0wHOaRW1skhIUtdo6zrX3g4Ptgn8GyYQyqyOJK9MyBVlTeNSToc2kAku3Dqe2gquqb9
/vyLPphBAdjRFrTBQEwudSmIkinfyUAd4s6DPq41Qd0dGoPixr5BFg8T3QA84b+O3Dhu/xh08Sg2
jY8OESq9J1xN05yOh8ruwyZDyPXzj3vfnYZY8o+BlnePQqTRj1vU8gxEDNZjO1ZHHOSj1UQbK8Qp
jKYUzS1nl1MXWA3p0G0KpQcXHssPDuJsSePNO5UEeemLWCDd7nZJZRxk2yPUGGdjOuzaKLd9IE15
iCFF0I75SniEVpOl0Xv+fBY+GB+FE1MAs4aMQr74dtNSh2gbm4oXkBzOeyRdtW0bXCTaGqC515fQ
ZIfoJ31u/cJp+SCk5Gsd0FPOTHJ05y3+j6uOn/mDa8K60kqKErMyA21dNDoiuzjg+51f58oAX25r
4feszLeff/UHG5uXjigSmB5KJEsgkj9qeEO75XgABzs9SVdGL41Z5GgjO/UPaA2XnFI+uBp8/Ak9
fAopAZIzv/1YsjKZtEmMX8UwJlfZ0ADbqOIy+eWUhXmJYf5uSWc8yRyv2zZBrPjrHviPmTWllvJ0
uu5xcvNrCFx+fJPpIpnFfCn5CkgLCula68JGejelb0ddGvNOXa37PnLTp86caK8lVUCs4+AEmAZ4
Z6gu0P71YzmPCKsJzRpBiWNZ5MBch4aZNmBXJOvssSWpbzeWUU3WhZ36/qJgIA+cHznGTBZYZup9
Q8PNMZMUh7okOo6tE+EjbpiHzpmqvdNTzzIbehA65uX3fkllqZY4/X2+Y9/toPl3MAzSdioGHJfF
4zLadUfnNsW/yJ6QbUvb5lUIR33F3Xh4+XyodydzMdT883/sH7LASNDKy46lNaqXri7jO8jdwQpV
umQNI7e5dpDOXrWJKF6CUs9/fj78RxuJuAABFcISIMXm2+EnyPSmlAOaPYM5DShBJMWzA7r0N53M
/jyN8SAubN13r+n8wYgyUCjjKgTe/3bE1G8926mT7KRK1z33rZxwXwjSh8+/66MVnJnjpHm+xyou
vguySxJ0lfSPfe55h1riFgKxNESMl5jk/zfU4oPcJuh99CKpIHeatpNZXB7cru+2EF7sC/vyg7kj
mySppLg5/7t4P8Z4RO0Gf5ljRhWtXmPYMsvOmuHoXzqF8/y8iRzhAoFxBxNIYWmWq3q7SlicyhwI
P1IWo5UiZNuldBcjHiacJzowLVWa2vquzrXpt63Dz1rFXEg/s6ZH24n6J3rugTnm3oVA+v1u5aYl
ipiN7IDJmYtV5YF0/Mmz1bHrpHef9YhaG21iQcwGQVJjKnkhj39/ubN3EAojdAfUyqBvZ6HO3Caq
rM4/SuzH2zPCpjyauYcW8JZnG0xrXHjBfY2KZLPGWMm+sIlhcl5YhsVFhEmH2eSdD32485FtStJY
PvsV4DOUq+iOke3u6RkjDONgCLTqEV05aVru/qIITfc8DSIUhXMVm19TRJ7xbunNao3akLdPm/xX
pg1/9DjBp6E18diJrfSnFRjVj7A06JspTKuTAtl9Py7lNyuAVuFnhXo2JNjHHEjk0cl6hZ1NneK2
kJY0hhx9uBrhTRyNONTWReD+ypti2rrwo3bU7epdkwM7HJuhPWauL3cFQAMEk0tjRXP/VeKPerIM
XOpweAKqgLiW6u7Lwv5dmr11pkfd76aSIyaCEqFJK6hXnp3GV21bSZo88LzoZwfIjVkWzsf4wSBE
VPwPe2fSXDeSZem/khbrhgrz0FZZCwBv5EyR1LCBUSKFeXC4Y/z1/UERWSUxskKdtepFb8JMQT6+
CXC/fu8539GZSvkl6WcWWGCRFHq0IicJaZLSRMj0CRVWDeO7WIcYSKqJaqRQ18Io5BOfchNZSG4a
l9ykYAD/jCIULhbt6ljo2jdPK7W4zKz1xvUS7c4dCdmwFFlWA5alNWS8fBds6sFmUQ1wKTM7tASG
7BhCEYYzlXVU14W4qLp03ieVBivEh1/aCVPGYja/pQ3iMobtGUfgmkZ/4/qojRnFwxwAl92Sy0WC
ELfZANu4KFf3ZnADVcZrC8vFAEF8h0aFQCJdACqlmZcBtp1LoKAJ1EfErsxmxlRdEkve7LKSXCxt
1Z3LhjWM0dxo7It+qOOBh8MgztgIA9h0dsvx1aiATK5iLeJ+bYpT5xqEBvUgSAGQTQdSQufHaVb5
PTjl5cxHX94vosuvKQ7VgZaUC0S4sg9Cq8unxKlAkPo1MDQ2ubBkBhw6OSDesUx1Qo3nNBK5ru2l
2xJfRYQwgpTao5GT+jFixClOhmw8IG3QoBKv+q2mcmc/kusSeX1n3OKzJ1iTyMlDgY0Fh05d3qMM
cQlw8/TroCJ9EWI8Nu1aN0pWUxIPXJKmBr5CTXXIsXTgPVB5q5M1jvNlZfufVt9ihhYk1u1aLvA1
EZQX8UyCJLRlt9s3a+tFuU4+Nm9ryqDVG10seuytEbB951iOprjNdU+/nPpMe9Z6wZdR5yNt66zJ
HAZ2yUbgkrq+nAuh1GPt1UFkIJYJc42oIKww8/2I+POQ2am7qSyC6xqi0s5xKm23KhflnZfmJ2i9
Y+yUMMpyk0MFdO3lgjoVkJq98Z25p6JF19Jjmo7GUetAvtFeHj6maVBzDxFKE9qi+izA8G5p8d2H
JYVPUuWlDZHAFBRg21zYa/sRDQwPtuuGaBkFOdgpyREq+4UgAM/WnShwkdh6PCGNuEoMoUqpwA96
v2LN41SKImzuNs5VXzcj3ANa6ifoW16keV51hMe+nppVH2Ll5xZfdpo8OiseEG+xGUHP/qR/SNK+
u1oWxo5NqdsPfTenR6tcrMegmD/B7FAAQgj0+eiJYQTdpg/Vxwz+wH1WMweVquvieVIeWbIFDF8P
kfaeJRO3XhpMl3LW611vICxD4sBN5FTrszOU3rNcg/lboUtC5cwKaG6ioHvU0gjrEcJVY3bTJZgo
86nxArl3zEzHLEmi1szMMp608UHYDjERcInSkGRtI3KNOQthDSFWKwWSkNr8OBmksq5NYMABN/pz
39CUtKxpPDBizaK0BEKNLoJkAq9o9RfPrbWdYSbeCQSz9WHs5xeqkmK31M0ammOgfZ6YzR/AHotD
gD3yKW219eSapXPr+IV/KzXgcnPR2nv0Bg6hE25Ownni76wM1JIRzN1uIqLgtRAjzH2I1t3e72lb
WQx9TrLo20sbXXJIbAXQll5VMK9UO+3WWfGkuVPG5oz8vG8G8nX69TGrmLmT8/V5GQJrP0GTPnPd
twdC9xL0KwT+SZRucPdwbiyWxluzUsXRGBeCLnT/ljBz5Hcy8XaathGUyc240dqpugXIm+zywSPH
zGXURsTUWn0sMxLQ/uWSD4QIuB7KZmTa30mYPxTtfYlou2hFfgaullx3Sjd38Iq0Ha/Y+x881WYs
Dhh9cfB62xUyMlraHLmCUzOUhEy03E8N06cvAej8Xwx9/lmxwdMwYg4MHOFvJ73F4Oo9WPL03HkW
1F99mQGG+8J7mKUwrwdlDfcmbjs9/OsP889FHV5Kqlk8dAz2iCn+uchKdJsdNpDpmc8AB4aVa/vA
G8w99YMVus5IBMJfP+E/q6LxT24ELeameLB+fsJRmpPTDE1y6up2/cjb3oLzVkGI2l8/z+/14Zsq
OgCzxIEHLyXKjDf1+hZ+WwiJ4UGUFhrFtRr8eIDzdJiKbvqq0Dh/srs1IzgycMTXTnoo9gzU72eu
reDZxewzR1lh5wU7vDXOjAcSH+r8BIObpMCgvKrNaa73yeK0SyhYDj4iyJUvZtUgFBtsl9W8lYCq
e9+tqRsX93rtAnPv6wPrYrPI9H3rmtNGTadxKxjwlexoWlqiWSvRgqyVb31p5ZYV0+jEcPiYe9tF
2KgdA43ogVHqUQ3o81yl6SCJSrK6fb02L7mZF7dCyvlrG7g1CSiJO0Rluuo7hdDnw0xm65lMQfm0
8EouKsfoaINPaM/bbs536Ga3yIne/ZRT6j653dRf6PWyEO+hU74VinyjysU41vQEpJhVR8Jrm7mP
BE7mEe7U/KNSirA5a6ge+qZ1LikSk1tDAi7eeQ6QerhGQQaECZlzhg3r6DTt0h89YwK22tejFfte
oS7trPOe3FRMlxY2zlvNaAl64+OXezpcI/2d1b9IykLuNy7f5dDa5WubqG9qHrwbYlb0C7cW60XZ
t2W0+GJBF10vh4H4jM+5B8un4nDVhg0/3nnf8Ysq5c845QADsdNgnbeyXs+j06u7gVjEw1gk2ACq
cv0sC0y3vfDNy0ah2AcKOa3XhHcY1143e4fteopMCxmMTqLDehg8DE+xO6nhKk2hfScNuZaDk0EI
ZJFFJlsE5fvWmVL9F4e1t+BpPPwsjxzBTZooNrf3m9aGaZWoAZF/ENye9Uc30+DuNNbzCJs/IkTs
G2r3D8Ap+rMeMDbU5k0lOo8DNHzgpmFLKkDUIM844aQw5S/uzTdrwO+vjXkpvQ/GI8xN36wBmmv0
oA0ZhS19WYcpVMRLx6zd418vAW8dZ396nm3N/WGnkJQ06+L7+Qkk4Zqd2h5xBisC6PgNIaw/Leaq
PtQlGSBnpefDqaug7u/TEllvpKRR36EaFUW8dn3vXyOySIMztpylPiamglSrFSn5R8plmlc6YOSi
oKgcJkn8vvfR8ruoH6qKoV2bZ+oXb+3N2fj3d0YxyEoK58h/u4rWiR+kqg7KE+8EkFClxnK4rAyH
aK5Vt/T1ZuLQXIHMK4R4NPOgcuK//mzfbFfbC0BeY4C29ugI6G87klioqpWOZHJcZ9KmlO20V2Mm
yl2zdDJyCGEKs0FV/9oEYXtSNim6V0gWmNu+NQmbSbmsJC9l5yQBS6G83jyOhS33aQUAryxxRqHD
r05w5NpfFAL/5O3qFBy4oB34Gn+y5AdVPyWzW3iIFpq7ZmbxhlxncfubaXqd1zPnc0Mn9PKvP+S3
7djvn/LWA7XR9dC7f9sg7PF51V3V+ND2LOMS1Cjy5pHkMXc1UHzJhHC3pUJgaiV1SGQLpGCuvZe/
fhFbl+OHbXR7DTT0HY/h/0Yx/w7k+OEm8h2xYK+vkmOAL0nE+jyuW2r2iKgv0Ele/MXa8KYg4elM
dmuaMVhEkVy/vbJtCnvNJcP3zGHPu/G6dX7URiJI0VM/+mZW/uKLfdMB/v50CH02R+oGd3k7m8EL
Z3hrz/TbaIleNrBORRqhnUfQl+JY58GyQ2xJakyLw49Izv/BMs3FzODC2IRxKEm2T/+HT5c/jjZ6
rPCJK8d6YiiDUtzV8yrZr2q21VVulrUOQF5rzlXlKnp/bU6GhbGZfVKypqGgV3rxYmWO9lg0eAwo
DAjU/sWX8k92kw2ugz6IV4D2MXhbtQ0dQ0Jnqc6+kydHvRMD+cqEs0xJdlvl5AemUyDjEvxXbK5t
QEFhF8+9N4A4D+huoYNvDrYEvbwxFH/x4v58xXBxMt1iKWRpYLD380e4TFPhF4QinDrNIuJ2UGZ5
HQhD22vjVO/QZJi/KNW/+2h/viXQEXjgDFH8wI0Ktlf0w5eWSF+2BGSn51nYJC6P1lRGfjWl71Fo
k0BGS1JyWJdBecB8b70siNBXlisT6xUZd+k3mZvrJ/yIc3Xexs2fO4hmE7N0pCfHRTrrXT2vaRMS
kZSMO1ETJ+ZXXf60QFtp91ZnsvfMQcLRuBJ+ksTd1v1VWdLedOaIIbYlg3CMCwgHcDk6b/mm83HM
YTLojFdVb6xTrHLE8ZHoy+AuqxDcv/dYV59bdKIPo8aNF7mtJ37FgPzzcsZ1jgQUByWTB9aVNxe7
r0zyBv02PXtk78QpA+k9KcT6Ld2J/DBoQ3vWgkJF1VAWu36FGY/zheDWv17P/rx1IkzymAAbzIEt
iuWfvzzaL8skzBoOtt40y3FuOD0fA5eIwNBICebtq3FOwnKY3Clqs6b6lUz8zysO7i50qfTRsYwz
Jv35+ZU1OvBRWvQoXlf6xIDYdAoLtluQccNMOSTNpoJA2mg41Cbhj0Oc1da4/v4x/NvX+X+nr+Sc
EcMF9eU//p1/f4WOSycIAt/P//yPm+61ea/611d19dz9+/bQ//zVN795lX/tW9l+U29/66cH8ff/
eP74WT3/9I9do3K13A2v/XL/KodKfX8CXun2m/+3P/zb6/e/8rB0r3//7Ws7NPAP7l/TvG1+++NH
p5e//8Yg+IcrYvv7f/zw+rnmcY/kzQ3Py58e8fos1d9/0xzrHTsdfFRGMCZUYtf87W/T6+8/8t99
pzsxl6Ef5IJA+u1vTdurjIdZ+rvvtcH3czQspm0hl4TkfP+Z/W5D1IACcTcNNBXEb/949z99T//1
vf2tGepbzPdK/v23N9cvslT4DJtCacOEIh14c/0uup5bOUdaOvseS27i5rfdpKlDlnrEPOtV/14M
wC94PX9cMj9dMT8+85uy/fdnZpq2JYyw6L3NsmldNdo2raidZpOgFlIgikd9gM7/i7PLm2Lr+/OQ
YWKxM7LZgPP8+Q4xxlYuXZBbMLOKAo+JrZUY9u1qODi2qB/I6tZua1tkDz9cBn980D++PdfddrEf
1vXtG/f5jqhqWaToHbx54sRCnpIV6A1JYXaKQwFG14rEkI9VWFZ6UgCw8yARp8LLz+ncdl9wVst0
Q07a4t7oZCL10OgMRkLQ2028mLb0In+mp052lEvRxKTZLkXThk6qBQobaK2rcy/txYb5aheOGVJY
zVcdGewhBDZWxsnpHqyx987Ef5HmiXFnRxWMladYk54cNN1NL4o094dn6fteuStpb0bgJ7P7gebV
tTAX7UsxWm1oSKF9lFLRO277LH2WgTLeV4r3eA1quU6OthRG3NnKxQPlvyA2cPA5ltP6KKbhfkjH
3ebQS718n2ClIuAtmkbUifQ9M4vMZFudiT3OP3ek6REcZFnnnJSOHUkh1cGbFIHT/ShsP55tTVXH
fPvvoStzCURd1HJ4JN9dgIryhWiDWOua4AlXW5LcmIKBDpZIsv8qIjw/9HMK/XpEWaeFZSbm4tku
lMeBfSzmNFSDSk4DnpC7fNNh0nHABy2qtftc6o34bFa2894cW/e2mIiY17iNLmjW833N/Qqpop4t
fIGFrS7KmYR5SMkbJjjIbi2a3Pg2W4Ps+Mm5rKTpXqqOmUJvKxKhGTlAmh18KcOZaETmYYTa0v9V
+mWxdO1p7pmZECdj4DoaLap3WtbIaoOXlOCn61SrgJp0tXtugrk+Nuakk6+sjZHlKBk7w5JdtwA/
j9bASXYcSnJgbWFZR/zfQyw64lHRjTWXSPaNnSwWXLj2ovv7YBmWC8FxKpZK+JGNnT+UshQHjRzX
B2UxPkqmjtNtkBIAjzyXqVlBl5fBpkbEBR6RA94TM1qJsutCNbXt6zqCs0VUW8y7LDeKIWzGEf/p
7A1pDFChJ/Be1GrqIvz8+RXUE+NGab11lSfjdLFYoxVOnbteB0a23AnciCjNE6eOqpppzq4EkvFs
FRb5zqmRSvYtC8wVkDeuJNU9FlYq77fS4g6xhEksjkHVafUyibluSE5MvYFCKJmOVDnE+nRKyvPY
FcMLkmPtTheBvB2sfr4286r8tsA3vaR35j1Bm2pjV0z1PanPxhgaY+VfbOTkgwUgej9x0soiPr/5
4BvCjksp1Kc6Sd1vycLoK9ZsF1tuudiPbqo1F8nUbj14Mz/lRFZHeCXlxbQWpM2Z0PGMPJuOou9x
vk5DEWdt5x7nzqwuzdEururKRsckOub9GsiDarMPssyn9CTN6qv0zAmDrtkfawbLL6kQ+YXliRnu
gApuaRxz79C9PetpxTVsu3i4kdKSnKPG5NJcTOuaaGszIi99Pc22md2to5tddKz1N8vY6Z/TofMZ
M5TzdessMlxGPS/Dvm/GMwHj9gV5NfJhmXGVpgjr4sGatTTya3gUoWRJhY6QiRtfrsPBbfVx52OO
vur8brpaS+ZV5OA4ig90sS5LrrQLc9rsUlZpn6alaz4slU52Du2V9CYnwZpwV9+vzlICWxoGp/3Q
aQ2iwX7CI70FEV51hayPJQQoSW6qxdpWBkPzTJtcfXGF6xHOPNPCYr3rbXqVWvZB2rZzUY89iX+4
tfaiNdKdy4dC4BDMiFbHRThp2Xo1LS53Rm5k71WXE7Q9Cx/5rEbvt05kfmAG1z94imSmsVitc+J0
1kugJI7qzGZm2+HfnHs1XJMeWN5iMHWeCpb8Wy42k0kz99uyrF28LD7LtMuaReMpOVte2ZwDCZTC
Ax5Ald4GwaXZqnFPtqd7GqjqYt/Xkm+6ghCBsQ0SiIAvSUhI+mBL/71EzH5M8WXHjcmcK0hT+7Yw
K7Vbi9E/13oX7PreqZ5JVyQJiIX7tIjVuBxUt+Sh1gz2g2IQGs8rhHsjSeebqs7JvQxmzIR2MVy2
DTp1kjiMAyZGk1iiFJGJyhYLogYW58VJzAvLWOdDI3B6DjoIEdvi8Cz8xb2phlxnCKi5ySGTxvBh
XNr6lCxTvheuuK10i5iSoNavpnr5Ug56f9IFfWBj7GbOlwbMBpCC2jHN7OmYp6110/ujdjMjPNpn
iMRiT9nujcNo4H1uJvahpP1B2o4+RthsNfa8RP/KGQqIwWTXcVMiCpSgQ1/cSutgE7bTTUDB+Wgb
U39KRdseYHRxh5LHRXaaHhyWirGllhf2JwSt8pLYrTVibNGegL5UO2fJsGI6I3gX2yGPy7TGPf3+
Se07Z3UOWCXUHTleDP+Z4227bA/9oe3s9FFkxTCFfZ2vRjQBADqBVuz5kIu5YXMgSaxniyA8hWvt
XvOwbpbMHD4JJmtHH0vGNWwY/alu5m4EVzNsl8C6RX8hbniU8E3b2MtV8JnDE6h7bijswKNdPeA1
KNu926/EDdVL6+rHAuLWwISxtb9Jpg3TbvZ7p9gFYnbLWKscu96JZSHEOhh00AsFVQDISxIc8Nl6
7spqqVvydcrp9scLTfAPurNJpSca97d62rbndpXmbb2NdyMgcCUIjlEXBMcmqQ98xHFFPLYGeofA
GBsKG52ATJmt/YuqpPOq134Z90YVkD9H5vyDLPsNUZLbN2Uv6NDKFHcYA3xvjDG10gFczFScU5ZB
eCMTQRXEaLsuPB7HaZbIVTP2YKsfMtZ3cFRPXir0JcKJ3t+pIHHOveaa5NuZIn1YMrMi57MZNIgq
C+t5TGFv7L1m8vMoqawW6IdlpXMID5aMt1EgXIkmWy73pjsG1xWlnEWiKSSCnUBl2UcDE7YHhxQp
4kU7u/SjvtGbaVeZWU4sVYLGoV5bZzfYcAfwChf0qOs58bYwuGBWoDKEbcQ8RHcPbSYJeFvbTm/Y
X9ho94Xu11e9rxKAu4pEFeK1O2y2uPWadIfk2P7UUcPULItTAwKQrCCy1IFKdvvVh/im6Z5Yo4Ga
0SV7A+NkOIPEeZBgqGqaKUXqXLh9l+uM271eRW0fVPvFFt0FBWanfbUHWMS7Eb3ccSGdOY2GpZgQ
g1QNIN4cvikZIcDSEXUQNOVmdnGa8oUxWtAiS5kc7RxUevkoKtP9SGORC4JD0Xo5awt4oIDL9GLu
e2Y6lNIX7cKcNyx6QwLwc92D3uVB1NI8maLOlMO5aaUzQ55NgkOerjV0BMLLvJ2uoBHHDHuaeS+J
qr/GpODsFs3QVVT4an5lY18vE6ubltiCd7Vcrb7kunGcyTGOpb6KfgMGsrKMmorAnyKFSqEkedFC
fDlFp9GvWqSUNn6qODAE96x2BVAobh2xd1xCjSPb9enZeG0+si6Y3njWlcaMKmuaayOfzRT9Bjzi
CQ0Uk0Ei/IqwoHR4KiiH0PfQMgJqRJ43vyGSA1bQu8YT9QmRc3400lyQN9gQcS8KtZP0NnjNpJsv
mtbsSV9y3gcsB1q4FKb6AI+1+bKWRnHEnpKGHfKmvdl61QfbyO37FSexGsPe0MTAzGQmaVkPWgIa
xZDmV14PP6GiZ0GhWE1KcSm6pjwDgzee7Az4W+iYaQ6DqnfVJysgLCr1kunDWjnFjVbr4lqb+jwS
TqGuAlnRhBq4A42jO3uK9cQuRuKoiYURlszQXTm98TUBstREJHiIezAifvi/vIUReNIM3s7DlbTv
1OqfuskBR9IIL/7r4+DWjPrxMAi/AnMYLEsQZWiu34KmWxwIOpJjztnpMlOn4VPk0GhEi7T/yLL6
l3ox/22H5aeuzF92bP4f7MVskSv/9o9mx59aMQf6MM/N89/2/XPz9VU+/9iT2R75j5aM8c7d7LhQ
DVx08JZNY+IfLRn7HbbVjQeOawc3ksOR/Y+WjPPO43hnwWBl+BkgaqfN8EdHxnyHUALj6+bNQlUP
SfxfacgAjv3pUsEu5NHSQ4qClZZQYduiZfRjP1gow+RUPzkhAadjeWLboAGz2H5XRIEsR2jxaPRk
ZFbOTKJMLqZPVp+RuTepsiUeZEyQE84URbFaRQuCDqU56jYrTQ/A0QyAlhSJe4KHVL1DiD8d8esJ
G/PK4iPeK12N9W9I3edsQbBCgzdLb3qptfkeJzdu87RTxFEkZpdtWZ7rasTDsmqndurlt8CX9dPY
1Tno1aRTDoGpCWgJfACt2NX1gBfGXnAJH3rOq2VEInQyvx9AwZ8nOco54sPvP9H5gyBkFL57J9rZ
unPTcqyPrN3FS6kt4r7Ug/JTYKTjFFJAiI+pqdgQ5DwWkK+aCQiebpHrWGRiea3NVjex0Lfe16E1
s49qWP17x+KIGNctZ4dLG7SEFeVrsyZM6R2brSMYy8guNZhSwaTVL6wQbv2kp8r1n1hnDCIpOaYB
kTNG62EE6IbGyvMIh9dXZwAcWI+VEcFzyIdwWDSXLHvii3LASSnKvxJwzhQutTXwLWbjbIXw1TVx
VSJd3Zrp5dofhoYYefBmVB82KcYv6O71POK0UyC69RafPk1RWYQ4Jz0JmF2wttf1MFHwoXRl27J0
iz1+6Kq1PudGQgN/Gz5NoapdzTkgTilv0GZKvk7TrVE01kxAozVr1AsWfLO/HMpUS05mbfUf0RX6
zzQQ7Bf2FqiprucuT3ahpR8qfSqYYNXrKGjfFeSmKwMiT+j36+CeV+VU4rGbUPNGHf3HK9sT9mva
iIbaU0hON9B4jUAPR0adj0pa0o6ppxyGZbW1zqGJ3CVj58rLKxwVMDVzXFDWXhL+5d7T58b0q2uu
fsLskVLIzN5cxG7mdnVcedAcH/qWEQ66E2OZ5lB03GzR6AzdR8qkGoB9n85fzDbzqV7GOQd4lC89
ms/ZiMk2Y1vsa9e/I9S21fY0yqttbt+RYj0E7YR4GwDTt14RSnyuZJFlzzSVKa4tI7G8i1rqFMn4
ryD3MeuRBFVUZFLvGzTWIuzlplSumTm7oaMqGh5GlakgHL0mUZGQAu5fWUAcO6xpm3/UGzd7FY3n
oW52vc4I8aE5LVWoNdV8YVZ7BILc3Km1t+e9VQnCzXHmCRC/nr2qGNya7UMtbXySZQqyOmJtDOxv
Wpl2JMkWSnPjoECMcemOWfPs0dDL0A5Z/ftysmzm7WSIcSzUKp8stiGwxdWQtWremQDijVhL9QyM
VGsCt+tpXYbEt6R7w+z0/DhrDcfxwun6OKv08Q4Vc/Kxy1LAW6j7/OsS2HqPVnQYHmVtEyGpkW36
SYnNQBsYOUpc6JDWFz8R7QGedv65mpwZGdOkuIuWZV7i1ep9P8pHAmuMTGrqwmyL5NEuR5Wfpbmu
0OBIq0xjw0V7BWCWXgwPN7kj04ZqcgGsbpGlMCR2VC8lQWV6b9q0pjQH7N9YT74R+2ZJ+C3SQKLp
VtJ1w2zR5HyuEvK8Yn/ir4cWkTZ4B/IRrsP3bev/b+C/beOp/34Dj1oMiV/ynzbu7RF/bNyu+24z
G7Hc4T3ECvTDxu0b72geMkTRYc1625zlPzduw3oHcB6XG5sz2z5Q5f/cuDX7nWmiRgiQDrHdgpJx
/6WdW/e34fB/VXnMeegcw/Rh8k7aCn9zm0X8MMr1Skh8VZCXsSXoYOX1mGceIh8rZxXRg9QK8BAM
GhXqriunwXtP5upkH5EItc61UWos3F463hid+LZCpLO88Vuh5lS7mx1c1+wBs7XEmXTzb/6cHoIi
2xCj1XsOhTf25DsO6vqqmu8xQKcurbxEb05l2jRmGTa5SXzXauidE2oyJS6aUBM1PjSEIa2xWeli
fkIsXZFHlxTGbD6Pfot4AcOBaiOn0JleAkB2glA4XVVdDCvA7zCnadTf99mYSgi0ZoY+uRkT68tI
D6z7NmKMHQ+OhdScZnfpzXvONDS+Pdwv0PP4GJp7WqqrHTVNoe71UhcyqtQWv4oWYHL2uqV5MqxB
X8pd2uplF9L8HM2DQf+gCrOVaI+oFaj1EOtQTMVFL2CU2mUxa2f2vQyCXTa61QljLPTMbOySbpfA
6UsiQt4xIJQ0eTlC1GOj96AWGQvVu6VbzY4Wd6XSc1FNRXFdKLqPTy05NHn6VZd18Nlr+oYj1ej2
Qdhgm7pzhINyop1bwJFa2cjnDjcE/2doG6TPVqZD6e5BePqfU3ripCWZ45R87rsk5+w8S3te9oPE
I/iR7kBeXYneydKTsm3KuWZsaULZ0srrY2Vn0oxJQNb6OPHndv3Qu1Zh7KA4BHSdCRQ0WEE1wSkH
LY1c76uE1uQhMJWOVXfSxaecrj0WU2kZ+MM1nX17r9lNZ24XAEHAgaMQ+7cQcP3brMzHJOqKptee
NNoOwRIiqw2CU7nkOrtIyfsT/lR4iND7AG+GowrtLKqxIqxOGQb5MTWGJD3UjEXm9Af1Mo9nPXfq
S67RhHGE0Ro1lLEiOIxoYtzjADivJ5iinJGjMnjgjKnlZO6gZymUPNJMdLKTyEyaJr09tdYzBs6W
/obpLWpnzkNJRHNurPnOUlmKUpR2YnniNqXBzCAO/WTYjGvpqnBMmaPHTp/2GT/nnBCN5RhkB4fA
MHxwVZ8bCM+DfPqC+cBbP1s60zp4ogx7Tz7vLdvTqa7X41SSXMFFGehp9hj4BfaoNfVGb5dYa/Yh
IFHUeBZ5XwXPiZLF+LDQOJi/JF6W6vsBs8W9lHTgo2UK4Ig3qW74J1KaJ+fCcdrBi0l7RnqBqV7M
ayjphamda1VrdVf6WbX5UQBF3WorAV+XtJP5HeEmQXHQXdEEJuxrncNzB0G6pOHbeGz6yjQWN4aD
OLQ7fZ0D/VQMA9Y3FcrBJ2k+T2ilXsJ6w8FZpnKh6VShvDijWRXT3q60wo7NdhbFhxTF6YUsO48N
1B6rp7RbmBbNCbsr8mJvyE+SbmMV6r7fLxfopXvjmUR0+sKWqcrxlPUGAYLIqIdX3+cGvsyKugHN
21U1Y0gSGfrm6A8QyhnUUjF7h8woFnunM/PBFNTymj+ZJWmQUZ0jXDjrHkGNJ/B4qvo0zzAB4rEW
dX6ROkZCBEiZEv/bNl0Huxcni/gyUCKnD7XqEVWOs+1LEa9T3eBDofkw9Pf12nXyq0eR8aDT++6i
Fdr+BZgXw2It7ByIyowMo7Sz6/SEFFkuscG5YQ2nqp/GHdp7zcMmYvustV2nfSozG2Gb3qP0Jkgi
mUO99lABl44AAE5rizlKglDFsVMYiBXd4JHMjdG8AAxdTbT4kj6PDdxXF0OTZjLsutG/QKnbXCZq
3vokulXvKq8yXjLbXr44M1pqwJrdeGmrbCaQhJTw972dmkzAk/lWBiRyhRmTqtRkEFckkjlt4mrx
OpRWcgWWU+Igszu17Mh2K5OdW4LEfK5G228izq3zGuOCkkmIHwmUpKevQXlcR4bTbtib+gIcOHUL
1IPWACYi7FFXLjv6W924tVur5pgkjvt5qk0zvaydDKz3keuuF9+UyLXlUXIRqDpSzgYpLxAH1nin
fDOJUjO4pey8V4VxMWNGiuh5MuWgMbu25gPDlXvh2WB1R5Y/TOYqLGwGA7NDZ62UtRu6knAp3dby
Y9q64sxBDTz2kBpo4JyPqnFuZecfGqnuitYUIa4oGWpwYeMpWd0tA6UiY0RdabZxWdZgXL3Fmk5+
2tx4rfHUl9l7x1hosi8VHez5Dkv9GK90sPgi5Gs6a8+p697Qf+N5F5hYC5lPyNidUHHGu9Sn3v5A
ywvP//9h7zyW5EaydP0ud482ONyhtoHQIiM1k7mBZVJAS4d++vlium2GZM9U2ezvtookAsLdz/nP
L0oxHNs825dDHJ88uZg7G0MJDKC9Yhsxg1qNFOqBNLInoP6Tl2K/is2NBS24rDf21EVvJnrfwOOd
MEfudnYWuse8LvydsKrooWOJkn5Y1hm+lSP92Cic2NziHKt2Zlx/j+yiDGIDDVPO6kC853wktAzn
eNLVBji34V/28aLvC84x80ZZ9+ruOmP7zUFd3lGd0z9xNjxWSeJsvdy+Y7PvPiht3oxZOEGayuNY
ZM9GEuebkXe9Y8HGyA3iD79iwBsXuJKG1aiRqsJiaN3K32Inb/3o0im7Lsn4052neIuCEVul3D0a
RYyQpfAvzjQ8DJYZr7KqlDuK93lHPAizmrr+yKtMPc7xGL9yxBTHDmvQNQxM+23GKAUn4QoYtezU
XpaVESSi/JzbVq/cuj8vBkAg1O2SnkOEAcYqWBK3ZvapB/MCG5tg7OKuW9g2y6ZKt0NYN4GB6+rG
n70PtErNyimxq7KWFlcSWZzcaEk3nObrRiYVfnc5TZzCj7ZP7nl045m4IpAUTIl7PPXh6harUdQY
5Hr7rs1f28X6rOJmnzZqXFk6vyT2cnSBn/Hj1eeFORCoeptiCVVu07y8z2Lz0EfuN9XpgzaHLSlr
0Qqm33acpm2MiNWK4+IjNbJ2P8bR98ylNigZLu3GSRe7dPbfBgw/+KYFpAt8GiJJbt+Q7jw3YtZu
WkFGeMdNlvgIiPZkR9YpXOqzjrDBrsKWDAvm1VMawcBjD8Uu29h0ONQFXTxkW1wtzL0B/+HoDkzx
Cb4qnJ1AmrLFX9t/VktSPVVxqr9A3h6eGMKYP/wyDp9IFUH8PMnWOQxpdSuAw7k7+nUpspceb+N9
DvF5y5CISAPqnPjky0mdw5kSdWj7/qNnGPjiJl72yB/J773Ow52GLNILzlmIz/Op3lKCez9qqDl7
SZG1L2e/vuuLJXobunC+Q1iDfo2wn5+o7bP7ruy7tTNDNLmjFs3glfSoUVZLO3RBt/T6rYpv7tpV
jqXLZRpqCA5RHs4F29lS6YBgnIUUgBYz4QOySf3ZloMU0K2Yvq89x2A6qtp5eGI6mLDzD507H1iG
aPOGPncSTDSSMj1Kp5/s9yqH2nBOO8G0YdSq+pqAP3HC5mbi7poqL2EYNHNURnXgV8ynAg2111vB
LCTqPde86aqJ8AOwssxj8EEMBQGNY28+9GbfXkr3JnEgYZSToFZHfJfLGZZ46zGhS7vFWfeuDrHj
rgXqqCSnO1ovqmj1ztV9NwRt2/MYVJQ3+bajJPX3E3WNtfL6UHxWhvMl9US5UdYE9f1G2KZLwe3d
QEviIO1lJNgFA13FmiU7vRRTm2EGU9b7VHcQ9puME3jEOLiIcFoD2l0wrJL+geR28qLSVBzZEJ5z
V8WP09Q292U0yxPFsM1GTLxEO5iHqjffSuEgnWyYEycp9miVkq9da7+rvHaulls9FdB032Orbo/U
thzPHTbotg3XVhjGj9uY87qI4aNa3M8RNHNTjBnS3ySJCfAxy6vdFd2pqIdip1myFwpZpA2M7AJ/
zMeXmkE+gC0wKxVG8ZO0i3nLJr4EaZHEW77L/NZJ9OIBcz573yns81LVGo90FOZm9Id8ndA/UToW
3hrvX4ifQIUOubODaRx1REm5Ioqw4IjQxsGZpHmhHNNM2UsXMg+ZYrAAVo3rDmfLDdugaD2RMaev
4mefiT0+leQCTojGIezYH4RmibPnoNoX3fi9IXR2M3tTuksQuuPYi1dEJbtXdgeCPUZvm9+ODAjG
d4Wyv7uNHzAhIebRDoYZElgjksdIyh9iVl9Le3jqBS4GFh4/AaUfDIbB/9qFChCwTlBkVD2RFA1u
52VhfbWkzVlv+GKl2urouOw1GFsAWDn02SjV9kbi3E21vGuN7pX6b4YwjnZ1il7SWu9DjTVX3zkX
w8k+eku/KQzkkKqLa6iss89/7MRwwHZgN4pqXIVirvZkEOVHHkEAK5vDxQIpI8fQ3nrZeDfN2XM5
9N9nE/nwMtYXqq9LO5vdBa4MeFGYQcbP1E+/IlHEgxDMSWleYI0eMmzYsNGF5TVI+GidJ092JHc1
w1n8wO1DG5rPXQSpGS/9laN6+k7CPXatEaJ2VNW3WOCJ0ndJRX5qnwSuQ58YJeyDqZNg55HZSP0j
frQB12E1d9M7URJrsGROS6IPA7NuX5LIAYkFscTyLQ+6qn8Ou2LHnQ4rR5r1DpR1OHSx369atlnG
ZDnI47Rusw7mCScE09FwW6cWG4eR3vkDrEQx4+naDqm/0SWT3LqYX1MYICZZCwyyjXXB1JLnZKU4
kCPv65oH09HmrqowDJjH0trYZvMNbIP4NU8+LOgnxWQ+gxje0xEerVhflQ3pq0yn9Vgm0UPdollM
x7LbWzSvGCUQY2LrhhgmkWf3jUIpr3WbBU5qwZfIi949Y9To8C8lSRCZznyuEgc9oo3Q2uyJVQjz
5IznDP8pNplpG+bdYrtXJhgHCSkoEF6rAnuuOaRN7+TD71LmrHb5nBSHlp6ZCU18CG+zBvQ1r3bj
o4GTRr9igvRYufCvovwyZwXO6kISzxu92mremDdvgHLJ3oEOLhqfonzQL0jJx028GNU6NSGCssD2
7Hv13msTkyiBkBSRdCJqpmRyLEYqVaaKPuRBeEuNCiO21G4sL/UMcJDl4fNQTQQMFSVxJ/W5AJV6
UCgiD/gz1ntG5/O2UnnLPNWvzqZp1AdquWbXiFFx6Lj9KxUrpDDMNwuKQa89tODaOmDsbZPKYk5y
ay9DVgPlFJiLYzkQQjAY2/CzmWtav6wTRGzU84Dkikiwj67Ppn5DcsRi72H7czISTTmYGx865gRt
VSRbH8bfo5HCDEJly/BAGlDDQayeoWWyLpP5J+yScjebUKsiqeYrBI5w2xsDSn8UMQWOC7Xqt5HK
u71bDXpvO13xk1wR+8hUp4F/09B3OaLfxVbP+rOSZS7xN3ASj79Es0YWDDeLOM47GcsY75gCMoZD
xUTQy0LInn30FybUp6zI9EVZRv+GRURb7VKs1HEDcHUh8MP04Tz5iX8CwBn9Sy7y6FDmY8aK8pnl
EA7OFMCBUnY1tWVeFyv07+PYmZPHOp30dEAZL89LogjdtpeyPU5Fa+2aaDLvUkFVs8NyEJWHLFUu
sDIZatCCWWDYj+M+ZQRpSEk3/YxDt9zQWsFEWCqBckPizunZN6cQ17VWhpE+2MYynxNRPDfSWk61
ZUeveUHiQqjS5BoxeXyCCfRQLcNpTrwXq9XtobJuORpOi0wlCZ/jdNnyvummHfkBfcPaNoYDyxQf
e4wexAteKQ9h1NxU6Ekge32vegHt08bNDvd5hQg6q+QGP5xm52j7e57WR0F/MLTGO9M2GBKkcSyM
FjbkYH1pi/RK6GK1QZhJegGo2dopdBlAXiOt4Jak1lkOZx+2NRB8Njnd6Npye3NLgXqBBUCd76Rf
8ew8ZxSSAVgjAris3ztzdXEy/2gQi4HduAeLcJi3bQ6qWIQ+qbl2zJStGuBh4uPESelHCLTDcWN4
9A6pWpi4tUQ/ZZZI4IU11dUurZSBEEjUCs/3hE1P8evQY9ZgdxA9G3xpzmNMykhRmCbhjSoNrGy4
DD69mhHD5MyqwoambOycvDr3Kt57y/AkUbdEUf3QwmQAWzbgGap8HzeIiLrEOFmhfpF1pwKxZNkm
RIy1cQxcdwk1TA5kDBQU0OFhdJgekdRx73fLF0gfDKWm8Bkj7mmlrO7NaI1rmqEzr0FaAq3qcFVi
y5smEMuTvLvryRpxshAB1zRdgWc/q4Hv2Q3v3Lh4SCdrg8BhF83zYz4S81HcvGEKJk6rPiOIq7c+
DcM6ARdHZN8ZH+RbvgskTYc0SSui/uiHq4xME/c8O/Oli8zDEntfnBneq0pedG7tAU3XraUPBLDt
yoWJp2WSC+W1+0VX0JJDYQWuO15mFf+0Ik1MCwFWafOgbfuBbefBNaKXyG1+YrxyrMABIkkBkhX4
gVtZuUsXupPZbX8OmdcFvhxeebdrvyW7avY2VthzLwOsUy99aGaCSHFlYUjYkyAX3w9d9b2uBvTQ
kuWHf8jY7HWFg4rPu8Wrap1WxXqYrDjQdkTF0T5aRkMXCdtykgcLEF+l1f1oqac8gcCkbA37MXPu
x9K4A627uAXMHKGKb5lhvuVOfM3mBj9Mn4PafmHP12td6SbAu6ML6tH7UveEyHhdFFgw5/YRYtyr
oMWjI5mrVRhi/aXDzNp1oXmIBkMFWcwBWwu3ftUdkLuodLuqWwrGpn7hCV6Zsh57KHqdN+3xLjn5
AxVVE07H1Mm3nqpPGQkuSoGfLMJL1kuTxcE0m0y6ZfKlMH2bgVwdbTFXg7gJGgvCuBrt6kPjqElR
+RJ5crek1Wc+t3fAYuco778lc2fzUebPWdoi61KbdqqvaSuvTZ5A9NHTGpBwzfz+TH36njrpQ56G
Qb6AwBTdhwtHbGXaZE7DWr4VcHonRyjwBb0UMcTXLo6/uHXyXGXwjKeyifZx1f6oBnwUbog75Qyq
hiI5eGVeEIfgf046/Owye3ubO0vtf3Cj6cmJprtE82HeKiWcT+OwPxfCDKbCINotV3JjxUa8sa36
ubTAv6ey+lCF7R/7IiHy8lazWCPouEjLhymDlO4nNX/bxrB9WPp7NwQCsazqPhlnXHyI6kHiScBN
/Zw5+lVVo72xqmbZonH87tY4rfQMWoO6tautMqJHEKBvJdlroyEMejf3VnAuJ3Isof3dhsBD/WCD
GEE56/edIP9jtvsHPAT5OqrouRuHN5ZqvE9qf+c11rOX5Icegf+qnYxxG7vL4G3heo1H5J/pZ0SO
xwVhPONiL+sSYp8sL+OVFPLSh7Xe8lgsvJRbYAHGRtRDZhOUTNC+oWMTwUCrTKqUYR9mxviKGnpR
ZweI+YmZzfKoYMNdoKjq21AMwEGFXv9kJL04gGVNZyJk2m9MHIgVHBmPk4hnhsP2Jlz8So5ntG9o
/k/+MomvbavaD6CVz6GZgVbcG/AyxOEmRom+S+MEG1tELUE4J/dtfnN40sazN8hyRzDNtnJhLrgy
2URjjx/z2Lh7mtGrXZO7ovuZwbKJvNYv8PpqknEtMERCWeGi/LFYpSFBUanjA5b7LBMQj2FFS/Cg
MnUUTOOZA/KZut68dZiK3ydSwrWwUQZBCycuJCM1fm6cCUVRecsrxToUVPbRILBmVeXNGou9L3Nx
Y6Fk2buTup8V9XEA19IOZD00eysMvzAHWeeYixQ3m65PbHXf5tgz3mxd7RgmtRtTLXvEJ4/kkH62
jfweuxNmUASBSBe0QA3Zl5l4kKB2YJumDazXOqTUFvZiHuxbIzoZ9OhtwuubBnnAL+jZjQ0HvLB7
Q4l8diPrqgdx1zXWvI4K7eyRcvpBGQm9dm7ZXYSG5/CmNTZTdFqirE+un+wr/BJWVrO8gV9cC7f9
yE142zZWeaKvPhdnNu9EO+zxen0K0b+CJ4DeTzI/xNI5IMk7TrifrOKJGqYITZxDACugzBJMlth1
ss7Qouxcxc8HL7lXc0Uq+4SmG/6M/W5CEaFMddUW6af9A5ZBefYkhs79NDaHPLLiJ/ifydNULsPR
tlj0ljdOV0i1OYhvrawfDh8ybBUvvUbghWThtk5lM830sU8q4vRpaKzoTsBVPGlf0+9p0zLYQLHy
+lG0MTqJET7hp4+6FJGTzwyQrxXRcDPeO3lsA2P31kYWRfQaGYk8dx6ZbrC6+eadYqrhHgvt3Nkg
swfDrdT9zW1sTbReTGoTmlF67XwyWU4pAWhmyc+zJCF0OoH2lMfeBNPYA6Eh/Lt/YPA2AdQvTVez
R0hCQ8sJzGOVm7M4TEkL1NnQQRWTn/5s/YRDHBLkGVZm+ZhDoT7LoXKPspqtve8bxU9rlNFpIEuc
zB/fucV2Q43a5KJUWIMNnsFrir3nzIumQ7aUzcGX8XgUYWNvss43X4zIld2aHVC8SQQAQV63zg2A
Ku86qzJ2oRjGfSgrvROqbU8VCWY7HWGUt5r9Aleyuna2BRl498SkshGndgfzjqfUvxSykq/OrefS
Xs0DHSTNQkl8ASWXndwNY60OqidiafSc5ASAZeKFxURqhdYWg62FsjczdXqwR9GRxdhYKVx1jzM9
cTMdODWk7RBDgMCwvGIMzGhUp2aO5c/CjiprNeedhIjd+dlGdBG1+GLnfvUocj2biOgia9UslGIg
Pi+CmY0XDBHiOTGY8Stz2WxTMHyo12gcQYXQ4H2Hbuys80za79D5IxwQgTTzZJy+pHmDcZ2fmpe0
mDS1rOdRoyj7aqH/vkdHkC7rvK5SZ2OCfm3nfoo2mSbuNYJ+8Di3V8MDJ4lWrqUhaY2+hwsRJpDj
0ULZuBcTCWVhvuCRVILZrbrBQbfEPDJ/tJvGxvyoy0hDMaKh/AGfSnwPtT8ee9kvX80wt1QwlKF+
D0EiXmcS6hhADHKa8XtKvEudSzLKcrwM30WZTe8YQkKBp5zpIJzPuAZsVeG3E3rolLXMD6BpWA2j
QzZZyZoArK7bMaK+a/GO8t1BhhucV4bkfUYKDU7ixEl7H7kxG0LL8Ks5WIRa4g9ZJg7tScxmdYgB
W+YtqzF+8ejTidRTuYRPUXLYbPoq1MZORLPvbN3ewiGP4pkqCuZztsv7fpabWvpdvs59AMCVtkvk
EklbShPSILoxwhqY8K2aya5op3EAj/Y3SdPA7MwKP82UCmFdCLycA4LvKazsXBvvIfAt+W7IQ+OA
YPip3XZWJD0EENp9QCVFA4jTy94XOPPtXbgBcAYanSP3rXsx03dPVN9WnrvWQyHlQoQ0dlTie1Ua
DCph+7PZQi/vp21U9ICpdqToZvmfUDik096QqPDmJ9uHiLM2QnFGrzUSIYckAa8sTjGnrse0yS6a
izNEiPyqCTj4w7bhmV/Gqp+mi87s8qtG4DJxBzj0nZXgp5Hj3dgDuXTkezZTVzFvCf0fVjnbP8ki
I/htASjUJ26gePDiwSgCDV4UpC1UiMDwKuyrXEgj/UrqjrBB2+ywONBhlFUbawRGOvS+2f1QkOvJ
+lzM2VwjFXsJR1gQNjq0p9aHYgeSliXfikn19abu/B5/1byUkEIK358fRUdNbaKzxRUrSahbK1Dv
AD5QP62RosLDMR2DPJdhkPrQmHXRrhamu1B8jca88GX27TryE0CCLvKLYZ1D4aFTzEfC6aHBGtk6
csL+YjPFbs7zzZRvv8BgITSZqPpizUcORG3S9wyBmyrECmGG10dB25km08XQzeI+VZahoo1tJ+3V
6RfXWDtRl9oILSB23LspEvwNXRzHlx3Bst3xIFzmZXAsaX1TY6LGZ6B+Tl2kZB0uSMtBFCCET0y+
k+Fioe+htFkMDJ8KJ+TLZAx3MyizSw920oTtB081XeoVLCmkLKPy2ZOFQ8mAZKuUxXZwDYwmKjg2
/qZMtfEthk0qzzVUHTAQMQAsVVigfp8WNw5XnVPJwLPTeTs2lfcwGFWusAzNnAHCDd6uwS0/Bh/Z
xGfIVJihD70FgugTRCFN6oQ9py9kQ1jewxyN+WdqE1p9GN04bp4LaBBi2zlYj+AUGWHfiAYlCV/J
bZ0KKKo6gVTCvzIxPot7TusplNip1bCDv7rGrRhSBund1OPaEyuz4/9+GQxYvIHpjTFqwThtncDN
4/h1EB6glVGlOrx3Smv5PqJbXtaFFaaaZ5wsb3p2o/QcegNpRKRz+QZzhmY0LzJth29NTK8Wgvlh
u1mUgBuM/esfZtYYFjmWTI+C2bVnEnathKZ6pWRCp4wGiAFRbaXlGDSqyUbSKtFzBrav23wXYT3x
BSb07B87GOak26qhNAKcdy2icTPVUzUtCDVYVrNTrjzcCHUQMhxw+b1Kp4GuJ1xBXcdpMLf3Zhgz
EFkxuYLpUoC7Rl4OPnfTUN2PAN4hASMdGw0ay4qM8SJO7HXs9MNDa/I8Vwyu/M+oNo0LCtnlaW7B
anh+TELgvLtWFEgsU4xVA1h04ziIO6KPh2knCUk5JL3vIvu+VdhojslRnz3JeTVF1WIfawPLwk03
cLjdMRYz77EILac9+kE1Q6MpAXp00kxY0yi9sDJzhJIbc2Qe8LWVHYNrI88TdGz8+tXMJ/ZoDrhd
0Xc6g9ooDrbbnCe2pq1iXYRPcWkxFxKL6l3svxSzXN/GqG+VSYmE2Yv8eV4zjgrjg41CpjuNBjtL
0CwhsbGDn/JnGHqnKmh91JdBAn5TPFhQGs4uZwbR6nOmd+bQ1R+lKEcJ+VtidosBF0GZdpSK5AVZ
JiZ0peqQLc1eSF08t/nEfuIt/kAd2yVfpW2g1aVDLx/y3gcZbwy3ZSq1dEi0+n5g5dI2MzKBNj5D
nK184mzxEiWIuSulzneG6NWLhYgtYtZScqDkA2tvY5A0iViUj2C6hSt7uLVq1in2A1UG86RwsEKe
Bo+afSkFcrexHtQdbBE33GHZ52sQCb3oI2GFo4+dqIxmxumxJoQkoWrH2Xly4aAsTkVrNMao2olH
JwXeLXp8jz30Od6pi5NIHOMKcC5QUJoTBVEczgCk9TbV+6mA5xu4lRbzES7WhGFEPo4ZYFitDFgw
N3FufYvpjvN/cX//V1cMiKq/MEhvWWY3oqpSpo17hJB/mrVTURWk7QINRV1hfZJSTHz0lBk5btJ5
+aApmZe/8cf4XZnEFclqY1H+p2UVZsl/GqMDnMXLbGdy3TXlskVVPuxdipsNQdTTj1/ovPf/JML+
6olxc7z4b3rsPy/lyZvrlPIdFDi3m/+FHisA7AD+uZRyC/PR9cA0ZdMo5jUV4dOWCVM+UvMaTShM
KRstwT+J1f/rw/3dCuR2fUKpEPAQgufZwv3TKZBeLUw62dvElSMwqNLhB3wQcw0v9S1uzQfOtfxv
rvjvD1fa8OyxtLvdtLD+8ABpiylWzTDaa6YE5ZryaFlJ6ikoa0O3++uHK2BG//F01c0JCZcT5Xu2
82e2UYQsbxzAdSlkZhidXGqOmo1ouN3GwDui16BrWUuRNbvIeMD5Vz0GM3/zOf3bB+zdVEsodaSD
donF9Ps7lgNMsLG/5WOLtHmLJy89Lr0S+AnQX1e5b+z/+rZ/V0vxTrkYQi6LJeOR5+T/8U2x8usU
HQTFstfIdGM0CdSwCcTt7wIL/ocLuUK6ZBUg32N1/nEhf2LHg+PLCL01hydS8uK7ScH2/Ovb+U9n
3t/WCD0VmJeFG4+pMCH7g0Lew5bFe0SlJF/bcltWqbXLBEnKY8JZ2gKoBFGLZpIf8TqXUbiB44AW
SKGPdT1s8sN6Kna9iz7hr3/X7z5Bt8f8+8/647WWWcjNDsi5Z3IXX9mq02Dpi4jvyMgCBOrdJUO5
cp+HvvU33/W/LSGPmAGI9QSR4T4q/jTeXUYaxDqu5VpYbX5nmQBnBuTWdRZl3uNf3+S/vWLfwovD
YZOQnIXyT9dkXBosPmliL/JYlmdC6/x72M7u39zQ7Q3++oaxWzJvWSa2UESDws78fYVAi4+RyMQW
YFnYlitQBUGhKdut6g1yIfC93M/N31zzz4f4xzWt253/svOagBQ5kzXBwB5aROsl07VKAdC8NIzX
/7eHSJbHbatzOcGwRiNw4/dLtRJaOx7zKVizoGpCPdPC1p9qd/ybpfLnPbEQEVlwdrkWnC7Ko98v
pE1oL7rp462YUERebEx7HpUzYVVPCpg9/PO2/r8o5//dBKh/JcrRWJ49Jt9+l+Xwd/4ly/Gsf/Ds
bZOCnyw091c9ref+A48LB8sM5xYJyQv8l5pWiH/w5shP4wwmsQjVzH+Jcmxc0Yg/RsWDJAcHTe//
JMn5/TSyyZex7JtFoCR0lCbNvq3FX757FIpoRWY/2xq68s9GtnWGQpzw0Dxj9oMPA9TkOveYYpZe
fE4kJlUgsc/kV0fnYR4vITvxwXKbe8sw5r1M+i+4nZiB49XeOiuQ5XiU6SzWch7NE0yhK2Ix4839
/ssD/x/KJkFSL7/zv/cM7gPNMUc68nGXFFq8PX+/DwdIRcdNZ23q0dzYABUBJCPqXjgI+2m07mkn
1DHCQDjuQu/S1YXaYNKYbkadv6UmPgHdwOgPyvfRLvyjxI4SMo3AzAlvjgBp0M+MyeMpJ9KDOYoJ
TKHtNczSk+8nb0aaiDW+1ptljoZLES/n9Eb85vw/mdGTSMilgdIUrVKnKK9JT+hAM5iB5zKQSfvc
C3qH7rOC57Hz6OBKf/jE+eZnY3ffYklSHVKZ70rbb73TG5sYl0mUNFkNX3e+erl4cGVkXOGFQVzy
qk9VKf1meMOL/eY7hvNhLMY+EYoEaYxqGKhg90P2Ag4DgCIMIIPW+STwVCI4hRVxwffCpP+ZHeSq
S3QenewlaeRN3MOVU3OLKplQSEedQJPaTQFAtmISAg9NrULX2E0aA1cwDPjbI7qXJNkxLs72TbM8
T04ZrVVJy+ENA9yKYuNowAY8CaoV9gTZmnJ4E4XFsvIgWG0HDLEC2cdfmLwlDBThEojJ+bgR9yU6
5XU9MQDDqHbvHXp8zCZ+zsVFl7hpxu5LTDQmlkjZozxbcLQYowHYW/aJacGCoUR0lX54H07A9qKe
qYX8mX41jfL1uPiHqkZJ6uFVhsqWLDIO1qu99OjO5rHbkYnDZLs/A5u+aLc4Z8smdK3h7IyGuZaY
L4x01ZZCSmMWSiF0xTSn7it3NdBCodtIcEjyCPSpVYzvi2jmbXhDZbXgFhRjZ4MGMGAenwdDJx/C
pfqadSG1TO3lFydVe8RT97HoffjtMNFglneB8pu1IJT8kBQhpLaRCDkojcURjLBZ+aUTZGFy1PAt
zgJbUswmiuGKnheFbdGsSnxO7zWEEg3HeZPENS4Tg2y+Yum2RUWYrm2CCdYyBqeyinYLuFuSWbHc
/DKqH6NVvGRgma/dTzuOn/FyvJcVhg0hDCwqn3SbdBVf22xCjC9zD/EzqTRHAVkcdkozLBuzGspj
T4Oxr4gqROYzr6sKM1C7I2UGLeyoN7K1fyLSjk9YV+yI+T17vOX1LI4z8seLrqW+a9uIQBS98Yrm
Go4JJrCzPFdL8lUo/9II5zXR4iWU3btj3eGYEqRDsc5K+ey0sMtAleR8GIcTTl1J0NsOoEiqLrW1
MPSdbEbcsw8c3b4CUn3UykR9UX43TZP8lvoBzRL5peLNsup73esXuiNzVeddyUjkkJcleSYm0zqZ
c2GXp93G4wtQ1B6bdJaBP4xBX3io09zzGK4JI+Eb8B9MQOw2cdi5bFibGWVj4TxMCZk9HAc710oO
oAvnThgorlR1Mv0iZ6eyvhDNAAtG6ke99PB8yvIbRhorxIlDU762iPDG6b1pUcNUVM3Q4Y+VS7xX
idZPFnKVS4v5uZm6gRDVYxXjIrgI2MiswqkMxaGK250593ZgxosbhMVbJFm4UHS/RcV7XI+7Nqzj
ILW+JpBszGgeYbSYeLp05X7x3XuncGActSGqxmY/5eJUEGGrM/XOXOhatA7j6brbhG26M+CAAuIQ
0pOlkNEc/TwZLnhLMGH3Dwe5Chz2n5VzUxSAq9fsGNsqrz9bJz7HFiJ/erfPcQqzFccTyEjZMlpU
n2Y7vjPt/1YV6clFPgKgYokgQ7mzKW2wsZsI34mRi4X9nUzKels1TOoSqb82JtrIpi/CTRQv4SZl
F6pmQ54wXWj2Lej42kGPruro2WJkZxSevyG4i3DT28l4s6E+UFcir/KcDM+ypNtNCDoX1aGVTm7k
FoOAs8Hppj2zwY4/hndglBnRtqrzU1V1C1cchycXGIgtSPvnzMcmJppizlQyXGtYPmKAgEdumbup
67o4oD1DVJjk8TvGBG+dIdqnCnb3yqluTREZdlk6s5veFDnJFGLrU44EqruqerAy0GfE6HLr6Chi
XCeORZpnD5mVHyJQyoNnYiHscjd5UcfXcinuq3liORKqtBe+fOGVPdeeuGcxYT0XLofFnuU9WbP7
ApeBh5r0tnXPzo6AfZDHqLWNjQGU88V1onPTLslRSt3s3A69W2jAoyfOfXWrTp5jv3TXdkK1PDAj
XaOsG68IsPpV5lXZe9SCFBsEZ1+g+SHmVyWKxSgZNkBzMzQDSZvIZBM9ypDv3S5ZTqL33CDNfALV
PcR8Ea0Su6mIPztmgCtVmcMj4QQLdm6620QkDq2XrDKOSUg0jFe0j6VoS1aq8bz4+kADtrzOITEW
S2569LyGt9ZRU+80IT1228FCkQqg2Xb2KA+Y5BTJFS5HdJ8mBLaFhXh0xX+wdybLbWPdln6VP2oO
B/oDDGpwAbATKUqkek8QtmSh73u8UT1HvVh9YDbXlvN3Rt5RVcWNyHBG2imTBIFz9tl7rW+xyo7D
LK38+G22CvkUzZUKn4dioI5XoxT6HiL75iaroBtR0c8rYibCK44pZxhA4UqT0U2IWqlP9Iwsr8z9
EGTPSU9nHfsOxuDCsoqbbM5qpOXE6DFXeiS5y5MmsdNLQIuY/NpdPYS4Lf2YYDCRqU7SnFIgKaFV
7+vqIWdev8sqHu8mh34WR421asdhXSRwIsCmY+nIkhWwpXtpaLnRyiM3qrWS0uxAkAutygKqvNwv
gv22weJgDSoDgEMbgheJ245HUC9XeWeFnqX4d/WUb8PZ3sYZ8XZZCj1EHM2qOZiBjOEh2Yadxl8m
aFHrUYZ/8xr5VLuKZ8qOqXhBKbIeTAuyWqisIXoSJMXCzvhwZ4SEpdgNrffAuDXICK5wUNd20bm5
2o+oqlPmkb742qjdIS7n60BVvlol1aRdvuUQ93DPISZegqsULDbLAHydy/S14x6lK3Ff+Am6t5bo
X+YdZYgL2eRoJyG2TiBPuGYVMWCWV6CNY9ds1etWTx87WrLYG++UBOFJrVKKdC00yVhn2IoIwuka
sQqiYNUp9VEpddJQCAnqe/lrWWnv4G3pfArho3pPd9yj91XYUzpiO6rHHrhivNVpQ481Y6KaMa0W
hRsrbtxcMpjoSsy7ExD00ELIPGjtc6tHdxkidSceIwTpjAWDQUP/be2wQWcuoPE3v2/eEqx4hNMk
MPTy+HpSxJfSLPHgqS2Ji0mi7Kvm84zKeo5vxvwbveITHQqQtEIsOoGDFSdwuGvLCwKM3UvHhqyH
V1GR8sBM4H5WqXWLSXHHltFJWTySO4VAQo6fRsk4Kc2wrafqaWrQlYeA5JQp+CLOlUKXZ0LSv4la
/0vej3ej3O6q+lEt49co5c0k9njPcecGftoNT20bBciP9Wuj6cDTsgUmARbTaAYUiUBB6YKtnUhM
G8ckdMaxJy2xfJKbKFqFBeJu5jOnMr4Br/c4C3vTpbzdvFJaJ4pUxdHiGcsLctAI9a2L1IaBUsC6
kpIbSf6VYyQUy0ksn8omGIhmzB7LmCC+up8gErfTmRbmCXcZjix7jdl9bUhQ/KnIgYM2V1R4kUf/
FtKbzztRTFO7Km17ZYjk3fcb3SW340C7Q3WznWBWi7ku+4KjYlFEIacgMWTHAqioS0wlt5Nu8RuR
CF8nEkB3JdIc1sR7bRrn2yhh18/QnqLqi2eXdMVrKke2tg7a/9gcINmlp6HHra3UFsGSSIf3bc8W
7eOOeWq1PkBfEEfITbTtDJ0YnWQB5s+uDoksdyelSK8XpQ6iUP0Z7IC5mzRj9rqm054Tad7APXwi
9qS8HvK+vS0N7ak4iKTwn9JECa4NmvaINfhPf/CVFdHQa5GFuxBYi9vmzKncbASTKPTxmNk4iI3K
P/m53zH7IdbBTCT7ZM9+43ZJPm3kUs/XtHorr+YMcAqsnF8oh92iiXD7qdM30/RhNUzBIRBqdy0N
OlHXwrNg29/V/TeyrhoE7HBnwu4W6UFzJ/tzfm+f8WG90bJLjlNiSw/Cqu7xSbWgmK2nABjDVa2O
/JLF33KQctthiOJzoC7gVL/Qt0bWxefL7/UhQU3p7IwpBM9I1+O1FrWyZ/v6Fll9edQ5mJMhMB/w
v2/7yX5CLNVuA3/Orq3CuhFzc+p1+7VBEe9U2fBSgtt0+9ncBGCtORLN8ouZMHodg7g7qpS89TSA
ygptH+ymygEV/Va5SEHEqKS7au4H0H3rTKqfi6EyrwcUaC7ZWk9V0nWkw5UcNnAwQZmFQnRYUHpr
pRelVwJXgKVIdaQwGV42DH2fqDG7szEeEYO4E9y5DRoW6MBQUCWMXk7SCu2OitfEG72hq6Zxj7o5
rnrSTBV9RfDdfVyuiiyJ1m2QHUXajreTj8wWMCewYuT13uVHc8Z0Xty9qxXsiKw6I+eLNrKQtJ2s
Yv1gLL++VGuR3vU7vnTSVV957iIE6am5bgjfJKkov0a4AkUoz28nVXJ7JRlPrJ05g8ekWU8pAw5H
zNlIvqrI7rXoMQnGTZ/H2bWfKxSPWY1GsrCaN7jDAsXdhP9HD5t90jMZ5+7JM/nExbA8qaGVQSBh
sk7Mxcnbq9mml0xt16MjcjQADcdal29kRb2xl0KzHQtOUOiLMu6+a6WDE+BUGlLlRkdJWEZlvu18
ctMsMjtWaCQCr4+VZwKB+T9yGAt9bC1i1RBk9JR9zUm1KSpjH0o8ist5NRN48Zreno8tV3EsI//Q
RMENadTKPXxSXiVed5o+X01oGohou00DTEhq3+99HTvtjDYwbOvN5asfphwyklFOnlXVb/kckaMW
JvZmZKrlgTajlMTPv4lYAWZ9MrFtgWdJUOLvfvseNYqBbERnERsDg1RSVSO1oeahEg462GxofqJ1
UIvby29bpt64ySydCHbUUS9xf+Ea7D06r8g5GQZ40RIiVU4+N2XtSGOmgjAQ8RoR7Tv4q9TNZ7Nx
MajjtMvgWc+pfcjy6rWJ9MGTpfvauEdpwUZZ2RxLUtlcaQH5j5f32kA42LVU54amg0+DjOlRHGIt
6tAImuXcbod0jJdSgd5TNYZ3EBvZWCf6UlnYP0paSYlQpc86LICzTKgUbFwfsG7U7sE9dK6Ggu4a
Re5VKM3VpgNYs8Na5N+K5WgwZvkr7UjlABgm32iUzrLf3MAFSHF86vPyfe1EXywILo7UEEweS/Jj
r8A+b3uKdDfw1as8CaznKa1xUxnK/QTgy1VE7SCgRiuYYX1TOlk7isujKdBLZKHsO1kdQ5pelgR6
+PG+9is3aNv0zszeK9+2DpeHXDGMQ61lyQFaGtVi0eA/s58gkmw1qezuELKglzZId0OSZqwZU/fX
4zzKHMnQDNp6W7I6KOYO6Oa3y/s3fKU5SZGBN+S5GDnzEDwHP0zv7gT+4kO3PDvZzFoW5ixLxQjg
fvRD3qdRY0hXODpLo7SHgEMeZ50Q0mzP9wTaSHgrjFWhYgeNNXkdIUo5jOZdUHmomzXiqZg0hTW+
RH/pS6DY/4pP+CqB7uWpRm3fsIRnlAOdvi+kuyQwgpWQm/6q8rtVL/RmO1gpp+3yRIJzt5f96a1t
dflQBisOHpZbpol1lPWi3LQkYLpqE5zbSsbUPJt3pqxn23G5yhbyFylVdo1fvl6uPffZUwOD/ERm
2HI68/FamNGtWg0cPm0IiDhp03GMNn02HQNbeQ91q1jLy22gd5m2laVc5u01YocydWvZVXGdSiTZ
UkSftJkswpxYRTbalarM+Yak2Pboj8m9uvBqimjqvKYs41VUZRsFbA/hqm2wmRXManAKZiTrCTgT
KOocoDmJECDfRbQblnVbD4u9ZRFwkBtt4I1+oLuR3dWuHOOFBR3jn1WE3ak/++A9mtaLCaJPLGrR
dqiyVxSmlnbUQj8+2HKtIFhEElSmrPBaZSD7i2mSVelXC4HvDTle4KZBCpfjMO2rEgt1WmpIHQuD
Dt+ySlBglS/AJPfGZOSEHET2IZ3f01qTD4kRPFdpO2w5e8X7sof7LqaicBGzRW6Y9rmbD0PhIgby
OS3D4fHT5iZAiImxMzhok7wFj1efsLxapTTeXtb1tBWrWk7nDZsMsXnowzaRNrTu5Qu9PDESdXU8
JGcZL/yGqI50o8nxgybTnwzqfA/5I79V2Ic8gLzWwejsQ2DrycomdNeh76rvZmZaRtJwH/TdKW8I
5a5idWvYOfugbxqewtSNFlgiNoMPRVzrpXiX5QHBe5FWe1YWdisjRSmP0rM5DJ2xCltcBDQviUmb
I9laVVYceJenMet69nETFJ0U51t6hOCM4pyRgJJ9tSZgdUraAZtJhvJJFVe4BPHugAC6G74Chw1X
XS7Ce1/7orQG8qMY6ehg6i9iKJurlo3UGUkMA9RosLBzg0fjElLeiXrTB+XXZO6Va5IQMf6mtGJt
+i/LeqTOAmU5Z//frqjUkaU3tkO3upQUEvpJ/FfwPUcrtLgpjObq8kGsNA03PJw3itk3L2E70k+1
1XrFzhR4Q1ooV3Ed0XhhaLCvJBpvEaqQu4r7n9uvKK/GIch3ElfSkUVdHFsprdaxz04haRJuvtna
Z6hWBTARE/bHwPHQN9R3A2rmdUXW5XWB9309Zz3Ua2zN2yToNJcW2SatRXIjsVacpbK+Bori9rU2
HGo0BK7O8R4lp6xuuY34fqLmyU+a8d7e+cuaFejKLSLmHr7jMRQsJjRkboBEiaspmM9aQptqKV5G
3XzhoN7t6flrnlyG/aoYpvrEkrDzA7UjK+U+KDX5kZYZYAoQ9UhqB98B+ji9JsO3uS5wClSlfJub
CllutvSYADNz3CmQizN8F7rvBoHGqVx+DobEi+D+36oxitkeFbVDIOh8ddlElaLaIMgKr6Ov4N3z
49yQYj4R2uBIepVdAemGwt/BfvV1CMwEs8O41qgMLJVWOmvd5xLvhQ9tcUNk10z+9JQi4rGhKVVD
fkRzkSiVcgBa/pbaQiFuBflNFPqWAxjbuTybiPajjcDIkmL3S+tG40tHj2gid/D0OnysIZYn0nUR
KeUJmec98KIA6/og70iIF06ZKLwIYj4csq1W0GunuRwV4T7Xo3rbgnG4FJ5TbDeYGaZFo02dZ0qf
mzY/FvSUvcttnoeBfbCX4lHS43oHYZIJgFQ+xtbM0CXAqhAl8VbCtfEap2zrQlUP9Pj9h6LMiG0O
idwoOLzBjPMmLfGfab7T0U9VTyOpgYTp4ZTTk8po7+/neXwNB1vaRbLNcVgp7BtWVeqNQKVVWynG
nn23RlOfhdvG0GlgWua8i/RWnOIS1pEoTHSFT71dtye/SN5Iq6uvGwX6wKXEQD6oPRgVL0YD4PbS
Q22lfIf1t8ekm9ucjxWx6YCvCjwMrgrWaiX8/JzZw0EC4LBGwXaj9Jyj/Sp4uizNbQWVPNGC7BDQ
+INB3wR8k6sKa/G1pKIlzpZkUGimN3qlj7fjmA2bSsqnVUaUpIrj7Jp5Qk9fPAaTNykF+IKYpCC6
uyWi7Ud7aO6CIbgNaGruo9jg5Jes9A49/KVUSmxrk+p2cN2u9eVe0T8zezuMzWwTRIGssAyBfNkM
Q2ZRlrdZn1ylGEtvh4S5F0o7DuZ6uin0abxtI5zijcHkJUPwv8lUOWIjLTe0la+zuX1LzFlgyOUo
NBQk/CLmOeaZNrhFxNG1yfec9LR1ig9e7xt/A0Y3cQZ/3yV1tjZ0uvvGgOcqIKXIIRi7oWEZYpIf
Hk25RO8lbHWFKrxYD2jst40oaJoYq2DapJVSHy7FO0Fvxnq0VrgdoCUbE2hEP9vXTahxKmzetWJW
t50uzpFeV7sqjyZPj4x+MwIQyP3a3wsVGEfUWesl3dltteahkWhnsHwwBl1qNKKHQ48ppU+7wQw2
lxqeIZ5MB6XsZhyubber47B3DSldmb1iPGqcl70Rt8W2Mz7TzTEeimU2US9SR7UX1a7nMLRJlSDd
WRR73WKNsUmhvYZ0Bp5geQiARt9x2td2SjWc9GI6SaldvgwGx3gUjA6GNXUbxVGxYq8Pt12MdYPT
06XEDVsasv101DCLuYWK0e2yaBVgw/a5y22jmXjnfz3uVn8MzoKiqSDOg91AcCeKHw4RPw6758A2
gblagoxsYzuOynhbMzYwzOiEHR4121KLQi24SZC3e9mAuCxfNuR+KWIu7xGsV79WsbZsRuZXdCO1
K3PeT+CBzgNjqcvb/UfCkPsi45+PaXboEv8zAe/fEtn/L+SsG0vW4r+XhNx9yf/lfKnbBdf6v//X
95j1yw/+gWtVP/2JWAd2/Cdk3VQ/QbggRl0Bz6KhyUDr8IcsRHwiJ01WIbPrQkUg8qcqRBGfoLIj
NQfzSpKaJRv/RBZy0SB9L6ewTFOmB2gAahUmgzHkJ9/LQvw2wNKfDIAvYbTRHWBiNKKup2vwoFX5
Rg7UTdWKb3bs35sR7kN6ahK5N4S5Iwd2os44+x4p2/LtEKvCy6nC8gl4Vty1jy2DBzctghuDcVes
qFeQkGY4zO+xrKUesM9kNVbmIw/evsJE6bCJfAtt4ggmmRWxlsWV2SPv/uf36L+9AX+4Tf9fiwTg
bvjVrbpr0i/Nv+67+pV/Tf9yv0SvRfP9HXv5+d/vWKF8oi9skvkKY0DVQQn/edMK9ZNuqaYqq5pN
Tp+lqH/etKryyTb5v21UQyYM4SU04I9kAGROSH9VxquWaZmGqv2Tu/ZHCaZBHIQwKNfpoHP7Cln+
IMGcpIks4XYO1uqQtI9TptMdJ0cNT5DOwLeN3vs6Lh/hqqLk+vPh/gv50Y86u99f1zb5fCqZuIiT
fnxY5gmqfinJwZorp3p9o9XneDGa4R3p+r9Z+5cH7/sHc/mMLCKg02BtmUL7oNfiUjIv6qdgnVpM
pawsCmAaq7P360/EN/LTq9iC1YmeN6GpH9Psmwb9OYUyn8gShCA02bAWvpJsm9jIr4ZwzA5S4a9U
fVM3Q7b79Wv/qP68XE0w1cYCybFZfJYb6fulxxi6YLaglq5HZGsrETLxkubrQu6iNdlmyqou9eK3
p//fyt7/4gtcLqaKiJbBCR/7x5fUDOiihZwG5CvDQ/dzmRrKYuJhVEZ48+tP9xdX1kTVZ/E4LB9u
WcG//3S2Ta9vkCQG3w3SG9Uf6eLPebTzGd/saQh/NhJ5D7Yk3aataf/N5/ygnf7t2jKkQ8Wr6Cob
iPbjq2PQSnhtxu4l5lo3LMWMqqMCrcVpcJsNhJqBtBGOlU8dARgzs6O2lzwF/Z82J8+2gXM2BFH8
N9fkry4/emKaaNzXqmZ+EMTOihEC/dAkSBipvTYrJukkv5ROEHXV+teX/6+ugMDPwc6qU+Eu6skf
rr9ScchOdYhxPfSmfdH7xtewsNLPeV8ZD8jyes9eUN5yTM8nOUhVJiNDw4yFtalaz307nxLFh1bw
67d10cZ/eKxtQmu5MSjsWEY/LCFNhw/N0I1gPQ/MadE+IToZZQR9HhQJpYAknVr3aTApRxIXmPqV
wxTC2QG3aBfacDUsw5eOaJ/MmSAqsYuaM5HGeVkd1E5dT7kmfK/NiI2sLf0QBdLXLBk1FyqpQK6D
7WrXQ8d5MuWMme6vP5ry8/NsMdREx0rlgtr5o/8gEeQWKQbfbh0Sq2LA5wBPEGf0WQt5OZkXofw+
4jdxrEkaR0/TAQC79sTEtRtzjs813Z7rjNEviJa+tJ+yrDERdga4jjE3TcXq1+/3p9KHmsdgCaDC
tgyNOurDVwEhA3+RYWIcSHJjn2NVzN0iz2luG3W2j8NCOTdpuBwRVbLlQi1OPfgL1lUezGJyokru
HuFxE9IYTzA8HaVieC10rcXmO6ptgMOkQbU34FiHvASN3B1Vpl0O2TF3ZTEPt/wN4an2A/LFJCx7
+wgWxS0klfTMpMIN0nwd0GxrPR/h46aCeH5FgLBxjkyQ567S0Gb89QX5ecdZQujZmgVHYP79YT3W
eqOHtaej3YJH/ZCWk7zJLTwz/5VXsdjRbKoHW/6gVS8Be/gS+JEVxM3GWyauxHX+nUPl5wKBjyL4
DIpOhW0s5cv3iy99SHQ1xuCvlMFsPSOexXOtQngKAuDa5FQsqr4BCUydq3+zqV38Az8+4DDPWLU4
sTF6Z5X78aVrvO9SGGv2KqmRPji5EQpGNDOHeHXCxovBs/+MzxsGPGbqeUsuXGm4XawyjxgtUR7A
609vmF4P1ZA1HLr9sYWFnNb3vhpL+z4U2v0sBcxLzTwPz+hEs1czlfQbrbTjW9jv/ubX39dfXEoM
INQzCpgJhdLtx88DVtSeOJzbq97QSLoJpwTNb4Kjii4ExIWHAWjKI5NR8Tdb2M/7p60ohiULTVY0
Aqs/XMex1KDklbK9wqvcrwl1sO9Kozo3SctqLsYOJqh+xGMLg04ak795cfXnnYpX52kyZUvWhP5x
905mXZd0ubZXRVJ2m5bZrevTCUNOUwrUJFV/k0oZfJcJQacUF2yn4PrXyMJQwan+tKKn+5gIH5Vi
iGlZV8nywQWYb8miMVc2XDG60xy6Srn8FmhG6XQZ2BYS9qBzwLj+9Tf4wQ63FANUOzio8KAJ8rrs
D49cQOOgD3tYO1WgivOcaMLxdTvahyD88egOteoyPrR3CGpAsYBn3I1ZXdz6dRM8/hfeisaZQVBF
8wX99K3mqUYMRsHdVCc1u29Xf+kxTTsm9LudNSvSjQhn2akQpDpVA/49gXamaHV7/ps3sixmHx5T
DjAWvRUD9wX14I+3tc23iew45I1UNQJTdTfPhrzDvhEdKMfgFxCx4hL5e5gaCR522YANjxm9l+jL
/+Zm+4s7nXAFvibTNCn45Q/7UKjRWZOo4lZVU2gPhIla8PaiYd8oOVwAPRAbEShfbBgEe0k01f7X
V+IvVn2Nb4SFkmULaeKH5xsVaCti2qer0YajBmeEDMmMTu/lVf5Ra+j/z2O3YvyyQ3RNdyjKP3iG
Lj/zR3NI/oTLkYd/Kdbx4i5NoN9D+EwOzRym6d3hAKINtNTLf/SH9KULhBdGk1W20sXh+vtJW9E/
afay6/Gka5ZKFtA/OWl/vDswHsn28s5QUvLX2h/ujjyZFT0P7NwzcHF4EXsuow5kr7++B62Pmwwv
o3AMpCJW8BXSkPrxaUwb9N4wzHMvzFFHQJ0R/jae8hFwJdnO95xa9B0tbrEeB232wqAbnsy50b/h
kPe/lJKgFT31uYcE0M7Aa6rVk6JJm7wui9uSJv95KMh3k8vymRmY74iBmWqnDraHvSb/XHWNfF/Q
rP7WlHAQA1GRu61xQBg5K+zJ2QlvGvzSaC+MEO0VLEu8Dg2bT13wd2VAGsB5WcqbmXXGM/6v+nbq
ceE788gsoYROT0eNeAdnjrT2LpZyBFFEB71PrCmVUxGRZiDW0+VHRQUpNscZKvgB9M0JQQQ5XVqJ
FVsddc7CKosn7XHDgsPb9jDstL6xdswmJ0q2YH5GuhaRNJIW1yBP+s8+EDSaasOI7NMOxbqDlwGo
vG3CXWEn6lsKzG9DrhFmH/m29Aflwcyb8k2L5vZRkwpkMxqNva1QUVmPc8nsKy05RfRjXO3MeomB
WJCyzxYNPARdIyThkKyc1/9eONpp9/Y//wc70p+9p58SPP+DfOyg+0Kjjvby1+7tyw+duj8dh6wQ
S2sIgxlDPrK+ljrmPxcPamD8axo1zLLT8Wj/sXiITzgU0WzRW2YbI+XkP1cP8xM9ZU3lgaQnLJb4
sD9SRn/vjzUf/vt7ysFP8wtkYeyw9HiWRg/Nvw+VR6eWOWGd9eQR+C1wIXTM9SdrKlwBeOgrJava
OUaPemKQle46n60M7cSw4OgSKt1dHwXlGfHAsA0tUb2ZlhGAua4sG3kr/KKvieqnG8BKpE0K4v2O
313x3z/N9+/+pwMiqjhKUAz8vHOWpo8GdDJPECwUxkDIhzF9GUZNvUtMA9MFriU8MbZdP1JYqeAF
yeAmy5I466hbT/IAyJurou94gsl9kegFIBLRuVQw0pJli1dWeWFb12SZGA8kAEX3oC4S1CQxxhss
U0sUPfAzsuzrzokzKX+eAy+XbzgT1qEj59Z0MuM4PPhqnuwwtaVk+2X6GIHTTapNE8mcqX99LT7W
w5dLQWlC4YZXFQv8jwu00ul9lprF6OmKAS2oDSFBjzKGwFI2/6Yc+thGWF6Krg0FJ4dQm5v7x5fC
K6MrLV0LjIJTvUrzUr5qJF9yVbvHGdP4YhN0+em/V5nfVhnxy2Vmlf7rjpSKL29F/f0Cs/zQH55m
8Yl+N18GMjMiB5Xlm/99hbFlhgSLofi3gODLZOuPFUb/BJZI5g+Wsxu/Urn8UZ9onxaVAwFpMosD
dcU/WWAAH3ysUOgf20xJue9UcCqWtfz5d75mEj7HSZtNYx33/j02C3JhULY3T4D9jnipIncyasJl
hXpsR3/X+/ox6wM0JJFQAJqVThLDr82zFA8JkagyfGI7Se1NM0BICgeZJ7ZqnD4mGywNgzUh4vlG
1CExmAtvKa0pJ+oZxYQdEQBqCmkVRyrungXkhAzAjBceqfFGD2qJ/BbHUfIjF3/KvWT5L7n5NsOF
QofYaKQ7iPvlI+CsfIV3hL8gdzOiDvsiubIUWrck6miOkgh8XxrFRa69l92x7tcdbqbLn6lV8DAO
Yhf5pUbsDHSIBI1PZww22FTSBrsh9lKAhVkz926VjjaNQ/6meEkJY3jSp/a9NZLRE2tY7dqa9zh0
VyrhD8vbGluUTolicE6iP9nD9DfVhS4y7bTcQhGYfI2JQOaQWw7YAss3nI+fkcbbsDHQ7CrLcS5p
JiqKYRWHxuhCKPoadrkbzDgyGlshYqqeArfKPptmHTu1CL9miGgcX4tv0LHdZ1x8iOuM3o351c9H
2Ge926Fx7L1Wr++rMngyByCscECRWWTxZ4hN75ffqezoVSpeqkUHXGjyc8W9kgX9OZjVq6nyC/Qn
rNTIYvBbpUfKSLjq4dHohLaWYgRWLeWOXrctOcfmhMgC53woP2fYMbc68QVGfhwFZVnY4UCqCWxo
Ek5yNsTOsvbf6AwegiZPVrKMWrd45QYGYJjp99bcPSsZ8EQyvoCoDQ/IiCxivl4qqx7djLOfo9nD
VyosZwBS65AgUjtq5ntlCi+SPIlzkA6yu27VtD5aXDsHN9YumrZKZUFXJD1Jk1TQoOA0IXbNe19A
SwTnKuP7U8mSRyhynDIuGBnO2Pj2YNAoZvEQuhFg5IGtajAIpfGL5somTsCRm/Jrutz3CaM/ojh0
a10UnYkx48xWJPZMjr3M1jGHoejERok1OCQVmEQV7JVJYO8Uet5RXL7LsVI5TIVrfCz6S28QGYcy
9SVVCL3JcqRkcUrwAPoL/bZotDt5ynd1SVoTkrJ4Rer0rSGjnpkwsPF9KG5X24caU4ob4rBxKvy6
tH1PhF0gEOYRdc3hCajKExSvlNDFBNnSWyyhjwyllZ1vicl6o3WSe4U+79AlvoxLGDJzgF1EYoyQ
kmyn6P4Zb/Ar8r01qcXcwhFIXuHzjWflDoAdtpt6VS36KjmNi13ZuoESDtfCf8FweaIQC+9MZZjw
MGP0MoegPPC91/iNkFbjvtS5+4kKWWKU+7nK9hgmd1FU6Fe+jxSuNrAAZT6uwjwlMbkf73NWorGU
nxVA01vLomrw++xtiIZ+ITtY+w7WOQKy4GHgXFF3oe5lOohMmrvw7UmF0wj1wHlJ9kNB4rWj0bay
B0CkYUz0cD9lpF1gxcU5cJUhBsI5y4yCL8RAOAhquoRqKYx9GWjjuurvzJ6DldwPT03ifxbktHTx
TaSlGNokFt22yBeXRPGSJ9d2PH6ejPTFngIwq4EnR2NLyg+IQikbvGFkFBQu0LzBv8cpsx6xdNj2
eg7n2plQIjQGHRlwCUHRe4bEIoYCVVnbXejKPbgzi7gzuuKWU1WATfVIN6hMxq1m1WfdAhir9T6u
tVAz+DnsKhrqtkGarZXl44nTx+qUk1bptegzdTV7AxcH7Fip7lsL/LWObitssLHqfv6A5QVlvNWe
rIgIPoPwKWELr9CyftcF39DdkHuervUpXdqlx0aNEPaqZE2DaXOUTKKPyXQzSedd2WjkwpBioFu1
Eyjt7OgifzRD1T+YEUGESRW9NLmBNNDIkaYxZG7LjnQTDnuOnUYngroyjzByqPR2320xsRZuN2Xh
LVFXviNPOJ8RE3NzskOtpW9FNm7kL/gJ4OomkoOwhJvIgueH4IJlgUCWSlcNr6Pd5AZOlI2PQtaD
qwH1tFIs/5/aoew1ldvQiFoP06SOpDm4BbqI6J0guwri/Gxa76JHra2nVg5dAyd4aBHHgRYLG9jN
pE93VZW/mvjiVbVypLbc0jc2r6ww91dJ5HsgYOejzkx4MWo2x9liRqXYyQ36+smlPOnWzKcPAaZX
Ly6DfVhO+ZoZXk0uJp+ouEqHt1I9t4OEO4I2+sEK4x2K0+muaOxnsnBRb9NJ2CyY1qSL1DNpdT6U
gAqr+WQW5wR/G/JXCygpdm3CHKjkH0ylCghDwwZXapobBRiQzRZjSmo0u97I0kd79FeW4Qo2NELf
qzs9Kkj9khkxQNBq9lOXfLZtI9/Wcv1eB2WxM9nUjQyRfDPPMCtIcVLJXN1WS2xUYq1wouRr36pe
wO/tbQw7vnxnEOgltQoTeX3cNggQnK6zNr3BRmnSsLyvzejYEA0xZfE14byWY2bhS4sJbTWrxQbS
snLVhdGuKaWTGjUbwtDeSpnoi0uRQOS8NBJdMOL7XRUM/x1A8I0T3fcrMhcMT6+s4JhDLmrlAWgq
k65hnFxIFqveV6A8VKS0QPiVPD28nXLrBhHs0UAm5Pb4uFf+qN2lOrLvxjYOLQ+yN3bBbjK6w2Lk
wOUdfk7CAbMAaQ9xZG/tsl7Pqr2aipDzTZhvUhX7MC0RLAKF/grpUNmQPymXR0gbZ9WsSrZjkzyZ
uCV8JXMLgn69et1ljbSOogyZdTN7WBf3gdk/JeRieLViP8+1hiPgXDcVm/AYeUT9XOeQH5xgaAbP
z237gbhI0AJsxdbYeIggIWL2+wpBpatcWXI9Y52mHUT4PMEGPrMkiTHlWkhq5fUq7hmBH8srggwq
efaitjS1UkKePOwuAGtqP99OXZVsRqNZjVBQ0rYQ77m8NZuQZI2hqW4H05cBSIvGi/CrejhGYccu
Jjs8Szi8HixpGPeZzPraFtdDHA47RZDq1WprtbPeYqIMHezFgABI/Zrug1y3XZw4+6iX3+UIRSYr
k2PksX/l56Fxk43KsYvnHQ/amXyz97jon5hvvMzgoJGCnMdhwAPdM+Qhz+5tNpStRHHm+TUlh1F/
g/exH7u6WXfpWIA3BqF+IZpSxvYdQ21g1sBf9Oms9jpxywpTMDan/8PdmSy3rmRZ9osQhtYBTEkQ
bEVSEtVOYGodfd9/fS7crKiMeJn1zHJagwyztCfpkmjcj5+z99qI4D9dp2dlN0i5qMwecnnFbCd6
GVJZUXEQGR2UzkNN/PZY8/0bPzHxYknFIIku/arVW+2CfdaHb4QL9tohLZMqCH2rqj3ak0VmUHaL
M3Pb62BXAX0BTEkbQG1athvMJ5mP7RoyPGkeeC/Q0etEQEB16SJCZrF/QJJ3/bKdwbnpP27y3DN3
Gm2vFLrAQ8STn5gYz03+IDLMdby4wGUGqZVwmx7HX3rORPVMFOhq5qdXTDtfukvZRW+2QiKYkTqP
8xh/EpwIE8Teuem5lNPFdrVoH75boj6D9rl0mX2Gw+rsYyd5qp10n9J3QPQLu1t2JgRxPrwMfu2g
fajVdleUlFZFEwDJB3B+ANZ7Z3eiP6MbHVaSrfqgtcxzY60/aSFOAzmjGki75JBU4gM1QUaMJtwG
kd732cDA0XDLrWotrjZRvrpXcg+Dg3SAV1j5OPEnFFw9zXPZhOJuNAjiDEShbpPwrZEEdRhmr7CO
68lB6eujCLv73tZ9QKiON3KP11FDhVVG9h7r0y0wOQWEOKHXDecOt6Gq4h0j+rC/G4LB79Np17nZ
MZs4z/GixWtzwCScbe3lrKBjpl07xvRlSkF9zhJjhZyykP9Ss0v1U5Mhty3jZSAYhlIDzWxCb52t
UW5I4CX33Fb6daYYtypQHMiqJDwRJrUmfBeqqrXIjPV8axbt2WSgxxpfrLIYC5G5FH888I1ntgx2
jcH266HF5QcadROJgwrG2NO75LMIQH/gK7mAYHXZaKORL0YEpEkWag1QlsvE6soXRyTZUG9QOqkt
bH+3Alux0L3Vyj1Spf4454ZySJEms+PqYwyf//xsRn7h6s+V6Kt2XGk57rXoE7/v21AMxzKMPqXk
WCdKtnCcVSkwHXyV/E6fKtwHfjYTFqiRCcCMqDCRymQ8q8qIJUtTD9VgfZVEFOT2fF9rwQE+qnGI
tHVL33c9K+l01FoyBhlfqBuhJZ8Wvtp1PvXdJuyJKGsHczp2cA7C5UiAjL99IObs3Ktg3gPVTMjb
UK7pCOI9LTGhK91dnSX6umlgDzpyfjJzx7mnuXXKXG6CioOVsLwPUwFuNCuL9641nogjW7kQCdQk
ne66vN1UfcGfanPN66hsVal8cV6A8zOln3/Om0BBiE5iI3P13/973cXkPA9hR1iUFu6mVlX3tskz
03d1u6m1fFHNh48lvcyymoZDM1WnErEI51BgUR2uZusQwcwhSZz0dQThk1PfQbcJ89Y9WWl9Zwwc
3eOcDDwZBMQZTTp+cFvHWch7MsEF8dMKfbvVk104DcZ0LoaEMwbhi9tZSInH27OJDeAtka9EegQH
W5ysmb5YX0w9SX7zActfuCpVB38FF0dO93jpOozdzG/2hikWexQJa/q4CdP4M2rwK9fhQ0rLonDd
m5RMDfTme4i/tXYQhOLxqvW6frEG+72A8bvi8NZgxzmFLeORgqM7+3bPCJdHB50OCPpBxWhGenaE
MDNWWi8qItKzuNSELoDs5vl21K5aMTyv1w33gsCDMTnJxOQn7U3hhBdKtJsR8FbIULmlnD5ou5zn
nM6DORAJXQPGp/gW/E/snPW4k+v2Oe8+Ao2uqIsh3woyUk6V2GCvCm5Wt+zcywoRa/x/uu4yHLF8
rhm0e5oWMZGY5E/WwYjqiNdB1VlHuib9tBux1+HKo/GJ9xG2C3qdJR9q4mtQAhkZYMXley3X2uFn
s1B8KcTgEd3tbpOR7omDbX2dOuFXOBb7LkAuRA73ixqTzzOYEAVmrV+HtoXrbp9O8UtK4bI8nMtz
iUmdk5Nsr7Azcpn7y4JIHMFZwpGsimj20QvlK51ToCXpHVnYN1fLnwokkdwZ75iqJp8qBc5/fhwM
oRxDllWJ9k7Zw0hfiiRWWBoWODYJK/WYJZnYAY3VaHMKwzHMXV0WhJqAABBEWZ3HuF9Ysrss/fzj
x5LNvHMqztw5ARJF6Mw7RbIWlhNpf4X959ooBkudbr5WzLPWfxynf26HuXzmPLqZnfFROXys5UZU
jbhpg7JeIE0VUSTrQkuNVU+CT2vbr39aZnHGn/tzfaelYzYP5hItl/hZ251Ha3yIUwmrKCPi3gSQ
/+JWyYcx1/dpNKYeKrx5lzqj9OBy2xtrwF08mLAJCOsqNmqCv0hVmn4zK9PJHnmIxVjPfuMqt2zi
WVsWyD8L9ygrSrL+S9g0g+pxiZb3l9v/ZwsYRQuFTVp4TBZqG4D7leM0V8rRnaljsJ0WOLcSDMnB
bDgYFThdVwVQFw9grdyxnDfsy/Qll9cEzYhvFdADIQYsK6uHXaZiqUVM1DdePbo3CPYfZdk8JYuV
9e87/Qa93n9XRphINE0b8iIzG1q4y3//l4aqqO2mlIFp+bjPVv0UQzEjrhvFTwIjwqXvl7dfEQ+c
OdpncP1405amYVoGt+WTKTn8u0S+LovAcm9NN/122kMxHca8ulaxta94CKOOp7JUNks7kxFCvx54
8/FfnWNDf9CD1d9/pf8msFi+EVIiHWUikzL3L8MLwAiu26J885eecDZk1O90xqzos7W1LUEbryKh
mTjo9v7v/90/TOt/E5nwD+vwNtHL6sA/jL+MMvQcXxSHIC5lXfkFIQ3Me85LG7iN0QW34myyLC+r
SDm7Z23Z8jvShLI5+rTAVrWl+8bQ+3NSjyJqnkPYhJ2e/ZhLcdPxNocyIve08Do+OOPEz6VmmCo2
GUx5f/9F/tskzOKL2JoJv1QsI72/yomNGN52OEWWTwIfnVo++bL+wYG/b5SNcOLPsq8vPPP7KuL1
taHurSrqDiI7aexRepisDhEfq6GtaxO+EhfnZYlPWIE7g97vsshN2tdssWciEF7ZE79g/LMQMk1W
06WOaQzncQL7vly+5V4CXPr8803/VzqV7U9x/sh+mr81Mf1/5nNapCX/72n05qv764ho+YV/mkWs
f2goHd0FMIsrA2XXf42ItH84zJF5+JkCIUhZ/tM/R0T/MBkDqa6LAcmBlbs8U/9nRKRY/1A1fus/
NWImuMP/Ffr2L6//ovNHVsWD6yLLXKaK/76glfbU1i0SeA+sR3BAOEHysVO100c/ce7gDGLG+zgN
G3PlJlLouJsi5flfLtf/MEpeVph/XQgWKLvDCmPaWDpYW/+yArlpyeM61nwERsde26rOQ0hz5Ujm
OI177VeVJDNqilPt/v7fhSH8l29v2RZtOTSwiFEFozrrL8t5Cy0TpmAnNyS+jXvLwEq+IuUqcdnC
uvxxntKZ8VTlsBDGsVfYpXWpEZsk7LEFjjB4c7Aui3Tub2qErXZdDXVRr4zCzZ+JjpmmdV8GzUtT
6/FGKCWLfVcxbAo74o5X6EqJd1qm4MEKKRN1RFwbxqdoJfngZhp8Rc0MgMdo9QensuenmKi7Y15Q
4JBPV7D/0was6WjK4SWRGdTAzm5ewIxo/oDQkZYKrp8vpRyCkFM7x6mVWaFLX7dtHVLtDzLsV5ZG
OKatlPmj45YDTuLKSL/NsUxAkEltPkp8qDvYQcEZqob2acJH3UyNEX84pUNkR2xNDy2dv+MENw+K
b1W7D5NhJk9kduToKWHslabQ9n0UjS9FlZgn8lWKC92xEhxtKDfCqJzfamLYBjQrp8jMuc60ePLg
AqSgeA1Jn+bII5UTKvQC5IsW+0AN8JebbgE9oAkBo2eNThE72+19G425ubM7Dh7EmdiDP/Ovq0xB
QudRFqO6zcoATSduE/W7So1aPZpWSY9JV1NfumF6H+hNfSYxt/sk9DU7mVCx9mWe2XcMO2i+QGl8
oolDs6W0G5rzRmh5fP/I8ETpFOG9MujNmi1Wy9u9HeIEXnfsCGVyl3e1NntqEjb5cE5bLRjfEmMm
kGxlTYSuBic9MMSHsIU0XnVpgWzdpHZrq34WucGwz40Q5h7Vo/IdFipJKohqO80zAE5+uVpXvquK
qtBXbYyBZjTl6U/bzdVH3QvyY2sIv+eiHqNn/N0j8zWHjL40aU2eQ7d3d4hLbQ9kqPRbWNHHIC3U
DdDZZEfyuUo0rqFTOZfKYbbYwVI5y02I4v+AgQe4AOnIN8wszYcWMhksG6U+2BrYIgtUKAQugx6C
pfeHgPive7fHxtBXdv0adLp2DElnRHOuNJRzM4Iugy4Bjbwv01LEtB9RCb5bTtPAL6tKUln60WIJ
GgwoeZHL1+yixH7rdA7R0u6d42jL4iAqxSFIUEaJpwil9yERkj6cOA0KuLH1ownnPLEaOrfPEqtO
lDkEDiLu5sjN3tlQC6h5Qn43bjs9NjHyERq6LRWbMxTVPuuG0pvHufXtiONZEBZir9ZZdyMjCLsC
DBquKmlPWUIAeVwRMlWjoj/lusNIMqy7+dYNbvk5KtIB42ibJH5PCB8TTuHGRCdc8oCrZIGSkN1M
8EXRMO5oL8R+MunZA6hRI1p1JUOYVrHNJ2KDjFfafs6pSpzyk7FqwNi7ZYqzUqPSPs51rd36hh9Y
0qeLWycdbZvZonsyBPAeuwY4QpS5+lD0avMAEMSi7Ua+L5nBFOXWXFG+/gm8Sk1nfDS50aesr0DW
NDPnCKHxABMZla1U0beP5dQ2l1QH7WWH0XyIwpzMkPJPpNYS3gpoqA6V977W00u//Ouih13REW3i
DbqGdlw28BSikcMAUt+XIYnlG/Pw/i5X1Mla5cyYN/rQDYe5EhkZ3DbZaZVhDT0tcEPAC6qyHbe2
B7NNppBGEJ+PIzlbd0kCVUnr8vQ4MLyl+SODsl81KlhyDrsBQ43EremOWKP6Zs2GcQrJmzuFmWLd
0iCW+6FQ8u+6q9kSkYXNp4IbsxDT4ucgyTtP5mRSeUkQgqCwyyr/TK1s4F4HBb2uuR44lozmSY1U
61QYEVMDqF7WZ2/O0W2AobcZx6a8g0jfXGuzBaHSJ6DJ+nyGpsWLcGSeKU+cv/qnOEtLP280Ya0q
fZ4OihkFMWaoKL2pKT/KPpQbW9fMxIsZy6tuJjCN5TJ/Y37+2NmD6ushifLRsEBJG1YLKOmZ3u6i
2jLBZ3E0xHdG6qJTSyaEjQvwaqW1neHbKX6vBMR1hS8ptC9BViL6IH1HWaWAwY3d5DgDDV1iud4d
vQoetbGJPru5sKqVllraoSyd4ZnhDKQKTFd0Kfq2JYESX9tZNE4P5iO37S+LUeKV0xKJcw54cmOb
EV1FI2Pqay8OGpSt3JhHWKvmNYBsclZEF96nTkAOHuFLFpzAQAB/N3ljq9BpjGNbKsqWPMT+Lgyh
VGUSYPRssc8PucMBFKavHxAVt9bSwWX2SDjMHfnsjLq6pDgTB2hD0UvCB8Mx+gOtSwRq7lhuRkv0
P26udY+TRsRJDwV5HZJRtbGX0DK7GoprHWBB6eNC3ss2azZC6smlymTyHCl1vHfDSt2KnKcog3OL
GqaBSOi02a1Xx2kjpnzy5p48T3KwW5hAxE59zLAMVsMgutpLcN99Oi1DlroichbsCRnGqxwSzyqt
B20zEu82Nsopt9IPkREyIGKgDfnVVDlLcgqlhcNE7KE3VSB2zmZwkWiAsIrzY0h/I12kHWxCyXsz
gRXTdM+0NHazcV1FB7W7K4vLbOrrvH0AC6eWzzoKn145oUBRsbWbJ7e5jvqzmt5odTbjlfRRrDpJ
BYDUF5GXd8dcHkqoZUFGb12hv/tWIvZrfqpynYKipL8fdFczPSj5wzLdgdhmaa2nWDqTHeCT4rOI
P5bzW/jZZTNIiXHfVbRChbohC9BLibjBINZYv128zRjr5WwkiA8NxI8JbSGTCuIyGO26MsQWzAr5
KQTMjbscoPSyzWPOt5tNzsp0HhoDhBrMrSrehEZ6r9oTOKv4GKnnRL4nAWGF9cywlCxU3Chme5nh
3bYB2ZEIduJDI0EE5egdiDfXtY1D6EBlaGsUqi9mXXN9X/X0KSX+OBUqDsXd4DJcsrgj5OMkrO7I
uif00MGgfM0BYc2l9hMyj2Mz/dHN2OOZW3UTGG79fkDalNxYvntKOP6cszFA/9iK9ewqdOUGsIOt
do1EsdJTyWP3WobCT0B+GG19NzKu6iZa6DDuhpKcNrIZUVK04Z06JI/0N4nTm9HUdOtazV6mYFrr
WnqaFPWY1Ywwm/RhIXC3Q3Mfuyov4HBhBTkSQs4ej58Hc19FO5Ns8FMJ+D/J3rOouWVZ/QJicdWb
jAyAa83BM4NcFqOR0PZ5QjH1C6ztDLeUh5VFlaGvqp515An4ch5Tt9u6cYrUDBYt0CHLrDcT0bw6
dnNMbX6ZfcaEr2bPCEoAMEV+3gHSIpFdfHcJqNRi01gU8e2wB/3yYzIRVi9hEXv25PLyCsC09aEL
RjIiVARsKLUg6wUWAZ6KPMsihf+yzA/IqC5IJutbX4vHe2PwAx726KCx04Kk3Udy2os4hAcpYWvz
NhpRdZ1IgYtz5azOx0zpvVnJ/JxOdmFZYMoIjIC9eGeyNaXS2JhN8hVWmd8prS/jmBY4OvjUAV7H
MKel0+xeYdZsA7g1jYbITHu1YfDn7lYledwahecU1gpsI+GpKsGL1dqs7fPcqSsDBYiwWBs7INDl
h8vhIzHitTqig9cFcM1LoUpyL/srH3mlVC9R/G2r32OEymEmy1JW/uCMCPfTa88ukY7Ddma8P7sl
9roeVeFE0HZ4IWRxBPZsbqOxvMsYD+gSZOzYIHZKVgaxbVFKh3lYyo0nNaBon4O1LGxPBR0tCKod
lEewqwjFVOjPNP8oOJv8RgG1ckThDcUOovDOVrcpOXsQ1ndFMIOsnLdg4lYRUPkYKwYufS7yIQl/
ZgLD3WKXwEcLf7voGb4XmM1Vx93Uj2UMJ0muzeQ1m56b9MkYAjACSJ9YI9+i1vQLWimcHvOVqT64
coCwndF2VTveJLqhiuojOQbwod9aO/PhRECkP5IrwgCLSxxUm6xYYoOhmy5LiJqujAqG0j1kWQYV
6Tojh0zW94t+r30eIxt3mbsh44oxXU4nPIXkr+0qWLUZ2c9EAa+D1PQHCn9OG5ump4kNu+ZuypLa
J4ZWYzlzfPC0lPX5qmqu4PBQliOR1n6kvAg78oDp46WDI8lRi/JyPaW/WUnUiHqs1RfNuXcx7Vk0
vplcxPm3o56C7oOYBMEMXR6VCpCks7XjzBdYz0AbBjosAgQFar8LNbRy6sbVX51so2BZW8IF4kLz
R/tKDbvrstfe2DAgC8bnHGSilhPm8F4V+5wxDvgmOE+0PV/zUVklKESG+MJQL3F3kkWCg3liHeO4
OSMfcOLoAso3Fje9nU6VCg/0rRAYO0ISKB+nxcWKcwXmIARBnm9mz2MDjc8GI9vwUAftZkCxVLMo
F7TeVHRfZQ2AMELep5MNh7dNOLUXcvDpegSqbzlCWFfh/2CZ6RkSNXlO0+Io2sibRuDKbbcG57xq
K7DmRLQGEaDNm0wfbO0hVemN/DQxieicACwuz7gIoGYwVe7ZVp4VYnOFVh9D7TbkYNyQsFfh92D8
UK2sU+JdCzImiBLQyPvMJa783zo72Qg464JZTVWuSvfWWdERo/jKNl5T0jn0zo/dO9VQDiZVD15+
lO8Dwx/dz2Y4UxJqcDHvTISKgBcnM9wIO3w0u94vQYbqChN7+UXg8ugyMaHBMKa3tPvp4mGjRdFj
Fp1GXluwt2unyVHnNYce9ezYfFWSJM5h2ii1CrJgWDfjd1gOHL8+5ppFPjyZ+llFzTVMX6ScyKBb
FYjrAFtC+03XnfoxcxwrWSIK1WYI666taN6Y1lNaWwgjnHXmJtAH0TSiXVaca1Uhc9A0H2TvNqfw
zYTL1EQnMse8Zs3BYM9Phn2gQWzmXosh3jj2z4hBS3tVB+eQsiYW+n4EtFwsyFLnN6oJfCie2vLV
dH6G4LOAQcxhHD2x5aXzHc2wanSeeu09JGmGBKeBfKJgNoBhQS/OblbxYsDHErB8LVIDkAvjhnS9
kqMFpg4v4FwxfHfit7Uuc4PoLPgYMx4XaO36bxm80qshbrea1ll233U8iLa86Om0sWHIKShBlMEg
x8E5hBGQu8/aII2pI5bJdtYamI5ONdcacoWBK8qSQzMdyUiFTFMGp3r8lbSle+UWYh2JqLJM5dss
3oP4Ievv0T8vopkVNc7OAeZozoqnarOf19+juYtDbVvN4DCNnVK9VYwC4/Gpbedty8lFNBSvndhC
Ou9TjnfYp0ziayhEM+tLtd/N6DSPhJcgvB1dot81aiU+Trjuxjs91zcUUKREv9nWlwNaunNdL2AB
0VmWolAAX3tI52elgTXcxWRZ19SjYyMGuEl4WyhY0DbSWpPVQ6zS/6lJhlmOYBUno0pcM4VIOYEk
TY7eLG9pg/PNUc/QutHFEaJsFJ6mK08GHopISzd68WY3P3Va3adptZqRQ8ZKvZ8pWzJ3Lxwuqhn6
Up7C+qExThl9rbT9LEkQzsxhF8cPLnpOG6UmrL6XMX2XUKvz+dHq9Evvtl7F4LOlzRGjlikYlSIC
2aT6vCEvayXs+JCnr8D472BUMMR97qqLG2m+Cj25VLF2f+eV8RIW9StseuRKW3iw67lhcthkd7Ha
eQV0vfARyRjE4c0woY4/SCoMgHWI1CjdsaCz6QD1hJofHyEC3snoEUg/l9xm7u5+WcFI5gUQZFQx
A1EV2b0CSs0q5n0YQyTcmzKgq8fwXVeR8sXnvi38wtLOVVpcSdtZ18J+GmJzpTWCwS/Kyq6h2Cf7
qQZ1DsUfDqfn5IGPOQB2X+cNU3tPNe9LnTUefHM6mRu3dFacbN4ZVPoRVnevV6NnkQRfWvWSOWdw
bqug/RqR9+Xf9hxsBwcxnR4tYRP2u5bso2L4wGZ4KIZ5S2NxVc7ibgIDGc/aEUIzVX4UbDvIf7QI
dooQpxwl26CyZ6a2V0W98PR2PtCbOpAZsXflNUeqRZryybAwFUbFOSVOh2qcqtu55UWzTUW8wzJ8
MFDhIt7bDxmx7+7kIzDeqdrJbnr+8xKz2a8MZcDNiBMiRKRmzl7KVtnUnxXDwpC3Wxp3DueXXj3X
M/cIZYemgPllim6zmpZ5c6iaZIP3YeVq884KUw9cNBkLPmo65qOUwgloxeyBknMs3ENq2pvOXOzZ
sG/YkrtqTYCDDxteghirvMHFgzB3b235LRQOK26Bwt1q0dyRYOm1GK3JDBXwe83dHPMq6ldF+2ra
bTPDfIlzJF+Vn0+CNRfCBswcICCgZ521uTCQMzC0hr2t0G27tKLqApQyB4N65BAm+g0c6i2D+s2k
sSN3HdDW6ZxZpRegyQtdfk8X+9bsPZxeJxoWL6acrxV50+tQA909jc+T9oOszV0zEXY9t+zuEHCe
6WWSGP6OpnqVZWwhvXPpW/ndFcMW/f9Dj46J957Kt/PL+EUwYFzLIb6RE7osh81H1qAUMCblZ+ZI
6XKDgtp+6jMOjpqEm2vlLMcTueayCG9EBtX2czwRF9ZeIi3eDrCK9eArq9UnXcN9lWYFSgGTFAbq
yA8M/tYFAS/3srLHXTLNv7EibpYSQlR9w9G+qcVXyiFRn/R0XdV426ZUPWVY6dPCvi/TkUC4BNi+
sQeFZC1nrdJFtNfvg5GvUbeLsgSo5YRegMbm1m2Q0UU2nao05hwPvRLZ3pzpb1ZufA6QcTsT7XHT
th6lzDULrYOrJepO0d5xmxHQEx3HGRGsGH0Vz/Zm0Ln+4XxNiExKpVgX0l1NESNvrTwEffwqyujN
bCnaUCbPLkLwxEKZw06ooVYHWURkSAKpINo1nfEdtYgvI4n2H2VoVCN+moc7q1RQTc7fEWWT1bqH
vCm+4wKRbfIu7JGHSOwqqXp5HZzRoN/VTKeG4Urqzn2sVLvKOI0sePVxRL0X8nbnkwmmK1uj1ju3
8tPpso1efXemfhJ2v9YLpGMOoQyWs1OHj9EC302tOLNws6nch9TRtnIx8+pQkJsyxs6KRua+kt13
FpS7iSOSPtbHOIjuokqgJw8PzuSc3LFAcWW05SEvOuqPvovWdYGoKh0QPgyRT8HiB7yZSaX2yFlK
xOnWgdSTeD0ps1/b2gVDoSSbh/NvERrh1nYI9IqZWPN5davfkCp/dBg4+IoUr6SE7NqWrtBqtCP6
OXnY8lBn+SegJ+3RwHRDv8M8VEk/EHVUV5VXtpI8nqG+GESEfCOQQqQduh961sbneSrS747G2S52
TJTvGbMLkbTfhaWw5Yb1fSPaPXoYY52MUTk86Tn5iFaJHqTMDJOOJquBakzdFvy3wq+H4VMHF5GX
uv8ZLYK4OPRbxQkjjnE247h4JIXYvXaJ4rzpSVls1ZnYIERm9kcV6M+dqHy7zC7BpPpLsAqSpYDS
tZ+UPWJa4g7TngAGenvNWsWtRkoGnCZSkR5RLhuXxrbio1Y64FLd6qpH47SS8SLqzYvH0ESJzOtS
efYcnWsZvNEw4+U2VQDSZGYRo0ByT+8i3qi6eK04ElNqQn+mTdRxY0x2Qa8H/Jqh28FamDkqgnwz
mMQtajiHwlwgSJ84Mk4EuSEDGw+WMVwS4RybqDPh3GjzZ+kuDSeZHIDrPIue4IdElg0zKqd/JCLC
ABNDZaLjSFgHFdGHTcxWO5BQENEzKfW0OUVpOm27OKKnUYwn4XSPxli/59n8jV1NEELU7hISL2Rc
XCJbeEXcVvcmCXh04sJh7c5qguwT90Ip4v2EltWr5nh67YnEJuwkXDCxi54b2/OmFzEnPrckFydl
80k4aPhaanqO0RUod8ZdIGY/1mpxHMaas94kypWa9g8w4u4Sds56CB4zU7wA5j1nU7gZoY7XJOKB
R3dwlrGXVo3NCmXgzXeDxVSv7kqO8hBHfno1iWkwMmKpZ47/qpieOkWHsD7pLcp4jth1c+xFxNKl
bezOPpdOeVURK22mErFm7BAg4Sgt+wNQl+1AwKCXtPV3glOFS1n3Xhln322lPjl2UG9QLJHFwtXP
Ymmj2DJJfXTRZOXFyQ35YTdKbb+U0b0dOncpS1Gk0oppE3k0baYLZMsZXpfHw7FrxIL+idVHp47R
nTuENqh1DzVlysqLIjDFtJwyPWQrJKjlRUEXenl0EkbCtM4bMqemDaMLjZTsCr3HnLDyM82bZqR6
+gRwt8LDg7xbizynzOnqoXGGwVCt1B65kdHN+caipW+nnATHNP4eBz0vdgTgmc+WS6LHUGJdvi9g
WVfrquij9zrHEkiRYRI4iZzLmXxDZGQKhELSgtZ6wSktM+OfWh0tmhphWj0C0zXzk1aOxs4cNPce
VSHhQnYpWWuItRycD7fklECl5Up7k3a5oD1Mh//S1HPn5ZIJOLLg/G3xa4HuRhVXzGXh6zSrCdms
yZChbOEU5M1sgXS5WuLvcGzx/vbCiI5OvOx6y+AwfsdZgpXOZSy2G53lTD1gH/cspFl4NoCn9h2V
EhOxY2KmHSVZ9Vyn5WHCwVPlyaNm1QPPu2iPZeLyIgTJI3rcX5GbnjZhfkzEfq7GzZiwqUV5fjbr
/MTB9qwk4zURHejt6qMcyqslmUOMxZF5GlrZLtwwUN5Gxehzm3/RKt/Ic1gaA/LVSUfUajXGFBdo
EEbA/k3y/XslfelVuTysvqU3G1P9JnrgW1jhkaQTHFky3Le2VFahqme+mqBuZ6l1PUE/u1jA7yJL
JKthfiib9IqbghOMsSEFgSipwdcwZDjTr2Zlu0TRrklscATDrylF+4yRfjj12DV2oBG+4tb6IHDm
RS8lGwhhdW6tHxkfrcyFjRc1b21ifoxtdxib5JwrXfeRxFF6ldgsiYi1e53jA06OnHNSUo+vlm7X
9aaxHf4auX8TT3fr7GI6xgdlwdkNemGtx8k6GtPkR3Oe0v5nahYV2uOE6m1djvlXAQQB6QF/VNjz
OsWQ5TuyuzACq1YjwLezyzJ1rrLFrOmQ7PYY036gZxy7ygFGz91c1bvRTH6dmLR0V0FZH0QnNW7E
I32QwteqTuBjWkxVEO5QNNpXaBAdDos6vShDDX6vnLa1o7/bbeUtWUEOhwub8RFyNGqnkE/ZqZ+u
PYTo/rI3yqpr7NjTSk+0aW9Xzrk1x209/cQ1vaSiM7yhLk957Z7Noj9jz9zDTxUeduDew8zqEXXL
ahCc3YHnup3sx0qJL80Q+qNevjvEpF8zLbaSfUg0KKfD5gOrC5Lcpi1Dn0Dhx7LVniW2mdU0y94r
gppA47LpVg3RHssvze9GPDXknUd0LeOwe8mTchd2Q7FPLQJvgyyADB/j4Krxkyk9EU9FxoUgIsTX
BXJ6h9Y0AyGxJG3Fb2rU0FQnvrExj4YbgmLQkxoy/jA/G5nefddGifMmLLsNB/p94Rh3QQBeXOiq
J3t7F7QmI+/0aaDwycb5OPwHR+ex3SgSheEn4hxy2AoQyrIlOW44Dm1yDgU8/XzMrmfG47YlUXXv
H9VnZXgOAdI0Sb4JykgI7vCtNn0Ccdw1ln2Xm2FFp8tI3pULomWiE2lj5bzAu8BdPa7TP5TO1sCY
e4/Jz6EHYO2sIytiM1WrqwG+2re5T2m3vVPFOLiEyyLdyCivmKUvuxysl8yOnkejvNUJljZHn7aD
EsLUDFtzUnyC3f0R9bCVcdmJ4dpL1ScrJedvsY9hh8uJltEK1g6/nQn6OaR7fCjPevnC0YhxBkHf
iF4Fe6CzR9u6c/RS3oxJdm3r5pig39Mnc+9MdsDE+VwCM8756IliOiUy1TusUAJVuGTSMJmAoaTt
FRsLwFX12k3Jlk4CZMjHvIW96NXbENdHVNbMmnV4ROGLVajfyt1y6iadI3bamSM1obbxMYTjpqhP
RgGw0EhukeqeoYye6kAyJcuGmF9KcwiDrQLJ/JTt7J3TeJuacEXyhIrxhQTHiw7JXb4QOkcJNkOw
vaX4YDOnM5qaXcn+bFAdoIgvW/5IHT9Z3vL2o1cf8MYUXIT5weGuFjM2RHoFm93AXKxToNjSNd7T
GNjpuHIp9kkh5trvqkTti+aqKT0cmNesehk56grnn24aAXUnGwdrpy32okMJw4aartCH8znW6haz
pksOvG1dLP000IAx3BR1L8F7cmiIHJeC7TnaEQ7LAa+L2/fG/miX5zHCVzqCf421P8fvpPz1Rhto
DBnI2TZ284v1nsf1uZJfsPrzwaDfNjUOetUeJF7rthsYj+40KNlrLUGacKntMxpvjfZLdx6GKGmD
AR7KDFeJeVgL5tW887MYn//d0F5kjY0Ooy/wTH43yPsezg3ls8OMgenJdBRarhPcYdvV2UYlhyvp
CgmdJIVqBDHpPFH3LqFuq28RvftD9ibUa1+Jba4dRgo8WpsdJ30PMwmJ+2/OOKDB98vduU52Emj8
2pFXUc0+r2685cuRnyBoAmlii95HAHJ2fDDh/PS/ytk7QOjd+Gd1AUrC3apxVnhVMnnbME/mbgYS
UsiyJ0Tp10A59iWNSGpqM8+O9lnu2qKhEAxIC8yMCYs3txK/1YTyzP6I0+/RZKSHEaYwqciPEdID
leg3OgSj8Q4YTZU4UDdkmy5AQwd04ELxEpRHVjGAy3S+BQ/W85uAJmyKhvSnj3biWXUkrwbn1RLQ
ItC3kW1wXRTKnIg7Po7Zpzrah4RwgmieCIwFx6aNe9Z2tIQkBhFQuyaFnob9xX4vskdnvmrZJUcv
Zr7ac1AufMQYYzC7DDovHaUnjtjoGLa7IflrgPR7Hvc+Rib8Xs7fC4cI1Z1ELQdaehicoDK/Esk8
EDrDY7BTxOCp2kusHwcMfH1Ms/HwRHfjFmwY+JRiOFxf03yNNfIo2oBS+tosXo3mzNCzVQjvLTEM
4W4EZ06ZlbdZp3EMKJtG6qkv+qYvyZ0XFWxRcwuz3eb5OZyz/WC/2o72hBgCly1CAjc19YNjfFDy
rNXKs0xFHG329aJeunH0FawMlfojV4VrkeWYymnQW66Gl1lD+6YihPTKfjoTKonvZ+ZQLXMg62oc
z3KjHvpl9GNzhWO7vcaEjv7xzEbjzbHY5QJCeeLoaJbqOOr9Ab+L2Bdtc6chA382oo9qfcgpB40/
GZycWdsTpezasJVqFpAs6qrWTyqaHVCjNDMSYpLIQtwFAiQnVjrfSW3yFgFA1ulk65jMXHD6xEA8
FXTc5hyiohyCmq7DIZ59HmV/WctsUKd0BvWr9vcKfSvEqnCKt905IobElnei+gKQPOj2QeUky5iR
VOMppxGKuLFe/rKmT0WUd80iG8JQt+2q/6KKQk+srRJih2CEV4oPhw8nMjM3T0YvdvpAsWeP0mpC
Ciyua8stcj6Z+YvRvTnO9FRzLPDiYDMml3xIvbXHr4Nf6Gp4CJ0GetHCLs4uSYZEdsL/5MbTMH+3
XeatlfNx1+2URIPShiCcuktMRVgVtOKJShviCWyMaCVejNxmg7pXGBIzDtkWfFuZHJT5vJ2i3AJX
4PXExUGFe62e1J595FXIzxllQmyj9BXtsw5po67xY/it9tWlaEzI0y0El6L80w07Kfswl9MEc1be
eRKLftxXRcR79zZkr71Zb51OcqPk3EMlhcDdDZZi53uUvp31+YaTrt6k0qYwdvCW9FlAfE/GizX5
+oxBSUufuuZTwekTO2j25WOjBRNAeE/lljwtXmfd9GjYNOU2bvcNupsyJ80jAsL8FMpbQ6JIyikb
chLMTwuWKkf6lDHYCuURS78aPnZkcR1NSQsKpXmbj+aO9GQXc54XUThVV8OBbFiCxzEXN55s/RrR
nuUQmj9ooNMrKNAe1Z/WBC21NYZziZOt3NwaEG9jwluyT9u3Mrd8aYKPbn9DyrNa4FvD6j0UOSxk
m0ralilAOF3yUA2Z8gABRhUYY9QuuGp4CcLzmOP3h3utWcgVM9uPA12eiQZmpuO6lNHEfDQwDKZk
UC11VPihQuNmxrDukLx/ZYxKotip3VuWPYfKJe4BsfpvW36TANkItnkinnorFVG4K0yyMliyK7l7
x+X3FDJwTlHo5owHiNByN6lUnjRrR7ro3bSFAmm7RU3vDlV2K+N0O0MB2bkUiJkkjFDyMo1T/t6W
xNu+xl2xadttOT6NyaFQSEptPrrlxdJuufHa41WTf/X4rKynbv855RM+sZ/UKhAIfZhNiXrFS1WU
OqRUm6w33NAiO9FLO4agkwpO/hdRot4p4mAWKa/n1Vnu3CRuO1zqRt2QcP/QIhwfJlKDvkTgsEet
4I4WKWxPZusnvBedij5cbXaFY0BYXLL0qdJ/Fo2WsMIlPQrWpyDTTHMj2QQT4WaufCNtN5OteutM
UWNp1Ui51gWH+m8pv479U4G/ZLiO0k+RIeD7pxP/ULfX0bJ9Yg0X/VzVN3u5CXhekGAdAgrc3U1/
2O5c0553AJpsVJxMNGYbHD29tygKPPOzSQUde77BI3PUcXk79fhElYPX2TJKvAuDgpKeciuwlW2Z
Ny5trnV2mMznkTZDMlJYZ7ZD9mvVL418UAUoYejSoPpazJ+5NGxV9Rngw4TFI6S1bFNvoJyrDH+l
5kw/z6aLD10o3ev2WA3O2v5GhhOW7WxLYOOm56rqjHynETQ8D1+dSip80r8t8AeFdjJqpDvOtdUm
l7A8L25IrgSU6NKKI+8YJkVQFogTJb9bmw3NnqQXdidHDpY+wlBP0xXdu+GS+Kr5WGVCStApaHOx
IhQMsjn9EkL2ZhC0IgajHLtDjDTRMJ7s9DyZv11HvKMl4fYr/GJQ2RBbRoRfR522E/ok8leQ4jLd
3hvQ84EmT2B3jMTra6ihvbvp2qtuAVGZW9W+IO3nGEgaSGHiYlDjEGwU9DKr8lviRPs0Gd21PQrS
oqwPwLBupF9xm3tcOuwhjKDNoWVopQPRHQUPcpcxqD/MCGNsTvhQfcmSS8OINpqk+0STqxuBlmA8
JoooElyWPUEZEJPOfpAOkfpGWEtjk5Pfb1r50zE6b1BfGrar5ZM5vEUUab9wwqYsmeb0O1Am4ES7
ODr0A62DhAxYe6Q56D1dFWlPu3xYWU9UJpaOas3O2Bb2WYVgj0bmaTWD4p42UbMz08a1kDrzaO/0
egI0ukvEmKihV8l0idTvA/HvRP5fzVZ9z6rzItPMoWjboXEORmJuZdXv20+p4cQVxtEY+S4SOkgj
JKlwntB+o06G2hvxSZVoOlo6I3EFbGO128US40U+fKXFRHU7nZ6lXOHWTjK/0GW/B2M1UB2aYElE
je5lW/w2IcqOOaVXKxbPOTXiYqHlb6HX0iuTlPwgvfoQpa4yk9KEaQED+6ljUKzgdC8G+R0b9ud9
085h6OltwVSRND+EftPQOy23ooiRNMR/qa5cJrOsntG8SbultE+hld/MAvikoLl7QhAwqWtvd06/
t1zcllI6z6XJtUW0a6Zo+2Qxd47ZugadtgnPQFwVXrc4r2J2TqCudsf5lqCywnlpw21JsR1AL3BE
4RAWFeLJqThISBQhyiAHRUCMmkcB5aHs7Y1cHPMch3ujUPJZKjj1Y+ef1XZB5xTbMO/PLfUzbddc
kirfAULtO54TApzeDNu8GWs0alc8OQqjGd140Mn+bKCwISFBFKzw0aRxwS8125Y2e4NhPYqEc1Ll
VUf1gsbK+ad11aGXqY+vl88+EzdllIgnQmK22Lj8E7eHVrZ5CjV+Aaf2SL3AFRwUJdf0tc8+jAJF
Z+2mvA/hQIcyk3CW0rkwarB/+z7eztNhFrlXLFEgYtPTK/1LTilxDxO/N4862QXJusvj64UEYcrD
8kmpLidMm+5SsrPsMfQA+HJ1m8sYfEC+F9j6zQRDsxoRuscCGr6abhsiv6sQ50L/x80IQUMnaqXi
eWg5/WEp7U9k8COqPG6tuTeg9926fmox21SURvM3HtkFJOJwY2rgaWJuOJGrg7KQsPaJyFGeL+hR
DPvLIHgo+uuaQyFeSTyah0tnnClrreKzWPZoNZvsUQNxzoFDckDcNUEOwoS8oh2uef8ekjPSr0TT
FhSsLw8xFS3iVnJ8Rbdh3KkhUSBeVVzN8Cz/FujU5mehbhEUCnOX2KeuO8YIaCxO/JSOao/zpTOe
aUJw+dHsecPIQ+gXWVybZT6hC4HZW8wD4EJYbKP8OWF8bY5dtp/Hmyy+m+aCK5h5kKXQ+clx1yP4
NzN6JZffWkFnnN1G7ZmPLLSpqj6sgU5VIDuezL7yVMWrP/lXdRYM/TqKZunnJF5K7SDH6I2DjA3Y
bFqUbnyoGfQfrUN/6qc2eFQgI2SVxrs2fGnFzxBflopvwKLT+0tK1I/izX/CeCjOyzISUMCAynk/
qKBRexPVk+P8qfquqnaldmdFLwqWqG1hGT6pQ0700amXuvjXdoBoHyXxZ6NMvqeOqGZfhl8Dotz0
F99Hrt8JMchDX04Qi4onynRMwrWcL60kKYn0icodaTmkl8A1KlKrpj87IZmoRBRAsYhGrDLaOk27
6ay2SqNCdipMj75KRg4CHYG+Bd3cXLoJSmqSgoz8rBioXE9h6nWviLGcCWXBV0X7QN9tzH4HcqJW
FxzRi7Q3cv5f9quJG3iTZvB4/dEZFJc6IzS87KQZBB2yj/KXFUrItae0O1KkKFeVm7eFCTK/x+AG
gsWM6MU1u+LTslynvwgi8MbiM9VW4fKzTUm6fG7EJqt/40TiwNp19i+/lpo+SylhgHuz2jvNp9Zd
BvkiE32S81elflc/WfU5kXTc75+gNHb/jhOjQicmAVSfSbFw4Ayw88UcBWUHKHBEeTAuNpI8IoZ8
gBlpuJrlMxcGfAxCXc223MY5hwzg/6AxjhqU61D6ayzhIjsAzo8mhjhlrrCXvV4chpQjU/0Eh8AN
sVg7ZCTLekvXz4biKSq0wa4xrxJwsBYeCqvaSM5LZ35o4AatcZjwMdBMJN8IDrJbhDqEpLGViJNa
vEccfbNNbNg2FMdF/lyMx9JfU1QcgHLZri+CHGkmboRNn59z555riDSY5vhnMJJUPWcpQEzrWYgb
0YMMO6cD7VNolN0Z+hY6Vs5PSnZgyrHCU4Egr0pPIciMTSacF09BGf7VcKM1CnikqI75M9rIw1nR
w49qLoI2at0+dwnLwLLopf17VX8QnYQS/KSM35LQkdmcMhRNxvhRKMSebC3sc+tRg7d+/sM3H5fn
Et5Y+01ZU6Z6X8nUeLe+Zm/x1YQENwF+umrzLM/3eOajnVQuDk8w6n889hMN8+2vzmAet48JdWif
j1gBjhnwcvKRQP0CD3T5Z2P5cJLluqz6xkkuAexeK7vGtYAfCVwnczYa6jyVrAmU2as7hnZSc8Jh
sNPDHYIO8hpb1PyARW3yXo9XYkLEOSXeJbxamblp62NiBmhvMy6Pqr1nmp9C0VJqWpyRt1XCX4WC
7VbRUMNc6u6M3cvLMpVlZNeLPyJjNs15ZPnMMBnaHdXL8w9dDNw2lVfQe9pGs0tRstozmZCtCHiW
+3FHMJThAb8YWEpkOkljnkuuhDcnPcC1GOOp0HkuzcDQn9iFddyrS2AjHRFI04x9ZfCKKOdY2ZFt
YLFJW8ZbvKbZ1DsjRWqMxln0T9n8HSIr6ggDwq+/FROhH83kxcUaIlQhQKyeOlt4TWE8t7Z4WwDI
arqDiK32W3REYw9wPa4JrkbGF1uImTWCCPWr2cd0khnazs6bg0VEvZgGPyLAQmvLw+yAgeGt+cGD
c8yN+uwUsWcMR2wrgkhLuGTEC9QV+6hWEBORoRTtOtB/HSq+4jOnNbvclPaZY4WbYSn8rhi2cRQ+
OpRT1IdRCFJ6Co2809DuCtzAMgkcTce8Ck1OaijwPVF0g7KBFn9VNeNfWKibdD7FhquipXEQdw2p
cs/TmMbsaM3PB81Nhdfn3I9UWafOQQXYrw0AiMjc9kYJM/Jm2aGXcP5lnN62mZ0tSxwgHrdlqQRl
Ntzm9COU3xF8XVOQFiLBkU3XjCzdrozlswloreR7TQgECWDv1U1egxNtODEiqkPhMsuik3+XwyBa
DpLMOUz0fpJcImqlSs32ow76hAK+0F20f6yBWVccE87PgufcNHIvkj/l4neRbd8AXJzR4U7Sg6RN
ai8XxH7LseVpGiwkoWkWyNSECDP9joss0OtjJP8sDI9ErHPfyF6dhE9mIZGPayC3tNCwHoTC0aeS
AGv9G9P6pQWNmRdzz+Djq73saeJDbRUC/LatJJAwwoOS9TkmBblT9oZcv12tI+mRYZXIT7sbqfjB
xLqjuMZ1ZGBHp8k9SUWdFzU9OwxCLke91bp9s6f6rbO7w2TQTjTI5y5aSLFMXK08iQ5tnq5RPZQQ
ChosmQgMooewKG/nunCnxtg2OErlprx0WvZvgkOiT+/QCzmo2E0l5UaxwTahu6h5TupboaCnnyuo
nfIax4OXISpazK/YHqiR/9Q785SVlDljOMBkHjTljIlh2RdsIw4xTKNDemC2Dq0y/SsL8W5OMKGp
yDLtmIuWxSfHyqucMnJ9EjoZcUJvBt3wq2Y1iAD8KUiF2f1xDgbwf+6yhHSqsZmRSPEtEU2oG0XA
F1wz47WLjd3QwRj2wkeXgSI0JlaM6Vs8+HRZ9T9EhiYINVGVPAEkACO3dYabrf4oVYg6gNXaicP9
HPMAGcoGgpgBL3IRfYf4f5OtrukbCD1s88QO5oMrMz1PFraJWFG/Y0TrTYODo7U2cwnDBUxZYquA
0+6dR2i5kfUoec/R1QcYE495XD6bGfkyrMNlgx2UHjja7F1VfFBzP8v7pa79vCHIDKbBcrazHblS
yIRWMw2kl1mq0TJZATlgu0ggAdRe9PY40y/MgaezE2Y6eIIMfTGlwGswMBkcCHGp2wjOCIdwl8o7
WYZhBdCp7Xe9CZ/oRSO5USDfBZBVKMceYIVIngtXqbxD86EDC4pLa4zkV6My3XwAMBi/pOZW5a/W
0G7VsDqkiu5pHZ/8uvVVo/GbNUBU1z7K0rqrDpyX4JSLrC8zYdeumPQjHcwxCwRHc4a0Ph4LXzRR
kMlJkEvxWdegSlKW56yJX2tZP6xrqpmfNfWhLaDPXB06WTN2OL4a8wetFx7la8CC13FM0OifSpHu
h5F8gjXQgJqcnYYK34rNiTBc4Zu8lWlWeyNDbD8owaK+2An/zTSMR1azDIA6EBZN8payQ0EO0AGU
XeF7oIbxSVTau6wDRCDOCaZ+3OWkoQiMD3QFYH38VOf4UHMoWkwQwPhMsNHOimUaSYw1qcvTSucc
p8nWTgj7VTreULHDe81E7JzzCtZCoDJC+pGKdua/zfAa2d4cFH/m7yIXEEQc9s40wSF61xznrV70
YAvxx5JZqNisu2JaO1PiDLeciS8YN9ME7DcNWNMVt6zqZ2GEKHUkNND8BGHGThZ/6Ln8HonwhaAQ
lxDFvaNET4vNrr/Q3h7p3bUj9jOHvrAhx6KmOLe1eVI4frqEmcNAOMm7OsfRWZLTvQA5MsPlrGj9
PQZzxM0TqMQxyWEcqLFyHaow6FCz6Z26TyPCu5f4ONYwnzEzRUfujM0jVvxQcLwRsc0v256Tsr2E
Fmm0RJjLNg8YeWgiYlgYiCV2NkgCd4YC/WdH2xrqblqTD3Wd4PSnFLNkVcznOW0Pphm/0Phzak3M
tZ2gf4InJCatboCvlPC1ZMup4EYthl3bc1kmN21ugrAlWRlDvDEHCzTv3PJ8CfIJsXOFYg6sMfa4
356MMgz0vj8ZuNum8iNaYkD7gsGmIBgM9YUTeyO0SAlfY6bzhS8/9Xr2UGyVIB1rUzkGt4G8VeLJ
7xZctGUGyBkdrPLSkiwUm+G2rJVDsnRskzryUF3ALfRJutcz61siQkwI5stq7B+6MgRLI930BjyF
hvR31eDgmIk0cg09UQI150/gYIgUagINu3n8qftm9CS9ZmLWyr8hG9dGtAFgXkcHYds1mh7kzlap
J/+0aqwPgInKwSkN6S5ns/LcWetFZ0ACWAmzgAZoVqFEVa2zJkmLL42wnVIyf5UaOhoW91r76eTV
oyobr3mWXxO5RULsREysEkSjGFgCK7yWuURafV1qkjcM7Qf1xJdhdkZgQYYOp/5xqhntKxG8pIvL
ZGlKFIHGOfa0GYJLIj01kOLMOvSQRjTm6G45gtGaC8IYVWIw79PRht0Kv42p+elsc6elBBoyQbXx
cJhbx9xEnf2WptkFSM+Ne+zIVvIR5UoQQ5R3pvSwQ9De0FIyvxfpjVogaCAslFaXn4QWWOFr39d+
WP5qDRx/58kY6TVCtEep9ST68WzuygnJgNEwXszpWVgLToX4c/34zhMm9WqNupy8hjTCKUViUzp+
kf4bJ9UrpnbnzA+1bp6UbHjumq/YemQKkXAtGgjMjJaZ3Kku3NAiS772wWgOM+F6kvmnqDsZdSy5
xbrxWdBtOVbDQ0XeqxiPTpkZbv14+ksWDmCcvH0dqOnIszrFDQl7zIfLQogMM+pTlrS7uhZ+QTwp
89/8h/odSOZL2Mm9UM66fihkNJ5MchUizkXrj8sIYZynPpUVxJHcHQeLcOJH+Fhm28KR9za0aJTb
l6p9Dkd/bt6lWMfwgYg7P+Zqj1GE3j7ZTeZDhj4h5CzakujsSpaGcvDXKejhe8g8DFm0l9KVW2xu
oxJfoY7O6hSetL57m6YjUe8YC/JA/z9us3El4xomHI/8Wob+HluNP3VtYMmA8aV46AwGQ+LAPnDf
gm/QrXvGSIW19bme0i+V4yPH5zNlMP+MZtjxn+kBZWtFVNsYmxnT2DLdTWYspM449WArIfSCznxH
nOpN49qj+mlF21l9icwvuzkaaupmrbSRQYvC/HUpFziPvbIwebENh2Hlxb31KuVtkJp4nkE1BwsE
hLT4uOdoG028qK2GgPEeCSKTO3U3ldAtYfgY8PxbnNdFLh0NB2Qa80sdRVtZlKeF1NMEc0w7op7i
BJsX6VqwQCj4tsejxLQcq/dceg/1t3F1Bj0niwoaDBKSuHmBadri58DKvx7YylQzA/N2NV+zKN9b
hBEUNkIUf2RV/AGYfYw6qP1aLgNbymYeA/M+GcLvMVYRS/TVZ9Pf5PQ4xLQ9S5TPN3kKUV1vi7kF
NqvDt3k0vzPu+s2g9X+C7c3KKbOxSi3z65Ucpzb0LVZ5Wy/9oJL2MVMYClWtdPKZGGNWke46o6No
W+ngLFB4Em7ZkWnQllHiY73DTrxZxaZlcVqy4txX+l0ClJicNZam2IqxOfdlRR1Jd0pDyiwY7Wfp
Q3LQD2dQeU9C/pdzOo/jvwwHe7G86qD8g3U2MuO5N6j4VSVefoDQTawnrFTZuaMtQOliMKUfFXWR
EEx0ZpzDPbfFQwN7LG385OO0lzEN8fQRnwrfw/AyMvgP4DwpcOZcTQeLFcWJVC5YpEHVmoS7MZMn
y5iuZd/eS02DvwTbtUnsN4lcGPrUaxTj1FbA6AxJM3ADH1u9HQ6Ikw7R6KCuKrdNj0yBZzQR6ZHG
0XfSlN4j+GwamrFV12RMWEciPwKBLcCKiXxJoyBkuG0qnnTkXVUa89TsBCtOVchBVFBGB8BQqQCA
dSaITIrAdaUHvub3yQTUVBd4L6S0I7kWy3tlpW+V0zyHLb9SYw6vjcUtAssQw8bZDzS1lzpZVxT6
H7ah0aRBx666rpoXQ3WwqDvZz7QU70OoMpwtj8nJ3G4xhTd0WeXO2aCdFR2nkyjam9nbr4ukXYTV
RLuBbCK/y8QH9oZVkbO1y/JfVHbAzwuYo8SYm4fI0WIB20BY0VUhzitQGtAlbaq/s8HpN2PLEq8s
2U12prdC6LfJXMMLWi2Q2jYYisxf+z4u9VQ8hT1G2FhzXgdFdp6s0nzRs+InS4FFikx0sMpQ/Rrp
a64iXiqQb044Oqh8Af4+fKek8/Yd5rE+t3ZoJ3Ecx4dQx7OHPj+16DeBpneWFzSuJ4pjkXmsdZ18
4udjxS+DrLtox5tOfHAEiQbiKpOwrMBvdP0OOzipKwuHm5SDNlSuM1QfXV9eovxLALD2c3qYqBTg
WCzSdAa/D4PExhELa9JIZkt2bLxLpgLRkxG0OqChnRUYIoj1UDp3RvvNsrdxIOccNdrXdeY3ahIo
tXPsWvlWgpXVsXgPHVJVna9sJKAs7LG/Vvu2hHIHm9LUiW/B2MKf24lAKhH+Le38k8jBvBTnEq/J
yJamNZwX11rleSTfEaJQA+7FXKH8ZLlyTgmB37RDshu7XyTLTc6hXGSesNotPX+wKOh9JXFVCjIA
YvphbN05Ld0jJ0KjQSvcNilR+OFr1iW7JNaJxiTgg89JX66xGTYbjXyMcfyWyA7IpsF8Fbs5wQSU
hgAVRMdRvirw6qIGeB/WIGWAQB5TeCQUiRNXSBG3/sCRXEQx9AbOTeCgolJh5ZNNKWd8tiHuSavq
tEdBuHWk/Kvk3INYD/TipzGGoAr7z5YQ/QE6vD/nMEPTStWErwQVs84rfgEXpPLnHlTU0J7rNKJM
BM1iO+Gpjq+ZNWwpDYQIQK5VIgakebWrkH0mTB1xz6j1U6DuQD3v9XGLCoY3vJbPQP3NGO5G3EEV
5lFVI+4+xfFOg0VOPK+kbRO0QCmfM0UxngSUlCIhCeelr2l+Kgv5AIRwowb12pIeZGDiyuoZFaCx
56rPajNavbFQq2u6OoRVIa6Qnwgo+cni/mrIZxVOZwmdfw4I6tqcpPG8pqTw9H36lOJuzqp3wd07
qUd9KK6RDPutqcc5mbDnqjDigMVG78/Fg1Y7qSN+ZOppyoHGRbpkD9YhVm3PnsOdAewHa0AL/HEC
O0oBDKbZcmdbZ8QBgsvJ0QO7cBjymYlP42Afrf5Pmf7FbDCV4Dottwuy+6Ii+SCOuLZhKcrR7aX0
JGswzXSyR61ywDL0piaMebqF6ZitJM/oGHJubQI3ElnYlRuIHXshC90CO5zaZi+m3y7+DAkyq/Tx
3vHxk/vuHmnKtuHrTfVSUWsS5jwS3fgWr98Op1+K1cQqCJ5f2Doi5To5VNmVaEKH2s2orLSd3h8d
WAkj87tQ2SmEj9moSiKKPjQMzJZEz5ADDilluxDPggls7yjCHwdwS7hQSVW2M3oIPRT31nbIdEgQ
Ir1Z0VeMeFIaaGKGUpXdJYOcRmTV8mKq6wKGZS3LyWrio2qT0NcJ3ikCMgxb9S1Q85aXJWfYl7QF
c0K4hR3m5WU6j28d5VdaB/4Qz25PJETXbENSqlT534RYQZEUX7Fquid61FHY9JBmLELlCICNhBdZ
kpsF8dG0F0eK+FHnIF/EQWDWMaFkSrOFxDhhe/yO2u5E5Q3uGM1PjHzf2PE7Tr7IVVEML7bD4pJA
9wnge4M1wtfC15yh1pDrXU+UVkT/VtgproaiJwbfmMhwWDIJqAxzT2T/Sbr8r5eKi2moD4I9L7JI
bmROvUgYFjWgK8qLXNJgX6SkJMd18Po2dOdZ38vST43bFj8PGwhcZKtPJwP5COlVJE8lnqgHVOTp
vG1isIgIcDhNjeeFVBbc7qTKdMwsGBdI/umEH+nTzQTMjyHoizHbC3lVpJvnfF7T05zmkWi8Ngae
XzjKMDPJlOoP2SyfjdUh+7JKKjU0hfZbMUwYFD/7EiWXZBE/vwvxgYv6b7DvrXjA86Kio9WJd7Yn
UidRTqCH0aqQAHGtEy+sdkJ9WrW25DVH6YBn+MOpKpcybNZ2gPWr7DhA9zHonMJcxX3MOpErOibQ
V/6vfvym3Du2E9cB2RuVD8WW0AixZSKXi4ctDgckkifJWUvnPom58BoVBXKVbdMiOQvSBKb0tRob
ZAqM07ZNAN9/nJ3XctxI1nWfCBFIJOwtyzuaoucNQjSC9zbx9N+C+o8Ykeqgov+5mYlWj1AFFDJP
nrP32jSD0Cab/ETBj6f3oXvjdCyGSA8R3lRorDx6wuPIzA3Bjp0PW4TEJX3QyGULOeiAE1heqCV0
4rBsUgls+zFNfzSAh3mCKKiC9uzzElbQNKhM1Fs4rFWHiDPQ7zHXnqfqLUexblUEA2gYdpONUjFj
95RvN2003hJ3nWTnyOXdLKFou+GqrKNrI/tBO0WmOz2gqC7Sg8YBTdkgx12FOm9v4GnVP6Lsp8/N
kTMbIuH3SZNpkoyWnewwAAPnGLoyxZ3l+xd9eG7tbeh/5P0zTpeJg70wL1lo8ukhZmjUrPvsWTj0
LrKLtr2z64eqWvnR2RrO2DT65hxPF62Gy7e+x4/lgbWO0Uiw0/WcSbOfVbFh4h25WydHvUMnira1
KkmceyD7l9WW+mPW5f+YGlaAbecc6TKVebwCkTWjk8R00g1zPdb3wPQCOOvos3ufwwQNcRYdnZ0M
R0GJdK9urlzTWuikYpkWDv3gzk5vSVsz/MtoloS8Whjms3tS2i56O1g63b10lpLno+gSYateZBwd
EnMDNfsioBSR+qpCUOrZdxluUhOxK/Oo5ahd44/ZJlRGQsWbmr9Ntegunlkut1nyFNRMEwEmlP0j
FZ0dY2igku8u7XIhGZo03TkZX0z15qtdL5F7b1V074WokNt1hhA5U+fZmRVqu9g/pZj+h1PCGjhu
swlr+4Uf7KBQTR5H3nMSHeTwA5iGVGfpPRa8kOXRZfHNtHMKfVO/cunAedB3o52OhCNgAAoHK10O
Ew0FeO1N+RJ13tFGGhijjZM0OVxto6PhhgHAIAkIHib+eG3bN1WBipWtbGJI38xiLI2gsi3priDA
dpW1GeHPpMzZFfVvcakrAEkgb2yUgw+tJxAuYr0joystz07wgSWqRgyd8IYjX2PZ0jk4Y3zlV7TX
5iUc5WR7K/qzjwcW/xGgNTrvgH52zHeA6ZAYmzz63Qp9jTO9mcOpMg8TQjCjpOciF3mw9mOypjra
PnR2yOyYdfTgnxQCVwfqrb7tOGG7g7lTamsZD5Y4qvI2TS9NfINxxolgrbIPxPle9JAN12V9Gbgu
UJG9VFS7VPkwG6dz576McjM5FCnGLqv2uSzW2rgvEMd5T46aOakw1fqzpEvSvXf9T9Rha0mj2EV9
l+Es5VGhpZyFESRQG/GtbKylrJr7vjZXdugcR5otcpD7WV7C76HIpqfatq5ykBhMqR9raS0gPrzA
ecX8kByUO1Ne2usxAm7k8/qcoQYiS10aBt534GYI/xkOYxFbaJrGW3+sZLBUEcv4kwpxyXSUgDcT
DcIAIV3d3qT04CaTKT6vXZEcpnyuU26kN2A1vR6TO43KOZozxDjjh1nMK3ohSRSh79eHAGLFKhgG
aGZHjQlSPj215WsvMB3FtwV+x6R+DvsfjbaLmJ1ZFYNCa8bSXE39k0ZoQiPAT5Qng1oM8ir653Gl
E9bUFMe+eM8RA3mTvazDRy+tON0/9tOFMsrLIuf3aOHRdq8xCTlMrfUE7sMxZ3MOp+2YDouU56Xs
B5IhxhCzdLaLx7tWPtmddkMy4kWGEqIzX/KJ3Z3XLTFIVaQs1RI4U3uJHtX8sIdn6ZtLemQwrhJk
3Me8/REE3Fy8XVHfnAwbVJp26kbmP1tJ6EgZgZi9jgKB0ouesHsVInZNPJON7ikw2E4ig2MAJywN
b5pOE8JqbyuzXJkMhA33qmiRUUTqIOfOcsqG/ta30yKnQRCWGysaF43/7LovdbyJklsJC5q8PCxw
5wpVcM6ToGm2DBKULzQ7tAPmbc6aHNFQNznevVTklMl9xywymw/hlDWm316YFTEWRvfEJHPZBBg3
uJdF4S2UeSMRxmTYjIxC7Y0EKSMGBif9qLNyF1b+MR2bfWJcatpPnYQ+ho82pxNRrGluOH7AP/Hw
NO1zVKrDzGtmyq8rsuANVnuFpf+x8tZ+Gaxq53ok5Cxs1+64SyXKp3jNaBC1/33gPRHhtcxK1nC+
KXj0hTH2dNq8dTjj8nK0tEb7HEtnISJWw2FY2Bjx25KiBRZDw0paI5pObRL+oqvS7Q491Tswq80U
U7uY3UGVBfM0yB3UWCM5s6K8BX11CNqNdHnqNTJzD584bi08e16qIHfJHaiowwjgTwvbFRMW1tpZ
8o2yAk/pqm2T6wlRrYp+EOkGJowekLsIsUF52k2AFdMyqtNIC6nsbkrwffQXpWaRxmqv4GfmZJ7G
aN3KyFsluL00pr4VKuVhOjArWHYucTyUPRn9zYkl28QlIBiV2LPNxltb1k+KPshSFX7O9NYPwbFD
0onjPXEGW2GEx7BL11Joe1faKyKzluYMoqrEEuP1FmMsU70JfjfqMUJSVGesm1o7gY5aVUgQws5f
+oS51Gg6zfBKiAi9L6KnTj/q7VNOs0CP7yOx01KGt2QBu/RTGut1wKZnNtVKS06Fww2TeKahXTEZ
FwSRFlg8B/6mwYk3RVUcOiLLB2W8V9VwBZYbzSGlcjTeZMqFKIN9za94PKm2cmS5aGAfBsNVyk/L
DLQdldE+gnXCcrX1hUvO5BEq71YFO4y3zAUEpMd2YWrqxgBz2xL5WPPgqoxTmh4kxcq3nY3tU895
r0YyfkwxrSzUO2nBjC+SDsinCS1RlPvaWSQjYxVpG8iAfZ9SLiij3ZAzegikpx20LsLYXioamklQ
P6ec/A514fqXvSNzcpuKmFwc03+AC9e/6kXlQE/VnZAxAG9xqceCxBLNvCLAIqXiMnkwpEBjaPYK
5impohugQiI4zbxc16l6F6ycd3kPIoAw9xPUo3fXmSC3uuauT/ila30DAymcZ/txTLyi0LQsWUSa
R5BEF6GhI2uKsa+G14vCmqIiq5WFLBdlTzuhTo+jekDITBSQm+vZpu1mBFcex6wSQ12cHCEjhm2h
v+jkmCL696O9aquWShnMj62zi3q4HdYyi4D1xTM/2sibel0aRkDmIXNMP6o0f3are8vQCcyNiV/x
WevMHLHKaNGDGePqHGlE5VbpZUmS5D6ESYKdtSqvoZ4fhB5uvRDdUWBj3kh+OjHL2rpxW3tRZkb/
6mYtAFiN6JhLtyx7BgF52mxlxHQLKTZubDLjAiA5HBgAi06JT7fFtxD1y2DLLCEDPdU26jx6atxg
g8zOVdN1hwKL7ZWWiXnSVrLlx02lX1I7YbIAMkIuCQkbFv2YfV2l0UnYCmADHuMcwjL3Ko/dYAkb
qbytcskzsogJSnLfuuEbw/1LYEthIfPmMWtvDtf+OM6bYYHiEseHlV6ovmB4GXeT/UZT1ekvHNek
jdxDozbpEiQdU6yeeSAb/BjtY02HMFsERXAXW/Rf+Vkwa/wHnFZKTpuVWz7icAmXZWB324IT2qaO
PP0yMB0EosrMzqHWukwzmtJj6e+tkww1DXJkT8eV7CW2ws5vAbO2XtOCunGDsEdUGzqPJb1FkvTc
LN7xGII73S+psZoww49YeLD+PL1x2rXSPa1fBV5GW7RwTPtohgY+pz5PNrU0veuEpu/++1QH63Oa
hGfZtiSFztANncEuh4vPgRZFMFR4oXLSJFpBr7LIgCDW0lgVBYDc7y8l5niI35IruBZdd1snwsbj
ObBVfb6W06rB7ZAUYF3Mh7XZN82qs4V7COmAbDtlNZvY6n/2sS52WUnEMygCYo29ZKQX0gzTX5J8
jC9BGvPHcRzdMCzDJSGELejzxzEnTOihmQqEuBXbYN9ae2PuWmUxva6STDZg0mxZQ3geBV2uznZ+
Yn1+xjFXXMT2cOel6YGZGOpof7BZW5Bhah6dZk82L1GUvPnNCMcpo2bBR+jfhC4D15AQQ3GhG2h2
tEz/iEXanf9yl/V//V4GX0i3ddu2vS+32SRJa4g04QDSLCCFeUwdsnfVGIcJzMgS4BBncu09NvSD
k1sXwsMzQ4lHe/jCV/D6jJcAwBGR8XSDmc+jdTdHxDD9WcMA5BfhOurv2u6xkP56gMkc9dhRgVfY
7VvsHWwPnQjAAHQ6BZmr45EYLtq169JxVnV1cM0THD9EIC+1ytYwWQ5azbzGRDGGUstmUF4++OO2
MOhklYTichqwaKH3ncdMEE7IuGcMcx8wDMsj1zxEvlVsHJWUK93NPtRAz3xuV49ud9db4VtQVPN4
flkUz2Ed4NJhIbA5ZeaUeHgiYre7SmjkCJwo9ZCy2WOmdxiZkRZ3kiWWDoC9xwnKvBN2mxg/aAqu
P01mfsC4dJvhWM0ngiS23wm0oX9CO2ocHjtsiUM8YmEOc1LXipM9IlwOXQRUCPei1rip9PSDEmY7
xtrmLw//X14xVxim6zj8otkPvzx7lVZ6ONZEVCAXqtd9ZHQUHWra0iWzjwr88zJwRhPaR9M9RqlK
1yxU5X4ovPCHEUdO9rd3bF4+vrzyLh/HcgzbsnXDFp/fsTzIjLrLyMOOsRfjcxoZkJFWUx+JSx7u
RIQpr0ht75TkTnzqjPk8kIBlZVnQlrlrDAszc5C54QZfN4nArqps4lQUqttW+fGVqXR8AkabKI48
ykJ/pErksFaPi7hkgf7/WME+fZ359v+WZyYLI62TaM4LGBIXulg+wB1k18TQt4rc6oaNFJjAcE4c
oCjSZZM3TVT3ObOt7x80a/S/3VmbSB7WL8tgL/r8UZieuZ0L6JQXhW4Y+eqk+wpSE+AnsXDlp5Zj
XIT20400wKPlU9E0b6TD3voyvq+TXFuFmn9VUHdfFBY9wYGzeVn6N8DOZuWbzmFMokPW7I3IzbsQ
AH6qu+mqazJOzcVmStEPyp5mbGqcjYGJnD4Bn9bPHtYe3hRV3bGJolGcMQ4nwbyxqpcTvmms7LyE
AjN2u4B4fJG5hxJmJYzRhWNW0GD2oZQb32IQiK2hFO05rj6kc5Vy7o7jbdmigfDofabXtbNG7R/T
6rDam8l+JMaBFgGTKmU/FfQDnWAHiOTouzXLVbRVFmNzoZ2wloIJBMrLMWNO0ISvvPCYdXs0wPMY
kM6srLVxbatuyc2/JqKOBkiAwY8irLfsfdJNC330CaaBhS7by8hrWGmGkwERS6dRk07RoxaoJ4Ms
Pj8Z1kXDBCULt0nRnqO+3qlgbuH6/ht/EZ9dYIXr0rOJQ2tN+UmcoCdeh9Y6Nml47Prk1muRr+um
eUaVsJpGaL6AzTgSWwSOB2Zwq6nkwZ4OWrxtvURb+Pn0M2y1l8R6F8MuzB49+mBNpo4zWGdqj21H
yqrL94GVKzlM1CixIqPe2np8bSXViyfpipL0qSxOvH5zrP1dMT5w2LG4l/Iey9tlHiccqSI8v0p7
MPxVrD3EmXU5GA5DA/ux9GEvof0OmTi3TxOOkLk9b4HC60ukpdVknS3aDHFqbeu434xmvBUs8I3f
bKMMKMe4zGz4+xoxBN1DDbgCFbEKRqAi6R1x9qhoIIsAktAIVYfSA0OoQczhlzY9D9q3mJ789EeS
uxcRPY7J32vdTVifJuenkd75ItyYHH7tIWMntLc2buGAqUNAYw5B0M6MzMshqp5y2S0qTm22fel4
TPAmQkUupuCnFTWrVudDa/dWNy5rEAlwNmc7HjIQidUfkujEOkeH2GEakCofC2qwK2qc242Gv+xR
6ObGb97j7Il7BlIC9pR4yVFDG/SFaOqdrSq/6ZQ4pcDpw/lEi944wCfe2XcWMmRSI5hRXRTMCME1
bgLvnGEPgc5GU18/xMJajbNpAO6AJ/wjCbsXJgedUdgEoSLYsuzrZm6Maqee/l/nPJPfHnXRGurI
iqjWZvAuAHosRUe+uCEXUwcPKKAYT9Pmo5ieM+aHXXBXq1PDWoOU4aKmcJ9bNINlPbNW00a8tCzG
Qjk1FOMN36T5iW7StYPb2RM7wCxLvenSTtyFZMgyOD8y6uYwJcY2pRUNDG4c3yeRPAYcaKLAYvGA
OZsllxLquBsOK1/xQxrliqCZLabfs69zEkAUs1JoEXAHWZsKnbXtZ0+apS59Bi4xXPq+owmqouWo
kKpX9J6o/HAmQfXXjPLDjJutGUPXjnpwcwrkfeohRWnctWF2l3Fof+RTf5wPJbE6EZy5tdoQo0B5
Hwv0+Bk9/AFB7sjEpsGHpJIPmNK4fAOE0VBdhyHgV1taL0MZY52zyRzh2cYCCEvHlMDpbn2E3ahW
xzsVgbGiaWCZzkMPWklQOrhTdgAqGy7zAQ9WYjNUTivvL1ubof+5Vbs6IWqeYaDeN6kfP28otH5i
E6ahAz4Azbg9wUlLdnpo3dqOexDKgSRlbYlsemvTEN+xerCDGy8FzgZw7sLSxCXl3NIMZhxGvy3d
4F0aFr1UBpt54VwPXQswyj2XEbdcMVA2TbV1SfS7kLVDe7x6bUDKJU1xGrH3Bh1ALdMB+mSumjI6
ekG5yrV5OJax8JEZGuLKD7pNiBIWkhjZstNVBJ2ox4AoNQQMgtkIK/ldiI+yHvjveqBZhdMq4GWu
m3NbqPuhf2o7+lqZb7/mUM6HutpNdrRlXm7To8P3N43RW4jhjzsBNCXkoJJu4UI9yCim4MVplV4z
atoY0zxAda7zsr3KWiLSP+Bm7hM33pGIQ+k17LqGN9akzBUqWTs2Lvc4tWm4mhAzLntjvGUM99g0
NDUnbxMrhWQJAFYLusux45XeJO/EYoWLvu/qBW/PhgryMoucLWjkJShZMCe8oRjOfBo6Tf3hAypM
OZIbnI57vEqQRGNGYgYSZ0cHldcgUmdsTY5bm6+T6iGsnFcfuKskoMlGGklIAndlWwrtxRTxFvH+
XVhNOChwMjMbh4x4rOdcslfHDJ7nNVwPToV2SsF1+y2BHYkNezBd2Xj60Hiv7SS5BVPgxuuOxJLM
BpfHnYCNMIRvurshY2iLLv9IeNsFAYoLrXic4uSN1XvH0KDQqgOFvc90x2/0rZFHNxqtl9LpVzhM
wavzmn4oTMmDSXuSpmLt3AsxbifC2khjw5BkMyl4ypgiy5yTSXkftIRmoWdNiECz6dbx6nkshJ2j
diNbM6I/prJG+URyxQHC2MZr02WS0XbTnr4v4v584xyiQgyBKEc6Lqfvz2/cpBUT4nySHGu846ti
wnzbBV12+/1VCNP8WoJ7BscBw3Wl5N3+UihmuT85Rc+RwG8Z5fuDB8mFFh/HTw6mwGK3//1ynmnQ
q3MoTv84fcZt33RWQ0NB0+LsZqjSDh8UsK6alMNF0RXdXyrhPxsYjvf79b7k4iZOZuexxvUSiXSY
ohj0W2gY9BPKv5X//3Ynf7/UlztZpEOHH42jLYd6eYpV2xKDQtxJ7xbZScSMN7+/lb9Oa19OT799
N8hbn38gtsZErBeOsyzNpr6O8xxtqzStFqxbb+CYH4Czg6GXPxNNb8a9mwaQYDw7JXLx+0/izlf6
3yexMZYIjEauaRjCJGbPmJ/CbwcfMiW1wXYTMksmhuR2tNJKRGbAKQJUKY69twx/C4p2x5zkimz4
64LjPNOPa9W8RmHF1KO9Gqtm3XFyFyVgChZP6fjLGj9c64sN8YC4Gi4xAa+TfO+TWW1n2LuiBXEk
wNiYPPr20S1H1NXxcgqnx6Y3117EEN3SDp7WrDShsDi+x9FNoXGojQxui9p55Evo0rtUkA0yCsIJ
QzY2i1Uksf/32kUMaDGUPwkiWvitd2jB1fOIF6El1hzqY2IMjQobs0wiKvsWTcK6jqDnxcTUVUe7
ZgocZfuk7o4OtCN7NHGzicfIAK1hwbXQSzwNzl/eZjaqT4/Com31eZ/+8iukB1Ekk5jTsAYgbCI/
FkXcMEAZNkPPia3AeFk3NLulcRvlxh6fAvozRX7ZFf35XBFyz9D/qSz1ywwdrZ0zIVHwsz0tfGpR
VSOsW+XNANqrAoWqr5xm+mlydI/KH2N623H+CsEepuIHERYIrAghIShKxIgCsjcbRmiFnajwgk0k
73KdLAhEI/1QFgu0GFst7JcBGnkTNgMWl31UpztOiwttas52Ya8qPhtRhgddoMg2i7dQnxM4Q/WQ
lP4PCQ8wzNMeWQjtcqsOr2QxvSNYYSaoI56JzdbinuC1LyaXHABdMRxXHDPcAyadBJbFzwxbi5pi
dtho05p4ix1nA2t7L7JipzM6HyqxMdObGJw15NYVTZzVxERq7DMGo/D5wONBfu0gJ1oCLD4JXDSC
8h43To9aIO/XFo3gBuimXxVXtGcWWZEc6zRbRqW2Kgvj7AdMOOP02LMWglfB809SWgH0z4A2YdRJ
CICfY2nRLDQqGxIOt3XiUBR0K92aZ7nYzLGEPwxSXNu+/xLUb/l4L4OPOYOuVsENr8qV1cKV4l/g
iz3TIIBpk2Zg4rvnDmVd2sFDtAN00JZ2/n6NmH93/1sifv0uDalLeuiOyyL0q778bYkIKzdAAOeC
PY278gq8N4p6a/aXBaZOzKmR3ohKEuARjw2CqbL8SyN7Lk+/Xt7TkTIBChQwT780snUx47kzkpnJ
9J1QZXL0z9DqEAsxG1yzV4re5C9bz68N+n/X/LUqGo4+d9scU0oCGvhMv31lU9DUSib2HnP0n3KH
oU4TN++q63aBN668tF47sltJ0IVNm62zJoSND2IMPyaJcSfqaWijaFDoz7VjeUtG1cOIrfz7x/Jl
E/n1IU1XurZwTBrv9q9Q598+pOzoAqogY/+vZEO1a8qR/E9l7HVHr95tGXgba8QjZNWuhZmfSqRJ
y+T++0/x+en88SG+ljoqpNMnJPUj7YViwwVmNbH7Dm13AHvk47Qzlt9f8XN/7J8resKxCctmz9bd
L3VBpvm03griatMIVFTlWv0LExWOvGTyXkzMBfflRCJHP1nDX8q6L3OOX5em/KH2IXScm/hHEzaJ
CmvK+LKaLqIP01Jin1l5TCPC7N8g77iIZrLq0A10g+rBSA+OwSik6sv6bpKBffr+RnzeL359Gken
zhQ25Z+n/xqD/Pb8U4eBpGxjJIBdhiem5HS84w1G4Vnn7hj+5bb/eTVpuZbNeMe0mC0585//drW+
qH1Vxc2cTp70RwkJbl3qMHMHwlX/UpSIP67Fc7UMCbGW3BdH6F9OrF1bjUOSci18c/0VKYUGzLMx
vKok0Xd6NVWbPqYxOwjBBLng1x24knQeqx3Rq3sCzUAb2VfJrCnCfGguvr/vBMv/viJx4+dqCRK2
4wjPcfifn29FSpwIzELLoK8yGOQgIXjjCyXroax8gs5qhoo+GnnMt7Gx8YMuhhelMehcWU1WPOnM
joNT7eB9IcHzbFhYzcYaSQjM1+8/6J+fk2XbMU1+Gpbuiq89ejeKwEx0/Fwn5ULcMcBuCcBc+17z
qo3deiYy8ZKjmsRK+fj9pcXnI9B8j7g2SzYmIGaCiIw/36Mxdd2+T1i1Szftt5oTvXpwkRcyIxJo
KHxIgCW8G+xNl5k50HCyaM1UgQYZBaUSHC7IEmlK7uH3H+vPhX3+WJ5AnO0YOv/5MrYYLWlFTh+z
XAUcArumMdd06ybCGWsJ9QuaF1zEcSGLVp47w5D0RmS05uz7EYY6IYNTaq8dS0P6GyUZDcXA2E+T
0W2SISWlgLPscNtk7fRf33RTeiAmdM82JC+792XJ86csmFyUE7R5XQJ/0Y/scn223mJL/8vW9+dz
4+ciec8dxzZMaXy5QWVYjx0qEAz22P/PMHPtfZv50fP3z+FzScGvw2KEKfgiOmu4kGI+kP22mLSa
2Q+uxxdKOjVc04iVCHYxOwSetzP7WntN8qp/7RoGAm096Q/fX/2PPYtFXLfZ3M1f83HP+Hz1wUii
bsSXu6ylI3bG0PRL3QKZWUV1se8ELSqEoH+rKf54GeevLIVgNeMRCuvL+pn1/VSxLzvLwk60Ld/d
vW6CtNnrRR4fo3qCBxSIYluUmvxPBdT/u9m/XfnLzVbDHDETjvT/7MH+mGrRHguzqGgIKRQUhPxg
fE/d8C/lifkvd5kvzNtvsIJ7rvvlOCMn1x2c1EN+XCMGR67YNoi7qCVt9Ildne+itHePQelCIJjA
ZkzMCY6lmbrXzPfJ7GaO8VJoVvbYM0082FUkfpTO2KOcjWueHKAy3W2yVVxO2XMhGsJxMOdh1OgY
7vS4zYyBMlWfw3w43coK3j0BLaOYVenhNld1s28VnRKrg/mCF8O4S3WcPh1n08xMYD/bUHlcm8np
gI33Wjc8ons0y4+3JCmiVkujcevggVjPo8MPBjc4rLG4QQr4/sc6P51PpeiXH+uXF1KD+h+4NaVo
YKGE1MggyxRs1qTmPKRrmOr/0+VIjNFNg02DtZGIVdv9crkuQS5hdiUeI93CMhDRHb1omxSfsSYZ
TpW9jNffX/FrVfXHJb+8jkXnEI4wxN5ShP70ms2d3TB0XmHuNrexmbgXRGHkC6NpzU08wpVLBNNu
dKA8Ga2v77//NF9+tf98GIuDuOVJz3G9L9+/Guo6tFTuAhssA3TU1FfrOI7rxwra+8kowvpcNq3z
l+Lq3++BY82eTZZEx/jysvTlxNDBc+nFC4tzfRWjWI1rhSNcRhFn6gTTiFYhiIYOa+6VrRP20IZB
+ATKKsDk1BbiL1XOv90INvD53UVwIOT8578t0eZYmaqPkGeSGjmcclgv99aQDgfJ3HnBqzyeMYWZ
5+/v/pdF8tfdNykxqTE58YmvtwESWePXJey33AjJN6jiF6QDwyPU2XIZSddfpU5HYAWLyOH7C3/Z
9v65MLUmfXtOUuxNn7+tlhDW29BJWuZm2RzsWkeH4OfEanx/Gc6en1/nfy5ETebSsBW82l+28oI0
z67qdH/ZacCamBPruBK7OVpZ63aqiLY54UUJscDiqkRKrFq89WhhyfTRXLAI1VscpoReQzPOUfm2
pwQBk0R7IbRXRCCwXXZufaVjEEugApeht+qK+a1lLm+/DykOnsvYTxYuvRmBikFSZnlQDemr/uB3
9yAV82ak9cyLEO39tOi4q2Ntnob4gxieldsAp/AHXK9YcbRzZR0ma0TFMbSLDATZGCJppGWVK5Iq
8kNFmnYYrl1FxvajRFtVg6fUYIBH8lrCtAQv6SDKLGin1D29qeTsGz2iwo6zJP8Yk8OihftqYBRs
AEp4NCdzzAi5u3I52YK8wv4iMJMH6kjx3frHUtMODoCLrEmO5kQCzIRGseewEH0k7Z2JwK+a5VEM
cNa82mlyo2unMXyMCGefLHS9sxza4A985t/lVUrsUFcfKNQhMZhAcLyN4+GiFW+j9jSHemihxDGp
3SH6XJrtm0M0JCbGVQrAvsMiMCPFI6PfhClguJRmMmN1PFIoBd6nxjgTOnmtPCTvNeDrYet39qKV
AfKJ8JDhW0P+uyQn6pcpNG/uHfFSte9lb697m9+LcZvj6CNaAq74fYN2dCosmmxPkh+PGNEbgre0
QA+6xo3tRqusueW8tgiby8K7d711Wl3H4j30JlggJxdIWrjvDDK9gIUQJQCfYDg16rJxfmo0zKQO
8m4b6U+dXq0c70XlPzNDYWEzlwFTGc0VJCXZQJnCVaZiKIDcxeLBq7CB5AEs1R9SmpseMi+xB8ve
wubBUJlg01WFpxDTiIf3hrf90paYa83kRjUQdRBMA/uLNz2i2eIGQsnCrV4skocA1izRg51m6mj9
Us+SbXcz9ivNJvfmVq/IlsOJAFMeCtWlct6AAQ6cc4hx9LWtbgpkEOFJ1OW6YRjEIHbJQQFjHIS6
blOn984EqK1vL5yowm2MppXS9ISYdd9NpBapn/kIYarMrzrzSdW32iQXw2ithB6fbLPfN86zFQDs
zLd9MDOZUMbg2wd+VJSPHfKbFo+qXYpFMOuzUJzQue4BZuCdN8p20TjpqYuMDa7nNbvwrDH/y/Lz
L2u6JTkLCo456Gi/niOioO+dJoIq3M5sMlE3+bWuV/ZDz9gdcr9ngt6mAFCr71c9U/zbhc1fW6ow
DPqjX4rfeDRC04R/A4+mWFBTLGoBp/CmUsiVBXl6OZaRgTVlfEo7D1PJNXCeixHIJMEjC7vW1jHh
IUiOsrBd5A0GtDaJb/RC3JilbFagkw5uTc+nc39BZvyFbGnNGu8d+MmIMPfOvLQNjPzxnRG9xpgf
fEaDo7NH7LQcxhuray7iRgfPgiVizjx5qFSO3KMkOAchk06ymmNemCgLdcx/eCtly/8/Yo0Iav3G
MJttrPiX07LctGjerbkZLkOiAu/7algn0L8DY2XjGGE/wad+odekW7wO4UcjSEaUj+Z4PdR3gfYc
IGRMWRzdTRfcFmDXcufKa54TeaLLtixA1YMg8F0sNwxjHXy7BGTstPmFmzkR3rgbm58EWG6bEHxx
NR0dq7rLXD62qt/qLD5lOfY8MovNoQYmhhVZOs0zUkcygH4AutvphXUYm/CYUI4Rn6AfipAfrXOb
ELCFpvCsJ9lFj5KnGQm0CcQqGg2wW6CDW0wPSfGczEw0r9v7RYubolsK4pdNEseNwt1MTcu42tob
rXtfd+I579Ndix/Ikc2iZw9UPTJw+1zaDTHJMcKQR6d0FxHh3FPxotTMvHm0jXff9XmFdh45sXGO
6HvYaMUPq3lIq+bQjQBqLYLMwBIqUrbthKE5zlvVRNe1jkiqrxYhdMcqMsjpOWftuBtMUHXtuhfY
9qZ9TUi43JJwdxHmbGuFOjCxWojgSSEBJop2kwqS8cScI92uIwwxaXJnIS4NS2zTkDbcvj4wT0Op
MBCV1m1wPI+6Asq2xQDl8i8M5hzjFi8j50onbKx1fkVWuR5S49Ymt3ZX2B8DqqKJfaZ9dNSr4OHq
9X1MJrca9ghbV56A9LsJMcu6Akda9lb2pNnj0pjIQiDtfVWpdw/lYgEM3Jl+OJV9rQkcyJillHXF
59asQwYTH9MXNGjNfFTJ0VNvJFcnalPqvGNQ8H0TdjQ2W482+60s0wsZ3kAVX6QxciiIpEMGhAFc
7v+Rdh7LjWPZFv0iRODCY0oPelKUoSYIWXjv8fW9UJOXpazIHLxBRw+quygS5h6z99oZVFkTLCSZ
llONUfnfg8vj0XHFb6ac7CMYDfMuWBAUQqYsYbmAcdJ1JW6q9hVIx9G6jgRE2BNgjxgdDN84NqVq
BwTR95waU1VULvTg3oT4xaYQCbLTT5QuMsUnPk+N7NP8O9e+B12cgk5Fr22caq1be9KyZ+w3xM4o
YTuk0Mnljy7krCiid6x9C4GU127Tl4Ds6JEirCRXia5QnaykxSKzK2DT9W2Mw7UZBuh9z22hvgzS
PnJ3pXzLxVpyiSyt97557wcAG+XcMN4Qg8+TKfW7+1DMLfDEYtgVyLvsC5u7IruURkxY+8rk3z4C
coTwMfAaIZtx1pT63AgLKCog6mJrZriQ2V/Mft3E42rQAJmP1zHzFpYVA/a8D1q5qCu40Tj0fQOS
T+2irQB+C/qwGiYXb4X+Ty9IDO9XafUgfQ1mBaBxIRKwbcH7CACux5+MQp+nbrpZ6uAF06fPrJVy
orgM+TGktITpptUId3uyG57hnm7ccLxI9rgPTWj3i7JOZw1+qI5fdDbY5Toh0cb/S3f4Hx2B/uvJ
8WN4IUWjodcJ4iVUhaTIiCn2rHajpUaU35pzY1rVytlCV9ma//nUms6kXxrvqVJHjGWalmHowtLV
HzugoZRAExVT4IKRih0haGSTSWgltTKSnf/fR01Nwy+91hBJ2WB1sb0YRFPMtcxsruG0o5TDuvnL
R/3n7/nLt5oaoV8+SmEGNBCrai9sAPJCqomWG+XDqMZvNS81hgzI5MNwfPvzFzSt//w16XjU6Udl
9PqzwRqskO22T8paqDuNCyK6VfdGv4ikJ3pfjLCzUL0ojRNSNUsaYGtUiJKakzbGIYx/O4b3SEkF
IroQGwYGTkWtOaoYkQpu6WdJeZIVx81xzA5zu3T8oNoowLTTEhfjuywQFwzvNkmYsGpEmqwJIyHH
AfbiFMLlzkrPBpuNE4qzU9qqiePhV1P3PWQTkgX19JiBtsbjX/Hfbeu0CJpSKss6lVce/ybyXWe5
+i7VR62KFzVVulmqeJO6mV6dMGys1ODdBZ+mAteJFGYZuG5ZPC6DRt7Gg1NTVCqwNFMDKqy8mni8
+WTGwrs3MUGLKTtHb+adr634XsDO+jNHShu/ly7cxD5dtCVeiOY84GgghQJy5sUa9mpL3uyI/ZH/
UTyRrkGEhDxIWb4TmEWnLPje35poZDsiqLoK5sCEeXThw858dAOWCr/NXqSugwSD+C9Vv+JZm2vj
AwLsEgtE4t3z3l4WxUNhnirI70H3bQDozGhNVPfVSnK0y4jPfe0x1MxrBpWmM9RNo1rbPj0AVfLV
8QgImnnbe6iQgsMSL83snRyGqITnHn3VrGFZEh8UxNb9RerNTd48WXDaPJ31vLyBhJ401tIU0ClM
py0OVLRzK9eJsUEk7FPYj8BhF56xk3TCcZBV0LJZ42Kw6VemBmiCJHvnFPZp1jz6KYe8ofHiHAhB
wvsPxzFXgotfvEaU4rF5zKSdiDaN/6rhzDczFdLOa0WwiyYLp9LNq59e82EAyZHiI3CdvDrlefnI
FZk0qzHd66Wz6x0NWMkvbhFdXhtnF/4HaWXI5Owvhs5oQKCL+EvSLUEqk68l82Xxv1ERNP11ijbM
nwV4gFGDaVsDD2I+VnMisg6le7KvoQKAazjZOHyqXlpaxmMdPXfqkpyuEABJXmxxFYAy74ulR7XW
ZD05WFKkI3yAW95zjQ1/18go7ivPMcivNzrYOmqxpCv5RlRGMN41NtYaQLe+hLgjxEqTAMjEd8V0
NDpO+mcMFIKVF/z5eNB5knlewhNzVe63WaI+UA/L3rcVrXSqebUlsLm62uN9BO0h2LGDFLfkhSw7
KdEYqv6pap9kczrsg4EmOlB1Z/imZwHkHOFllFnui11VC401TYjWgiROr9EPWQ3wgUhpNjijsati
BCZowbvSQVsZkJkqV6iGC5IOLGJRvLXNuE12eac8t7XP+48nhvlL+lnr1DvephyWnruWofr4IamM
GWOUM6onQBPRLI0QYttTRjKYkPzWFw9J3M575d4k5DFiKRiEeyrBoKagqXXuVh2ICkQ9D7WvHr2N
8lkjB8VVQbM2lBhgiFZV90bV2FYn0VozQQdC1B085Iw6LK1uJuxLWv0MCr5Afi+RyUHkIEHrpnvq
qusUDSsYyqiELCC1AUWz6hpgnoGBoFReK/l7aUWEKQnoBCDQXO6rlkjF5B5FZ8Um/yQyKVHrjY/i
Vi9RNcPyBaRGAJqckJ+g7qlru5ZNnnI30w8oFeTYAQtH77LwCNwtwItPynF8mmW3gj3vKdEUmosd
4Y3RGqOjHRIKyDTBvJUBB/mPKhWgJOZ+AiZz7dXHARN/ZsISk98G8S6oU+3mEAX7NN2K/jKmeMkU
blyxjaV4UybF3dAwyI6a4/f9i1sMq0iYj0FfHmNxm0hmgLiWMN+Bb5C5NeCi1qCZAAlQPHC8SjnX
7O9K4UdqC/Z3qzw66pORT3DjYp9xZWsRkcvF1/Hko2pgPi9vPhBFoIBmvE67nWJA/RiJqVj50n3w
zJmZRTQz8TJsPocQZTEz9C1kO7Ibem9XkAxekyRkrf10TSgvDEiDtCInkRzNO0rjYw6pJNCuBCa5
+CuqYqQbVB2/AeMxyKTe79Eyl1AvBsM/xAqQioBU59xbG9497OMN9WzVzAheZBCIIZjI3ZWueNsi
V5bkf49wegztMacP9VPHwihS0Y6m3WEkJ8OLN2ZHaomYG/mxGRMWJdBXYZkXLWk8qH4VK0Dq+5EQ
VRDYPYAFHLqQLAlal/0dudt0DiYvK0hqDD9ERxOMuqwOTy5jFAlbt+J9tG2NNuwlnFD+GOsM96ZN
2I34w/KVjQbCJSblLxQ0FCNpf9BwIloQ9ng8s1ev2pDRPs+MDzfJ57pyMXWShLpy1SN+GTV7nQ4K
j63GMTT3bOjJGaca4C8RcroSQC2bq4L0z2zrNdcKN6hM357XX0Xx6BNpXPhfimdvrLGEE3AXyTOY
SEn+7vJzZ5zr6AWAT9c0JPAwXqL0hwLjTZwvyMtYB+kG5q179H1H1Prc67Ycca7/SQXXVg9mdUNQ
CnzjEHC9NBktsJ2vTfWDlPBZIhTG3Fs0JMFECWUKFEfPLdoi3yUniDvAKMvHgZ15Wjy37aPK7z2q
NixrHHFYa71vzcIs+Q0MOonffER1I/bORnDQhY8eTWuNQYtTxGTOEuHUHJqO/vXi4zNxq2uWqbc+
RnCfkH821e+kfLBx4/B9E5htKOmXsXsWrTvDEwJd71hxRUDPggUjT26qNfY+IeZKgKEyQBcJV6FV
A4fYxg2MzJkkx045xT3kU7L3soc1idcXf8Ky7glYTSD502aGGoKlLJlF8q6i/mHgoPVi64fDfDRu
Njj4CfisDgx+8dAs9aRnpvacyA2I+nKaf3BDdMss3xpMZCMNizcrMTt9YhcI/BpC2XBtGpkFyr7R
P+yQhDtGKgCvRfQOgq+qWp6p3TjcDDqkqj7KMVr2rN5hbwfUb8EYgWQuAqeIpHe3DXhXd29d1n4q
3T61IHRonyUMj5G4EDwdlncuxSHgQOgHB+oEvV06s/ySDErTeu9wszKMWY6ff66t/2t3pGuILGRF
Y0LH6u7fJT2rIJ5Mi00NqlAYgTKiVyKhw2Wfp/FS0op0qXVFuGvNnt90VGCWVz1pCqoNLz1u67/s
ff/Z3f/sm3TkOyw5UItr5o8Ow+s9ESchoR3ECpjYJ7R2VeILAfrUje9lHEhL9lzIxpuOvrbEAyKs
C7uN5DPJQ0GobEi6i0TCqyYRbNP4pvuXaeTvnQg6QgXhHH+dQDn3oxPxAckEBRdk0QSyDbt7HEHW
JfI8Rkjzl3nrf36UhniRZaqm/7bzH7BOZU0bkhgJv5znEoTbPK0rSpO6lJ//fBv82BPTrvK1DMSA
iNPIGLB//OwtraqNxNtirRIZa5f02VlXi/dQVnUn8NuPP3/af36zXz5t+ue/tJGsDDF39I21aCuG
XK1qV9Tcab52Q1X/2w01XZB/31B8M1tFc2bqCGF+biJNwxtLq8ylRWtAh1o1RcrqrJSSJsJiKPwr
y7rsYg6quzdkySIBhdGQnMTeu20Gyl+GAj91TdPPrLES0A1VR0eEsOnfX9xty9YKcr54mbvWJitC
nnu6RyaGEyirHkVNhikxCIU+yNcohZ3UYrujcqXW5SmMVjYwjk1uatHTn6/IdH3//Sth7eK5Eybi
Evv3X8nDql5IxHhKmVU++JQzvO1rc/nnT1Gm/eRvH4MwwDaZieBQ+LEW7nldW3Y04srA0YOxWNfX
sTZK85h+/oCWHg9QUhg7ufCgZPMAgA2UlXWNQHvdsD+epQRmLFpsAaT2WQzz8ypeilKClVrB+okr
ucYFK2oHOl2279VSeiq0UfxlqPT7s6LxCsDFImxkceDW/n0RW7cpIOOwxR/KLlqHMpW6zgqUeteO
N1moGn/5vOmm+PGjcVFUBUWBiYJL+3HTNGEPYUV1zYViJ16IVjuM7xpemnkb06MR2k59kDJz3YWh
Vp78FqvLny/bf5wRfOP/+wv0H2eEEQRYsxQyGDl20yXkS23u1VHE+Ya5AUAIOSW9bIuTCGXGj4VV
qUuhF2xTSLLHsY2B8C9/0X9dAo56HVWUqeqM2v59CXh55IhpOLQM/hawqCY3yWRSZI+QxoDboOT8
5SL8voPSUJTaGCFVg/3Xz08MXMNH1ovdsetk9pkDQm6IlywQQ4FFvh6l+kuv/iqD+q/vyVkIHQUs
im7+1GCKqPXl2kQHmWQ04XKNAQXrexR7ZKiTG/OXX/Ufz9fPO82ymFai3ECD+XPMBqXZ0kOvshcj
vvvRVWcGPVVBL627aMO1mW8Ujm5071IMHsDSndKlBOzr7eiNJ07uFzE5hoNma9fNqkjphXGf67Rt
XXLxLOtmyelKc0f6ieau9w8CL3AQQrfUV5VCCrrGGoApk0beLtO+RZPjXWZsXcC6Qqq+4leatSYg
cnw/Aumu0UvM2oF5t5upTO2MdZU92KWyMuuH2jRBJRPfqeRLncFNFl9Me2F12amNbzUwHSCv3MwA
u8W1aM4wHLeyu6mmSHFWcb596sH9YuAI6Z3DFusCdO/43KQ7kckoae5tdw7ARvdZjq3aWhh546ju
TtbGRUAoMyyTQ5M5vrET5MvO4iaj8VTmvczQgQgZobCLpP242sSStGq7z1D///mJ/f11DiAH+bMl
0HvaLKb//Xxo5L9GuZZJCy+wiJuya4mU4Lx7/fOniN9f53wMCr1Jkchb/aeHwJeGRo5dKhQrlJBg
KEMN5ItcCj9S8X/hYYRoW2kvplQE33HvhzekUBivlSqvNpAVseGoNVCVv/xV/6iD/30bAy6yeVw4
ZTVIWtOf/Ut5gS+2s616itruqRxFSzsnIdnolN6JUFoAbgubhBRxuMtZXeOSKXeUs/s2NpYGMxEX
rbXmoQpoGPOYJZPVVjvGOkwXJUXP1oRytWg7RB2ppzEqihe6p2+thLBOgu5GMoqSDwGsfNQboqc+
DANwhquTlo7b247aD2MU86AO1phg1oaPHz8pV52ckVKE4ZRtvyDAQVJvoYzaQzmWaFc6eFFVwwyB
2JXAqx26VrtTkN8AojcKksJukV7MKxrgVtA/MVsAcRaWL5C8l0AFlxHp33JCjoxPJgkKjYrc5tQ2
1qlyaEvcntGzPLVSePX8Klj1ycsEANL6ah4VgEOmFFmdBOl4ZuYIa8IPDQclIpmFEOFOIgbOIOpT
7c+B7aMGGVZias1tQHa0HXOY5zMYigviJYD/khjeumtLk1aBJS0b90tlQNknbA07Pt+CaNyT65fB
vCbZrOa+6llx5uWr5vc81f4icHtHGnc6ShdFJ9O0PmEDEEu5AonF+diZaOlLll4KnPpkSmbREY3b
Ib7BMio2octEQFWXHqlKfZB8yqDYFXMvo1KRx/Ip4ySn6yRzivyIKTxTBQTsoX+BNHAsh5rVXJ1c
0qI/KWLgEkVTeHMC0NIy29uIHCd4SzEX6wyubC3ZV7jcMqxcWFn4muY5ka2HOq7f4gYhTxosyjZc
Qtn0G7DUXGMFL3mdNEe5PtZd7dgGejlqVnTtQfoCm26hNMQnJPlK8FOplrIKB7GI4UmQnwBjggBl
cY1LrHTT1IPLBM5Jx64NYu4vXcnvRxI2LgVPgIoC2zD+KfF+fbiglHsMQCbQIbK6XFeDT4OIee6G
MjnqhaH+7SXz2wcitFYUjACGBh9Ktn6st9oWIn+nolCqpLirFpJf6AclD+XzBGS4q6WrWRgAkspG
cyB5q9RSe2ZYQ6BsgzhqKZrkBAKH3Vl3QiaRygk9Lji+mM3/ZTmmwEX7rVSbXohIAJE8yuDMftS3
QMmHBJGyu5Anlmgwrkb/MS5JAuaWZ3wtRWy4Gyce01tjNMncMBnZa/pdYf5ads026PZElmehNrNq
QKmGenJdTp/8Kx5fEXUCiVYXukzukUaWcaCgNOT0RPhCDtmgPQiULXFERRghYGbd1ObkFXknsgHh
23SVzVYYGzB4WDN7DniwyiLfZbLGlN+FbUj8BQMUCZWIprz4fkwoasht+B0xzh48FLxmePLJhk14
sKnE7Zh1n3vtAus8ykTFRityX3kzMfREeZdNVsVoUaALcCNgaXq3hzpdZPWSeJy5KXYNOAErfmyK
pZrxYJFvpvW08C8J96vIr6p2S8F/GLqP4s1pBSN3SLUBmpBqabGcGHVC2R6wXNfFPUXToZrXWCGM
3njrohqYw3OsvBUd5IECjL3KvoFdmvpoVDAtDX5jcbW7j1BzLH3RZFCC7VULZcWrXmLvEkwpPckU
VgbNrQayeHPZngTFrc4/A/hsuZqstAhkz0svmG5qn0P+qvQyqKWWsCvi93iq+YrgzOLsI6uYC3bA
ulkItrvY3Bc1gRhmttSyjRxuTUQ03gTESbWln064bvIN1nL9XoNIKBtKZ6KDZfaHHdH2+oUJiMje
1PpV0o4FeSVBJ5GN8OVm48JEr8NY2GQ6DaZvhv+Eada6MUgbhSaBERAe8WXsuuMoT9GT8J+gxjaw
0bUpTF22NqH9XoFP5c3EkBG1I3tAW3oUhvLYIAmyQLJkiklaGltMnSSdYY4MZt5rNzz28xE4byTz
DkNnAwnxMIrvIkgO5G6wvsF3zz1FishBqckl1sAnoUYWfrRTRyCagmO2APEOqEUCNIr19yb6ZNPp
FW7pfUYEO/35DNm43DLOBH/sKU8VhaOJIEipD80klXkj8B0usZZyaGSkiz9mMmExRsjIfDvQgACn
i2z+OUcYf5rvI6yzsTVBPCjYwkrrMXk3W/ZiESB3xJsQ0I1ornbfar/39I+g36bZRbgcSA5W97nu
j0ucWapPlDMsc0DdWYkVxUSPahCFmuxlzjgkOlridFUw1xDu9HW4tKWPtH4RPNfIyrAW8Fk0D+23
3KsLVkv/bFzQlsRovYx3G4evepaoE60BNzcrBYtl2iB9SmLdKGQAXKMK2hFGeP0yiNU4boz8KRIn
xBAz1UA/uJOm101x6+VnExVk6x31Ad1bPJ5c79OllFH1igwsVGtudVa5kSUVpavLFpeNINglB14p
j+Vn7pKI08mON1497W2QIFMFL7HLr9Bz76lkrwj1PKhQU8g9l18H71aJ6jk36rPJkDtXxq0Xvoo8
d3J/i1yOUEtbEKXZNt++wAlslRNfTIt2ihsd2oxighr6ixs4RhMmsabN4DYnykEhrmPU1KtlvvgQ
W7QacdpmLC6o3rlWjsj2dUCG8cZubkO29qKDGNN5VO2NrJunEqQWj+IduEiA46/mJTPn8O0QvZEy
rb3D2a1jeV1mZOUo+z5am82mBD5mIlMjVpgbqNbe5frD8zsyPDYdmTYJCKmQ/33Uvo0hP2LZkuKB
ujTgrcfmYZf3Dxqrp0x66JUMm/dHHFwDQfaGdzBZRwlH+Oc6AynYnjBlkaBA9IZCkWTM4NXN7WBR
lZ9lRxymB7/iYEUfQ7S1xTGLjwKeNZvt1l4XVULVMG2BozktxUKyDna7jX1UtpeM6GS7Ozb4SVrS
qIV7UIKN3X31/bY0HTV607K3aDiYBGMx0c3JcNCeR24ygxxNchHY5PuDth48ZAPdMwvEJr3WsTYl
G+tLveKFhQauDhVYvO9TVmQXPvqwaY2INsrcqNJLB/HJp3AUfKMoAyKtkbWTLmsszjlkTHi/W4TA
LQJzbSiAQ7/iA2cPDuDfW4TwbklXMznZLuEkh2s5h4Jxqcc7m8JvGMheYO2QoO8zen/JyVN7eD3R
MAzFImwbRv5nzfroWJYGkFwVVAL9ElsIZNsM8R9yqhYG9N0L7oH0LbGdC5PnwT6lxVnnXVo+Btwr
01MKc01UbDXYX89imSS/j9Z2Kvuojogr4VGbGSjCYWaRRSn3+zD4ZpZfCCcr4FsWPKVQaqjBhmNC
2GIwTG9HxGnrIfQXieq4obtsFX6cRn+DPjyLgi8V4j65BFDulBQEkgq4goCB3tuowxfa7t1Yp5fQ
I3ZehN2T4OYTQMISVDEc5ChDYqNaeuVG+MBrAe+zWxjzjRF1gOXqvcKreBJGVB4LyclzrkR7V1qU
CboKVv3+ZxM/JmDQ/E83d7nK56BHta8/offZpUX8FJGYYE/ZVi1JC8azNzyExWPKoLC+RNHrgHdb
8UZQgP4s0t0VstURLgYDnHkOQq9kfSbk12QY1yxGOIiVJS6rZa3w78re8oQcy1he5rzE6N7BSBBf
jYknkLIc1eIUVRC8IPVFXM+stCMIlVFbCbFdbwj7hWYU+N1exNUurhy53ZCaqtoXt/uUitERZTgv
B+toJFP0mQevvjpFfspXvfYtGAZGE3L/EVtHJXirfW6z5jbqfIfwrZXfKj9fFQ0ZEqSoqIZ/HUW2
rAuEP8JGgHvVrdfOJ/9a5lKjFr4Kfd5Iq0g5hzkqu0WGbO5YkprMDqda8ehL9hoAeakzQjhXqBdM
guqhbL9F+U215lKOYmhBmpipoBsmWGxAVkmUq1hCaehIM373i6fK/BykeQD9Wp9Hyo4H3JOOhcur
ZuGJFVHKEPL2Qc2efR9yV+bjpkPFCdhbj1FKvMjGXkE9674BhEujPWBhHiEfRIVVPTcYNYHymVfA
ELg80PvP0Nir2T0g0FcGGIGw76xS/ZjvQ/oQRyedUGg21dWqkp4CrPs1oZOzLDkr2s0Qd6DYPBoU
guyX3Wg9dX6jAi1/bxUbzXJkYNBJv4y1u88zIt9A43dk5UIczK6B+V4OToU4AwKBkqwG5CnqlvRM
LzAnQ0iGPiRbhj5ZA2ROx2A3oO+/xEixSvMyID7CNE2LrCwKEg3hk8Gnj2b5oC+66kktF0Xg5ERe
msqxc5/VZu0WRwQManeO0LaO54ruOCFAQZ535MMbX4p6j2N23TOS2lz9iztbZUGmsmrmVVbTiinp
wjCeVSMhkfIBfyFWRKUC13GQLOLGMQSdiNDNbnwkorWcV3EHzAPNrfUg59zfOvvKhV0stXQlklWt
H6z+Zttg3Q+QznGSIJke6yMyLpcSYfIaIAwbN5G/7jRM7c+NsqENTFm/d+jAvv1g6TZvNNKzEs2a
Zd/ZiqB/uNfu1kt2ekVQHICTTRCu4RjykqhARNaH8mzmBx6kId9X1AjlVlL4hIVfUfrsomrL3FeV
7sbo8IKWnsMIdbD06XZLfTy65as83NnyGyjb1T3iYKN/YMvs6sc22piIsaNthbRjvFQya+d3hOYU
Cv1rNz4I9aYG2ymNOd3l8etISh7WpK+GOynzDyQuAYQux4to72h2BsthcZy3lyrcWkKCgz+vNIfI
5rBeuThS/Jdosvk4A5WMqgOqWUfFEjnQCGrz2Wsfs7ie2/JOqXrCc55gF3NMdkSgELepQ9I85jUq
nf04cSWRKq0s9gvsZBA4c6W67dAtONl9cg5UA+XKi23tY3evqQ7+78Kix9cJSljUkZ8stGikPY+A
xtT2Mw94h4ov8nasM4xm7fEMGLycklVPRB60GH9viBeTGAZE7mwSrJtXPFjBiu25LDb5QEjRUkIf
km5l5dKmM6wtRKPOBmVtcvSOyzqfNY/aNBdaDgH0y2ijKNQCEY6DGn/TJenamZ0ticEzXWVuEW/D
WyUmoKOfR5SAbX5EPkgwXpvsXOY2rFIGsPXzoXTCdKZbR5SMAydhAjdFTI3cs0VcILklff8gj2sE
crlCfTBL8KUwjgpsfttHNyuWOv1VtqDcM4jXi+uLkq4DHSvR3oP6LG1TIlf5TSqNwQHX901if1Hb
77X6FKZzu9ohPcrse5/9kwmhxAgK1n7D5XIm26LW7oXbwEwmap1kvycTbG1Le0YK3IklfKGFSLFM
hESztt/xLmeYPJW3snRBbWEZh7x4zNKDSlscH13McHb0iVeXh3cZws3LpwaEhMJjIZ0p+n0wHe7a
jo+gBEKeIelG/ksNK1p07GO9fWgtQzxIdfeMhQKrE/TnFdoKP4XQujIaguHMUcJ6WEnLQn9uiSQc
lrq/RN/haTz/jKXnUyMOyVzqdqi5aeeT0kl4fLm0of8lFw8MCKvkSSkxwk3aw6q+GOikI2J4lzwB
lBYdU1WD/3BzFPXWaoAkLsDU+1R/0H9wkhC1vSHjQrVR+qxhm+rWknrJTTaF+6x73EpLiIo54QTI
wOW9J9YqSSw5ClN0bTOlXfofpXrM5IEJ07yJPst7R6eLq/eMYbA3USNhcd711gaHSMkgAm1MvO2q
ZV8+pfGnTT4DjUZPLMDKt7ec4wzx5uQKG8NFAyBMWPjwggJQWPM0eEH9JaXMNjey6gT2Y08Co7LX
uzeSrAwsqgLhD/ZDRou8sJLo0NGwosgxlJthU/cTLrIlXKCVXoW214NHLXvg5EiCTcgX4uwoqY/f
1ZGMMBKsmk0unargpBcXxiAMF4Zh1eOiolYr5yVFkdnM/eYhwDVtGdsQaUs1T8yDWW5z82DZDLHN
XZq86NFKcIKRwiqoe9e1tbGIuGzkU9mvKcq0aKtzjI9IEVHfVvE80wjnPWvGRx3y5j5bCrlq6NjQ
WmlI85Y93MIgeS/tpw535LhOEhhoK1d7afsHDJxKfxliEuw2Ftks6FYEcTD1rExfGWRU3RbSMBdf
K45ShO65+8hgg1J79+9xso+Hu0jf8uAzGF6pxHHPZdPNi/dxW8b4SJovnEm5tnFlR1Qng/+frq+G
cqsVz92wkJX3hBljiPGsesIghzolM5zQ2qFKnMIH3c0IzMa0mbut0IdiBysZHbc2pcur691N+vPx
RRcPLplMgudlE8QF8hGKvXcXyxptB5gyicBM6CJOL72qFnPeFX+Rnb9Uxq41ribyOP8Da+aUyKDO
/XpdiqOprDp+HuDLMiYDWuytzj9tjqO6UPo1rUj5Xvrk7601MMRICh+G8UQ+LrHhDdYGAsfk7qHW
r4m5IiUNlxmBJis7e2sRktvOkBxt/RUPNcVPbR5L8ZIZB6U6yiPTC8yZ3o1bPSWEgLdMitMrTa+J
vpJ7+JqIekFZQRRgxf+kMjRCiYfe9BW/ge8fO30h4mzBVptRyHrSn9kJKYdCc4C/SzCmU5RvWUlD
itIxX4/ce2Bwh3ZuuKgVT5287fgQE+Y8Kzm7u+PaTPrHyF5p7ZOn71LzvZEf1X5nZm9dHUHF6Jgw
o4dat/1JYwYuB4+Z8c37gLJdbVemQszR8NDQr5vyyTAoLV7kttjqPVBdMSAaPQHl7fpHRdor9kJS
6rn07HVUJI4nHqv6PfEefCp/xX0qkge4JrryVGvzsV/prNtsZTao9wp5bqKrRHFyY1ZH3v4kfDAa
cvPHqvkKhwfJ2CBw8rRNPe46qHAcCVV3JU7Q7nZaeOjHl5G4okxbNQr54hjdcoO4n02tU02QaFVx
L+ERACy+VtptIa6tcs/C9ZiKhReiEl+5dLop80jy11njcEUK3WnxfTI+qgjxgGRhmZ+87r10VzHy
h13a1F9xeMVAiKWBjUZTH9wRF9AmNxxFXoex49a7vn8cozORijHxd3l49PIPbdwkpMg2/nvTfwtW
PXIxz8U+L270HwwlqhrdN640zgLdAVgaW3s12CXg0TCTKusEliGO2OJgQ8/NXbrrk6wDJJx3+rEG
a0GiZ77v4gt20ZqtSmmyXWQGiLCuvFp4p8JVl2HCW/QR8SsMexnerKQgmufZqQ62PkksrAPZEUgI
vLiv6FOqdYCW3+Uvxjx+aA3wT9jxZPKEt2Zz9FROIChEGyPAbn2L+zNfySRqkbFhWb2E+meQcIQs
4EKLdmeJe+VdOoYiA0I8Gv24WWXFJUlW4Bdnff4dIkI2pbWHwbgrtiNJceGdvoFGeMR75e+q7Gw1
Z8/bZqiqZdpnbWG1i4IBb/qUqcU0HVqYxDi1xBppEZQuUnmeC25+1JnGrrTwSJwo6kNogOZmrOD6
kjVMB0oFlGzlHKbs0q9xbQ6bviGXkOyt10InCGOblDebexFF//Rr1Uj4EeXICpfu0DTPndc/jGhi
YRqqDIIpgeIED9PT5HtnYKjeamPLkTmlV0OPrBFpU9txi56sfO0Ha1bKXAxPdtRqpxsbSf8aMbVx
u3szL94S0ZcOOwMhLqaIdMdyqkx5g74j05WqGeOZiV3aVwNabAqepZ2gYEUNpF/UmFK52+PQr71z
Tlq1wI668UlWtlZ+udGyXa06qc+7hBuyy6cN2swqMZmAC8CREFkHvKxaQb0TPyJhjloUzsZ3kGWU
p3QNG0naa1oxBxapWIdSbAina7uVnJ4Y0OQclA1vplTdsRUvK/Uesr6UkQC4eAByDvNHYoOTbOOp
IMxHGuZT4F389pzoW5DSoBdfaomXNHACxqBW5yCLZ1uHepZ4kqNV7Yl37nHa4awkXLall8rPLjVo
uwibbWwSiof+HUwyMaO9OvP0hyaqwdaiMl9OsbHMYbrwf9Sdx3bcWJqtXyVXji+q4U2vrhqQ4S0Z
tOLkLEqi4HFgDuxr3Ue4L9YforIqU8ruUvfwDlLJYESAYYBj/n/vbz9kqIp7Kq2lf9RzduofXcvj
PvnsYwv1VLQtA0p4U+n7XDBsMNkAdQxRvhVQ02s4/0H0TTeexHSy9de0N9DB4pPwo0VIy1/G0dII
W6JkH9r4wWg9Zk42LMlHW8HuDuUpa7tTRIkCmtqaU2JKARWTuOxVC9M4Wum9qL55hI6MT6N1rsOL
RMFCbEH1zGmt++9hu3PmLTxwDnbF4WfFZjd0GeHakpU3jR6NaUu8hM2dbl4G59Uy71sV3pbUVwq2
flrDYDmdSR7p21URv4XU4AT2E6t7EjBq+/hVVccEwal6SA1k5d+Ud1HFsaAAaPbvg/tB0eQ6ySE5
JGedWUaQzqMjuKqXunwM62PWfK2Cd4YHGH4rQ1CnZJT1wydqR9bEHyvgux0b65HQhynZx+NHmXzW
jENSk4dVstXxYOA4TPiUhEB0swDFL2V8sMiAg7jwzG8J4NiMaEYaDkQ659Eb+V7L1D4bqFKiNt8M
zofsxHvV4NJiXpTjVnejUyptsPK73qTUmjGH6GGDIYSVTBzk3dNgGYA4+64JPkXjyA4oN3CF6ar9
7Mb0YBc1AquDEYWgcUzA7ZEbE4kLJaijQBvGT47fEtAMf3/vGKFeEj0zWfUyTrTxzlImO6SkAZYd
Wcabcggm0ens+sFE1sLElT4Ze7vE3DC+NayV52ZeIQTXXDp++JM+bBpP85GRe2fRigcPgi9idm8k
rK3u1yidgHwb0aNp9uSRBsMC4D21Q1JpzVgZtyl9LrrrBKObGPK6dh+g343br1LoDw3jSZSygfEI
hf0gbuY2VyYa7xoaiM++nvlN1LvG6HbAQW/6vnqxcNfgkbz9PyRoYuX2kAMZDnhXUpGdZXc/Ne8B
BKqf6WqvsUrfiTbgUCKtcq4qtxkv8L1oo+gkXvs+tpaOVOG9nuHfDWPZbOPBTc5xW/SLLpHgvAdK
wiJgtWfZNSliMmvNdVu09NvGiO06Us9+UaWWvQkGX75OcevspamSZ8+MihcnzmD2S5nhvLN1bP5j
j4WJjpxrXEryY251Wx/2g9Wri5az/ZVt4ZS4uxS1Xa1lf595wKja1O72ZdlOe19W5VMUyfaYtQqd
VOnUd4oQtg9I9JNYYMtjWveLin2dlesbX1NkzEFnKO+btgyoyGXFVzHW+U8kMH8Sq6FNpItGyJML
TYFe/fefpVUEVmcn+BsbIfILEP4ZMTuOF8ct7bsAB89RGzTt6090N7MK8PtvcCYQkTPvQ12cv8vv
/yry0ipWSMuWKo/EiUBw7YssoJsuc9Q6lPCjmhWnRmkc/CYKL1N8sULHOP3rV/FntQCpN7ptIUfy
0LP/CKnQckc1suQ0Ml2hHeuRYkmitAtYqug8VtL4ibz4v/5znq/PqkDLdH6QGpVl5THmTsbSVoRq
iSze9W48LF0dPGFnaD+RdV3Fyj98xKZu+HDgHFQRlvuDEDPzCK9zE/b+QT90b5WqZ8eO4dWvji/J
W+wb2la5HEQPO0ZjkeQNCmM7sYhdy1KmMLdFEtRfnKDgCsPZhLPG7WjTFFUZ34b0QlYW0J9L7Y6k
3RhtpM6jhVe0rnPceR11ARc/NW1CoWOTyuPPU+2Fq4iADOolqAUw+RXLxmlnIKLPEbwsaQvcoLkF
42Fi/O1V8EzXQ6U/ES5eRSc/fi4uohREzIBVoYR8f+o1rhthIQvdZTzlKNEUeO7ZLDhaX3s/bO6N
HnzkTTWiHKhzh807vQymmYa+ZdCM7FTJOhL4OsPh1u1MYP9GmlWf7W7eWshEzsskrWG+QFWW7UJp
5PdGaZUpi/nINskyhib2E6KU8b1s3QfxxH+Og3scayIivh8E+Z5fJmYwAm5zwcsgc/Ksp4GXswli
CQ4gt/wny1PZsoJXfWsFJfcSeXRXWbVz/68vqB80639/JR5WdqRUpm6jt/3+sy300cs7G7lzHbdU
ypq4GFZyohFRxNAyhoglObDulJ7STO8tunBbOxrUdNi+VJY6NI+ypVVH8eYnavrvr73fXhhyaN1C
NI7L/ocXZoQG+aBVR/1bxO2TSwIbRTOZGOQbS9pPSgu8n4yr1vdS7OufRLXG2OJ4huv/iUuaabHR
2HkRsHdFJm9GMSZNMWgH6YZoD4QTnBElK5KGJCu3GC7Y7QRs/tBVwrxPK1R1BbKjtVcpD0spfjdH
DuNKS8D1BLpPuaipx3VnWxWx9jiso5QZ19X8/lxEJhnSvt3sm77DZhelCNyUp7GjpMPKRUug5OzS
MvtJe+wLu3orAaEeZFN9NHDfqHjMX8tIgghnd/aTMRCt53cjv0+SvAcRaA5cQG3pIlb+/hRJlNfj
mTHd5dDVMYtgm1Vi1fin0nKKpVeQblMlQbyUY1qHt31GkHbeIuiyGpwzN0Oe4KPMDCtrYFnRyzFS
32IRTEzn01Q25fPousNX4Sj90HqWtvKGnupryQR0qvKKPQPmDQrMgQeULM7qsxo9a2+ozqQQQTiK
r4OwjahEr8h5709MYe0nNncBmkPZ7PyQnY+dJsam0ljB5amZsg8hksSbMqpr2kQ50tUJPJ+fskhH
vd72I0v0MG/UsjJr7S3M+2JZhnVwDFIJ36Gl39XpQ7Oth858NbRcbMcubZ7sIUyfvWJIn4LSEyvT
i0tkfkJk8uSFXUZ4RJhsPZmJXaQbqbEJAnjKS8+pB52hW/iIRkbhkUY4jnduVSlOAhZKG2X7dbWK
exgqgnf+0ttReyxVCxepCP3poHoH7Y6p+RQpYqVOmU7aeRx7DH+GBwFxnQ4gjqamtWwkhphVt/Y4
hcdMRPR56mlmz3eJ81oPX6zIrLcZIkxnpNrA3jzbj7XJtqgv0Ev5jVmbtwJG/nM7BtgIdc9MlkVl
UIrOzVkNKgcc40MLL5crZaxoiMtIP8ku0Onc5dmy9wV1MwRDALQafSB0PbRwg1GLCaeEMneV7qvE
YrGWxeNKwXaD1pz2G0Ax7bYyI/9SZ/DSZIgn2vEHZ9f4I3wgFfTsNMK5q8RcRzKQ5y8xIuZfy6zV
34SZEKaseWRfZzLpARVEztobBvyrrOMJ0UnnmNhyUu1Za2LiVvsQpMpY1HQYO4j3Nzgw3GeH7M+n
MMv0OaB5NBU7FkMqvAi2/2KScuzdJlNkVGutCcRLnsQkMAzS+8lo+KcZg4vQ1XHNcfkFDuTUH2aM
uB07wt+oHul06Tu8rd7Ih6UlTkkQZ69gPQqUVO7omN96W9jPpWt7xU1IONpGeqJ/+NfTxo8j5fxq
fDjngc1IaRrmDysVMOd1mdagA9LQlI9dkjMROIxCNubccdoxzVTnGrfBue9bioJNJujg/euXYH2v
xpyHJV+3Hdd0DKwMvqX/qMZMNCcOcQMuC+Ev8fjutJh5QYNTl/U5OAr9fkqHdTq2tJ69tQymxQQH
SnhEsV+11HIZxDQ0MqgQdDnKBGYQ+cCw/eljAIlz3X2JXDGnM+DrBBBTiOjkySUKfqYmeijJWYpu
r+/p374M/x5+yLu/r2mav/0Ht7/IcqzjMFI/3PzbMf5Sy0Z+U/8xP+2fD/v+SX87lx/Fg6o/PtTx
vfzxkd89keP/9vcX7+r9uxvLQsVqvG8/6vHy0bSZuv4RXun8yP/pnb98XI/yOJYff/31C1smNR+N
zVvx6293bb/+9Vdz/nr+7Y/H/+3O03vO8x7ei19u67hR/+//fn7Pfhl/OcUf3UfzpyN8vDfqr79q
rvkXdpJsgFiY+67D2uXXX/qPf9wFfd3A7QjEmcWix2lTyFpFf/3V8P5iM69ff2v4HhuYhr3d3+/A
UGBArTUMm50VM9w/Xul339nv3+EvRZsTZ4Mfk7f2/XzpYMxwMdmxWjWQNJvmj5dqUsajEfuhjtZJ
wf6T6EmtwtJHTK8hApIhzdaRTzq2I2MDkYwjCS/1uwh5qN7OsBeLNWDaxvFTlJF+18pMW+iDkT7H
DE3oaiWqIxNjBX1gc6IT2ttBje7LUBmGHt0tEQxU5H/odv1hGwgy//C9/PZu//juruuu3xfj13eH
1ZIPFv61CcP5h8sO13UYFP0wLcqiEq+V9Jxzm8RU6Eu9/pqhjI5IlUFdjtHa2GqsKB4CP6eBotei
+GyX/rvsFbaE//2F8//bJTH7s/77K2LdvquP/D17/+M1MD/lt0vA9//C+QU6m8hX1qyMxP+8BALz
L6bJGhZLrA+lWHe/uwQwNbqckzrgXl2fl8D/uAisv0C45fF8xTbnCRFE/5uLwNOt75aNDip5j00b
+/R53iKH7IeCQdrnaWdNRbq2qwE6a2lUFGPVxor6ixZ8ywXZmmB+7U2uSfAQpIc2frbVkuKJ4CB/
KyqHslZLx6o+xW+FBv9OBehbs9MgyIcb84OW5p8hgj/42rz7a+NPHepX/4UCqXmDyI7VnkJyANM2
hYYrPRUuNYHLpCXiL9LJI4wU84Y3WDvp0qGwe38xDXuRPmOZ/8hy4ziaYhW19hLodLyQA+zQLqM1
WXWozmbcChhAasH2UxjKTRZywCBGlVvbUFOsDudrIR+ZjumoPCRtgOysbZCpc12ROjV9Lcpho4VP
BNd/kXRRSVjsF/qaOiObdo1kICUuPqiMG1g1MJjy7IVa5x51O+yHsl+jvHVumHk/jzG9lQb90BCQ
iWhTAyrn9Z4O28WuEHRfw7wtdPChJSloI+jyLW1fDfSD3RYklrIW8PE2lW9/1YoGuIsL46JOnMsI
BcAzqk+x7F5EQkupCoAljPq2baxTUETO2S7QTBgxy6FYzEIz/ZvuOPswRt+kejTmJ4QfE7xMYA9G
639tLRbFkOeGJOpRXMljoaN3ytxh39bPRo/AQE8Nir18AFUCL0b4IRaEDnREOVnVXeWg8Ul8LEy2
980w8cl60J9a5Lz4RuTGUKzaS5eM5raiWenrn2RbdjduY2uL1pxlwpmPfLRBS6VKqqNGgAtH80H2
6kVHXtDBHS2NHt8A4ThaUkQns5RqQQoNSCuC4Cnqm34hBSJ+8LbHITPR8DbVq3rsfHfuYQSvmR1N
bES6F1ZBe62ZcCrDTu7yRls5KDf7kHDu7DZJ1NatZxFbNZQrDD+XWC9PwB5xua/74quNoQkUzdBD
cwcCM8kowsEULEWJiyyJg01fAafFkTF5CK8zBPNu1x/IId9GomsWdeAcUhv7EquVh9aJsVvmYJkS
oz4NhX+2ojsEK0YjKSc3Z5Zvu8Z2lhJwSoXnw7Em5Gh+hqo/j06hTrDWtKqeHYHcXmo2BqbQRIE2
TO1tbbMr9zg7dYo9wCK+5rVaN3V0EW2yVZUwdsBI1pEd18vKSD7pgoJ4hQa8BmBVufHpwXFjmBuz
OaH11z5xRDedPWyEMoqdXWqrltK2j7XAVHtRq09hHh87mlq3ekJ7vMo3JEDwVEM7YzSjIabUNnH7
W7eB7pUmMzbWgu7J4ovMreQSK/ROHCpHOxPHmzKpP4loilB92kfsRsYaYyMZpuX0koPqpIGoE2eL
Yt5UGzc0ulupl5fcQN3h1n57a9VNcl8boY8/m2jPPnb2dYJhwhVOSJuvy1a9lqA6bkLiw3o3uRm0
vOek47ryieJEUegRU4mIy3ZggXg+YfPHVHXvxiQfyGHaerhohZd/yegEuU5XbthK7vzB+tpl+Hcy
Nh5jGrW3vkUvO4jbpdkG9GOZ+4vUjrdGB6DNRiIIPWPo1iFb2zIS0J3VWJ1ZQ69jM0K/N6etNjVC
eBbua78dzxQ4noVLU9TkYlu4SSkWgTDocgTtsmr6VThGFwJ+ofG22uwLtnc1PFfoRWzLxzw8SErS
S4z7sGLscQs5kxTkTNEFCdKPcfC/MA5hdgiJICMvkDVMaiCWHSMsyA04QycdFkMWIV7W2qVtT8Uy
R8XtT1BQQ4DKNwUovJi32Ep/OqJ5OqqGBB2HSLpTBDLEcO3+vowB3IG27rYt89EmHUvE5EKwo6Sk
rxjOW1sMn7oaQm0Zhtoda3trPZYxykw/fGiTYDpm2LDZMbkXDK3Oc5xODLpa+aH6YUW9lbOCAslN
31bfakek+3oGxHU0BsGpvAoZjHuZbthBZLfaYDZHLYSbVjCu33rKtfY9LLLHapZKY1fNtcn+KDzj
NLiFe2bJhDspwl3jgAJ/YZ40bwZLTyEaAdIcW7FwDQvCf+uY6JlR+vluu5pKtz7wOdOXbOpF0aL4
dvORPlKTx5fQIqxakgrrJE696fR6XFF3RtBnOSNaYrSLzZA9NvEQfAw9cTcmEN3eLy9pVJsLQYgb
rWnHOxIRxGAAPZFg9viQm/mhntJsV/rFY1x+i3z8HBJo1DR0dP91KFR6Yu47LnUti8iALYPlWJD+
GI/3U1eiYXAZWjHtwd/u125e7QbSwW4GnBW9huFIPxZ4PSyhQCCayRxfOOM8YfK1nDWy5jOqVIWF
yXDOcR48hCibndrMl2FrUZNAPHcWSbGLtPxeG7tL05n2Ik/glEVWSCC4jw4zFeWuTJ0H9gzNfpjo
o5cJKdlWYVr7EWvlhmr4cIAgcuMIES0S0qqfU8ZNOh76S+UCHja8cHwLyDdWhnyj/4bGllrQrRgR
5pnQwJ9MHzj0UFntomzNNxsc0wWT54MyFD6FrH+3ZngCbqX4NDXBuBlDStCZ5c/+Mn98yPzwGQDl
Xcd1fnQqy99k6Sz5gigZgmBqIqZ1bdLEji5ZvIqm8AQ16lDScTomigAib0w2wZjQEi8knfYgGNfM
WeBRNa9GcoQEsMMwTodmWlSRWHcysraVzJ8Hi2jGLOIM0dzhU931LNfaiXGxPGPLCU9mgP7NdZr3
iODVvR/DcfSNWF9JBPhRFaaPVgAqIWy65pQpFO5YArqtCq3pJjABAnsSV6/WWl+0uBzuWIjxJqLi
zvXG0zDF30idevEgIm1jv15pnd8dLZXsKWd6i04349ca9xD90ULd2JaDkF5Eyb2p0Fc6wzS8FyNB
4Hqn9bTc0/BgMKswzjsX6O/qqGe9c9fGz6oZ+5Xbz6issk4PUcOEk9VhjFA+fuTaabYhwSmbMKne
WDXaB7Y4Frgv42uQJdswTf2dogEJSnINK8npmGD5rFGe2jElIU2svTE6Fbb+HpfRCXaRjuYzfcxq
d9UYODr0ILmjo4elQ0THGrjIEirKzouphI05LCMHrXns7oPUWJdBxHniL8JoWDt1+aQ79bm0zB3l
02IFfW9ZBM4qCV9ZkyCYLlhTDbxu0IwoX7Xb0a0+y8peeq64LTMXWRNUAPxlAO7EFLA08s+Da57j
yAdjaH/ODa4azSytpT5L6jr4zmbpIH6oUI0oM8drVD+0onmkHbhJCTJIOmODz0Pd6uOJzQVgBPZ1
g1dDbk64Khr4qZOUn7IiQYVFnxSxjP4Yt/Kjd0BmK6sC79DhKanG9mBSuSRkWTxPtYtQWuSHQRVq
HUePBHj0CMj4J5BGiGFftRmXWIJU5vdfXn8kLrsXVG946B9+/Puz6onXaFrm+k/3/Ph4KSgj3ZgW
ZIvJ/3q99++/KnP13YH/8Nvro+ox8bYGgy7WpIaiEf8kQdTsrjevP00AF//wux8eEkcEY0Cw5Sm/
P+/6mOsRJtJNYM/9d4f9H93dG7JapQ2sMxbn+a6jvbNLJ8l4q+Yfr7d/v+f6O8SE5J0I6Gy+l0I1
rtCn//O515+uv2szO9jmKLrpqIDvCwq1DJzky/WI13+k2ZEJdP3RzXsew5BMUy4bkJTbgs4mXvCv
VV1WSxoCxU51odz5ThvChjPfwj4st904/fYS2/lVXA8lAvelqzrQliMXn+yNfBfkQ767/kQBkJ9E
iH9GWgIHlWXsrv/YRRDjQQFUPf+pvBYCinmL2WL+o5rs+FDmOzQqyaQQwALQh7rcRU0xrx28EhG4
E8TlLqxcubv+dL3fhLOaAXfjl9fbXuv0m9Zn2p0f/IdDXG//4Ti/3y+badg2SUbghdsxO7V2uWvJ
Tt4leGzMKSzWRGMBEk3nD0D5RgQ2tYR+MlboBiGI5bsauRKg0fnbvN6+/lRrIcbyKYPNMj/m+o9d
obmwGOUho8xfhw1zlxQRRIT5aHZYIhfXz+D6Tzx/Gr/fvH5M9E3NDOdDW6czxpgP7vrP9b7fb16f
ZMflb/eW0zwzXG9f77k+MDFGoLDGSbhkpIQRwT3a4N7mOOSCGtNr7qMzxjKe9JSOFC7PND/2lTjb
xnscGJti6g6Vy1dEecn0/HXYjBv2khuY+QTe0kDCaVUwv47FkQn8BOyKIcC4GG2zqQuyuhxzX8TP
XqovUj1Ye5rclfDkwam8kxqhmfs6Hje069YuiUJRrRCh1itlyzWF8HWt9ytsW1W6qgu2GmW3ZBg8
13Y1a5rC4hsW0VVuh1uq8Au0MAuBJbsM/XUXZvMXuR4jyDmpsfJYzxWA67OA3u+4yHiz9jKrx9uc
wHnkZNqwRgYjwmXUhndjob2iUPkEru6+g2Kqh6uYLS+F64PVeiAKmzUFBhKJ0Vzb+V4G5X7jJshX
k+ZOtSwErXqd6vbWyyHWG+xgChSPNvLPZt9b+GxFs6OEtJG2f3CbYeMqE5Y7QTb5+NgK+1MfR4ep
frcgvadhdDDM9MSEdp7jKR1n2HeNvXMRECSljYyzXxaefWhHtTHI5UTizEJ1WLUqRdQ8bwlOHRkK
9E0pZ170XltpSEJBu11gMj91ubz36RSVEfDKGWap4u6BdfAxxaIyvwF7eFbpUrrZZtKDQzt4W5n3
H2lmPLiW9VQH+rmI9TsTMwz5yTcJqIAkUhcK1vvCsr4OYbjVm3CfpS3/L86lTyctbm9dhdjZM+5a
gI4y2g6qAubLORk7fE2ksqDqX1o5FnpzWvnHobN2jsoOmaa2mWauS6+6FVW46dp+ISy181T5HLbD
Xk7J0tXJ/jHitenj8x7w9KOUS8yNjQNN4eSuguFemOUp1aed4Wc74mCOAd5SVLB7/wXCzVqyCihc
b6c5L1ExrhINM4cvjqhgVkr39lZjPaRug7iyXIMrgYJDJoWwjqP1pOHPin1zr0L9rkonKrQogmeb
kjKXKjZWxXsU97CgnWWtg97AKEd7BOQSFCMwNiN5IdpmssWudbyD4xfH2spgWppbXC/H1Edz5T2O
9ngWGAnd0FtbKeWGJn5ts+gF0aenM9QoEhZa29ynMDxLWR8q8Hy+96nQLAIVZ6K3XWGecgnW6KkF
EBsmvH3nNBvPnuWS3jZtn+3hszniFWkwhMfhOhrMVVQy+JACFYJWAApQVUgkCxJ44viLjK1TVzDd
+e5Wiae0JrOk97kMWGoO496Zq3sgZnuLCoW913vvkrTtMnW77ZSEb4PZnRyOQPlgx5EhWGVAFghU
H/qDoArI4uU2jYg4aPxdaicnbybuJOF9V+mrEqp1WW87G0EviT+Ogca1Vs966cO68y5Tae+SEHel
tHfKqwFaRg8t6IepL1hrbdAMLN2S0aoI14xQbErbO9IXT2nRv3vRt0kZ+4SECIN+NjGCfLRId6ki
TQhu2+7TnJxuQkQ2gB2UyuQI+nNsm58yc9josU7G0oThhaKeIS+ZLp6qaLyXifMS5MWnBIkxIHwc
l+OL3qVrypYwemhIw1moPdyBRbjJUMy1AyXHcCl8ddZA8KcwLzzxBdXBs5+rJ/YNG6MU6zT2d4Vx
gI+4pb1Ba3o8dl54EcrZNtRC7PpQgMu2+nRVZNY2daZdUDK6J/Zjqqk7M2dNCuVC8BHrxVPJ5iCl
AhM4053GRyxNziTNuPOwOQsj3BSluxi53jJADVkeHGNN3ZNNukRAdWNZyYIWyKkZ3LPbeReWr3fC
8J9RNj3aPu7QsNjISW1CzdgIDVV8qj06ZMnIKj9WWF5sM1pMwHBDpW3TnLAuS18JgUvAKtLjSITM
xdOjjVTRTmrDXRV1FEYNFB/hJS5wIxfmZsriRYuyPhcUJB1a5DFxDXAfp+GUcJ7Fhn9qRXxMevzH
vrPuYVJIJz72fbIfbfesacWTFSVUxTMbA8dewk0uEL1GF6t6jvtq0bhs9HBC6nq2ss1wg85go5Mb
UljBIRs+ASzYAGWrgLGVpr8WHbJ6U19dT3ErfR7j6JyVJBPAIic1i1Nya8qWUaZZul2yyMiBmfTx
aHAWiA7lbTItnOaT8KPHeMKL6EBpotEK5uYiwbdYUl/3jrtwtGarHkji2CQFWI+JcVNqt3kIUXAp
c7Xvm4e87fdw8C5VZB9derAyUJtUjrclxAnlNLvZ5z10uJkgh6dpvLPRXiRKvDqB/dUO01c38nai
Kbb6MOznVOsatj+1sssUy6eEimLq2yvdr44Fxj8TOcGj7qxj5MpBf+9/9uqnPj1XYgWa18HeWh6m
EJChequClUcsTMFlhBScJpplnovg4mC9aAzjLFv3kgbyvmqyx3gItxLgnFDmwkhOJLIEVrkJbXg6
yVxx7aKn0pcvsiQYKMdSDHDCAQHt+NreHJOjz3gyzro8ysJHGzqyLLwlCod1DzbHwe0A14Iq87SK
HMmZjPExNpe8Ys8u3/ypOIcVYuwsXhcpJURtZbrDVrCaEGtHyUPsYLrfFp67rBB4tBWIlPYCpJNp
iSUmjhLXwg9nXxB13E5+syhlSkSRvbbJayKOfBlpxQz/xWnlblydzoKzqGwqlxGjvgJ7Iu6y1FlD
qkCyu5UdFB8c+2GeQWOAy+d/JMHZVg5CCn1nE7nn1/6iKm/NcliK7HUcBBZ9HStUvUbdjOlx2FOY
HvORAXi67d3dIAqmAHNbtOOxrO1d1ZefGlG9s2vO7N2Aa9SJ9RucAqJB2zyP4eNyZEYTgVq5XbiL
CBUcK6b4SntnN7mMvXtSwjHwNtu2hHKM9SYbNpmBC5ksD8HSTUAkk3itqwz2PmQdHKf5GG7biMGu
RT9jlpDjCSwsPvthsQA8vsypnqNHWFhWCs60xr/eLwJfAAKb7syVBaaixAjb6HuPHo10xLYoeKGC
jXMoVyFmP6+5I8t6P0iaD+PwpU2mi6vJ7WQ8J2m9GyNjnbbjY+xOB9enMEsd003wJCf6PtJw8qFx
MCD2ZiFcpclb0f5dUgGjzHwSk32w1UuhyoNnhYxHGGOA52S5dWuzRRqpcgtt2EqmxhqkJpOQhw+o
qKhi1wLvvUMXBxe8OvfwVA1brrRo3NDFgEoJ7QbNk+niftYYvtOHIQcbqQlEbMUxq1h8Q9yh4PTU
2jVa9gLuPfmIkqs/epqkOiP1eR306MEXHvXOaEV3b0H88k3ZvoHWR1zYLxUbnop5EbaaJsbdjOAB
pEs4CytlRg70srCcjKca7rcOVdCbSv6w2MhXg1AYPG9gXry1a32jmrewSJaCwrEnAugSqXI1hcOB
A9JKCXc6QQ0MpWmRMn326yanJVjDk6HT0GFgxZU0gP3o0RSpgZ6Z66yiyLylhLPkLFtMhGY2wbTM
SaMFOQ494i6jlp+nmGhc3I148ggd3qd+v2pTzA9Kw0dELE1JwrDhsJSH+G7DmwvxKDMZQYWMm26t
hcT+KXj/xbS0kmFRAg2zPPeQDPHeVLSrinXXExuomlWn6yt98li9Rg/D0K/qnjmKyCyvT9YxOA3E
D3faU5awR/ENkIU6Zet23Tp0oCzW+IjtQfOSp0UwpbUg0klJ7UZ13XqydOJHUHoN1aLljRf4HHqI
ASahbRA2rcFaev7eabCzafoyxdqEFHJNL6yLnCXj8Y5K5Wqgv2Zj8nN5gaRa7oyekAEfeCghC8Fs
rDBWjWUcYntazW8btCyNB7nNdLXLP+I+X4nmLAKYsqYFbmJdoiS3vXqD6P8hMqLXGTkmSv1c+Swb
WNwShQ2kyL0tIaJVI/TUjrV6M6wGQy0zp+F9ZCtjfBw8rGPQR+OmvsEYsoRmeWghXomaN9F5C40m
Y+tlyxF0gh0cR5RfNutFg/FZ2NPZ00mZTOu1BdtLjM06cx7DYvgsxPSctsFOr+uXMr9r5+2Rbj1k
LOBbRV07IOVOH889WRaDS1LGYJ+lnZzD2L1zSTkqKg3kFRdQkhwl4lBnKBcI6Rnamz1i4TetSrbu
TUX9vDbgxThYgoYEP6S1puN8M4gOaA6LqMhdp/08jLkLKvybxNePmhtQ0yAeQ2OVRCSyzQiIhHSR
WHj6xmjFGoXE1r1Ry2VXxUenpOOLwXk0MFIa7lJW3boJmjVboAg6dmfW69JWm7JJdzAR10NgkpRE
2G4YrsMsXPvmwMbFvVAL2JD+w6wGwZyh2YrGR7uyV4RordosW7W6Q9LYLMl8E561TnF0pC4JOhkt
AazVDL+FdmwnmxivN9+0tj0T1tTaK0VcU4yXsMY025nWxs6QAhSYHEsqqPWwnL+8HJ+ZxALr4F0r
sVQFHNmbyzsdvL05xFC7C0tza8MiSskLKv+TuTNbjhvJ0vSrzAugDHAH4MAtYwGDuyRSKeoGplQq
se87nr4/sGq6GWB0xCivpq1NpS3l8P34Of/S6XvU1j2DSN8ffB+DQJI/aV3FmxKFTQRDJQkoClLF
TZRnsQ4php++/RAuP8ttbICdGmWssUiAgc1Zxt9/+yOgCEv5wdfmnZ3BkYsiuKGdCRsFxlkkvGlQ
3lv6Y5UN+Z/fO5VFifrwR4Mm6U5zELJMKNZv/bHBN71JvtfoQRws9E/+J7VSkZffJAEHpdWTSjKm
ElkPvAkbtCx6rVPevzNsZtOQlnlL3bhdeB8XBRpt/53zefv9HkTn3lY53hiFhhhZOVJWgqU6Zezr
unF4bGTDtwCwFeZHJQYYfWy/BLgIuFrVfwsL1zlgw91DzuyzT9Jqv2aFr5HYISSSpd78EZe3hG3+
3Two56rTouq28BEsy+y+/hZlGgszyNXN2y9DikdJaBtfq27M7psQiTryVvW3MHadrVWh4PL219oA
jSq0B8wSItEYdt2+1h95WBuP89C+ItrpbLXUSA7QQGPEEhMOC6pQ3xTU6al2DiGvwUeQktGLJoOt
Kq0ZhRNR7LCVUwc0VaFv87aopYb4XpMSr9jRFuSlf+jBIAOA96O7Mu5BA3dYzeZ5+pQG5Z9RPlC/
mV02RTaEnszMkSvuwbJA1JNtTDyDLAUmdbgP08NPxkKxHiy5q0kRCNvYJ+OoPcup/SWGqbkPjUJs
MyuDC+r7r6mCPBvX8VfQwfp1kRrz7Zj1CD0asMJ9nqstukSt8O860yROhdVp028OPosEZ2iQGk1+
JtPXHjBW4FKrujMWSMqi2VIFdxMs4cbro0MP+Hrwct47S6Z00xewximePjoOWAQE/iwK3PtpuLPy
lNRVgOsjHjwkP8rFjkXj6sFEM3KFF5S5NxTiy2xPe13pN67eUr+k3xCl9WJ+SsqcVNl0mOr7HkRG
Wse3M8zgfIHlxPPO7NoDDLJ9C/ogt6j6IVK+HFdlVd2k8afUR3QRcRAzHQ5dmm/TnrXganugdQgR
dAdDA//szhvo4Du9vm5wC5lFgwg+4Qpg7JHnWp7vUur/wYycoJJoXITXGpmbCETxrNdYK/sbkrWk
AqfrrG889cvmNU5tBfnGrz77G2bSk2OiGTAXO4UMsk/xtoC2b0fTNq8RPkN/NtSiwwhqvSux/Q2+
m+14LQElL8yA68Rw4VdQCc72DdqOySb/Drivxekr/i7lE0kO6zXzXxPK89D2oXtP3Kr6wa7kpptu
A8TMQJxsBwGVrXwxxG0p730X8VhwsdNupB4LQRx1YDMjyYbMEpKLz+hfx+FzbT/xLQxDk7yM7jdR
P3MhVgQsA0k0VJum7ku7WFQZ3+JoQbBYOydA285W+3YqrvzpLyqsmxSrKWH+4GfGC7F0CuRfQ5Th
RVg3oL9xQfjDYl/dREV4Xc7N7aQ7dwhKb2WBEFxnY+C6LeERINxIpI4p69jiG2X+OToTEhXt3zyo
EL11jDtU9F/Sh0E6d5apeUn5OIwxgO/2GzES+RVSjNB9GtAVjf/SGo8ld0yLzomqnyZgQS1mn2b2
vcTDNb22FiGC4lvBYC5hPqapDKrcK03wCjQzNqTctPCi2xhGBtUrkGa1ohX0W3daCnM97j4lxkyF
Vd7b2bcAE2sO/ydTfdeJVYoebaWGlwHqRlCJOl6hEiucPFLPziQOWVDfOhDkHRtDzRwOeaiu+xiI
WYghVUFW1jEPi6WvPmUEcPIe1CVcW8mDO91BxPPSWf8UCJRUmtvCdL15Uchg+XdVcnAz94+4Nki6
jrfR2N6HxXRdb4TTbm2MDF3sBBVSRxC9onLLMZOY1zEhH0ZTIeo/aKJTH5l5XUdXzfyl7/4shTdD
Xq6/9hymsP/Z2obwUomWujMgMvR3qD+D9gjwmy0flPbgoyM4Zw+pjUjBVfQT9cLhS7ko4OxMrM4R
sJa3CAoh/I4mXeS8OvFrn/yK2R8NBOsS90VpWY8o721zpDEjXhxTSmpmcJNDT/w9Gf3zRIwet+km
7V5kP9xEDRtX92Gu9/u+FVRJULIPUGiZ7zuBlJON+g0yJpq/b6LIW1INmml9y3JtBxsEhIb90Jfd
znq1qiujnjnDACZp6EDZ9wEKpP6AnpkqHt2o+nEzmPoLdLzvoDGpjzYPpZofZKLfFaZ+S7Ym57bo
u/pLjciQHDSP58f9iN9INRLbYfxUJxarOX7owDL04BGo++NIhGNlVO4753Ma33ewSIumfzKpxPfq
pZxQjZTuc2e3wZbDcSGTup8dOTQ3SvUjR5il/0BhyG6c7NrUuolHnhi2KSy4u6wjtZzZs0kkoNKf
rrrLnCj60y2dgUuDvzDg6JmNhYnItx1uOYZJtqb37myLn4ZG6DK4Gsa5YY2dUxHbgBZU+M1J3Ju3
v2FXwHFq1yy/FCN7xSn1cDOYqYL5AxhLiaC8SXuldi1VOp7ocPv7xlfPlSP0B+lOX+whekiFtD+7
dQOzEpQ35fmyei1a+DSQGJ9Jlqf3ga5z7vSyek3SDk3IHILn3IgAJ3bd6ydVvoYtklo24lsqdX7m
URp8DlpL+0Ti1t5l+aGYQlDYuZZ+qeM8/RI1t/oYVp/ffsfSZbsbAYXv3v4s7VGwKtPgSedG8Q1V
3SDw6N7nIuVZsPyMh5p739gaMg2a9YMK1J8dYTlC+HOMdk7+9qMOZOm2mVTkxU707GiAwK78OkEu
b/nh7WeBljxIq3KvOw0UNbd5/3c9BVQnY1ve2AZSRWaJFEQhi19lThJu0jXgplLclcsPbz+bCh8J
1QA1GwvrP97+OAY2bQ0js67BhkTuPeuCzILZTzcEuRxlc4vSruPjmVim2UhlgGJBM06fVRcgN0Xh
H3vloX7O/aDnokHoaPnV228RAB76eKwf4/i2jMvmeZQKp+IonA5vvxSa4e6zEcHdt1+WUfv8+8ju
5yLj/9cshyN2xP8ba8L7VSx8g2b9T/3/SJgAtP2/o8PvfjT/5+pH+CP7ccyR4D/6Dz5ciX9BDRem
Y7m2gRmRDkvhPxQJR/+XdBfSjgQ4JhzMbv6bIiHUv9h1ru2AZVv+m+WP/oMPF/q/XGTPwZq7ylEW
bjW/gw8HnQ5PdgqKfGGD4Owi2FkSkjOOSQsnY/nzdzrzVj00E1mR0nPDvthYcgAsV9vl/t2gnCAr
HDPl/28rUBMdCaxdiBVXQWSF20+uKL20ERit6mhCJ5qJaFmvo/2Q1xkpyuACt/dkz+DlLyz1hSa/
wOLf9QzI7jyTxC9xvOY+mOqG7JJOvHe+Z8YxHX/pmjBNA88rC6K4bTkrBpbtFmHkqKrwZg0FM9MQ
42s0ovEy68X0tbHC8SEg63Yzx+Zfo7Pke+DcXejpyjjo399gmQIaM14ksAZW3zAUs9t1bo8+6KyZ
6Fk3ZGi1uOg2qd9bX52odT5NgzDRVo0oEFdVtVOdPu6QcYQ4rlVquDAoH4ce3ybDFAuh2sYhZMU4
6F3NguyneGiQ0ztoqWZeaS42peeHfvlXjpbuYqUmdUPnf7hbjJX7ihbpuQ4+JSWAIsGA60xK/Rx5
D9zr6gsd+rB+2Z62kgbbET4TjLfjtWRaCyFAz0MPVnJ1m43t+EcrBYKHTpG/UAXR/jKCGj7C73ZQ
sCEtSXtAIY21JYNfoYzfF27gTZGpHnmJyU+q7dT3CCfwfxPejvhu79lEH8ZSuQ4jKBlSps4R0FHe
b5ZAqL4ykNRYCL7OTYj85C51pvi2TUlNn+/Vh8Xx1hS8Rc4u+OTWanH4pZtgejLA08RkD2lC87YB
Fvl4vpE19UunEf51w9ZZf+zRVSMx4cIg47IkZ46nQt2OiHbi4P2Y1S6iOlTTf/eAg5UtOAMsmDKG
stYHXMQR79oToIHCGZ6AsN3xCiD5iQVSNmo/rTEvr8538MQoMng0Cb3HYdpWW56H7jDnNsJXmWNj
zj3F/jaX4SWrqtOtuCRNbRP+9dqpSnW5yGypSg9RCxdt4a7ZGRhx/f6KgOzvusaiJAKLYrW7FCZv
lkrRKxrqyt9N8fDnaKjmQiNvx8HRcUELnBOKO5iDmp8fL3G/Ba3GqqQvpqTShbboRhgzuo5UfTJj
su8cP06uK4ENhUhx2KpEHuyKAdPu3585drNhLQtFt9Xq2BJ5n1rCZ+YGWPfUfl25n3H+urAgjRM7
2oVHtiwNk6tBrpqJqsR2GoPuur5bbp0WvnQc9jtKZV+mrH8O0SK5iqREThUl/6iCg2R8HwNAI0GN
jnVhkCR0g/rCV51aT4rDzCYd6egw4o7nwMQvy7co6HmT7J41X2h7s5ouBRunGkEmgYOaVavDrztu
RFIgsfWaRsqSoo2moUOMDWpwYT2dGt9FqcLEmwctcnvVlaZxkiKGPOT5ID2uAfhGzwmn2s3YqPgC
59zhg9cr18Fri0SjjgSJverQxGTwnO1KgOLUsvzcyXZQaHEoF4igQ70CJ59Rha31qbzQyY+bxtF1
g1WKLxCiJPZC4n1/L/h24MdLHtezh6Z/jTsLM6aGh0nZNeVWIk1y25HF+NWwgu/hGaY3qQkaCA5O
dGHlLMN5NAaObsBxxUZoUWrR12GWpsPGbQt3UcCv/tZ1hBWB26c7vyUhRYU+ubBJP1z4ji5Qd7Lp
PucSZcvjfpOaDpqMOpIXm1mcIBVYBQIZ/ACJLx9d1YQk+oRCrDm9/ObhQLsu8YxuO6bkJFzdW61l
D3U8kA0deFPcMx9kpd3AunA7ftghhPw6yRFQBygZcDUd905zm3QQakLweUKxPdMJAKu4fz3fFePE
lNGKgslq88rBxuq4lUFAoJzgbXi1n/4MygjMu40reRRpG9dA7T/p86dQal9ypF5jwwZH69tIUAd7
IUkcGnmJYx8CivBXLl2eH/bu0n/UpCDGwtgRrjz+Ml79sQM7IPeyIRs2XW/hHZRAc8jAyO/Oj8KH
vbtqapmKd68Q0EV94VQzC0mMHQADmEdzKd0rqDUILpKNuk4E+8kEinRhCZ+c5IWS7Fq2IdCqOG45
6Gcx6N2Qe04NFi63EbeDO2P9bhyy9M81YCoT+vAWXV0ziSwR3tWWBdt0aFpni4vD7H89P4inuiIU
txlsadtArum4K7pmVZE+aku9her23GGRVAyDcWHATk3V8jjlpNW5NY3VnrdlHSgf+Qkv4+7c+46Z
fEMC0tpOzVDcxzHYmCFoe5S3NTP/B6NoEw4gRcW+1OXyae9WCeTciGrJmHnYU0VfzRT1ZEAY1vWF
YfzwVmWyMB7FMM3EF1lfL4kCqmwIRiZDk1WbXyrHmQ7ulHZU4TPtdiqrfuO004CUYhh6rabSB9U4
codXMMJS4IxfOS8nXK4yxPpSNFDKbezMzjbMbfdFdea3zEynT4lG9Mvjvvds0XA2J1V1cOOhRcuJ
ZKTUOlx09bHbaprVfZLK7JEuqcn/pj12GR2+nb5et1CotWgnWxniukZavm0JRaBg+V6WjslDMeXl
zfmxOXVYER7quEUj8mWZqyU2N/6kWw4qu2JxRs7TfHhgZCC8BZG5qUGW/Tjf3onFxmImO8E7ZRFx
WbUnRkAewo4zD8SL5lkSFXvKvdJDBq2DjJvDY+sVV0wOx+l8yyc2k0mkzbFM3R+NjNWx3LHCS61r
Uk+rTPwRCjQqAEf8Rwjif31QLv/K6r5+34pavU/c1En7oehTD43iGtgiYuIz+IytTOr4i822onJI
TTto8BQoSqSbz3fyxHQio8ZFunRR0MvjDZWMALr9xqKT3LHXI0HndRwYxZURig4UTt3+9jHPRWIv
J+BydHyIk1C9ccI4xuigH5H/GzgtXx0HyJjb2eyBIjQfpxr9nVCyys/39GOkggUtZ5bEB5Fs4qIx
8f7oGGSg94WN6DLKTcAK8cRJ4VB80uYCDn3f6A8KfdfzTb7p/B1PLm2S4SH5SAAs1o/PLiiAfvtN
6aHRVwVbM8pNsC8hbhSF7i78bvx7gUG1EfXrtNVAiqFDggZJFat9baAJXunViDxqmv3JO9ZFWCEv
OvmFdAeq0gLf9Yj6W6PdTWGuiafOsAKxn6ImqD6ToQ+fz/dmpfb49mQnfURkTaAiucVWa8WQ1RBE
gQ+zRMEg/0xObPgFY74cbse0kr8EO4QHVK1VzacRMPE9rxir2QyTj051FozuH2M6Yy6mRq4Fe6rt
1xqdV0UV1tR+DHFKXciYprHGycupLaRl0MjcKKjin/VEU9Gm7DpeXSIATb0Zhx7zaeHEzdccdAAW
YkGBJWUc32WJi7uiDwUSE3CJ1Stvta2oNNt5lZg+40JXDOH3xMnqX+eH52OsZHBj8IYkhtO5oVbH
BTpiST7rUelZruXfNoRlVxAY5FdJbvPCujqxlF0pSdZIclEEwKuJQABCZhrsKE8jU+ODF0RQ0rny
ZU6pti6vROO4F87Cj9lbR2Avb/OyIo3BI3l151d61IROHeWebpndAX4cjml6MW7Z7cENEL2YIQf8
PGalTxqpFvFjo8B6nR/ij/1ePmLJ5y8puA9iqtnYFIlo/Mzr3eWZkbrYAnRoax6MMZhhqavAuNV9
Z/7rfLOnOk+oQ9KfXQxh0FwdHbbth8FsmZnXIlQHmqvQH9ge2ha8X7xFRbR9QK/Z+e63OL6oosn3
cRXP3j/5CF6XvHYkvV9nHouGmBHdRsrrEi+aqp3jTyOSDLuox6kitqwSVx8UU7VEphsEMDUMcIR9
YRmYHy4rTGb/5xvk6rJC0U9X/iQzr4q6H0GbO58tEwHm8z39eCMeN7KKlF0tRIYxJPjSclk+p1JF
hwCpwJ0aAL3BrU9wl0XT4hau1IBWYqIujPSpTlKnsN/SlGyxVSfbhlx9LwC59y76I01vYrwnMnkp
xjwxlAZVEPttQtX6agjhAHdlTSSrfBPfWCMTTzW0/As75lRfhAk9SZJIIi+xOpQ6Oyxi12iYMKeA
H5/m0yfNx7Hg/Ix9zKE5gurOfzezDmIAtzW16VSE5XFWwpYdwPs2EwAO4Wr3rRXlG5BwVGp9sh8g
zWaeCmPyyzFTuZtRLHxAqDq5DqYuAZHbxhdCnI8HMx+HuJQuLUX2w13t3jAcZNUBVAMAXKYvUlb5
3VwlmGogwXx+HD4GU7RE1UNZFvp+xiJ+9T7EQPMmSDozzTzYoMbGqXO04ZUb4jpff29Vfum1d745
Tqjj5jTB1RbVBc3her+RhbS3dg0R2pYO3oG+pl2Y5pPtUa4yUZxbzKSXgX73+GoAD1ZRjwcQjrLB
SyYLAwnJ0Ia6pFrS64V/Ial2ur1lIM0laDSXxf2uPYAAthNgYO35eafdpUOgdsmEDqfrNJMnfCz6
fnv6JIp6NEac6FKkOG4vz/FIH1C4AEuMkjsgjXDnWMWP2QD/pWawfOebE8tBdhwdCkkkLHRo/STb
rdVBpwWFSPxCA1Np6Ug/xcnfLQ6IQdvuiwBXCz1CZAjtGSNK7mKtukG1aquyYlsbQDELJGwopG6T
Lt5HNvjBogSyXgCXRF0X48sLU//xFSaWcJ0719BJlevLn7+bCqOpWjnYMgELnaMXAnx14/uwDYbv
cwCJ0JnwO401jOrPD9HJZm0uXZ0cNemM1QipIDDC1rUh+un14EkFlsVBsn6jN/F9gBTNTQCwhkwZ
XqPnG16W1npqCN0hIJBnYD+vzgwA4nOuFYh1TUNngU/Ew6MpwvZC9z5IE6IYYNIxPAbYUUpfSxNq
Sp8HUMSJ1ya5s0mp0e1VHjaPY+uq66Geo5t2aOcfXYfogGt0+oPej+7BSuvFJLd3HtAXti70fFnk
q56bfAn5HdKr0NFX2bDGrXM/m2NchwsLh5gcuLqpRxDvU2THzw/yyaY4TsB8cCxb6xdZlfYOqWp6
n7QmHDE95i0ftNmhTdw/zrd0Yjo5tCgQE8E6JnHc8fJdBH9NpwFFXVV+tsW5B4Z84sS/P3SEfZz9
S2IKvN3qPG70yZyyEp+nrGflOL3hfnGkE72g8XTpLXaiQ8sBZS6zZJHvWzVVyDyP2sqiQ2kbvXSa
7177ZZMdzg/biQki/wFoYKlpUlpcDVunFdkYYVbhhVk/c8GE6BJNciFVx+aFq/ODBilbwSUKWs4W
7tAP+dGsQZa9612AaKYxPLswLjfQZgrPKnGpqZMMMQS91q/nHFaIXaGENmt2fpAUQW+lE/p4I5om
QA2n+kuqAGikhiMLOLV+m481pio9ukmo41HGS7X41saiBPMiv39MZuhFFmqEm2aq0wsph1OzhOqo
A6cExIBlr/ZSp9tJ1cz0aaRgg/BdiemzBVD6/Cwts3C8Y0ksI5KJxKkJYmj9OjEyv4nSvoy8opr7
fWGV9q7HG8YbzbjwbBscKY4z+oXL6+PSWDK/rEFwNAQE61K0nEIQeilmUqSNkn2kXGuHMNOfqLz3
z+e7d+L1xXuHCO7fGAVWx/HmHbUYOzclgZjXheYNHZxZQ4Kb7YpK4hkvIkzUqvbRGkiHDoMrNnZQ
59vzH/FxJqWB9g52A/yIz8Xy5+/uv55XXUUWJoKtrgmM5FJMtUaruDCTK2+DJcNCMyYZfMvg4UG6
6riZrtPAfLhu6KWg4Lj9IXwD9tT9rTbjqhegY3edTogLoJmZI6BYB4+Tm38P/NKCltLj5MYivpXT
XHnnu/8ROMWHUcMl62BRW1DrGNoos5n6kFjmACKlFqE1WY1Bc21lM4Z6eT4+5KJvYRr2eNKIGbOz
soCiWeOT7jcwIM9/zqnFx5pzOPk40T8Uri17HMyqsEOkVGzrFXN2fd+zbrbhmFgX/Fs+RiDMOp2n
6ECoRoPHM2I1XMqytRJPZ3mTlG3wdEBQ5grgYHVl56ZEZBJPbXIfl5KHp9Y9zxZhkioF3sTyO25a
dMiJTLKCyhq72m4ckaCwmSVSLlgutHN5Z07avW8Bl53AXcNSlvWX3x5nnjOOjvcHKR/G4fgL1NB1
HU4PCQF4haYIBYdrWSBPXjuGdWGDnTjEBBcNIERB5YpL57gpGcUhiqYyhgcvmhsttJ2brEdBjW9L
do2FflLXFr+Np1luaSAmJogB9K/X1SRl5ziBJzQ6CcRUa82AOzZSdzk/iieiPCl4eVo6/+dwDayi
WAlrOZ9xAvYonz/MY+w8Om2sQWUp8f7TfYPIXYdnYzco63QR4TSw5oq/yHVLCSk7GKVRfj3/TSd2
EMAPk8oGtxJgzNXNDgEmtZ1xxpIyRbbCMSu8g1HEJzNtXqgXnTg5MXwixsOfREoOr+OJNROjLe0U
JR8JQn6+sjPUkpTZNeGFUV4WyOoWxHaFChE2FC7lsFVEROSlzUaJeLMjJ6zKTRtv5qj5FQv9keMq
vdDaqeVKeXB5tQE/4Ml43Ku2FnpoAYPyeDP6+7kxCZAjTNUnM6v2oQrSbY/e2IXr4dSkgbFgukxJ
mOmstmOcum41jO7CBSwiyKN2sLddQlnZo5V8fn0Yp849HgCodIPEle4aUqm7kREOyOCC1jW+hK2N
DXH7IBx551sCS3IFB6c6NBg/x7jCSzRLYCFAMW0enAjD2IBk+4C1oz++qLK/vvBt4sRUowdOPksI
9BjVahyUSrSJGC/2UlKAmwTM58YeS/wQjQiP7yyx4CbU5cNsieJAF4Nd5889wlmdDRIIK4p/9DkL
UAu8FjnV1V6qGkKhpGYvxf2EYbduG9Aa6x8QQJInvEiQIHAttKFA3G4Sux1vJnwu9kHe1V6YUFM8
/zXLdlpvA5zNFiSspYOAWsbuXaCSW2rELJCzJqY6dKBc7eLxoyP5hOLYoczQyp1DFOkKEfbX01z+
gzhpQVBQB+G6IExaNQ+DBhOVnqlxh5JXu1FBegR/5v2DTvJY4NBmq3OIH3fSLyDO9NpEKxRJNiGZ
x6+6M+FZnEjrKmXLbyan16/iwcwemsKUF8b41JHGi93SYSpQiXBX6w/8qsggzcaeE+D71+QNRS68
PS9EHid3uyKyXtJfnJ6rg1PJLqgG2GtAHRCSjuSoY7EUwvtsXff5/Hie7JCzwMZ4TQoye8fjCQFn
7txkuQ00w/FCd4qugi79bbA7E4XJBO1QJzPkGipWJW4MHAyBgjxwK3zpOvfK1kTxD+4bTAYIm3jr
A+xcrY1qlKlIbSbH7IwZWrGO+yiqlb/9Ml7qbzzxXV7GEqjh8YiVo4WaHeVIjwPBBKhUYtic5Bho
lpfKiifuNVoC8EtJgl2lL8vk3Ya2+toMY5O1PtnYJ/VaYmJFhd2ALJJ4GydlcWHZnVgLcGYk760F
8QZT4ri9zBr1ItHp2QhRZwt1QMEunqLtb684WmHnc3U6hrs+pngJwxwkFPKyrs5QHcFaKui5Qf5B
K5xCAHjI6RLlHfdFEWoN6TJ2uT1Vt9in4qQDXPFC6uLERgUkh8ckL0POhHVulPtnFjLsYq+LjWBv
ttm0HQI0RyyFBNn5Dp0IO5ZsOLDOpQhIPHXcIQ0afVXoVuRlFmmm0nV+dRLnY6eOn/S67G6KxjEv
nLWn1gP3OkCoBRwn10nqOpTwWtGB8lSbaegtoRYRRnZ4IVPydmau7i3QwYQaBOML0nD5jHfLvIfS
N2gtxJF44ty7otCQVRtHRc1wjWhW+NhpWYH+jFBJvQed11qbmYgbiioqCVh/h/58qzTdRHN7lEW0
5RJM/sC2oHpOZvcvy59nJCpb66tBjU2/0lUbmai31ciYGRMghKuqVL1501mlsK4iuKJfAn3oNEQH
hn7wxsmOCcqVgSGrycPrpwLwuk8iFw6YHphufsNZVhloI9auuev7rP9m10gFbOC1Dq1XWX2nriIQ
ILg6GL3tpQUQ5o1fF+IVHWMU97vCzA6Z0QsKjdL6mY1wW69kRq4/V0X2WFfIoecCI45m7KIZEwNp
PaHPjiQtdIP0e9m6Yvm+CS1MvMkaGORWjxukk9nf0lLXP7dY+qBm37b1H9gHNH/OM7XbjZ+h6rlx
wrL5YeM7xX+Zd7ioWUgH6qnVXbmlBcPdFb39KpNYfq55r1igrYYEqn+PNjqMcwUzfVJ28anOZvu6
y4wy3jZzZ9wxZh1KiWUcvFSJUx0mcrBP8HbrXTeFeOQVs7ivBqPb69aU4SKpIh2SpsAHry4Nko3K
ruY/ZDM6ZPx9Dafb8xvpRHi75OVcyliI6fG6Pl5uuj7oQ2Oxqssqn9wrsMqc3UsVRkMGYi99/OSQ
O0u8IXNezrd8aguT2dEllXzC+DcTmncLPe8z9Eup23kRkqd7LZDOZy2fxr3KJvzeeFf8iaXJJTfj
U5cIrBHieBKNRC6rQx1P4t6PSvCBMHixTx9dVPCgUntFPP6kdKNfODNOnIhkIt+Mb8nuG2uST+13
ysjthjdfif27m1j4d5TRXzM8nd8/EGmJ8gHZzwWaseqYXgSW5gecvYwZGSmkoPtJK/DEAAFTJVp2
SGP97/MTeCoXdtTmMsPvZtARc435Ki9a26mzZz/lftEdzO4r0CGbaHGxMai772QTh1ioBPZtLcpm
F8xANoMeYY7zn3NyrCWojKWGiLnS6kpoWza7qrkNsEtzd6YVltuunKz9rAp5YdMsg7k6o00SJVAn
ocoQ+aw6ztkV4BidE5HiqnANnh3X6jhGBa8ym53ekAc+37VT6dCjBleB9oBixShAGntqBhAWxEiI
mQEO7lFUhxvbSapdlYGfUyQDN+Uo+yuKadqhwENpL0ocadpUuTvYZhdCpBNvLHK0BIBkQhFnXocV
gwVfJzFSph1OxLavW3Qisvy7SEfkl1yV7drGRBUXw+lrgX7Thc31ZlW4ngbJTUyyjwewsX7+AvIZ
8WrFt5XgDLefsdihXbQZkuqutbtfM3qK5hTt7aT+itrtAfTDHeHWhtWx1drydTSKb0r4h9TOUAvr
N2PaPYsOBd3zc3cibKA4RSkdbOkbWPh4k/QwioJqKUoMNkY0CBYsclbF8PsBHjZ4jANUKQgvi6ve
+62YAKXXcy0gLT+h7dFhnOQlWLVc6MsJcs9C0WXJAwJmbtd1MD2VEKIjw9/XGvDjoXKznZ20yXU2
j/6BwqO6c7W4/FzkyKLrNRpzwq51L2uiC0fPxw1IHg00Ke8NS0AKXcWzg98h1eCjrzmHorhLrKa4
rrD98XjAFT+qSl7y8LzU3ups0TsR1DqIgj0+HdPWjEH0jHMS7JDktTalqKsLfsYncESkfxeAGZKl
LrSTVQeFlsbglJS7j2txSGQntSvNrF2skwqJ6fU01TvkVyekv0zU8htEs0MT+44ONeVHp/L7m8jF
CmCbN10FwvYS/uUN5Hi886iBkKMWSALzedbqSY6qhGijynH3jWomRKf0DUgnNOpza1uEykAd1PnM
i9QkTz9o4H8wfCk7emBSNv1sT2Ak/ea2VPmXqb4EjTwxVWRzwZAsLxCyn6tPU2U1GT7n0V614d0w
SzVd1Zr+KfHd8cWxgvT6/Pb+cAQSvZCWMHChdHHKW5fug7aKw7CaI88MctTINd3BKznuEYzN5WaM
A0q2frOLEuN1xK32wj203DNH07A0DsKWPC9VCRIWx7t+HlHe78Mm8qBDL7bqwZM95F+NJMmuyq78
2zL7p/O9Pdkg1SaCJxjLIJGOG4y02amGsucw65GNTpO8/WJjurt1UYXamZWFNqDTXuLhfjhBwRKD
e+GkZ5DJaq96OQAfyH1cfvFFmpEPr+FYyD6/xM78sG6WVrjHLN54pAzXPDo3GZWL90LkVYFRHgIL
ZbgZN6Rd2KDrNACjvnBifwi8l/ZILRA9kCgEdXE8lPkolJGGFUNpqYdqEYInDeDc+3YO+H3o1KbH
0eUpwFb8woo9OZzvGl4NZ9UH9dgpQuA4Q/Qhm4N+jwHdJSTkieHkdF44Q7bDiK5fy6NtNr2IJuqk
Rd552pygOTZjJmnr03ifWBdZZR+vJq69haPEZlzKoesbUAsCTcR+FXp+KcS13aXycxlgEVkGrNTG
icpDO3V4OfRg0o0AISqsAkMsXGLt+fweESdmFmQ7BrIL/Zbs0aoAE4AHqxGK50tC/HWoBMUboTW/
eBgC2udkvyJNe3CrETcgucFXIt5OxRRvFMWOK/fN8c2pd0CTzO2Q6Dvf1rd5PIW7KXIOSYSL3Kjr
n4Ymfmoz91ECfFq83Oor8gkodCOe1LRtc2GtnlgyRz1aPRLLMa7wNAxC4rzpZ27hKxWB/TmcH7dT
K2apeBLKUWBm6I43RNWVva8whvdQuMSv28obBKZR7Sq6fitM6xKp6ePrhQWDNIUN64cHMICb4/ZG
lWnx3CrMCfrqLxWlYhtPpnxKYOtuM9/6bMkpQVW9DBGss1tSS366n2yl3fby93kMy7csgClScxxx
HwCXEltNSNKB55Yy3mkSz0lNb+aNL3CwU6lt7p10vvRkPLFOl5wtdO0FM6PWKC0eEUFmtMwqLg2f
8iAWz27QZV8MapTPRmiijdyRzrvCtca/MNVv797VxUXTPMIJ4Mjpr+m05PVmY4qi0BtUgQDijMeq
71eAB1LqaIrUSIumX56O30bVcU75n1KlDtKufvLc/Kuy/A3Gez3Z0v5vO0woKaWQu7X+B3nq64B4
ZdvU3T1w6hipmuqHsopm12XYHAVID59ftCd2xsID4maiK/RneZS+ewJ3XWFbk8sYQuJq965q1d41
4Lj/g1Z4QDBPFHV54x+3QhaUh17gB6jjVP2WFS2QvZ6cC7v8xOUOBl/xesB0ZUFpHbfSJUmiJQPi
MVTj5w2UTn0bYtGCRCtda+ccdxByKheWwn9xdl69bhttu/5D7wDs5ZSUuLSKe41PCMeJ2Ya989d/
F71PLIoQtxMgQQAnGHHqU+6yO4GrPg6QLQqeNzVjBUfAAeHzh9Zwf9Sdqp7NKMkPiiO3mSKBNKec
/jtVY0q4m3C6bEIjdWh5QpJPqzdGbaleqy7KOSqw9SkiXZ5IsLMzqCPxSVR159eNVM5AxpIPYGJG
fxwmg0qeYb4Zls440b9RiWEbe3lOK9RTp6znn0IeqmDtzg7dVEpHLt11dfNWp2mShJ1QWJLeHT1L
Qx3GGuKf/2F3UYljBHYSxLbrda+yMmycmkEUC/luPc3Ns9UU1enPRyFKBuMN9IO/N9e7bnfZSBeC
hV4g+Raz3SCtSVRwf5TbxImVXlv1xP4wG2kUXX9M3meuEWJU+OBGSvq5HhcDoXLK5taCjWlCnn6i
jlCh/QSYEoOjd0hgoLurg+DKgN1exmnGcTpDeSorivog8rrFEqwpHWyINeSjaPHrz3+7LXK7BwQp
UG6haDY0vptG46s4NAckp11Kg8XEDsDLq43eq/XaQjdqo3ybZGRVtHbb1EuGtsLAsTAAmQsJFgo5
ERkHKdqiCJXSOIM56kjj08Gcrkuzua0pDCtMzgqDRiHlek6RhLTyCNJxwBPYfweEg9cq3BVfyZca
hzl+WJvzJALERv/VkjCVeitIkRw8Wtz1mN78kDU2QJSHjtlNvrMgUdxnHarFyMMhyo7lJx5qeErl
RmCmev6mqMbcj93wJ9Wi/GdoRARHyzC9q8xSfXd/VnaOpoM+kEkFgtI5Icv1pERuOzatUwoshOb6
hKSS6sV4KB988u0o9Ovod1pUyGElb4uabamCQl/YMRauQJ7SpQ0S/dmR8MPtzc8oFm00Ln7S2Bux
MmW2skJdwoDMWjs11TxfknAYcHNNpouWq6OvFNp0cCH8v+W6Xk6Gdckj6eYC1DA3U9gms96YEw0H
2SMflKgvlZ5XP5aRAvdZMTLMPEBxIk7rlg1KyXkr35uhjQouGqgTngfY5jxHla28B580vwNeI4gd
lDdW6q4es0b2bSoBEJ1dIInJg75o+cc41rUfDu0OFanOpDR8bdLnb71U8+lUGw4+vkPW5cbj1Ewi
WZ24S+wrwwzurNSX9GPazDKEmJVgBJzkcRjBUgZqdWrx0JxOiVlGGDQMpnB9R2hNekktGb0a5i55
afI+/GvCK+ZkTW71PYn6WXpZCh/N00AWvhv6yvikjlP+s+i04u+0iurEWyIFt5t+RmcUNmhCOiOS
vzPO/uodW1untlAYKqRCO7HLLeSUhT1WYCMsOMLLkMU/UqfmBJRZm3wXo6viES6m5Avu8/1na5kh
Czs95YJy4VJpdPbAQxprmFZoXT/6FSjAH5Oh9m+spHDBq5lWc5kBLL7LiaVNL1c18aI2RhKe9Xg0
LnGv0zLUhCK/xcIZvxSV0b6ThrpgH6607xzaIH5s5i9ZnwsktJxeKVA3ragTFfgrW0NtPnO72B8l
Zb13EJjDc06VC2P0YvVnpgvpXjqR0q1Ewt0Vp8ZpK+VvLDewqjZGN1kdadzJ9HMYAHhrLHP0TcVv
EFsMVe2xBouz+aExK2H4/5NdisZMrdHoSuwYompluO9EZhWvB6UwP6E9WCC8ao/h26l2O2Rp7SLy
CicDX6rmq2UjtYHokyMt8W7EKf7z/Xvlpo0BImRl9dLMQSOFR3lzrzSuPYVZGuIPUpX4EOHI1Jfo
NtutdXCv742EVBGhHg1iyqjr3fPba0QQVGtNlFPMRVfiuWrjn12f1VgEtslBlLw/EgrBJvkGYf/m
7S9T7MOHKWYkspigjvLmealC02978fX+7N1ihan9oT+F8Av35QoOvP6ozKkcR7Apg2r1V4n1Jf8o
bJqt3Af6hcdj5iltabaCxTzF0QCJLMNd4OBHrGHZ5mLjR/ADIMFYnM3N946VPnHrhMjrRtaCeZGV
e+bkTkFpFJ+0uX+G39l4VuhgfhG23wv8P7y8d8vnRnT/IuifivG568K/Esd6tmLd+tlXS3RpUwyr
7v/QnXWh5gWCi6Sbypex2WtTbS+GUrLXOoGxSxM7/8g2789AeMM/zi1YFli3SBigsqhvA3AnCkEF
6TIMQtMqT0Nu0p3qcbiqignfrkbqk2fQjP/zfUcBeBVtWmWlKJJeb4YoTEY0Tdcquh0pX4cOwfhI
QxSe/9b6D1MJDwRSFQcX8uTmLbPVznDjgqHcDLOsPsliD9AGWtz4hx981e4eB5627m9YCLxW15/l
mlk/InTgBkMzglQowS+cCSvbc7to7llq5vA48uCehakOp9qpisea6OFgk+/tcdRSTJpA1J4JDq9/
hIUAxqzaBi4JejK9kdbwlitNxxDJQDXXbimduAoWexPJlDQPq7XrdG5PGEQE+GXkqyvJ7Hp0U8nj
VEiq/B3s13NRNJimxbXzJAZENLNkjD7NZdqctczUDhZ6/a7bkQHom7Se7JsY3onQm2gQFA96QMHn
GSEa2jHukfDS3snEpZmQzCRbhWpz/X1jnfVKUkxuUIgwObWpFcJ9FC/At+yDHu7u95A0AQFZNR1u
YOkEP7XMNDdAeL1+TaOrZPcmR+Apa2/WgCqbPDRo4m558SYIBJdAg1EKhIOGRm8DXZ3kK6VKG5Ta
kyNizN7u1FYdZx3s3noHXM/fgCzLVHHnBqKI6zfujCpIVHXVuSyHnJtm0E5Dp+cYJYgRKql2lOnt
bU9uVPID+rFkoZvDMVZqCPaH4dtJKj9aK0yfdTtPAohD+bvZNRqol41xErb18f6NfjTw5vlD+5e4
qmZg9BCVQDMi+UVLbeH1GjIScVpiF6DH8u8sDw/QpjspBAAXaGEQ1MkStgeys6alAVzDAtPyQ/Og
wSpOl3hbdtjZzF1cfkB16cf9j9X2dhWNfx6utf3Fs3K9yr1lpjgCtW4wmfLv2bLy82TzQzDf1MPe
HwpDC+w0Kp4ahFm9SOBlGnYmV/Sct6DKxEybx/5iiqZ+25qd9VpbMHLJ2R0BeFrrUhu4Uw1DjavL
bGuPmB7oAOMQ0AQ5V/C/6v2Ppsij9/c/anfnAmlE1JQ+1I2mXIthNV5mTCQtqBSHb0SoHnUxZ4+9
Yg6nJZxxBOnD7FnUmvRzUpvH++P/ej02Fxx1aFaD7i6dxV9YlN/CwrhZbBIsXpeubLpX+DjIV8mE
43JjG7m/6EX5ih+Svzid7Xpt54ZeHdfjW0HqdipUvLmtzMbWqZ8w1m3j4nlQALF1izM+a2JRvBER
ohBttgu6Q2gaLrn1KpFqdIbsr3wynWHy2qrF6w5tu7MStfFJ0QBLTAzuW4umPqOsV/q5unrET5jU
Z/0Zw2mKhwgf0Z43cJWAXKQ1pq/0ZFsHU3N7iSH2h37VSicAd7Ievt9mRullLZSGDWR2+fCqcgb3
rCSxfhAq7Rxh8Bv0T5C7Bsu01TSKczMJNQdrU4Ik+xzlEzp2lZrS+MTGL5mxcNfyDh8gajUHxYZf
5cTt0pN8UIbllob5vvnAMlGHcTB5VYFA5o9VrNfDMxUrrfcda1KwdMqq+Zs0U/Wxitj9WpwhVSUn
+wxBBv+wZOyNv4qk6T90FbLyePQI5cVR4rJAN7htEdVN1OQxXuzxj8kewPWpv4Ojxkqdrs56Ufy2
MtmcOWjGM2dNmGJCuPof2dpUAYety9OiGf0Jtf8WVT4TX1GrjQ4mbue1JuMAsAHVAybw9h6K8Dmd
5qYkIMuBBs9aaHhd1WJUpIYH9/t6o21XCCwRvgjcNivk/vpDk9axUQbjQ9VkwEzeQVYsUiLlYAv+
CoxvhtGopJKDonO1DZynJE/ydmmcIMGpEufaNnEaD6DohLgqIZn02663Mq+1aSZ7cxhqXzOM52MQ
sH37cTFmFdvYYiZrnqfs1Ot152K+FDV/wxDVvkKbGRuv7d3voqGa4dVDMr+ZYXX+CEF0NSdjml4t
IQTglU6Vll7hUnehMhNpP6SSJC2qrzKRl0RIXJckpVSyq3LuMq+b3OTD/SO/06la6QaIJTDZuL5v
uRqla4s0tKUbjJ11qoX7bUpB4Ck4ghaRecGJ93ko5Ws3pOISGe/zUfk7G5ZX1Zw/RU31rq/H81gl
vqkUHwa6A1Wn+xnOo0ItzxqamMKF0hyxPXudu713G09DzONgNXeeZkqIK3YCxhwZ2HbPSOzOQOY7
AakXaMyecnJe9YbfGuaL6nbdyV4Bk/fnbecVY8zVFkBba3xbWYapRzUc43sn6NzvUmJLhRpr/lhU
wImdAfHgRsksL66b7KxHAMHvD77T2l0lX6GZ0mfgGtzqAclQDe0KZaIgpY3s2Wn9rIbtg0ibj0qE
qXasYvjVyw+Fq76PLfHTgBOhJe2ROuzuvNt0nMhTQHNtH1IVbeAoqzsHI1v3tTrGa/184S0rkujs
hnWH2+W/9z9873YAxr2mJURiaHBf3w4jlp2w81jpSh31k5s7tl/GXBH3R7kVc+S25QZC9R5WJNfu
ZkOViYLuRM/z00XzN7iGTlDkDTh9YL8nLcsTr8rooVf0YbDMK5oL2NXed9XY/OSEGNUuiY3FH2a6
D8uy9ntxWsT+3IlfZqTlnlFt0wM8ztPLZMXyNTraf97nXH8+x4GsBzL8Vue+XXRRtBXGt/WgZc90
BrUApmCL9Riuqe6SileRENPBIdxdGp4GiJro3MAlv14a6tELOhKLE1AlSakm1pjdl7V58BDtHTs0
SmwTgQLAN9u8w1qaqtExPguk6uAxVWkWJcrRDeqlTD+ZZtK+JEviPufFgCWerOXB8Oszu302QPSD
wYFPjTrE5iMhC9SuFAzfZGtbXlpoNQz4yFC8d+MnaBg/7+/E3UldgWEO8nEmO/96Uk2whhPlYycQ
etO+9G0B29gV3cFXHYzyq7n8W3AhqgQI2DA5gRMbKq+dbVw6FAdO/+FbkFb4JZlJMrPO7W+jUCiZ
qWm07Eq1R8e9V+1T5KAu8R9GAe2CEAvR5Q2AV5qZnhv9wDZM4oi71/pQoNB2cP/u7ULUCeCAQZVy
bjjhmlN0CJpy8U1xob2RzpK8XlxiIjE76QVDZsQMphZqel1qZxc82sE37gXQiCjRsaStRBi72RXA
GOJqqCUzmWvFxUx7leCD+xAW2nhJSe3Ond6b/qTY80G0sLf/16AMwi/IU6Lo6zU0pAM+Q+E+RHz0
RGn9h7S15QKVxV/GRRxsy73n5ffBNhsm07Taot3NZb9E8dsGwetTbWVf1ab54OBJGNvLEWTxVr9h
JcKvoCk4d79wktffVzd90mc974scRfE1b8qp9irEhM91C7k85s3F5A+ByGIWn2Orc59GBOROk+6s
3en+n1q144O13jmb9IG5c+jFot68fYoaVzi9oBQfRKgzXYrCGJ7+P+Lhnam+GkW7/u5lwEsxWm+A
eULPCuVfI0Czy6Kf1bZvs2hO0Kj7D5E+WkkO4TclFfMGDmeWYhTuerfp5TISNC6zb6059v37YAes
CPZrNSKjbA0Py94cFly9s9IwepsXI7YRi0qbJcOavUduvXacb53lpl8NPZuwjXVmZfESxRSZbybp
ZD6Z6bA4Hh5CVYTdTxH+7AfKwp6LM7dzArZno4enjN3btra0v4yK8MDTGxeic7/MNQUZSuar65mb
R77e809PZPXa4LPd/D1RRfRed2X77f4H31Jp2MNAGFYVDt7Im/qthUy0WoKYpKijDe/M3o0JTfL6
NOFVf24j1fncpN0c2GFX+UA4smckxozvtP2GN6oZyqc4E8JfehAO93/YzqUJy3CFjYJPAga47sHf
7n8ULA2su9DQiBerwZgbGPXQhaQR1H38PMvpWelCDQZT/+IozfDp/ug7dybEVoqVKyNPuanm25Nm
inRcKyiuNr6a+z5/qkXdf3ZljJrAgDyCTSEnUNrQOqA67JxgSulrnklMRrl2892ZolII6mGMUw/p
/1HTqffXbXVATd4Z5Rfa8FdRCyTCph7spjIdrMWxA3XGd9FznUpvPdOo8oMw7/amQH0UTONKi/pV
RLleRUXajY4NrB2ErStPisji9zFG375pTPbDRKrg5W6Yvb+/eDuDro0CEDHAN5Qb+VO2VVVlKg4U
Rqi1tbc47vy2dNUvoaU1L2W1FD8ae7IObt5f0MbrYG/tbAJ9WVUSKbVvbo6i0KcK+APQ1J6w5hQq
Ge52odPptrfYlIJet9VQfVSaMYn8qjXLj0nY6h1Rb9jrQZ5b7V9drHUmDNhCf+7iFuPgBXnp9lRF
1uicY1zpK3+ZW+x2W93MFSoAofo+rOByebJNptR3ZZlqL04z1zXKM30aeXHfKO2p7Sf9ew+iqgOY
VMCMUJqw/MctsvG7TTn3a2KXHQxjVCVLrzHSZjh1S7s8NlBo6iBtF5KXQhkd6RsZCgqeKsTCzS+V
9y6NDcVD471znpwizPJLaJa16yfAi1+GpJPQEyyRQ3gX5uJRFcL3GMDHMvhmHZXyBDyxAqmaT1Z2
Ig2U76bM7pPzPCdfMlO01VkJw0n6NjSSr3M4GO8mJ6krjybpJJ+REJucU1GeRnto1UDqlpKfLDx9
EUYd8ukVvz59GZq8MfxsLjIwsr2igxfs0+Jgv+3EAVRBYT/SNWK7kQZe73LcNxLKabEdIFccPVEs
bt/PJsULJ1J15DKRFKzVKnzduEBkpslyXyOrUQWlRf+1dWi8G3b15/kVzrhcn8S0gP/0LZgh7p0w
clrdCqQbyoue1f1DM7b1QVnjNsBjlLUoy8dT2dhCZFvdbTtOuBVAfrL8VqmaszsAXFbsPjxpyXCU
FByNt7kcK2nECWZeVoAFnLw0BL0nFD1O2JJM5JDlkQ7p7S2JuCC5MY1AGBsATq/XNZGiEYuYrWDS
q+Zh6mgfy0qMBzfH7VvDKKANNBLwtYSgX4/StJaOVH9rBVaoZSc9bKd3gx7pIAYF4+Fs+2IDlvCX
ZDqi8a3x9+bKAo7BkNyRsFW3ZU0ZVW4u58oKwJkLf5YtWmeGrB+TzB4OtLZ3ppLPA4nChLJXtpCX
JDUX28xGMzAXt3nkegkfB1tTkoP3ZueLVmEc7A8AHlD/3mwQSix5VCSlGchYRM9ZkmoX/NLdoKzt
8uCh3hlqtTiDYw6yhfG062Uz+hipgiKGUJ2IEoG0pfajsXVPVbkcVc52h1rly1a3MeXG1iFu46Rt
RtcICjMpAzGibxqN2vigcikebMadtxN6JQ5KPJ8mdiybkgVNwKaLF8MIMDOG0ZqFKPvFkflaWZLs
i9qoCjp8YNjuP9g7jRamkVOAAAHt0hvBX0UlmMZkWEeklHJFPSJgNlW8odI2ngaZNYgcDsb7kYp3
6urJh0wH9YjbRxJMi+uilmWqTwtKFCdLGl0QOZkMFoQ+aHdkEfqX4af7P3dnjn7VFEmy8H8D8Hq9
8mSWIcnBYgQiNxwuH+6GwDcA0V2aPIwv9wfbufJciqV0zdflgBtyPRj9RddBFskIMLfWn4k6zQcx
i+HB0TG2mEU+/jG3Yj03WJ5RsaBkvD2oo6xGjjAA4nABZdqo8IlzJ08OvmpnR/+ihIGuX2/XbU3C
Toe0rmTCKNZsvLdcOZ8juXTIuPN63J/AnZuH6gdUcHphAO23aG1MdmShpzZF1LlR34RuG0H/T47S
lR1KhUa4A2aEmBNP2e11UOf2ZKLHqQU05MSTcJ3wfZtFFQpg6IlkXmKI8uzU1fSIR9b0b142c1BM
xvTYIMzwBpFP89m16OyaSV0uSLZI6dfEsHh6JLHX2/HS+osqrLemjOeDTOt2guA8Uf3ltkTUE3TG
9Q7r9LrsrMrR0DmhJyGr8IfjNEctwd1BqEjC6kJDim7d9SBqveQ9CrlagOn0ALqvbL9ZUV18vL/W
O4wCMibkUxBdAi2Kbuj1MGIkgkwny0bmQXRPs2zKIJvj/N+xzJKn+CWG4aj2g08R30bypCe7TKY4
QORn/CvHW4hQ03bfpxZyIQ7I2YBn2bm0Va493v+dt4f6+mduptzIoyxFnoCOwaKG1IX72F+6DrYC
0BikipMjj8Hb48Z49O3WajsCa1ulZD1ZavCGto0HVFb7dU8gWGFt6IFj0A920w7xlLEsZBcgm4Bt
3BIBcGlxgZ7hD51EauaT2TcntSxVX9TpFIRFRWMBbeZHpSrbEzo/82nIDOFbRV0c3DE7W85AMJlO
tENchU/E9V4wXJJzeDV2gOfUcBlDhMP1mS7q/aXcQR/yvRAf6J5AS7qR6o+KRbYh3XiaNBG5C5Sw
SxTGvVc7NYm1WSG7MmujL7GYeq4Abz+OlKMP9tPepxKjQrCFl0rZapOAlGlMxguEIYgj28AdMC59
XemNg0/dHWXFR4PGsG5zCqVy1HI1+gmSbrRP4TzOlxSP+vP9CV2P6HVQSjpBtwbtHv5CfPd62ZS+
meAqaStx0Aa76KjTRV3sf8fYpt6iqfDKxix/0ogBDkKfvUOChvXaAltzmq3GNsKhXShrg0lcKvu5
a83w3IYSL2u1OBpq7/yDaCL0psxIaXyzXgjm66ICLhqM/VSchpQGoKomKba/HY+6aRzlTbsrZ6FW
TQuYwvD2/KvIGLdiGu3A0ubyUesT6ckhdg5Ch92v4n5ffePpNmzJn4M64wQuJopKhe349IQqKjBJ
cUny8ZM+1fLt/Y3yC459s1PWviVVujUK39yiGe08JYwdK5i7skDju3d920ymU4yevx9FeuW1kE0u
iH9al5HwIOj6EVHysYnfJMboXOoeZXQBN4KkBAuPyoRCagyN8Ic2Vz10vIdXPTYjL3FPZjl3uCio
oVW9ONYwnvplhVCO0fxok9D4gK2U0nORNb1UTYgBL64CejtOnlU6HqM4Vjnh9pOaD9qsp8/lhMDA
/yq16aKkaRBSzGFRVmJpn5Cl6qGljM6X+5O1tzYrAX/1ukdFz9yksnrd69W8UIgTjdQCKbMwoGQB
WgYqBJ1eXT2A0e6dYm7E1TySvhOF4etTXKl1LM2EOnrrarXXdLn+2exM9U0NIMmviRBwUEWrzwUS
dXCMd/b6iqkFbEoGiAX1ZldMUekarZ1wSw1m/dJPCEqrsm0PHpfbHIALgrqpg9UpJMat1Gue66gu
y4i9HkWmr2vFiCg/AGixALyxBe6jjSKag0/buaGuBt18Gm/PlFnwuINBdljqSbO6JHr5MplTe3CU
dycRFgQhITEbFlnXyydgZnR1i9mkaxbTQ+FWgr5LeoRK/lUY25xgkDirqChqUOtw18MktHtigMm8
nUAqzyVIXT90exI3OYeBFunR46IPysWhjAxqPpmeNOCfsMwqeckntJNJ9bqTqnTGo5LqqOvkgzx1
IvkHxrb2CuiCCt/ALC9qp1ZPXTb8tUj4XK4KfGkI8/7NhFrEi+hCy+9U4HBRGhaQi5b44f7Z2yHh
khMAH7TQ5VqJMOu6/tbL6IbCTbo8twM9imctUPVKVH4kdOdvWdHN85JSsWgNZRGCF8k4v6nyxWi8
0KzbZ2c0qvZUo7Z/seYSqBXiRvXXrFOmo1re3uai20K/d+1omttiUFzHUWVUFDGzpkejSBGFP5aj
9tQJ8wieuNN0YkK4jig+kQpQOryekDKXfWbHlhUIy7RfuXZcBW1YZi8GhLNgcsPqmyjlz9SZOg8m
XPyUOESHfdHYXi2V5rkvrB8SZsNBFLU7A7/9qk3kEYsmiUxV2uQDWX2qXe0DnZP00pbgYO7viJ1s
ERrr2hQHFkJBbFunolDP3A4MZcSWN5pxUGE2u7j2N9Vd3sQC6KCikhMY8PXi9K3eT5dBi1+NK1C7
z5K3cyUeLbX4XJqdP+vK69YW/rhg9X7wM/euAeJniPA86dzj65//tnGpcthLK6m3OkKEtDz7cX52
zWg4d0lHHR63nCDX2uoS4cvgVUs5XrDcqk/EdfI8T/p4Fqibn7N8Ti9CSuO126fLizVaAM95gM+p
tahf/gcNQgWCbuIYXuEtjLDweAbQY3iwlY6wfztQuJU/TGy51lRWDYTrL5qXeo7szLCCVY7tx1y1
pYcMz3BKFaN4pNvQ+UIftAeh5cvb2C2AJboJ2Xuem9jME5Ten+DdgwAyj64Ryit44WwuQIxBpzlN
XSuIV4BL2+SIHWmR8WCGRu6lckHv1BEJLE6k7BRp/dsMxQDRW4I1DSWyho3SBw200YOHZn1Itvfy
Co8E2g1hhEfgepZcAYBI8rwHbRy+EDQVH6wsqj90A1qulaL8ayV2dcmh2Ab6gpjh/UnZ23RogdOa
RM5rbUxfD66NQ5ZaaWgF5DrzSU0gMBAmuQd7eycgorIPPJlpR4Bhi1Hu1XBsqd7SJCyxLTXDfnwp
ZvnJgCRxTjv3z0FT4ON1mFl4+JBg/NqXv52klSfRJ41tBX0c2udw0pNTrSEkfH/qdjpRDIN4jUEx
9Rcy5Xru8jbWVTHSkCmyrPeQJpI+NeMvi1a7p5l//zbOKHM0jfmkRyWyu84rR6Cm0E+f7/+Q29mF
5IMiIb1Q8huSuevf0WitakVy1IJpln+RbWm+KSAfR7iagxgruoP9entzMxyaAKznWrfeGkIipLwq
lhdaYCxC9B4wrN4bZB4/a1Zp/HEn43qszWNOAtXQg82oZIXK9FLI7GdYlUflxN35wxfFJo4lwHTX
8PO37SLLMDMbCyTmPMMPdXpXOetzVZ7tpiOpsuej1H5vAnnyOW1USqAJb8bDK3ReAcJqMNlV55XI
2r0h8CvOralO5/tbY28o0EMKm2LV59xmiYWSo+CAXhbQikI59wnYGKVzMIayw+xgqL1ZpFAB8oAG
GwC/zTWGIizkbeT+yXcM441eVtVTE9bVOQIL+BxWRX2wDdddfX1tYi5AVg9jBJQf+IPNqi3LnMVJ
yactCjWtkbrUOcGOkpywy8+hUucnobrKaZLu0Qm4vTQZWmNMWLArfGSzgADME62NpBrgwN08lFiQ
wRNQ1IMJ3R+FqwWRMHLIbUN0wYm+Vp1ExWZUNfyup0SC1sCR+9LeDqGJR/IGOZ7e7bqsv23+qm8q
wAQs2yqKDsVqXjAWrGa/Nurm4IP2dggWCiRwpDr0njbTlhsofpVNrQZK2kovjSbr1MS9doqoDXjd
EE8HedVO/AEemCcVljnjUeS6/rbaTWn7F6ESJGPi+HkjshfhIC5kKJHpZQjTn3N2UezpSEODZgi1
i1IryyNIjNpvCvsIu3471fwcQnGwr2vQv8XyFkqpDvxYbNJap/NtpU6CkQcsACvx8f6xv53p65E2
ZyNsSZahHygBKZt1nkunByWZYXMVK/kZotX3+8Pd7lSQPxz8VaEFxfFtj65FxSDPCz5s1dd4cOtw
PEu1qA9YnjvTp5q8PBQMSWgIl65X02kLAC+lu6BJ1xaPiSmjoACH+kjmedQj3fkgwKboOBGVYVqx
zSFboKOdVppLsJiINCNr3PtgctKH+9O2s0qMQqPMofvLjtjk/U6omL1taUtgtnFNUV6+CrPwtTq0
FptjPsJM3X4TVTfQAFAnYMYDuLuevqoPmTJ90oJe0+sAORKJ9E0rPt3/pl/BxvW1TDkScjoRJUtE
3/F6GLeo84i0UQn6vg11f1Sm8NtSaKZ+qkc0irxBtGF2GmW4EM9ilP2cghWugqgp4/6J/2SMzoMZ
ZcabSTbVe1om0Ze8FRl6QNwVJ8Ci0bs0nYvxMSyW6jPeDpbAec9N5neK2/wEFVp9wgUqVb2w6pcv
laMXFabOhvnKrIXsTtGgLMLT01HKN7Ezkj/lalqroJgE2ylrwC5PdvlJkaPaYw23FvGmtcdyuj9N
O4tB7ksVFSyICdN+c0AV/K0L3RqUYGrz7qGZEoXkNI7/uj/KTsbDM7XWIddO43rDXy9GTDwPmw7B
9nAS9HqTMX5dFEuDNCEiDumLWc0i9eo2d1uE3KnvetA07NlPU818iMrQeJ9YSvWxW7LwIiJgVQcH
YL3wr/cKtWRatDgcU05jMq5/noWSqj7pcg7ccU5xHcZLOW5ag5JeknoxsKoXIujmj6eeMenuUwGD
5goA4npQjBRpWro0dhtTGS4ammUn3SmGg0+7XWA+B3aIBtRo5TpsYnIiPEOMKWe769MRudcFiXpj
sg6Qpbc3CKMQitDe+CVluXngMnzAtZkCVmAmavGk4xPdA0+E6zfNWfGziWP7YPJ26Fer+fgqCsi1
uDI5rmevlo0+1LNGP93oyYmjwsy+lHShmycptKX2WiHrl3ZSouJZZA3k21gf8dWIlLkUXqoLxzp3
i9F9r6p4eMGnKg4fjHCuP7mUcmO/qQQUrQrummeZtSs8V2voz3YhPMjTUKvpUXFsb5n4itXSiS42
qJjrz1HN2nZqpVuCqOySZwuIlp9YufMfNsPvo2wmLashnesNlib1UvenvJ7LwNVhn90/7bfvI0vD
4kDwQiSbJ/L6W0YnGwU6WWy5rKi9skl0z8iKxY+4bA5S371pWyH7lHVo+gLhvx5KwL0zoiVh3zXu
+MqoBS65qntUuNsdZQWYAS1E12ZbF4+AgdrJ7MwBaQe1OTMfT0IPj4L5dfI3l9DKV4NpvOIYlG2z
plGaHIqgMZP96fHnxRy6B2Bt8qFE6sbPXWTV7i/T7hFa/VgoRKK8fQPHGRdLNj2tuyAHI/0sO20o
fTVZvkR6iBo2m9GbqqrwJ2EWX0NO1RscpasHG2id1/aWdgnTMXqfd0uF7xC4ZTEoiJslJRCYES0R
o6kVuuPpP0anxJ84ycUf3znraeH6JI4gB9qWKa22snulNqagMdQxSGEjPPea1D+G5qTh9tlbB8Hl
Ts9/7fwQuiCoQhy/7VuABZBtvM6XJurwPMea9iWJ2/Bp0pRP1qSnATIckFRQ9LsQ3Oeo01ZHamU7
OIuVS7yGt2tTFxHR6w1fz2FqKVM3gm0sqq8gfCTkIzpjb8sqan4KQfmDfvKYF2e9Hud3hWo3NsZT
9vfCGPMjkYbbg04Wxa0Pwxhpegqs1z9mkok5gFJbNbzpt+mN3b+Yaq2d8llqf3xzgSyheLCSiIE4
b2uTdhpjsiMZahjG6BuuPv2pBelxENnvTS+fgdIQjRtqxVtMN1ZFrjVYckTPSfuIVk3oy4FO5ryg
izLJl6UznyZ7NHyhDY9ml/5NYn+EmdpJFgnBSV8oLBOSAQG8nlVtNu1BzvEYjBkqQaZaGtjUadEb
aei1RxWtpNzu6sFU9LnfjXP7FKaYK5RJ1Pl5MhgHt8Tt3cevwdyBKJoM4SalyiqKDIMwhyBPLP19
hfTqaezL6ICQtLOTUHbnbqUIRV6+NZBQawckfcsoCLrUKONH7YduAbTvKUJvD77ol6T39UXLJzk2
24gu1PrYXk/wMsuekF7t6DVOOPRYVeyDbXFw7Rid/yPvvJbkRrI0/SptdQ8OtFibngsAoVJE6qS4
gSXJJKQDDjj0G+1z7IvtB3ZNTTHZ05y62os1K6uqtMyIQEC4n/OfX6xzPDe2toaOxr5zaMeKnG2j
Ir88ckYNzbpKJruPA3RTlwyvkhdHdbkg47fqq5N0E0scvaAHPiv61oK3mqudozyM9q1W5i+QAMfg
kOYOH5ARw7CGypJGGWZEMhdhA8+9DsH5ayOEXirbyFZNcrR6Rto48pjmGcX7epV7yrvX7ZkUY73t
axUn3qKnIX6/WR3h1z7sDBMPvchInGAOi0Yfs7AbTXW1FLKKCqxVRGSSlJ7Fdc0Bxa5WCmLuGoLY
jotYGLIR0mPufOJzGrjASNOipCDOI1RZZ89x5TvDeGUFQjGJsDI8/DJ4ZlO0eRn/6w3qJ4Iw9R1U
VFZb8DXk/G87RV3Wmo3XF3IUmFY7k43wY5aMeNvQV54R8RIp0Gf+XZU41SdfK9OT3Uzetc2cNcQu
mulTjp22hNxx2QnPXMKi1IPnjjXxCAG1uGIWWfzFemQ74gAi3Ebr31xr3szqOyk15N5Du5/s2ouy
dfWoH6f1FwXW9yXgz3cwH7OZGzC25atulrg/3sHThF0AN1i7NybdJP2x6Ks9IpUsD3FKrPFLMryK
VL0p77OYHrZZohLDx6hGjhqaQgxk+pnQY6NlgiYfppk9V3i1WMRo9S15dEfJwEyGoBIyDR300U2I
65VEkDc2REfVrjgVo87KR8iY+1dbRb4bvADOHxvtP7HfqaCJZSO1/b7J3OzsLW1+ZVVZcGf2bncy
NEB3pyeRj9CKrrlHibrcF16zIf8LzJLCLqQZraqx7tbA/pWD+tu1cDs09gYgEor0bYL742mvl8LR
HUmk90yiNGJeK9uXTfqrnIm3eDKfwtyCT4Edv/WG21H8CQj1Wp30GKYL+2zpqjNO7uoa5dcYDXnt
XMukdq/xfi13GWa2v3rgtj73zX2F1ABmC0gllOa3sUGJMHG+IxZlXzniWbgN94alT3XYlfrwMJMo
dU4U0l9bJR9l6eKIXM7TL7bgtzuBwxbPkJwm/ztt+yf0HizKnDxr3I+r1UR556qLtsu0A/YZv/Kn
+6cftU2r2Aegx74tuPEg1fLex+hsLf1XVS7WaWny966Qv2Lz/1Q5bl8KEzH2c8SNmyT/x0uKP3cj
pCfGfZuQ1qpnbrDzytJ6cJcu3bUl9iwzPnlxMlXdY6nX6862/jIjnmOgt6Ro3ASmaFvf7HpuqtuG
MQbDfvXhD1i56KO17X+1AP6Tc7p1sL4NBMtXfsuQQvATIPxMBuzY6xI2oEoiOrfhUgBC/GIf/2cf
hbLI4byikmFH//GkZkp3lde4AyyKSo8NXP4ummZpL2a6kn+9Eb19IrdTh7aU5wIEhRbtTdG9OtY8
ZSlD98zTayg8zFoG3ymPnUXYrLVa6p4A034PceVXGYs/ZYxtH43tEnAzipOfn0gklFY3yW7Yp/ky
kC9mGSEhYtgJBGkXGtlaNyHbfvtgT+snw+rmgzvATBuMTl4uWSCPiQn0wuPm7C1LlMTh2etjm9TF
L3qxf3YtUEIAJQLPIZ17c4OPjDCSDOfqvT5BS3CxhT90qRx3MF6dX1z2t4swtImNKUxRwBKBXvrN
8kiXsQwkh7f7oJcku9srVp1TMh//9SX/qUjkYxzwOZ1RJdXiT3KftkzLZMwbuTe6tnXiclHLZ0vn
LgjTxfMvZrJ4kHb0gXOuZqXw/7JdOLCF5UxBSL6wbMLSUk6+l7VrxlUGMIUxue3tcliyhMoYBK4e
kkan7CuMxXqVed02oXIcxe5NesMFgyLtekps/RVRsIYmp8rSTxbzGvb4qh2A6XXic8MlmBRcoqLL
VVS5tf91FKX+6thD/yRtK03jYlRjvRuIvcBUcHT8s0+sMZ5kTjZ/zLXMoZeXdvGMdJMMO9Mdx2wf
JM5mWlAbw50zGkS2pla52fVgiK9nYn0UZQJ1iT4MiM8SEfHF69NkWvm+sFvTCzWMk9Io0HK/R+Qg
1a2doH75i4UWlweZ/FYjfNcxvoX/Kr+vnE45cu+IjGV1IQ1aFXb9i095iwtvnwIozGZIscXd8OZe
w0BlQcEm5B7uaheLwEyomcnxmzom2dLTkhiG46/2/+9i/z/vwjBUaPs2vMmm8eKZ+nFhU02FDA4H
lU1LYY+hxLdziWs71+zYGtfgxmkrkqrLbiogDXOT2pHvdvoXx8uMnb8u6C9yd0k+YQu0TrvFzZdz
O5SNc7CbXmV728SANukSt2R+RWOzm7GyX05u0OX3C4JUQo8z1Mq7vO0TM6yJXNglQZaK0AJcmCOt
sGZSiehczZhpro90XfQpatzU7Ye9N6V5iamEoWMQb7UEkhI1Nq+7dhqkiGtN1E+TtBI3VK0HqLTw
3NqbIn3RyfDiw+zhUePhd3Czx1Q4Yjk2+l9c0+/F8Q+nN4AvsiV5fZ8/MfD58fTWba8LTaoSuIaL
WmgF81UxDOttvspSRBaB96Gpd1bNQfijf9uKEty4ViTgrBWeVSd9HZtXa1hzyHDgauEgeGIjO9eL
Nipa4q950NaKHnFV/a6Q5IbsMIvq30N8C84Dm3Ae0goHUzzVSyNu//XC9RN8wHLlQSfY2E3bUOGt
hQbTCqsvhy7f96QuI8UZ7WGNbUtrb5Ml0OBS+hmxUtIPkOhXaMS6eJxlgIsqJwVSkFs8T0FW/aOq
+7cv8/9KX5vbf5xe9R//zs9fGrlAmcz6Nz/+x3X+pWtU863/9+1lf/zZjy/6jxv5Wj/03etrf/0i
3/7lDy/k/X///Pilf/nhh10NFXG5G1675f6VJqT//iEc6faX/9Nf/u31+7s8LvL17799aQb8mni3
NG/q337/1enr33/7Xsz925/f//dfnl8ErzsMy0sN0PiP9/rjBa8vqv/7b6Dg7+zNhwqQB+7tJpL+
7W/T6/dfuca7jTZm4HvDIBtjC1rJGq/Z7O+/+e9AutltHa4OHSC3829/Qwe6/cp4xwsYYm1Fw+Yy
Tf31n4f2w0X6r4v2N2CiWxJjevX339jweBb+9KzA/kT/vsXdIOKDXvbWWYiZkk8oyphF2TyijgB3
8uoIJM6WUTe79I4kpq2fRgwwnlaZIdOp/aDA6XFtkVZMcz8+TPmMPxKLkvVJZX5+q5tEgeKWW2uP
S7laX6kXAjNW+BO3eiLvpyot8LBEtkICkdbOl5Y0avZca0zvmQOaXqTVa3k3DD22jQi/2ziYO+d5
LvMugYtaI6b0NzFr5NmLjd6lNHBcVYSIPEypHsjQTIr0g9KH/pxneW7FakoAgvQ+5RtBRVIfULgk
U0xuqWh3Ju5YL509pHetJAkGYw2rfAXqJKmta1Jr5RtCm94VEwYeWqfUS6dnOFcsHUFBoeMq3z5o
de1dkrLhpLEwGVfEshI04Z298Z6Q2fpG7E5G+rFX6XA99ikczwTnEhtdgVju8GjEhNzNJnUhdB/M
U4hRu8Gyw672yuvx+oDiV4+YBQ1QD0hPwByZgIEZk9q0EM5Jrrp5TFPXk+eJLn8NU2f2PhpIntLI
9giCi+nnguykTbUjEJyOBTMufsCWKB9zoinaTmUHipzgKF2vdE7W5DyUzZjca4WdDodJWYMfyqo3
7jWRpVXMFAsAhuNL46n3nIHSwVuf0g67uNDVM/+kuyJh/ua1VM6ZliwLebiZWUScQ1mTZacFn91u
trJIuk7/2UDkgFlKaUgGpLpwHpw+X/IQm9vxcSorbwwNWy2kXAxtEhL37kfm4Fzkdbnu0FMmS9gM
gbwexeQ4cdVP3Mez5hnfqKc0ESYLydnh0BpKcbarpMTbleDmELkAsX990bkLfj+jJaNm0fSbgtHM
V0s1zSt8WP3b3Kyk7HRQiw9JbaI66vVkFJGciDPdlWUF9GbaWv99ypZ/ztypn8LOXJcVCyk1fhpn
6O5e3WRptAxO2lJd2euxcl1BOrAzXa864Ts7XdUIkyB8UEqRM999KiY0UaE7qchszBFPWrvs7V1L
/Xrh9D2Z3h7OfCuhOZlp70Qrujp0zUZ2nxctqc7JGlTDbs08dRry1ONEQpe0dwuxKM7BM8dqDXUX
k/TYVM6lUVgiISxQykdbF5Yf1XnWo6Q13baOIE/XFN9pKdZD0xXjXQeXuzhBfQ9w6KoryyD9Z/U/
y3o1XOwlcsMMg9Fo3POsmcMQ5sU63RgGGuRQT4fqa2/4CpQOTcCVdL/nYOjzrB8MVy75rrcg1kVQ
IJBULWMjv0EmzF5xpUk+5KpZX7SGS0+6qOt+rCtGQlGv2/IjXhBSC5u0wI9EnxZdC/XCEbAM1o27
tiTZ/Oibo1MQlW6OZxIuQc/S1Rg+OXNhvUzlZm6YFVnRh/iLlzf1umov3oDwNJ6Z437t5ex4YerO
6jHIDL8/WSx/5JNipPNQ5NV0xz1mqXBRZqlH3ZpRhFfa7LaRzy4so9ly82eIN3kd9Tge+mHX6ma6
R/Mt0l3dmHK47G0ZGBeDLqf5PNr4gIQIMP08SuZx6C8AZzgdcONatm4HQU00kKrK0KlaO/exabOS
1MpetljZEdVdsMglg2jm2LaN4XLSKXLOjlS5t+topHOCAEpvuS5oc+0bQ6T6Z8oiUw9RQib+gTLR
BVXLdQy4Hbef55vWwXfl2FpSL68aOqE6Xlzp3A6VtvR3zar0Fey6zkmCWiCD3tuGlpkXXbY0+oXW
5nNy0Q1Q/5NwzSHtmqFNoe3OVJJ1zqi9M0DNcZvUn7x1crt4WRfcxmrbm/QoSzXubyKs6uFs+unS
PYPz99VrWZVzFm79ArMbrivhdji3LYcyHSSrxFLZ7/1M+LeKe1Exzef1MeNW43OKx9xnwXNfhF0i
JXQ8K5+AE3zRP6IZVGtc2W1NeEqrvHlPqI47x2rJsjP5R9MFVLD1Q04254Axe1Bcr8DDxiHxx7EJ
i8XXiD6ZGvkl7dP1i6PKjhFqWXyS7exdZpmLORUP9BdDTtkaTT1RWyGLjtcRebt6X71pGp4sJ20w
W8pH4BqrJlotHMYELF7qhU+qtkp8FZql7b+3xpnsHLfTqGb7VfTzru07tcNDfSVeq2XJGaYVm/bE
bVhtMEi2VqJeVyTaY6DPKA5st2C0kA8PmC/by3FS0nlupqmaItzIlidTVtx7Y1mlKcV7Sl9iTVOd
hXmPzgspI8G+ZKz7nMC2W9P2wsjTuQzdNSmzvUEIsghLCE1TNCTt8Ky7s20RkGKT2+4YAySbavUN
ktsnq3jKvUn5jBOCtg17QMKe7YLsJADfpLxaA8H3YT12CXZJUUrYeWN+Ymwu87BhQcFZuSqrcV+I
wMFrwBHfvDRA4IUdk+zwO7aKj3XTzM+4NjhDKBPd/dz7sn+0wH3ZQQHCRViZ2JZFy9yrL16jBaex
D9RXH9P526DdRKGTPZp13DkqEDuZOdXdUudFMx/YbSE3X9ZCJs8DKcxLpNK+pUfrteAbma3Lt1FP
g28g6Tqrk7DPubX5VomyU/CuNXGUydJcKzH3H2gzKgK+oak+5sppy3BdCr0NB8IJT3luSO/oa6Pl
RHXid1dVb2E42OW11e8AqAhqM9aqPybYGjILIvLNijJi3WqQIkv/6k7zusSzzGzGPY6XdLFVpNVJ
ZzKF13hhmo++NdiPNVblwd5ciqYgZK5I9EhLcbY05sJ/BJ6uXdIay84KPYY06M4noX/Qa3f8EOh1
b+1SF3eskJ7JykNoFesZQiU8NgUX75S7uY/MR1bFeQC0G89CFJMRO4VIn9hR9PJUBKXx7HktAnpr
Vtg1KBee7qwh+YuXzDfxbPWGxdqbc11pW+6N+9Rbta4OK5XTh87Lqhk1UlY+roUubwt3M18bdbKE
wzktqysW9eylD+zxK86h6Veq2eVzNRTNJ38tV1ahfrt0uCeYHKXHpaadnj3QNikVjzlq7dvcS7In
Uk18FMcD5Vg4MYLTCb4vy0e6cniFRI65HwGq1suacV+7d6wpCC6k1xtu2E1Jb5xUDsbPnpQaz60Y
m9s0oBk8NrKav0LBzlSMiE5i2T1MWdzZkKIx7sd9iHzF1jtB5hrNsDcK42Ja1wLmGOk4F2udipU5
gWWNDOuUl0bcwyWbpjnqVjhsGeC+NbI2rgQ87FZw+HSfyrln6NjMuNVricB2pKFIjIleUO8zdFxj
pJJhLEPoBaUXEnUh5tDKc604BolCvK5ht+fFdbcG90tN4FwI73p6tIs2e99YAT08PT/TmqY2s/e1
tkyvTDqrNIbhSClUGw7y7bLR8svSFtnd0CqtRWA9eY9CFgZjpyohZrvzsa8zdEk+eIALnEnI7Myr
fZkF5xXrbYsIUHQvFkFqVq151rHQrNWImmGqL/ANaLNodBbnVLau/YQHjWSB7RbeoHFUcjNaJscw
1QnWbeNipCZTzckqo2DImKp+b85/b0N/6LD+6G//f2mDaV3/+zb42NRfh+5F/dgI85LfG2Hfegfa
tXHGfP7jMkP9oxH2g3doYZifbIGKdMgbnvN7I2x47zDrZGIFlEMnCmvqvxph890m8NpMrVwiz8DP
/0ojbGyTvT/1wVteE4wfRnLb8W2e+j9iRgDSQ5WVSFdn/C82UU5oO7Vz2evFnaVBFK2oCgZC6sMN
6azb98nU8jimWMiMs9btjCSN11rg+Gjk9386j7/fUX/u0X/yrgU3wIoEs3P0BRBV34qGYANMZm+P
6WGdjORjlSAz4Jkr0zqSllUe5KRgOXgOPgYMKfTqSs54QDKVzrOTnmjLw5qTsdtag3rUslE5oWqU
HdtkMxzxz19vzb43riaZZvltwZADdwVipMdobYT5OXcLvY+HJkleN0F5tysyvLBCyOPGlWbb3elf
f9WfhyEQ8DY0FodYAA4gkx+vAvwDiy5zZkPQNfcRAgw8KNSbGSbazPTdfMgfckNbT3ABtEOnDflH
QdglayGbxhCK2suvtd4sbvLEMQ5+EvhfEUcYEQvj7hdH+tM8BPzTYUTPXbP95ye+s9+y5AZEuxfT
Ot8WwhNPRE9Ta3NbYFs13Yxw+Z/mjFibtRvtmzWQ/qlY4YmUTZ8OUTKY86lPmvzSXZdp/4ujezvm
hQZLECHDDWLjNhfAN+cRVwq38ufC2bOj9Q9N30IC8XUf2XwljiIvx2d9KW/wBEwuFJTxK0dNxi/0
dIgu3z5SaM4oMxnzchwbs+vHi1krHBug3Vt7T7ladV3PeHdcpMKXu8IuP6SFLeMFSnakqqKL8ZgG
5d6QWS99WkE34xIex2XZruZO0Rdcac5w0NuJgmFkIKTItLxH6Uk12mjL0W3guLq1Y95auTMdyHPN
I1l8WlRnRF1DQnbjkK2iZF0+k7WL8NYbD8gY7ajTpkdYCPK6nUQZ2ou5jiENS/4ImTjTQjc1R5Ji
G++lcFIji0mQq/aJZjpNxCCljt1kyJ6E3lYHvdOvcrPEKHoa7XUf1DY2sdaSjqemC0qNmVKvR4Vy
/PeoI9ARFAkZKQLGaw7nQhLWNeq7wCgePa+k/dAA7cJSs7+gqYb5YpTtMW+TPMRu3qVsSKkUu3UG
RVdtRfRK5aB3ltkkXuEHGlFrlE6UV5zfqQc082RBzO8YtPmzjudzmGA8e1xn0X4K3M4+a3hFEjBM
K9WTuLWTSUd4kTM3R81u1QvtR1SIvL7yfQag7TKKi6E06X2oR9heq+4kVHOe61LEam6dq7ofi0Pj
Vu69Qb0Xk1YsmVCM2SFbjPoKBDJ7Dfqq3NqWEbKHfLCcvopFN34AY+n2PtjcQR+W9QP8FrkTjRvc
VG3Qxfk04pi2qiD41E/JR9+fbtdFH9toHBzrsZnKNPL98TGfZlnFFMPBYzFp/rcUfmp2OWuBe2Y8
OkeBMjCaYN6yG7VV1OFScu4XbHbPqZmpKtI6Uzy4ixzjpTbcA41vfpjn/mER0DVKDxDKUHRXEKOr
PkyDgazlIogR6DG7XbZYr0o02g5tOSwzs8GCzJiNE5Lk/NVQC74oel3tIKF9pC+jJWom2oRAe9Uy
NUUCS5Nbx2o+YdFdR27DSV5Lfdq5pCIemMZ/ofPetckcnOZq6m6SBfSsRYFL0rIT4WeiRc1oRhT1
485h7Ler3L7drQX0MeZKX4Sazctx1e6yttj4VBi6Kz+2O3c4VaC08GokrthD0n8tK+eWRKf1MLXZ
WRAmsM+q3H/VVu+LNvZ0iFNah0bCwLnIscMZsLY46GZOXhvE9pAhMS4HpjIvZ9rYb1a3qDNrjR4g
BMnMj9Pap7RxmDgbSTMe87XK+6hZO4O8Wkx3OuZuO00Gr2zVimEpjEfuyelGgiTvyyLvH/F+g7PS
tPZtazm7elmNHa7XYyw7RzRhzqT1yiFvh6ykOtd37BrzJ0HA5GfQXhtOU+Z+0Bg7fpI1viIkFOZX
iVA6sdtVKaYwT4Ps6Kj1vjGD9QwKJA6VY7k32FTgKbC8TxUjVNY750pJIz3iUpPsNdnYz521qocs
Sy7WpFovGiGSu3L21qteTFbUkMJqrGMeFWAlqLQNsziWQaExQCt8BPASPdK3kmf0k6m7mg8kY4qb
Kp3TI6RNPFT6CeP4pYC7MlWxQWbZoe8sAulUMcv3Q11Yp0JMPG6VfTFUy/BNd9bp3Nhdt3PWDqpJ
k1RLAZBVFreBwgsWtsyHQi5XXTJ5p4zhcexvZBS8BNuLDK+VnSit8nJBCnX219R9n8NdrKN2muvL
JvExwrbzjyooMEfSsntN+u3ZTtPquI7VkG1Q2oXhtXbs+VPwONUrJomcrHtl9k2sm0rtXZcpAdEY
SRCExpxJ+Gv5TQryvm+8/H0DGzyPDW1UMhbjsN4VNunhfTpqgEi10R2KtXUPjdd3F7ql8pgYihr6
M2oK+HoN3vopVtaw5e7aXAnQapGdhNEWH6bCyJ/0sta/yXSdrgNTfC7BCS8hB8iTnWjO41xUVVyn
gXkypuJb4LYP5EVNoREMH9bvFRVGKvU+E6K9TpeiPpW164WNJb3r1oOdVndjclO44k6s/XNh4w+F
EICA9iZDLTMbu6kb5lNF3iBJf/LC7aarwlU33uJYu2mxzjIPjFBTjRMx6OhOnhRDPNutcSzz1btE
AnGRjPpdPVRAq/4kwwa8eQ67rtfuRqf0w5KBML00bE+9y7M9jOHPNUhxDH2d7a51qyPijDQaRvm+
w6T7xWhb+ZSbRbXL7QGLK2vs4nKwnUMOTAxCbheXDGvnyLIz6+iWQcoDioXCHIzZCR9A787u/SyG
GIpVSFVDLBADuIrf2TeDKEAsW5v7m51vPGr1uKULuM7TEtQPsFO9r7OpXXd9/jQUxhzhdnvb0rPu
urIqvi22GK5r2xXX5JHlR392yNMj/RbZx5w7r7XKKwCfYTq3Y5vGnYTfVIuF/B2GSLdzEUi1I7lA
NLHZ6umKvksW3kmNCVBVkfYsX4iNzAEL73n0r0a4cBtmVCsf3/GxBmrw0XWH7bgg8YYeohmHfpwb
ndEJYID1sORel6VhnlR1cljbNosnLa/N0BkIyw0rxwiqwyAt8YVGWa+u27GYvEtXWK0ZGX69qq/C
8goZgxcAJoCmeM0RE6bOPshZ9OWDrD1xZcCyYX0KUBOOjEj6c+9ZjXtM6ZyXLY5eT086NkHu3pxg
Dt0N9dLChs1nvpv0lIXdjGFcG/aUfhu6JcijIMumB5NO2D5zmw80MJ08KDJrrjA0n8/epkkJTeL2
GOUPiTVRgBXjFb4mpiBTcFHvbaMynoZOlgd7HKuzrH0W3cXRYi8XwYte9tax8xprR8A3rJJsXBVA
diqzclc7A/oqMDFCwEo3j6whs3ekYlRmOKp0YcRoeZBkDDGDIujjbMWd2azNjvAKyE9r400Q4Pu+
eMLapdJuifRhdjK46e2QQUIgcknsWGX0yxUL+GtYxsZVNTXJRy/vaFV60ytlPHpjs+yA/lmbgq5Q
1+ksGRsSe5FcaEJPLkoTPmbsAmafYPJMD9ZotxdMMPBkMvXRCzMmG0dGhMtnzgB1GhkOJGbg2n/f
tE1ykeUjtdkqJqqn2cBdtx4/S2XmhH9oRhd1SZ7fmmZivW+kbn2i1rZ2/Mn6WWNstku8tCYyUGu8
VwR1mUdypLIfPDE9dBja0nfVz6IlYjYJ8vc55y1KMER3zeJcas57tWY+VkIgQRunJ4JVORMEre7H
drSumnrpsUj2NrConcK+1ssC8k9b3yessgX5QKsvaWKNBheDZEwio2W4R9b02OEsgn436hunuBBZ
j/mZ7Q0koUqMfEMnSbL+aKDi166zpFfmHXpD0Oo178qvU2APoU55+bUjPvpS98chrg1TnDppVh+w
3YkaV2nhTG5ClDuufITrq4V5BZgsx4D13dODG6Kt8xN1qxcVi5zWsFiXYQ6Nbh4PrtU6elhI4k/D
dV1qOzTN+mWaJvXZh6//IbMr92R7rboCiF++VkXxcS5HddEAkbZh1kDxx3A7++TmKC7stSvTWF97
86VIKnFazDa97nG4OObJ+JS2nfNkKSRu05Beq3qWH6BWZsd6plqIXTk0L1qf4epqE8/9VPssa5Fi
jNtvhNYC3MvNZpiDZlV8FVLc6pVWnHl+xbWczaKIBg4/DSW4RqwZeM4xz3OobVz/G0QTNxZTfzHK
8SDKUr/QZz0rdgEz0+uSEnmXOW1/0xpCwDyxnQrmxwLdK6krhtb42sqvOfTmUAo7bpQF+GyBcIel
X0+fgkroMdzjO4zpN4ZY6Y8x4bvJ+9K2Qb212u8Pjs1D482DuFkaeayBzHHrZkslNQeMr6gSRoqj
FmHcQzYumcdz4Gtxa6VGZJBSFELNf63GYb4pVXFi32WVQ9DyLYf9ihOjN/rBcXDt3ovRL7gimjex
CxzStNhV1RQYkbeU7SElTF6dpC3VNef8W63nSx0Fi3Mkc0SPakvbdZrdhL6ooklZDLedoL8LdHE3
9XkVl6X/Pm3bbT7VUkxa3Uuq0onIH54vZ5TJI9kTd2VRGtez8Oon31xbsrKdcvmQ5jyVYRUwsxja
QOzdqpo/s6Ksh1GR77lMeki/yOdVhowKOAhh4NKjqsHPTikLcJxk1F+xlfoAR3ZZcPNbDoUXPvJB
kIEhUe1EObOO52pinum0lJwU3+NV04jsSElXXtod/MO2n6dH1Finau6vOqOtHhbEcUClYtkl0qWZ
KxjIPWHMhSnmzAQ7RDzluGFla9ZDD1Pi/SRIpgzxSRAkmXZmd5nZC4t8y2oeLIZzngvbjNJqtnbK
tNKP7DhZHAA4HzrA4n2Tj3psN673og/ds6xc74z1ZvGZeB51KaYAH6+2zChZ1Smtigeb1KCPSTa2
Dl5WRXoKOqv40lMrv89mhnW5O6XMgzTtktRu40qKcXoZVtXdkI6kYmhhbLgcWZmdiE6y7J2C3xCR
5Gd+0acUZYuxSH8vOtcbI53N4GRXnnG1EaBjIhubS7IAitfv8MlfAnEfG8E/b+lJP9Ca/md0p8Nr
sxGF1Nu32o7mzxDy70f3/5TptHkp//cQ7/X/+d9z/qX5AeHdXvGfCK/7DpUmlDTkKsjrwAP/QHjh
Vr+D0wdVzsVtaEtM/QPhtcx3noGHj4/uFvdfbMn+C+G13znQ9sFkYTtB3/e8v4LwOm8wMfQciABc
YGaeFdNEVvojHIWa3MjrOmuvYeozv5rseNSr/p4I7/6+VFYI7/g28+z52kYK/I9/uX/8n2WRA+H0
6ebHNx6W8kx4U/4l09wlQucx3KwQ7S4CK21hGunV82QnT2nV7Moej6eQcsC8xsoou+xNsngm0fUP
vlNPFDQOczoCxkUF/GNtn5bIrjuuVQsAO5TnqlT2a1HNp7FeYJPk6gJD7UvdA4WNncXLDoM3ZeAQ
q7rB4oHsmRm6Qb79iPfXL3Do77y3/0vYeXUnjqVr+BfttZTDLUgoAAbjUHbdaFVUzlm//jzQfaZ7
+pw1c0PZLhsbIW19+41/x8gl3kHeIGBybNhAtOod8Pubb4VoGyDyoZlOEHzbSPBY3V4q0SWEGVKD
Pih9eW6jhuJi1Wx3qjSU1yjPN9i/lLDcOGNDw9YkDw1Y2/5g/URQ/j2RkgrZolJeMfNMITw3hH7C
KoGo1YG2bvcIEeXTY4/SmFl1XLXJpABEKu48s/qFZBuxHxAMDF1dfIj0Mq9m81kp9MW3m9W57NaA
G/VS9uhgsphCFfmZ+9fsF4MOn5wk7XFos+bUY44DXRr8kYaw01am63VN1OUKxFs50aJsrkJBTLbW
iGfVPH+Oh3XxLIRSYaI21RnV0OrSQHqMR0U6C6qdnWrs5tvjo7RR51u1elMZEZ/cGsr7UGgoUJXY
/oFoyzXtwoyh3EoX+dAcRsIy93Cn+sWUysOWCRjGHh9/PG3HLDfL18fDPMoB66x9qbUROd1k9h4I
YUOPeQZg36Tr1ymOg6x9E1Fj/dKIlanJ/kghF7vdqMzyb+LNr3DGwzfwBeR6EGPvU8rctxjL7Pxt
mfh/GIz/e+mh6IVYAUG4czX/58RR4H0GeS7kk7o1tERCIQzcYdXkZTKG7DJsYKr38IpdRCrjUdSR
9F1dBHL3uBxD21h0BLjT9CozZVynTPEen8E1tehepsWJkwqwSJos4w0v76eM5B6UpmBTqBUTN8C6
TNvj5LZpZvyaGihZAQRD1MhFQgK3x3yhvhEPMwVqxAAyQf2/Za01BXOrkzM7uDNA3JSkIdoDsqFR
yZnHVG9+zPjHzP0meAoKiGt2EBXz+bpJp8gq5ZNsvv/ng/hwWPyNocLdR7/0PcCV/RsRU/9sTpXr
VdYEgpZjhGHhuHbrpzYPqB8wGFiiz38i7Vl3loWGjtEKbVo8mLtcsxHQ60rzhZEFa2iUrscis+ov
QycCpd0jj5ou8EfGywa55Ax9bR50rb6k6LulfTskx5LQ46fB0l50Wa0DhgyYsugTBAGcKm3XJ9Vo
lhBNEcI42TcsPXrCNbZdHg8JEqITFn/fnEy+lI/Gf/FwPPzn/3ZM8IcQwPvw+lIJ8E+HEII1hjl+
1zEtflZ0apyBxqd90Wub01o4GbsBAhwPq/4y11PqLpPcYdzUhSuzzfQ4K9U32nW/EAVTXnln1x3y
ueZcbIr6xTBdyhx+DrZFj3lf1Gfqh+IFSnqqz9Y4a8GmGNtbYeBQsCe9D+W6bK81WTf70siNH6v9
acZt8V03ROaIPo090UkAlBIpFkW92Gh96vU7Y9puaePyKxpyxe26eQpVvbafhYCHm3t9+U5g6Zsq
/lu4ysML9o8DB5NokJRKiIeCwf/fl/Jqq4VRZetwlLW6uCyRwkUGwlEBZQ/y97WgjbpXhXDqdkle
uhw+kCWlROkh+hup83i+tDr22qUbbsiKv8x2XiHI6NqnNU+hHczZfitTzdpZK8j2phvoHQu19rU2
13bWQmlyTtHNK/kkySHB13sikylxdeI0D8Ui5W4bDzVKgGE52WxZoqXLTvn9TZkQoyaAgW/GCpER
az27aW2NnVExou//+Xp7VJf8+yHCQWA/6gpAhEH0//0QkTJWTX01t0fDqvJDM1jzDRUms3omvihz
UQfIMRVHmY151y5l6ZB53u/zbYx+pCFVDvnPbhmbfdRJ6dWIk4b1I14OaB/fDKX3rE4lKqXT8jpc
uctte2SM0uE/vwLz7sn62yuQEJBzbZP9BKuKouSfr4CKcU1pVL35835Nyr1+q+SZAt0o0nhDpOas
JEBlQ60pZ3SQ6eJhvGXLm5rSbRScpCiRSs+MSvn2+Jr5fenT4TZA2inZVl2kNmZNV8yz2cndM7bO
+ooMnJv7aiXf7CkvA2UylLdcZ+ulZXWLtybDU14O+munSR+puhaMDXbqJpqwr6QuWOBrz9H9oavS
bc8+kCcjesTeFel+SPPyx0YwLTRmdpvUVDpCkmhuMU/ZVcrRyU2tsVyXZesCZc2RPSGA/jJmBaaH
NVV8ANv9rKoSBvFtN+pp+l1oiAQ3PS5PuLD9XIqncyHqNRDZ8Cu+Tyb2fTJ5fFRb069agaKo5+a/
NI79s/AA2QMr+135QDbi3VHD4Pz3uYr9e8Eg0pRHS2LuKwfTRavV3gbMum8oel2B2OZW6EhCNXt4
KmzrNd/m9Sv9UbFTjOrqdAbLTpct23MrERogF9P2TYtNGhOHrnq2q6IAzzMbZ2vzvTxWOxtE8klB
MwVjWV3/emBkIbwQ8Zmb0BXFe+monSSe/hgozf5N7u0osNekddiuDV5uRuoTwQgCj1ZJoELbaE/x
ML7959P40bD5t9OYmkMw/3uCGQIQ0vj+mSreAihZsaYsYTXPsr+IpX9WCdDxCqUA9zXsfc/ijiLO
0Pe6LuZzP6qNQ8NmF5B2vu4GsKR3xGr4uetseBVVVDm10C1nm/vykuuZXxeZ+lNRjJesaNdvqOMZ
zspE+qC60sQRUQweibszGg/Wwy7TPja0aQd+UxksTV0+y3bqjYp5IilEfauIT77eP1MSiXcPc8Uf
CiN2g/+/ZeOf7iZiHTWN+BCNJQlrE//8+9kioB5Ve+3b0BDUyHpcKPHTqoEZCf0GB0z15JoQL5Hk
+aG2ZmtHQEz9tG3db7wosNNSoe6J5e+8EYfNrUBicSv7nEkAYsgCE6yB6n+W26rArCY/wOAsazeK
9W0qtOq/LFD/lHvcXwoRfry9mFxI6XhYNP+2oRCE0/XYsJoQDZz8THzGLKnb51J1F7UfU6/D+PEC
sCKO1BYku7zFhZHH1Cg3y1yN+81SmgAtOWqA0jzDf+imM1ZMuv/5/JOB0O87m7+fguxpMfFga6RJ
i4Hl8UL+9of2abNEtQCRoxoZGEd1Mt1+mw2ir5arssp+MpzH+sVK8RGmMmi47HRbtY/Sjlys4mlS
jDBZl7CV8WxJtRMPzTkzY1+1yCbdhpdObVzQ/hnSlB89DYr8ROsJqjgML/34lVaZt0si999yrb0o
cRQkyoCQ2zqXMne+4aR0285od8bn3IxunRtPhYLHpI0PWWV9DJrMwpl6WxlDZUReEu2UITpVLRxB
e9G57XdCDXN0No0paAAiGX2aw8R8U3HKrUgINnl6BT7lzC852He/X5P67MR2m7E54PeXAoVErqpu
3mEJyX/Z2WdmfZbrG1HYJkCaeiyigEYLNErUQCwvZr7Pfqz5rjQcqSRtYGXVvhTXmhcLjpxKr53+
e7bmXcKgTmRbzDSQ9M+duCzau7A92fY6+7skXiKyBUfrqE5hNqA9SHzGvRwTiOYTagnHYuqeNdc7
tPQQGvZBtQan35OB4mcLb1bCpoqAymUTX6Y2DyQtc6RcAnPkN/THRJn9cpOeDan1mrRw9Vq9Iat+
nXT1LK+ld2cQbC0g38/HtO0S1jHtGE38FO2DZPbPPSSwsvXsU7WgTs1XDenCtCGGbygdLwD9oEGb
6dgnw143v8ZCXBOlOpjlRxOp50LePDsbn2MQ3CYDDzNZ0sfCepGWXTMtvq7CR+TqXpfIkreE8oQc
9JAixo0ok2vontXrD7vGgBAU2rKL5a+MIdSPJzuhXOlV3Mk4PZv42nfvZPpRcNnvBi3eYUvYWen8
Ea85FtNLkSU+aoBTco3i+D3e1BP6MI2wmPk3BoyQeN/vKdqWGJ2viG0Xt+4ecnDE+aPVFCNLm2N0
EcPbeKT11zfjY/Tex19AbHcqAUvam95cFuqCs4PypsFua99KkTipGu/F+nNcQa0NOkpiLNaZ7uZp
sa/lj7FKwUReJrXdP+LGhQsYXmqvQ/eZL28ZBqb4a29cp+F1Uh3rfY5xUA3cmZ4xQVOQFg5YNXU3
sSnx6/ZD8qQox7h9gwZw1Kh0ZnsgdebYFto+s4MtOoxpaHIwC4aW6NP4rONQU6+F/Mn9oit39dcp
3/e1N/eHgQi8Qrb35AQx39YJWPJ6/1uicnAGk+QhkQZqUbFWxE6abM6dRRrT0pn0btdJlCF3/c4Y
+qtIFbR87xLBrOaY761fijp4Sy75ub4eMkXsH4NVZBM8dE/tSP180EP+5SWOzlRVbjJmDodhVWqv
0uhcZDjuN74rdRUVHB5zsV6MAUMt2qDEyyfNGxj4iU0NVE7/PAKuyp7rtg2rdvJoH95nBm00/bQ3
WpAlewT3llxzsh0RC8zJ2dHMJHx/Z6aNoM+aJ/zkVyMyghY+MemmUz8o4RQTNzpoL/FSe1SBUtLS
OnPJvbuQ9vdLOxaVI7L47ijabTOGv8Mo62yJXCsPCnFBMYz9Lm72TR3WCXYUbxvhXYMMJThgfHxq
cA4mocJVsZ0S++tMnlaxviv5D7qqQ/zK0PKNi9vV01XhTJp2x/DOy9o6iKxh55hw1nIy3YaL7oja
m4PdZe+lCTHSy1H0iWnOS+VacYiW7M/aOvwqlkW8st2QDywzxQx7r7QlO6TEeC5TCYw9RxdED6Bn
l1N+2JpLZkUE2BXMK7MotKCdUMmjy/hOZk9xTWUYR3uZgxYVPrJ1cgCbSYsCGXM9TE0ZqlKn3Zp8
xU8dScGCFiCApqldNUsk39wSMEw7fStMbby0ph0gHvXkSWo/SosktT7Kcq+r7TxoOsQ+qpg+gaJk
MLsLeW/jQVt7+AhLePT6ecpkdx/g60Vgy6ntdEXXf0jGpO9WRBRnDFnKe6FjR7x/G+Z1M1zF3Y13
/zReSolksh6UZUC/MpkLN5j1mCnJ8GWuOuVUkl22Jyb6XV0QSNRLSwGyUiBkUrTpQ2P3M/ez8bZY
23auZ02GFJHmj9mmBxxuug7A9J4WSV5ufR8f1mTonG2cloOaclb0cPh/PKjZZB2WMjs/vk77CAIE
KY4TTqxeMT1r1ZmH+sWTVgQfk9aEWZytXJ06btZ/PVOHXAVRFUesz79G0iq5lohkByM5HepjJrlG
nH+rleXP3/n4wcfD42t/ffr4s/76GsweUY9c4INW1wWcsgSaXFL8HotIbK5aWFUY6/fNYEmm8Y5a
yxrDTqfeb5OV5Tz+K73//+MhqUr+kseHWDH4/ro35v0yjrgsLbUCQSyEp6TqkyEqrx0JaRwHty4i
t9bQCnXPBk9eJnM4GQK4j+Z3HSOZvBAcsLD7iN0tGlBfLu5Ei7vRce3HwxPxD9xYeycjXX9U1n1V
q1RszAFulEAonxDwTiafCRn3RiE/lXgto1HfWaM3rooXJV8z+pCiQaPiqjgosnTQqb7VkvW1btVg
LnkLiETbuoaF075h+QvrPvHaKvHIiWJtVhxpJf6+z8Nau2O0HRFrit+3zAK9d1+uaoI38Nc5pQwd
3sAdp/lZIb+j146FlZxWJT1MaubWmcEi2B/EoHmmyLyeYqkY/L3KtrMEKkxorMN20iWZCrFDTrcs
nk4aN7ZK93BiemUmeyJCrtHY7gr5ngdxY3xt9AFaLEUb0DrNRC5bhk9sE0HdCu6rmAxT40oExwVP
1GU1YOSo/Wb2vaz2GE5DG5aiOiOjfZm27lvLtqvrvhQj96loe4/N7btevI3m4DGdn8y+9yaLv0OR
qRMaznXaXFMkfDESTESog1k83ryR8gXBwjeVii8ycaK/2s2IMOkUG9uVienndVoQ7ui9A1fgEnd6
KAfFXSfFlePIRSS/bxqxjyYScKwt5NpHoDWgJMk/7Gx9qSskAFXvSZJHh7Rn29yRYRzm8oBNTxpC
k2s2XzQPbZmXkomfj+rJ7BR0hLEnLViVhhCoIEiLJjRZ0PQciajVMkxaB9FX4Yx4sWau0G2vqNCA
CskdbET35QmXqNur2LaVz7olV4XYdPAXRxs7B5/1jtoZd5wmbyQAOF5DUamOrghnXS3HkgK7HkMl
TjwjmjyzlEiXUUO9Zm3+mGUyIAzkNrzDsVR7gmsBi+pBmrMXOiqDWeISGnoSj2CsR09Z0oPI8qO5
WidZFAczgapoWBrk2gMU3N1f9kgkRmW9S0wYcg17P1Yu/jvu9TKUROoYg9hN92kVfhRj7NFQlyNa
CEwz5ACaFE6PV/QZhwpt6WCzPjB/61QLKghn00TZR5RUN+z5ZprkZbazdiwO0cRpTWhZ1Hm4011z
mzl6eWDkSAYjT2J+sVuJAqT1ZC8ts6Z0a5X02LX1aYI0N3CEK6nt1Qz3TKiB9pUoYd/YmvMWr7uW
hRIZ/Bs7o8Aoh2MkyYfRSl3WaXebpXBbloOhPDdrF87NgvJmctrxKzEW5MvWGEfviTPm0yolL+wo
PqR6uKB5fCvrPWDKxYhQWGsdV3v9VifdPbTYl7T6HE/8yVDS5vxSt6k/qsiti9IrBcp/2DLiknxF
qxnh5cM6gOUPLKs6wS3RPpvM/bRtcE7PQmKZ6vWgvN9jE8mriyLUO2XfjrM7rXloqaQODM1JH76I
TTtl81OvlIc736Nt5qGMOddUncHHCuUxC7dpZegxkPFqPjd7b83WExDha6ttHhnx4VS/G0sVTNl2
i7flR0GenT2mx9Jur7xDk1kexogQykoNGj0KVCgk3s1j0pnPXeJG3pzLV6rNPQX1sMz7qKn5OVWQ
g2zIleXMxXzID3+/z/mK0vgg846ijV6UCx+fpEyeTMv6G9viICxWGNKZyEd0S7nwSgakkmjVpnI7
qw8KlsDMfAbYc+VWfGvtyLe34miIKFA0FJoF1z/FlgRcBmvR76XDMOJqL9D1ojFdCMluv0GbfLad
Ftbjeh4jJaD9h3tJWBgb0uWNyBnkMOvREjMrYu+ZnUQfV4St60PlBClJbOhNGpGzA2FPYT2rl2q9
JJv+a55ftCq7slvdoci6rYkepFawGKrXb9dWy0/NKgWdNh+omnFM6bvUGf7aL4ENA0PhkwuA4FJI
6bV17kpW7whrYm26GWZ8yasxLJs5gGfG4zzedLPBN3cisN9N/BS7XKGBA2I32QjPmZmJD502IY6K
vbjkBAbutLTmaxche8aSUFH9azRst+nWmWuni9TdJEjmlUqPQAhXRchpRsO5tReoqYataluc7SU5
DZIUYs09kQu/14AyoSm+IN96yxf1JdEYViK18bUZfPVpZfDQwBuMTPhtmb0yDz5rrXbLNcgUdKC1
fYPzvuhSsSvRr0ehRSYXjs7hqxSrLo2mxuzaAgnaYckvVvdmf4/m54xtqKx7XfYaKce68CypP0vU
piPPO0lp/SbM8tYjb6GqHA5tO7IgB6lkhdpQfhSy+XMy409t4cYqZWHSJVTw1Kf7/W9px/CONRRE
UTb24JsGf0yinWXdvFXjfFz6l4aVA4VlXLlNLfY4WPfICdmL6H6PhqQPakN3NrF62jYE+lzcKEUC
15iDMTFdYSWvRv8pZxsp1GuAmBgR5AoCMhxStDmbObiRPoV6MwQIowhq2OtJTwZAeiE87R175BMc
yEFM8EKK5XXRFi7lc9xP9E1+4mI8yRt+h6jwdSX2ZakgB85w86LwW4ZNU30vXruNe7ueO5ZyrIr7
6JKVuziu3zbNuCxzdmz09LwQ2lRaupfPuT9F6TmTrad79ABWjSeZTQ4FCTRO+AyTzpRw+yxASCqF
smXrKa3iGxRs0CXTrRHLtRmS0JIS37xt0Z4ApbOIzGTXqtJBashssOOwkhjY1pQzz/aatjwbOalV
uXil0e9M0yAJn4NvxZWvW9VujqJXIVvviq1e4eJuA/UAaZs/aWoGgGzsprRyMzE8l6V9LtXE39Qh
rBsDbVrsW1nmFUK+Nvf9MmUbkb5dC2XwW3N9iuXqbY021FTbSUX+K4armWmvaABOhc4MV6iBNrML
arnAAKqs/kD6cjCb8W2c13Nq1SeST4OtO1mTES7C8uRa9qWofbPLgeyEHwW6rRhrSxn3F9lwpmX2
Smk5FlXs49U/tpwF8yKRgKTv5Snnvr9+UbfIz/FmRGX12WT6FyIJnpF5vvVyfestZq/7SplK55I9
I2EFn6yU7zZTnd5GTilyslraI77XT3zt1zgeAwzaPlt9pe7DvK2fpUE+Wsnvopq/YRd/2prx2le1
l2JwubuIkPa7TeuTqOlM8ehjJ3gZITPaWgvzmKzjRgvl1ryhk+FZuvfBrJ9wtrtw8bsiCwaNQmMy
1ccsfrZKi0i64qkTdtin8jPSVXIhdDer1xO06q6QqltcJV+rxAwNRv37KY7V+GthTEE+4gqfzdvY
asdFDXBthMa2HA17PhZFcbVM49izKVyWN4lb41i1h4pnACX8gb84bFqwCCXaC6KpR2pYubxsmpRU
MzqkSncaMyWAlyzG90YxA0uLb7Pe+2NkHkGQ+zk9cQtgSkd0CpqKRUiojm1+dpZ6GNbmBCMVTppy
HNcCdH6oMULtpiL5MvXph0ZephmbHkGSO1i9S2O+EkV8NMf0XFtK0KvFCSruPOnmSdKiMLKFH63e
Sia9uYj9aKFtlL1JNVycOy6h5Z75Y6mpWptVdzCN/ZRlSMy3yxhL14zLOOYq3VT0Eeo5TqDFowon
RuMVRh/AK76MknmMqS3VreicC4VYv/UQG19QxYVNsnj2wBb/C2nNx2hpPVpVz4pVhIW0hUJpnjp7
ecbKv2OPd6848dGEHu11eVItVu3MSyWG1g30I92OsKbvguttHukcaGOuK0ZAQeavGAJjKGAV5DA/
VfN6MHXDB8OpCnT+bpnqB3kmpH5ouWqSgL0vwTdXc5j3bTpyWxnPBCNdypxTuI+PaP+DWlV/TtVw
hLq55cAUPXZvNcIylErX3pYupqq+FYXMOj3/mhaTBda+Z7X4Y+7qy3shoUcstwvM5pl2N3C4qCHl
qfXtsnDnsn4mDeaNJNAb1O1VnsWBRKhbAVc3qX5ZPC0LQvAhD0U2s3EHbS5lf1qHO5J50qrZzRvK
WEpm7V4LDX05TuV2k+3swl78qYiTk4Z7Quq+LWlymiLtkxjrV31UfpiD4hv3MIspOuWV5qvTGNbA
slNKBsqqh5n8RYzT3ipZxHgBjQrvMSLgynpWquEYNHZzNLXyaCoNfIflmKL1aP7htladsoJ7goR+
YPnQbf15sarPrRIfVIZcRRS7YKurB1PoAnctC/MWTeC/R5z1zXoxAd1USceuRRMHy166MgNpGHcU
g73b+EQ+uoNOzYla4fcEMtbqL1H+7umFjSTpUjC59Zx6RpsfUvZBQB3C9Ja49ZaoP8jK6JtWRO+c
5d2bCGShHPPnVqu/UfWLM7bmLLTRJklOnb5zDR5ZoK7K2Ps02N2w0XlmbmHJqtg8PiHzAo8UmLF0
16xkkqQWX1nAkCpuRQYjBuLUzJZ9Xf62tNHFzMszou9TPjOsrKQiVGzqOwAUnPmHkvAbIiQS/jJd
c8YYJbcKKvovaOWBhtj6CF7x+OLj8wdO8vj08fCAbv76dOwx88kFRhcTM+W/nunxQ+2/gJ/Hpznh
ugjZfVMCNZ6VBCiAklPcpGspM2jCBNR9WgEr8NBEdb8TVUk9rGj//Nrjowpxa/7HN6a5Bg6ZxhaQ
+gQVna8bAWYxUtfdKFfsWCxaq5WmDYc0acOWeJJQwjjtxjjOAglqPZSX7s8HLCgFrOzjczCD+2D1
v/8fIaVAlLj4jy9pdtqEo9nw3X99y+OLjx/+83n+eoqtX8Zd1xe98zgGD/DncZhKLEXYoTNW5Pth
wi71RaWs+iAJVQ4fD1mtRqi1M8ZUuQR8yqISflUu//ioQOHHoVvJkbGNL+P9oA33Q/X4CHcmqQtT
3ARFxKh5R9geb9njV63VhOvQUn4WWpShcCgWEJRJqR1ABo7t4wkqgq0wJtyf9fFg6dmPyASfT+KW
t6xt9gjk7KC7/8ZN13Gc3r/18dHjay018eBLG1RYVrCT+N/n+et7H1/LELmsf/yax/9kFJ+zdctf
+pzDP8y8PZF2P9ZDd0+OWZHrTUjlt2wlLKr3mrU9jGtzMMGNImXw5kEFcSAJ5PfAPqlcW9eepr0Y
6a9CXojY3C11NPny4o3z6ErDQnb2+tqu9nfRnCPZlSdrF1+6bD3MRoq37Te6jauq9OzKZhcBONAI
uEK+Pq2/hwgGcNsCaURvnd2jgQdHN0GA8lDGpkGKm0uv5xEKLNhK81nu6gvsrKcGKURo2su8MdW1
3pRjIyVHva7ORSe5yVB5xMzK6n7qGapXI0hG+0C2ix+PcRj3kZvdb0F5/lQfiQPwCbPy2XFyU5Sc
0VSOUbY84YB9BU75rYvDHNXHaUFMMHb1CxKCcCQKZBibQ6rqfucVWepgBcbNtu6TadwJjkeR1h5E
/JF+olPN8CCVma/0dqiJz2gynslz2c3Tz/th2CLDNcrc4YxEzQBGt7VuNChOLlnkNFnebI0Mxr96
qfOS7Ai+5meYrtU2ccfxpE9MjSReFdTYUBxAyE68lxhO1r5k2xX7jS72DaNHjgizaXOHMCUoDven
LNpDvrEHqLcTOYCY2ywHr6szrZaHkZTrPvO0IXfRse2IMMAIUR8aoMzBXL2YDBere43YXSGLP9SM
MAm/gl6NgIDZS6bCzTc33E6vUrn5Wp6+kugAVF+QfcXeNpGfM2Lw7zvHoVA5SBzySaNppkp3ijTc
sEfu5DpyzeU+QEKdbFBatFQY0+xrdbcb7II7huzlQGlNf9dI6U7GBJRDtEqt2G8YOKVY2xcglHmF
i5GXN9WkFCOchLLxDfGlJz+two/CAk2XwKts3Yio8ai4d2bVdkmHdLDkBaDIO6lUcPop+xVLvaj8
VNy0GV+WOjhp+TPVP4zit4q5XbEY3JeO8gqnz6uDQcPtJCl+o9LFXYwO8UCkOgA+k94VEcUoYeZK
1frYGrOD1ssx2+d6LNA2z7s7fWpsMfvmbL/U7W7DZtauOFF4ZdKYO3XcHIn1D8zFcFtSqkSO70g3
3Dl6WoWbUKIe5cO1itrPtLK9nl+WRZOb2qar5fq3jeBcZFJubLW7jEBcchuxBeVOyi0lBtIbt28t
cJMJ92UgQpDp9Bss1LQ0CWLXx3qXkFVgw1waENAxPudZA0QowJk7ipEXIp3gxYWO0LQEYdx28kiN
y7IgWF1DMzG/s3lDMii8Nm7eTeLaRisO9QmWoFFQaxV7exCUl7NrR68pxuUulQU9HvYt+bxZTHC1
l/1cswS64KzElkvdIZlVIyTlmRxYN5N4s/S7Gw71j44MoD6lMa2IkcItevaq1T5sRnSFj3PVgcvH
YrCZeRHZCX0VGVSxl9jglMisctSvAzukcfqB+WJ3D7ZPQEDVpgtJgAgTvD65hQ136D0bmsWcdGcd
Aa6izUEOm2eumRHp3Sn+siY4UjtHnznbkEnk5DkIGIp+1g8zLlZwOWcqWxCCX9L4vcRbS0UR/PqA
SzsotTBeMAivGQSI5BQgoXgN/ZS+NjMf/S0dcJsxh5gkU0a/107bEX4Mckb/ScV7WmC76sSG94Qk
pnzYR1rumjDKi5yc7Hx1e7BiTWeMYj3OwIuK4vcYNbcF8tFqBz9hP0GOdjj1DNzqUSkQoABjJmUR
4th8is0PdUkc6mW4qohmj971soHANw8NpF6Cvq7glqFPxg5D694QeKnRrNRm5WmmcARLZW9r2KSI
UhQT5oGS6ADVJQzaY4cdxmvtWc2PElMcqWm7cezv2p4dWuCxdUmt8ZhjB116TQgE1BUpbFvroEGl
jkscyv3ArHuJMv1ZNmEj2ualN/IVWKo/zi0BUhZk8bEEvcIV7cURCZcbks/0vZb0g7AHt8nAvlk8
Izv3ZcLJJ/IQ4vaqLd2+Kfv9ROKiWNc9Bti9gkEIkIY1t95b/O3GxpBSCtfQrSNREPuOnaUMIGiO
vVey8BaJyjlgeRuq5RTKZyYFcK1JkDIvI/vQNjbI6sqeW1b61EiADSRnUqynNlNde7OBQDW2AY1f
oPyxezyUK+EcG5rxHjRGiUEw/4eu81iOG1ii7BchAt5s23tDL24QlEgVfAEFj6+fg9ab92IWs0F0
gy1SZKMLWZn3nmvctdjZRq25H5rwb1Tvo/HZKrtpWXvzAMo5tJH15sBWyzsSZvhLx9mw9jEy5OZZ
WGJvsIJoavwo2/gVltbNsuWHkNGnhQk98Yo9RroPxrNLAHAUbuw+5h2xmwq6dRaqf0ge/GK2eZER
szRu6W7jHDvETqVxmwZtbxTtOc6fzaA7J/H4HAXdLzN2vifFLkg6r0qwES9jGqiTc4pM/anWXHwW
xAdiz1bs7qx7amQXu00obCiTuoEdnrZ0xnBbSuMsgvg5NJyrCsUvqWkvvsG9pWhf6iI5tbG3M+N2
A0eVxvQm98aV17Q0qMTSYQ0dESCgkH0mfC80b/0QHys5rWgArWVB3hEW3LAa1mw5VyENc6m4XSYR
2J1T6XPrtrWVkjR3jeAI2u4w/xnMcR/p9Ct6vsybj/2csTPqT3X3J2vfeXvRUiGICMlDeYpGbhZd
cg5s+8xyOH/sN3lkszyAftDxEhdrMYw7rfWuDoNIsOSos7R9ajaHStI0cc/0Ol+VaZ6KwDsWJSC1
Pl60iX9JovCodMZhJVTzNtxW0yc0gsMok31stnvfp7kouNtZ/lrRDgf4yk09oJI8Jdpnb0FrxFuQ
kbwTulQX7HratMZs9wc30KIDCSrKP63/PMqbZ7zlVOgFUT31Woeo6KkP13gxpluOLrFdoLsZwU/S
YEmOoXeX3d/JvlU7Lbq17U/O/ou9JujMhNe+WP22NneByXV/L7w3S0PStB/fjBBY7Eq9mPEyc/b6
T74Mr/IjHtAarWqk6foy+G1/Be+sKfkSfDP+7YuzrPb2YnhBE0CRUfG2MWh/xlsNmrbxNy2zj0XU
Lvu/OAst+ueEE7psot1Ecb/rm1vqdRODttQ+Tr4vLlJryxXmBeOlTfvnuFdMtfWCNUY2T7SKq4Mz
gOYwXKMGsGG6THKQ2/GDzIU7zmb60WsxW+AGMYBG75ooa5cPc0gWJ+NOFfyn7Ew/ibb1vmupPzu5
GC6a11V/qqil8gotDwj+AAjXNqR2GFy/48PQrHvIUMeqF+c86FvMp6bZrGzNoUgtYnIcUkrbVKUF
Qwk/CjdpRxjNMPt+ioGBuj0ON8eztXVXZNU2EWnBqqclb8FknjKdnhuoTX/tw0NZBKxprym0uTUL
tHEKInAKEANyeAM4l6L/HrTR3Zm5wZ5lhkBi0pVwACaPYquUwA44lxZ5vQvbSW0Nd6pOWoTBRFbm
+Gmm5b6Gillkg/EipUrvD10NNO+XxynwyauxKUI+RgyqdbeSS9Xq8hKji+VOqB1NepeXx8GGDU9f
CqkQJspSyBMktvGiEjFdCGIdoe2FdFEq+/Nxiqkw+9g8vmCit66TRgN3fqMe7xb7SfauRH2HYho3
1Wyj0alNV9jAxG5otOE5GQ2kmczTYp+Zy+NfPg5l8oWp3rqHqVMv2lEPNkYF5TIkbfv0eORo6uQO
2aVyU+Pw+M6IUOgyGK1aExP8oyW689w2FdNAGTWrnLrxDLf1msz2Pc1Jh3PU4csxeXM74GUHO4Ch
0WMWmWktyb3UtRCOM2N2z8IHnfhUcF0AxXCh/AzDkN7ETHGnfPpKoy/bHbVfZLVPG70I7B223/AV
tcMxG/J1lOflk26p8Kxsi/Asc7De85wBeR//oGZZCDDR8WLikezVmY68a9OpCu76YDg7tg/1M5ss
iMvJlP/p/fCJCCOKON/QVrXdHTSVW6eko2dfIXO/pRafLK1mwlPPT4MRYEGn27fQS5aR09SXjN7P
gqowXeW2PX5AsKJv3Vf9yWuj5F3LPgOVmudCEaarQ0nZ5y3oV9GLfi2klxyxFBpG6363lWMy8Q2R
fk49sDcFm3KfGnF0btz7CM/lJHTtpjc1rHUCMI+GlyQXCeNoNdRDvG56+J5lPNwwUFh/rdaDqhXG
3wNMBwYEfLbiRDsYuiQtwqvdZCsc7S+DlLNwKusbjtNZ6khhVUtTi6S9JorOfqGi81TpeNozBv74
CPJV0qZXTQXgSpq4Pzpu5a0ycvp+l+V1Yq/HkN9M14/LBFBGANrl2Qaru0kHGJDpWERnGgzinOqm
s4mf6PnLdYBw+6Toxp/SSKVr+Mqfrq3aveWptF8EfY8YjSbanFGZr2DgM5g3kps7sJKFnfUKR3d8
nifeBKa0AMhKBrq0o1xb2n8jw9zSSvK+3AaAVDHm1mqid7B6XNlilyQ+8mqM2K/0yHtQPsKS6xxI
+bOkTzzAsoMv5KqLCII5BLB33ggmRTzVdUyi7crYTjBNuFkXjLlthf+oNboXQYT9FdLM0Qui/gVk
FhuIsSiXVTJ1L1SYNzRGziUYte6FkASoatITNATSbuVCbz6Kp5QFJFqUSXH2RNR/DQbxenreVq8W
+IqVKgZuQFnHXdG2uccIruBa3+lTm3zL+YqsW72/uTUCM6eU6TI0C7BgZSpebIgDFESd+22zW6Dz
Hf1WittUDmmZ0jD1md71MY1cIztooojhxlXBGuB0/Tzl/BYmAg3A83guQZpcsds4Z9yymJfa+ipF
2sCfAZTWZHLa224xrAMUb/RaVU/ms/RQy8zW1XYcEWCgMG7JAbiMmZbfXEP4TO5GABOzKeJx0AXI
4tptRtheCMMs1dE74X1KgkQ+i/nTM3k+GOjMY2CYCWpm1M1+lUdnPCUYD8OkvAuULqJsgdI+frJn
EuApYQB95oDUPbN3cEtVzCt6n+vRGsW57wdEutOI0zQArVY3Echjs7BeGgflRxFgMJwPtk4MoIYo
ndxO0EHhbFEckya595P5LonI2k1JXa+7eRaqtwzv4gGXj1lTUTz8HBhp05Vq2Fazmn9UvWO/256Q
qzL2jCvxnP3Ozzb/VgCzgSGkJgezRxfhuEceZ42tfUkmwjRNRQvzYZDLYFOx6cg3/uyRe5x6HDrf
2EGe0E/gstIDad5/6iqi2mZAS6UZH4qCdZDOydFCx0/g0ViFx1FjExhabbvs/KwDHzMNIH18SoPe
HFLErPHMqgqzo4ISs+aSat6zWKBSypNvOP6/OsKB//mMCWUQS2W70bOvuQNBe87NhUPz/DiwkIsl
liVt1yA33EWuWyzHLL3pOmkRZeIzEHCdGhyYt83H1L6QU4iSMDGSjTThY2AtDWjZu5O9duOObQ6A
rwBqV3LCBM8CF7g9Q7OHscoY+VtVfkFUz3wweos2kIM/sBz/c2poDYxvPXU4Fd/ay0b16diEsXY1
MKQMCeiJn+uu8MiQ7uOExg4dqZZ0n4Yq2y1znGrbCzl+ohKqEI+2tq6tucTM4uCEAHAM1WwTFDWO
GrKzznT/LPoiOz+ePh4xPdFQWpq7/52C1AFOg4JgdhAYp8Fu9VPb2P85aBbpoUNElqBmk9i18OpZ
/zoY1XioYV8ozy9O5XwwtNrfOpp/f5wiNvw/5x+P/nPO3PpBmh8yI+E+WWQCUYy/yi2nOqNQqhG+
O13FaJrnjSZxt2QhwjBVrZpK1dd0Yj78OAQBS3snQVn999TjFd58XvL6x3lLFfW+lwJRflh0zyXm
/zR2+vvjmQnebSWl10F+yeIn3/2d52Z19dlBjpZEwTQfuPvZy0CBh3o8TedXAM3ZdtjKV/iy5C4r
KTlKM6e+6zPvV2zS0EG9UNzcrnCvVZCVi3j+gmg7Y5l3+Y+rNHsLkbg6daNCkzdE2VV46oQwx9sp
k3aXQSn5VKeG/tTPBbVfNh0EWs5ZkSxmp7tIGU0K2mcI49gmTfQ/XafKTlbanyNYJDe7Nvw9ckmQ
AR0yczGYa1FP4R22dnhv/aTbexHTrMe5iJSVUxmM50cFmxqVcYIGzodYH7+xWhO7sSS0WNsUbjmc
YXC84SSwN5Udrqnv6Ykge1/1gw0+0rbfuoEUhX5qBHOpxsBDnKbrgN7IEVSTdnN0wIlGaLe/SY24
Q0BpXoPJznf2HzN11M4loveqRq+g8a3sdz3xPzzuQQcCJeTKJlVkM7bsRVEkWa9BGP/3aQzDZMgB
XFmLJpfd5eFzC4xg7RjC+mdsJp3hJzHoZk9TiJUqyl/MjFndwk/JhsA22y5JHWeJZyONmtpPkcOb
5oLtNK0Tip03QYDUpiWXdduhw6OCzcP9yHUx63Xqs5eZckPLrKaTScGQWcX0mncL+LdE5zhF8KeB
osfm0P4bO9Y1tfvhF/rpaRnIiSK1b5kyQwE/ZMQBnkM74Ee2yVNKaifgbdqQPhCyYzw/TetwC4Uc
+XA4qYUD0+jVnG4F+KSXhwGTJ5FtvlleFt6zPEThWORyV6HfeYvH5JzNnaCQWNBDTMTVE9JHOOoW
O3JG12gf/GdG0F5hjf++WRDextLwt+zsqk00FM7aLIryolUq2/WxS1q6nTNw1vV0h1e+vGSo09dw
O+OnqaBxGrUwUiMZaGe/LJ+1zofZqjn9a0nq2uN3S6V/bszR3Lct9awaivK9qQptO8H5Xmtuza+b
fiK1JZNgpO3q6TqFu1uk5tWYzmiw4mUFUm3jmbm8VI1fXB6PhJgY4QRIHJOmgy9gtqg/TVXsEu53
u4BohiN6OrhkJM0cq7IwV5VAkqwHKYSI+ZwKyrJcJB2GI5U8Syigx/8dfCwF/54aFaAxLc+RsM4v
KSHZLthk2Js+N3q5hXlurfUcj0zRh2AKZGxu/Mjvj4+7gpBaf6hqdZLzPUKvmhIS+mhc+0HkOyd0
nGNl9Mx9JJ3P2sYL7c3njFLhU9Ht9MULnx8m2aaAezv4Rn8J8wGIrnYYqcR2xFAV2xZa4HvrTcyc
6+i3b681YplW9GTl1lCF9VqaXQ6ilFc+Lp2MMfAy0pBWw+Fm5mbTOiEe6N/B9bPw6Kh8bTM1IJDa
q9H41aUYUTWIssLy0tKud5qgoC9PY+0tkI2WvJQk/eydySbMGhbZpbOcTYF75j4ZSX2vdDu+NP/P
qSmYgYhcEZ0rL/bUh3fgmeEdgprY2YPIlo9zjwN/+BdzovbSChu04bx5SueDF4Gb1VPUJloxWjcn
nPRjFejnrLD6czyiA1T+hbSL4czmYPh3egQxRwWC1jChvzO6MlRroZcDHDKbe72cML62wDEXfV8A
1NWbbo2hpHpmcvfk+wyWDJIqVnJeHxU5qosecNl5qL2fLKqyd6ZQOSzoOL9p1my/8MKY5mD8M6FT
2dmeGd9hY+CqMmL5VQYveooBaQjSa90H+Uuotexguc0iULOKuzkrHY3ePkM43v3zYpdejeSbgJoN
pqvgiHRPMulKiTEaHAZBAPEcLm4Mq2wO1TG0+fS11DJebbrfNZNKiA3F76kJjgYmUrrZU3VgehN/
eB2t0aKaXliPe0Rk+t+6SJMP/h3WYk049s7NomQ1RNYT38Hd6W7ucEcC0LwN6+InQi9YLXrW16Pr
WveuQRjxeEbxk2+nzP16wGBytCs3C1fNFiBevIxmL/bjXOXhmytU/ESilq5E/kQaHnE8bdSvyDjx
N4+nU1D4yISiO7uBADLJe1kJ6MZa1SHoB3eVZvYdBln7BIm0uiYOQYCZ5zdH/BY1UxI4OnZCG//x
h3wcxhFIamD74yKtaUA/toAhPBBiSjSfKUiTCbqz82Y5sGg1mcPgvTtDuBdDVO7GxxfoIEGHiSTe
gjScbo9HSVXCrIQgyG5TfEQulEeP3dVBVtiLZJTZZ1/FP8jJX+qsGz+r1I1WU2PwkQtztilwLFa+
LLqLR4Tm4mEJ5yYQMz+vINLL8sltDP1GhAO7U70+PZ4NjoHWrRUeCMOeMMkWC3lldcXNxDSOewb/
dwV9e+ePgADRUnEjd0JxMtNGnQBHLvPe9G6OHfm3QXlbeyzr8+PU4wBVAK04xHEmH4VzUtX0SncZ
C1I0pqdogoQqut7fDUnVnz1f5VDe9Z4mecqdOs2Tt7YI5tZEuBKUtFcl6/pu5wwKitwIMDSP4UqR
zQbaltgqRy+dexZYYlVXofZq2XRUjaA3PwtaQ8noej+92S2TAZYOALHoyUnQhpd5+ld0s3ZF9p99
B2ObKJz21c2oDEMgoTe2eTPumEg1tr+HpC2L7dB0NrVyX2wl5sB/j6b5XDR/VQyOff7/vk7KZa1N
xg67ifVuqOmJjltxHxXDNlFi9RepHbPBLyec51O8EqUxPcu8/c+j6L/nHl/93+ugKDoHyNjANueX
TPM3+Pdo7JInuxuxA0Z/a8Bw7JRMvVuPii57qWT61FshSwXJn5u2sL/iynaOD7wDUwPnxPjwuTdK
xuFollZtRqEt8frsHktOaSEobUPfQtHllkAqz5NU6hwQ2LYArWO9Pp5689NmBhcgd6BkTQHSdiG+
iYgdzIdGpOYqUYjkeu6YH8J5Vq3v7KvZqEeOXpmuhk72R20QersKjQp524PE9DgMdLMVrT0Za9mh
mOK/j14iFuHKg3r5eAIEd7YBOdkakMDmX0svM5kBQtc8KwhFn/AkAuSuifWcD/W0jvzcOmtkg4J1
6D2kbH57gcqN47ft9ZeyavWFLv3wSyHNhXz5zMhGvjYGvtoydsJnZSjqTsmwtPVT51jrEnkW6+Jz
NETgLJ2mezNH9y27arkjfmlNIQ8k57Wrx9O+4rfuVGNcBnyYzyS0nelfR5tBxumuGZNp0xnduC1T
Vf0yzHDNPX187Ue3OClovUuRB+WvXEXBInHbiYFQYKwqPcLkmjnuaSAadjMZBkz7pnNPE83SbmHr
eBR0UW4s2KhnZz5UAMMWjUyxCJS1d85Krd20mVlGGzsr66tIB6aCjtxXrcvCxkqNHL3UJVU/jo1/
DU3luQth0lS2ugwtx9yUtkM8LwTbcV+fO9bOKNitBkDpFYDEbW8wUfhPZ8+G+jRYTPliJ2DFndt9
/WSF664eUVYvTQijK9k31REmTwXntQn85eOhkna0NWvNJEPKNWN8DHSQ2RHVJzQ7r0Xfki03n3oc
/tdZNq2o3aAPBr5JvV0tYivVjwmc1GMRNvqx+7aCpD3SPOoI7JvPPF7wOKAsBnM8pYwJp9w+WQzY
GDBascGNuAESRrRhu3Dz2Sqdzw8D37dOj+e9YF+Ro+ae/NbZBXpwaaj6+ZT2mXlmlfMXNOmdtSCY
bDZ92ICUPPWc1m/A1NtoKRKjgNb+9q+J5UTV41k65PV9JMRs08vYXmljR+MFQtu/Tjx4gHyjEp+o
3nlbBHr9P19Vug/fav7q48WKWBTs1KLbBjN1Bb/V0vOa8prP3/1xqibLzs6S8vp49qBvzK9KzAFl
rZruEtDlJTKYivWijX6lYZWtGL3a7BggZ+fwqKuuvg2p+TsTpoM6WCetzdN0RuNNuqf2JVnOHPU3
u+pwpAW9wSdo/iqN74WHoQBDaH9ICi3+CCeXPZnmv4Dtk1edls7i33nyNTco+mhci/W/PxIg7Wz9
eP74D/sj6SGOSR+h0rHzJ0L7vy98PCcebw3qT6N01V3Q7hwcEf7n0f/OKSsCNz4amwnRG7ICEKTs
RykcDexN9WfV5htDjCQnDib9mJqPy0iLQTK/0j0zwk1N8zMotrpBPxmmKcjq9i1Ip60fG+VaawOo
sdN+UJTfwialqemRaNRslgmUglsHzIv+76bW/lBfMv0kaTQL1VHaySavpy2ipHo9KePWkoqysBU2
qGAgZc0Fz96W1j0r/WThAH22iI/H71i9w7FDehbu5oY6Ehu2eGicAs26cuvHcUr1ziJsZOUX1qr6
pJsmQ6XKhNkNvE0rW4aIkkYJ8t0gDBleR3ffZrmBv8WECguNjghXBjnKzfQLp8wTg+SNGU6SIWSJ
GzCZ+x8o39HcDkF/yk18kblfPDkBUhcRO2cHTSFvF/OZWBJhUifdLnTpw0R06XP/VQfGw6fNf47y
4RQldC3CPkgWNfrgmKWGtMXgVyjVPm6M13kt2ephsMob+e4OMLe6tLg7XH6OZS/z9HddiNsg2t/z
W5pYFlWkxByuoypiAigWH6RktYvepZcxTt4l6ckWFa15Gv2AISsG2BTLXpCEb1NnvGRFcGXGhm0k
nWNx3ei3WXUfrGeEJmjDHW+03OaWsWqZX1e2+WNF7rcmP6QgKTWvWjyK1ZMKQQhjvKK9993L9rvS
SPVRM8F6whHhN82Gn7RxBe0ULYVunnAxZWKT0nkiX5BOk+mY1spixG0jb0xnGoaGk61W7qHPAP2i
2A2Zh2dq2pJxiOBZ1ZvczZ7kZD0T/HahZ5YsXXpXVYXxqxnil0qZ73EwiLVhj4fOQ0bdzBe3l7s3
s9AWwKPzjQWSMOnbDemKVz8ZrkFgXTNZo6rqCcWkVzviLkCsg9fCf2MC54/NV90FP6XtOAhxcJrj
+jI83VtGFuNTzAutsH77Gl5IUWwqa9RwJ6cuOrzSJ+ZXjRSBza4a5JWW0ZcToapEXcltziDddsi+
hQnuqGrEjf5Yi+qmWkdJ91ESwWIGGh02JzsySk4XkQ+quGwOGivrOslHdExs2YZZj1aGxDO0LaG+
9AJkiYbaL7eicsXKE9woJ904Sv1alVm1tsdsGww5HJEhwN4S59sIof2ic+SdeuMEVJoomqbBrJBO
RFso54wnkvw2EHCrZEUp2szalc6kpVneGiN7CZwYzHoNXYIW29KRtn8kuQCSkYu7k8zmRW/wrhUm
uioXhpfDtS4r5HyD+CmdTYhsesXdo6RDlrOyMROBvXbgswy9vGXTUldPuh9XmzKV1PcBbt2gW8IN
doCMTNjeswT0AQmy0DdO/NdYfuYJYIogs2wEEn0VHfCq3xPl/clighjggJ+Nge9c0FIrpm+Siune
lDiSI2gINQ31TYtWeOGqtZWypRxxMppYmAdjDikk/K/SDSIZEXHm17AUxGZ49bsWqR+fgeuMeejR
MxadLJaTQWKKq30UiFCkQBPlqgOM8G2rDu3gHqVT7MGlZCtylphe5hp5fIX9yyHvZJmZ42/hhxbG
RN1Z4DGo1kbE1tyzYQ6HusYvN3HDDcQ2pndF9Utjckq7rZVoCDHchkV1rJ+rrHmnePrBePjkReE3
le/WJ8Qz8DHG24PZsAlSwcr9jT/qKQVfDyr8oLq/tC/ZY2mOgdQEY0lC/qNEamNqKJaEwPqbJsyU
LTmPO+rPVrXppi95U/TKJPzR4BeMJlyK6W87r7/GAEIIpmqn1RAqGeUnZlyuhS5DLWIbe6Ce5PZ+
O15uLIs8vod2tGlYfT0XRWdKQM7GdKuVZTfNidHVV+uBqfWjY1GN2WZMkRp2xUs3pd+ibJheu/W7
lVotLQLrBzAEsZQYcocRt2SgdoR0GucuH56jrsZIDBWmt3ZBWpPiGbok93kJjCDQArpHyF+C9RQu
obbMQrKZ4zA6BikyQPgVlgt9rXB+tGF8R8lOv9TgFT4QwqqO/MVEvEZetPuppVgVjNM79BxaD0Sf
xlNqr7JLIP1frQVVhWHflZLzYHkOKkOIDQsafy9GyPeUgQFsNAuXOmgCPzG/DQNRVoTZ3Zzb5VUy
vIYS1VIvmI8XCS4OgcITnFcTmNbSt0gPcjpFrUsajuMSVAjL91ULorWvGh8Ad3Mc/faldZd1yiRx
sMrXqhgF1qhka3jNuHb9QF8Q0/HHdwPg5NECMky3tMNg57Xmt1+j1/VZgLAoD8sRXtOC+/eb5jdX
ZRBmlIf2oi1yyE6O1UFssQxMot2ty/q/PY1y32bZjLL8g1Ljjaun3ZiWuo/o/YxJ1/Gotz8mXcwl
sW+47VISdPUMKWaGko9p0wFB/ZlM7UuB9jJTKE0NedDcDs6bGkk173/MTKtXvcy5/WubiHojI5Jz
GVqAoKgHrr1YxwOQoqoiHKOqP22m8guSAt4gROZLyQdjMTTtb72eGKqG5M/0yVW0GIY9v1RI92D8
bdoA8CVaLXUxiglfa0HTnywpT4vaS9GGBfHLhCKDdcOLjGUWAtSAHt5HBOyA7qLuQa2D7AOEiICp
O2XFxXQxqifpMNG2a186BBF7xFr9ZPN/CIpzWec4wRVtgihGXOZMwTuXJ8RAa2eahNE3Ja2lJNbf
U0JsV8gxGcOWPfsGfcSfF5GnjUkna8xoURR+tGi8cEA5X/svdGtWvWNGFy+r/kQzkrnQArRv9XRJ
HoDm+cAwZ9oiyCABl4zYCzQln5r3og/Fn74e1ItwLqCpdNJ7ol3T0LRIcu0PoKuc4BKabxNEIcnN
PK5IM7L0gG1UEyXsHNKNMZXfRZCUxPsZRGkkEmkNRIGaIGcG8sQeFfzxuhhJLPgtN2q/gsFmUqNc
hpTruOn7i1lxhVou6P2pDI6IjsBgsKimGXUg8T+HOrRuucd67JfZLkXoHVv5pi6dbOs60O1j1Meo
CpsnhboFA5ZMN1h/CXGX2e+Mldsks2xL4MbOsT19q6vpdx1VP/6IAcRkV7woA2NmJOH+TCOTxnvU
kI6bZFzOQLXqyCOzjJtz1PRfbOcwfocQ4praebX9xl2TN4FAlv56L7SXKvEzuuEVNUD7nSFxWET6
WWUR0DWn/jXU2vccbSxKq1jaPkQxL4mv3T4ONO7eg8++pqGf3HfDexITBxsE5riyuvjW1NZfaGpk
1P9Kg7krWBP7lsYmOkHFXZ4oCP6+Lv12FggSK97JJ9oV7GzCMXc3tU+hnumbvIyfRaVtfQGJQg6D
goDmLWMd72DXFdNhRAyOqggQoyQh3aiYgkwCbRLXOsA6fmOU7cugIws1n8iZFrm/nrRGQqNDRFvq
ob8m6eVTi/tZfb0awjkRpyeQN5kuI9mAa01DgECxUdqmS1gg3xuI85fPv+umQT9knrwNJa7lorpD
5P/WqdCayftySuPbtfVriRcJS/SmHKiCnZFttdJOSObmjrFAlFHYpJaHBwY5u4j2xUomOeIeUZAx
FXU+AbP+m9dPxEkM2c1qKE0nt/yORhrcJplvwUSfI9r4fnsgOYDNSB5+Obk2LXrt7xhP4Vqvmyvg
bjkbF6hIw0Quq87rXm1sqH0yvhe0TcCiQixtqy/y37tV2J3tyCk2pFFYaD+2hoYw2SFZCLAgah2d
i9symRyYNPrJXqdHZ5bjRnPDq10rBgp8tBbaPOR0JfU84cqMsu5B2QxHPSW6JxLcgv3uHV7CZhQu
zKUUsJVyMh8cAnrOYnjrg2KcOR8TbQQDMaRr5AvXTt6J9TjBS7TWdqYcIFbVgHsCo6/Bz5Y1Fa9j
7d2+hPNZgjvXgyVRJOGyZbu4rDL/LV4XDf0InBECncfRifiRZctIorUzjGweONTOoEfqKXweTq0H
a9PmPgfXCI+uO+HRjIFXpMSD6d3ekSiUpcMiyxKJHwASVGOZjIHwiXcd2zLw3LOLBzmtNwL5qIr4
JHVLLWur25SJe8Tgmh8I76OtF9fJYVZDCjnRJ2K5XvvilWkiCOAUV6lPysgQOYtI2PURWRrbPZPd
r5cWa71KPPbQUKf1ttqEpW2B+dGvyRSfJ8/0doQl9Qv6dBvVYuiml4kcsWMn3FH2e3pV7k38bIvG
oVmHNuHUI1Wny312e4lMvmYVy4N4NbKu3blXo9CFPRJa1KqipnnI3LdfdBWmYI+e9d4fuZKdBu14
EMFsQxnqLdWt0yESstuVzCXZ7HHptXdWHOQp9cFXJoJbk+oqb3ZwLMBpt+EnAMDBdH4bdIiWejOo
2zTBUXZduPKuNH+xQQHmnuHnlVW4QSWkLVrip5dWU3zV+jSsx5TCv83pHFr23sycACMaLKk6YAKV
JdVtcMpvuwcgVQYLPRpwv+RMdjQ0X5nrEpVXzJeFRtd8aIZy0WgmDidADNpcnxU9SYw6XEbDd79s
FrBNJ+xjOmRLw1HpVtfci1Vq1cFCyNub/CuISi7/o46FFbhQ6um7GD0vdTYJbK2nL6GFbI0c40Bv
iA/BIGfV5D69WT1/B+X94nX2xSEJBPDMkT6vs3XpNi6CFPRzFkicY7rxTgIL3ggHAV6QDOwZ5qoI
ehUhCWiJLUFHEmG8hhSdW/obs8Xnijy4NXwWHAZEeVq1hbJa/E1G7xxCdI2agJwqgoOSgroO8myJ
OY182BTSXjzVZ83K/5KbikE4p8il5/CBEv2KKkutKVO9hemxZvKJxNCQRhiTBKkuxi7UuWBkZ//A
3diPihFCOTbMKvgIdx3Mlg4mkuRjv26URVaYLvqlPjB0o/HM2MYEUOZkdwc3RT04CAg9/zszuVEK
71qXNig3fy9FgNeqRGFI3AtT2Gth+09ekZ3wqhGNU6A58kj/Cfw3VnvbZTKV1C3jSIur0rCDc4g0
I0wvbWC++73uMjCNT4wQ9+lYYWgk3jgOzD9+6P2JPSiWkXaMPRsupF8hoy8uQYe7hsbMnMNHRwN0
rp3YLdH04W8PTRpAOnjgvfFTzj9O4OpekMPzK9UhO+o1S2jL+J7awfj6P1ydx3LjSrZFvwgRMAk3
pfdGXpogVFIVvLeJr38LUPet+3qCIClKogHSnLP32o4t8WJ7f0yylDif+j3RlpQumsRZsI3/JAvy
sa/ktkYRR1OVRTp7ja2orZc61VhDtIJrAjygi2PZMVplpwsrpwaBR9CxPwqbNMrKlXvbHuBTp1iS
yXdE+DK8pQFVJjvN6bI2cM6zQj87SUhzpE48ltF/fCXdSc1IH+ZDRD9h66M4XM53a3ZaeHXILByl
W+5ZXG5TB5RQEGOqAwtCwnraaYeR13goJeiZyJRoXhlJMc9PnJ0BvkASHII0vpZq2uybLrjmQeru
oNg9FZO4NFa+0LqzVWKOoEZOR8KLdslYjMumGVw2gaSyKambrlSs6SDixpVrqK+FXSiXTDLhhqp/
UuUUJkX6FkpWHWu9Ga9rDU+W79Li1/zqhE9ZXUDybfedab9bxQkkzZvIRm/lFOlioKq0p5PylITp
10BBqmuGR8jVxQ6OccVKvw8WfRY+ulRh1y5MqrEvtlBKmMsGFiNTtmcq0sfEKI9mreOJB4tOShtV
Ezu9KnZzcfrxrbOdrZVEF+ECgIkqvJOGg5kwzpDJsP5lnCrfwiS/AeJaieSFiOPsPGJ9NxQjWEgU
lsw8LpKs6pDUwGRDehfJABrMtiG5OJ1dr7QAu0KH16i1jWUFnXEkdm9btekB+cHFUTI2w6q/9vjy
yxqzipdNoClqdboNKyd5tWiiRx7Gj0AfrmWefxR6/KlU5lFBHrWpR0K9HF4Jglm/8Lf0yjwIvsJY
qb2NTCTqlobdZcsmd15LHXOjboD5zRGFwl6kFpc+pkj1j/Zgg9Hg9IZ7YJdHuyJZd3pTrZ2aG52C
GYl491SPPBr20a+KsAlE6kkFmbQP34jMWtN7Zi0LflHg1TewuoXsZIinoLnTnxwVO23UEG+ag3tH
SpfUKJPMLKQDHnz4hk5mHr3NNJ1AdXmw8hWYiK3OmKRjEmmKRmAlDPAdqkDFO/JfQd12Hx025Lio
UY5p1mfr+Z9sjh/Duj3HeXupe6LdjAqnYQZietS6VydIPlqCKhZELn+zW/f3uuk/dn69j4T8Gong
WZW9fvGZTBlKya21YZKR3dE5/pMBHlLNlKfUZDZRJvdjbzxE8ZWgh2BReWyRY7c9GTlg5eCKg/VY
h+Y69DLa/cYvFPeQLaidrTtacHFMaUjTPznrwYC63YG85D1yJ3ItZXGR4da3W39DtZxMRmIRN3Wj
f5fEZ8JWPNCGoDKafFWEorMSMLQ1RLLfMqIgoVbsCHy+6DYlJlCkVo3RTRDe1T66kbnCl0LNRHT3
vqx+oaE8ICdVF12Wuzudul/m1WdNxUk+eVkdZPoothmGy959oTWw8fv6qy5YqYdVeeL8oSbvn5SK
vmrdaO8BCbO45dyFw5latRdN7/bOGOLgi/i0K61HLIwBVe1D4LzMzF1j/lIL+VY6w643EmTr1Wsq
DwmgT6rJEk22f/YYWazAejRN/aVRAbm29YtveZ/Ft5TG4+BZK5ZTJ+GBf+Qa4eo14L/a3WkMwpuM
RLIB/PNUOinE6hrrQCnfoK5CEcPXCUWBmq7f3MWonVo+rFKsy99e4N9Bu93anPEgm7aHgqaFw5Qz
VMxOHgQHOmCroECpONlmfFM85ebIx9A449qcTpAIo+RQam8RG+6V3Wp3oC/2QoYVSPNS4YMwXiCO
f4j3qrI24RCgjmX5ttDz7t0sQarFOEK1Y+Mx/7iUbydeHJtU7OyZ3z6FvfY6xK9t8A314m7qsbe4
RaR01v4AzdEdnsEj77ORujA2IrLIsV4Wkl0n4wEC2IhNodK8mCqzWBDKXwGaso1J/3Styf40Srik
0sQSQN0NYSCro0p8FkZFmoJdLEfcqVzfw7GNzZcCdyQKzjN7zm7RVhkBnvUfRE2bSMafli4vECQ/
nFsduLvGGK4qBf/SUbhqffbe0lHg5uTgVmT72cnwm2qmCdew+B7dlHMG3xpOk51vyI+BgXY78hnr
7ImH8Zsesc0+gkJkZpS7zpj23zXt2ziFsph5ySkIv2OynVaKAulZeBXNHAGayKKYmVHg1TOyHqT0
lEVBdOpYbSjFc9o02cJMDBagiR2uvdzlozP6fCOzHjxT+aUVrFQDxplAurukH38FSodzyQw3tc8u
MM0uJRVzlJNfQ+EctAzRK5UB2NagKXO+XUpIECQlu2WMZeEztYVLbW/h5MZuj3DfgapWS51KE3UB
l2RjKvXT2xHtmxnBFASaWNUERw9wHSlBbAWsj3WXwAVs5d7rWoMZA6u2W9M7bJVXNQ2+U0aFpWu4
b3YuWM/XAB5zzL1+F7pLvIFL6EoFlcad0bRXjUBH2n61zRbMT7bauix1zJsVduPyy5+kphl1PPxe
qLtzRuQg0zF2RAfhDG+JDhiA2oCYGDN9wSjoFwjt9lFAURIPXop9QIas9Fg/l0VgrCExMpyzlGt0
98AXi0XhXE9xYVW7NYOQwqxxyMyMZHBH4SyYx5boyJQwLHM0ywvbUoyF7T6Adn5ru8gDKEEjpDdJ
WVS7le91DyrhpJs2dZ890T8jG8VPkvVIiYKjoZvXUJuimdHLsXRpFrEpTsQPnTXbW+ESxdk+snT3
UNZs0/ChVNQnwygC9Pbuu9+xSIHucB6j9BxSQVzYoXmvY/3RaRd1XWfLFM/+hmgdfHfEFuSBK8BC
jh8kbS1hq3KyNl9Utd8xOtz7gEqjluJ1k4r15ebfSM7eMgpwbIV5zFM2oh6nFSuwEzUnCqTCyOgG
5iFr+Ljc9LnK0Y5EiXs1sEkrabFnn/Omumm9yFkiLTuzYlue9DvDpPDvqtGW2gGCUrNZOaYO7DOm
mYJUU2NFuAyRKK0iXXsAiOsudQjzfZPtrQiMhkswVZapnxCt4Dzbk1KcIcpKKJh62ngPiYZastSF
IOOALDSr33Qi4HLExp82DHBhgXoJ4Dk1FT3hQpHu2sKCwPoKKIC0kUeiGYtQQXnrVDaPXFAQSALj
lwjqd5294LEE+ZGNiG0cZYPvjIELHZ1SMggLzKw0nrAbKI82MTXoPDZGfczD5i2P6DD7g7dsYvPV
LNtzNfhMQjjVFsGQns1eXFoNkbJXlIBRbHZpXlk/q8MhsoYPOl/brqYdR8k8wUHoyvBPIkIKW0HR
E2SSXmhInfyhfyJ8U2dhMNGVIvh3qv5ZUcRQGny/oQ0lEa/7sszwjpNXTScrXFQshZ0mo/dQeM+l
sMksAjWqVXRXK7JaqXkWH6qRHyiuPcgqYhgp30Ghwx3v/NtEoh3x4NHqk6togLeBA8/VD2TE/1ZS
m9gV8+z1Ee/ZWaqmD6s0pf/hBVRfs4I9Z4knJgByaBnDIsrjfTuYn7TQnMo9h8R4Lq24LAFfdOXS
DvxfupM9s7lh7lWwAQfdFsFcv7RT9xqBZ9o6ff/LpoJu+dHNH4Zib7c3einjcpxaWiZmQ0oG/Vof
+mfPhCdr5dNyK6mP1Zqi1m8bSiG7bIJ3rIQBkf4MA89IsxJwpV5y+ljlqx9EhOaY4t5TcsHw/qk7
w8p122XidMNlNLNmoerDl+VrI1GnbJY9i0RiM3iJWcZYLjsCF/sv4m+rx0GJ3Nmzs3PqWJsSARlq
CkQZgT1Secl+URK/JMYzthl/6dClX7DH+9OJ6qSn6bZpSW7Hn0tceYm0M0ahMEbt1VTybR6FJyvC
x5pJvu4mPlN/+i6YgxaU9fFGvGZj5+zbFOKiqqZISXwiAyk/V5Silrmq7IqIwmdNSHwa0AJ3gXr0
ULOoeVnHLkGS0LcfTMkhKuVqoTOdjj3Sn1pUT9TbzZ1p1kj44vbkfXtj79xTyplW88Te2sJu+GAY
xgRdhAGTMgdmj33UpxgDsTd3Oh21TKOGDW5v5DrsQ1hMBrgW0ASubwNbieH4d/WrUNAVJRj6Kc0m
4YnLqsUotxKcNE7dne203DAF6Rs2ZKuphCRq2ka53x3HAC2nYwxUuVX3oQ7UfWS2ya5y22ddL7mq
dNYD7EF/o8d/cshLXlitD3skYpZofBQ0CWnSNlG7i+4VZDXLAYvLNID8jq+MaA70IqCe9pVstmw3
EVcN64oFJgvZ4JUYM2uhWix+BZrPBm7gIgvjjt2VBQg1iN4J7s2QEGT+1IH/cFrcNVThDbe5WXzp
Y1K8svMlsGfsDn3k/PalSko1IRgp5J1FkueP0j1ptbQIOEHI7LjJrsNLEEo+xsF2wo+oU4YFo1S7
jEuWlU2fbSiz5R65GsNOhAKkS0utwr90rX1irGLgjDtCQ5SjJpOXqIgpjBSvrMzafaL2b2qPegxH
uR0fq4Kin+m1FPZw63qADKukha8NZi0Mw40NSXKh9fGUQsOaI3QowY0Z+59FUyp703W3+tib68Sf
sKxtcW+99FRlKslqVLHgybAjRurQNTFvhDxSmrX1SDXO/p07ZCgRQR6tg7a9N07NH2ObhbYn0Yx2
VYzohE2K+1vy7B5BBUOTCRVkEsiOUjV/GJEtLjuRPqkd+dm+QR0UnEo5/hYliNMoeW7S+KsN9ffG
4WJzEuU5qCnLjs3wIXzzw9UBt0a9Be1Aohyr835hmMnuS1QKoG2lWiWFDpmcLK1UUu+k+s72mhU9
WzJXG+uNyvaUffw7VaJdrPYvlIkWdsF14ydP4Vh9yE+16imyKavI2qq5rdFzr/cs822C06gegrhC
5u1gUCwRs8GboMW8tn0MeyBCNj0IkFze0RC9ar7+lcv2aRypVmZm8lK50VNT17hmnQV7hnSIDj3T
tFTty1gm72qCCMnUEiB7AyjyonjGKEATQGydJhVbk7SVkU5ba4X21pT9UYTGWsMCswV6eVIM5cu3
soHsBPLm6EIyTvT4JqfKJ3ZSFNQ9++VVWwF6dwDq9x7oWK+BhKSx+IfMi2AkSVe0Pm9NWKyr0vrM
DHuvu+WfMskvTm0Pizql3eTuNTbVy6KM4M/FFhQt2qwF0T2lP+zxZd5YXMP7JiFHVYsryxl4UA11
GVTLFO+YlXvC50QNJs9NDbq84ylMAZ1G5WWQXEsYzKiyhrAW/DcXzfAi0qi5u2D6WTkTZgWaetsx
o9HOBlvW4LX3DPFVKPF3bIlvCdIubHD3WJSam9d+wPNgR/q9UajRTEEBNTruBYkb9OW1cZWSQL2y
GrlKOstYNnX6ysoEjhUyQ4qaLbDxhKjWbHrBpDjZA77z0X2GwMGaJRjhAKWmd0cuEtY5Li3bOVUi
gFmyDYVWLsuBsAIfqyJxtxpjb6eha4k+DacmryYUkK6qfqVn7brqMmL4RqwOCphrwDGYFenKsNRf
aY286W0GscvoP8Y4fwrJFfmFOS/YEcRG1YawVoZcMkoB2Y4Z46ANbkiofCWZ1p+xDfnLPnFPeTK8
GqpxaVXrPU/Ule3pf+Kc3qWUrb2s/WWLHmalWZ376YGJntZNGoSjOju6ZfCMSQtTPfNDEnypetyz
q39DGv6tGxQXEON8pol8HXrWkHXAtOFoPvEFxQEjsrpKE3bdlUAUiLgB5O5LX2oPllBU9uUBtEZ2
XZ6fg+rSBpXBqtSW8Gm4DCh5LXPPNJak/b2oEvacoDWvN3gIUBN7dIWaimGkicvnrsLIojHPlXQ+
OvUzq+TeH916bRnjdWhoG6oBebZIOXKIa9mmJkpsZUVI80Ok3HC7XsYgKTZqObQr1bXbDd7ur6Rj
RlIEfU+FnVYIYHTUAJcG3RPyqZXa8Ae9SL0L3gDMHyPcOy6lY53VjNh5pVSxVoxvxQDXytepm7ME
+QbrxPDAvmPQDMRE3apFMrIcOxQKqv9ZJhT71dL5NWpsZoHc3buSVW5rnrsB/lbejB2lJ/pAOEHE
x0gp2ctCOC0W5fYw1llPNK9WqlfMkzTCiYjCbCRiBQxxujHreljVFhujuAacR1HPVCNBxg/beCkJ
1dX7CaBCbXpZgRteFnr71Sq2d6nER15TRbd0O2FZMv5mNGnO9K429QBMnfJuqPxp+SHfc4vP1KcJ
3fmasRCBzcay2GgZAgUH2ImcugduraknGbISTZx7kLlyZ4iM3bDsi7XZJKDLtX6LLa3alIoV87iT
7hrm57XjxR+d7hMGknrUWAFzChhOD3m8BbE9hPq48DxAi054S5v6uynVHMM22Glpyxd3gJg+CGps
kQAi52PxbfVg0usUzY4WLaAIcM4qi7AY9fUS9dNYBa+pgd7b6NSAsBD1xOZ9wIoYUY1MGP1lHNF8
dE+KEmkLt3PfGxuIWdINfxpHUozlpFLwJagFtUroo0u4LUDBG2M3lKJkTyDCjYbQn3NbmyZafA4R
+LysinNKBO2J3ZYW5Dnip0k24eMrKZr2ZEGJ0mnUrwvyeDZVXx6iWrwngD0oxFdnIZI9ebbPSkSr
Rjc2BLNOBU6wcqauWctAi65FA0Bbpxjio57bjtAyFvi2GJD8zTA1YdCZ0mGqGnyp9quwWGGrPdtG
x9J31MTVu1RpoSK03Jtx4911vC+I2SGTWRmAdrc0V5mGjnCQlNew7JGJxpgZ8cHkYxGc8FzT/QZW
sQhipkpOoVHzeDNqZi7Snk6YTdVBL1xQTcnwlGnqd66r3lZziM8AhiaZL/ns2pxF5EiGF+gj8jCV
iHZ2bXcEl7ADqBVWb0edUzIOo2wtalkeKgH5dD7Md62iKqZcvAeHOjK8aYOmtzlF7PzcxLlVoVLP
kfF0GAiw2aFKrTrJcfQd/Jqeyea9bnLkifUJgZyyiXwdN+v00HxAOs6WTZhHq0X2L6a4nL+HYArG
ieZ0HPKXd9hel+2EDsUBDWB0vjUhQv/ezSfQlQGnmRlwSA8FV2j8c1OdaKNyOnipR/cb4yW7VNCo
80EJ/3trvutM4FTiXhsgdnslZ74pUuCBLJ65OR8IgyDfQ+Q3MbFr4ymbJ2JyW1C0JHt56qXOh8bL
qp9bqeN22np+EJNdjZB3elKi6SUvSH6k00VXBVYPi3z4z0GIkE11fzLSQMHoo3+5CYBDm1fINkNb
2hTFWCC4QCM9Ra14EVbHV5UMpE3RGRFpTrW1RvTo9TSxKgskld6PBAdMn8z8hudbLHX4EJroqiom
WAMsoaOfAIU7xNi2DyhaN5Y5HNPp2+3Ec1UjGgt8lHjSWtpGXsDwjw2wAL6gTUM4InT8Y6/wqash
yRd/v5n525oP9fS9eQ2RDoiPiPD5mM+DUAp33WriI6rR4WdH5bfwqUUMfEiW9iiRsq7SvKQ/x17c
0L4piP4mu07Ba47RteGvjEpbH8BP4esqJ+pz9D+fi6B9Rvrxbv6sfn5Mf5tJy3RZBJbNQC9+gvRW
qgk/br7Zxzqg2zLta6ITra+fxzp0Oj8/buebfmnlh/nQpxP7ubQQFsw04dBunJiLbDphp9PU1Eeb
iLf4Va/ZeP6cTP97Xs0nlxen3gaC3Yk50ivf5lOy6TSQtznEF22IIgRXwd5H4LCdP1JnJvDOH/bw
z6Xxc338czerU6SqiDAsvtYUVMBhvpX7I2W7ij4jwghKomVdHX4OqvufW/MnRjeBdm9FBz8om/GQ
sHA6yCFGxzQdYlNpkAiyJMnQxbDjBkrYlWV4b6YDbYV26UDI2QjbY98oBVGEZcY8Ca4puLsy4svV
y4hGNmXdsKQ0IobRxkrpWjd6SOapD+WhSQ1j2bpBg5oJ3Es1H6jvB7SjL3+fr6FTW+hNVO/nX59/
oAcO8RAZZYL5t+YfFDJsdtFIMrgWasbRNNybp/rurbR12rQUhtOMh0hCQ1VjA3017LS7zs8IvMq9
CaP9QAY+RSj99zfTFla4XzBaSz1ZFZSd76bi+Her7NU1JaHm57FeG/y74mTEvJS5jtabu/OBONzh
aMCfmX9r/n2sR/VVMkm0/zzr56l4jLIibS9BGt4cNbeOUdmKG8mWGBOwRbNPjsQtmB6T+KDXKU3v
1SiSADYOK3EGwup9fsrf51nhEQKkcp3/UD+yOeYEGNdoPtDvDrewMPWffzI/AReOICVxZAOHT5JR
kH+nmoWzVRKf8FQEk+gCAjTxau5Raw+tdaKSV7VIzNi8CaU9lKNnnOT0u4zv5k0hA2CZYsbdzo/N
B6ZfkyUOhYC/j2kySk7TelCGpbcfyuEPtcjwXtixvBXFeqDudXcgblrI7y7gbPWbZcnHKFazY9ME
xm1+qJV0BW1SolYKUo/5ofmHEcr1vaWzGZgfmw+uIWu+7H8/opTs+Xy2VEInHufvU7O+hu5UDPTw
p6fMP4hMsqgaS7z+/e/z4zCNFnFlE2Lyz6tyWXxRkqYvPz9DTi8+bZpq01oKeKDCLm9QlzPH9K7F
dKgceLWC5LluxADk+L1503LbvKmMyMvckiXSQx4D/2TeYJwPE6mUTtj02HxwIUUcpwx30BF/T69I
MZOLJVwabseewtQiLlt7rYxASsuOdEjk8s+DFUXHAfU8XWHEA61Nf3hgJQrbu7815aMIxseqYb0+
2sMK099n3cTKrZwOWTUEm0D3gql07t3mH6g5ecs6id4LEx0tjoYhic/D0O3np/w8VnnHkj3/7ede
pGh3ci6OvS70LbH2wa5QCNrAbjxekAUsxpz4manTFeb9ya/MT2asl7omYstjmxUNIcr7mnZ6fDHR
YiwGRQtXbt0/G7irx1B7ijrdXeQlvdhBc54L3dvVAFNrjxfMqLEwK2th2ShJavfc40+SON2awf8u
XFiNYWGHqzq3FiUZO3XquZswab69vt1HGoaxMvSqRavH1cLNk68hJmQUV2+mD7+tMlEBge/9zKDq
ZXVy4XvFp3A1Y2f4IdEfiLe5os8M1eZhZLFe8GfO6TD+8hXySLn2jxINR4lJl5vzwWoclfVdbyvL
+aaY7s8/MZMctBDk5ya+jvXAsDE/wU0i7z/Pne8XWqIBNeW3qn9uedkoD2P6TT4JcWPzD//nuT8/
mX/DieqVR4jkvlQUqOt/n/3zT1so1Khppr/Nu3lJisbbzL/3rz8+//TnhY2AG+wmIq54ekkUNo1F
JXWxko7335c9P/tff/bnFyOjKVZVEeJ9mn7z7+vV/r73n3/59x27QVRh2XW//j70rzf2v5+UqUpn
J0gLQ6vNd/D3dwboYEvMd4A05fBYmma0BeVuFmK450XRPSjh4O586dkL0ggmxq5AsgrPLdobkdY9
CLUv7h3VmOnO/EhkV8O2cALy5EOMlPSq93bSoUuoGUHOsmvlscj7myG3LWEdL4OlVBfE9AQCR4P9
IJKOIsTkkz2aYyXpAsXSpBkaUjU12IbLykV6xPNXihi7h/mWn6HfpfscHdG3V1TZ3XajGkr9YLHD
o7wFeIaNhsa2K7O6RxcV6RTvXSUaNqyCKGPN6d3liJR0O//WfFDSbBXXYu+UEFIt4u9OuqA749rm
wYy7+GRyLS9KzSEJxjSpb2fowQJBoFDnDuO+BDox3yM9YaSBgNYkqzGq+cAHriGM7k0mM0zO0y0l
96N9T7/Io7fnuLSX2oeEsK5H8J4akU8TrlBtMeVhwWDqlB+F178HKW/eydjgqypy0cKsvSOSEKIA
9cp+STN7i3uVtLpwINypN860XP0ldB373THoE9MHTi8itpS7krlvPZ2F97JwLqmevHiOJz9EhAyI
9sajy7bgmJh6QaWxcC/oHzAq5coLJV37Xo6yvPLL+FQSijjsByizmeOb7qfYgLzSeLUZgaQiwgdX
yUjEztoJaquBdnAmv7VCM/acJ0TdESBTUj5pYuCV7dGcz4EkpHXPaUgxEcv71WRVuiso6wH1CTbz
q4SIsxx1nWicdtwpg0Idn5IXatkaS0emek8FqIKpSdeffYJJD5ZU/aVIte/YzOSNmu/wcyhjKnNE
pm/7of4DDasy0KsP9s5WKcFkhGZ7o2wBl+O+sBW5LdWBPr5tR+B76wZ/AkIgBb29S7TU5e9Bme5W
fX1L82TZThizBmAJbpSQ1sJ0t2pUwRnlDjcgmBQViuck9cUf3E7PMCnqN5qg8Nuzotl4IYkIubWF
0mDXy2BwMJETRnvSse8vGkmbluAebPcaO7GjZxnesela7+dWLH5FWa+cglgWxqpExkbEkVY8mBOK
Dpn3c+Up7r2kx8IlhKRPaS3InuWgYXOIWFt6nmNCrUFQ20VOetBTrz9TgKjx0nkbNAPNHqVQ8coH
BveaIEVdMG8WsYC5hvy7V5LyXhvFlyPj4BWq4rBCFh1dWw+hnVnQBjOK4StE40AkAYCVwNI3oi9K
iucAV/uASqJe0x8QGmaYsKYOIuPWvfYG+6x4ZNmmTnfnx8CeHNyiJCpj7OVHyLwh6ua9dwHcJyzw
NjErKsaUIKBqVhGUhAmtJ3jo9q9DUl19p3COwqU2mQ4Cou00jJQhV1g2qrfEiopzV/oPRAgQDKnS
5jpKA6i4QRrslWBk+0CTONx0UJ1elDC/xyFiZGiPHqih9k0TmvXaiiJbFaVuXKvGJHzAj2E76IBo
C689VdHALpgW0IZYZ2KjjcB8dILcP+PYwXMj95kbvBteMll6EkkzpxTD/FirGmetgTGxYc3p3H0F
sbGJAXnA23ByDepWwnT0g+8QC55MiJvA+03fxbk0giUKiKSAlZBtN/DHKNYLpTEfPbOq1g5S/A17
O/tUBOEXWu/8gAkPNIsScEGDRvx0Bg85JqWPu1GhuGVT73+oPUCH3DMoVFrpMSiYFVVL/STBF+eX
EjT3TjwWo8NpK5IYsYld9+zu+NawjGD61ax9ZMTNNCiyrm26Zy32JAt/50uSrkGkqdYiruHqtXIS
5Zmy4v18RctOr3aYz7rFMHE19RReQQqPNqdXv5LhtIBTu+ruTLyBPO0ok3YeeqTpLs4P88Ku4Oom
nn0OFb94ZphmjulYxNq+ugcEzevMzMd6tMWj4ZV/CCrKRKyd6olrYJqwsrWiy87ldNee7gZqOCwx
WBBLlFvhBUwSpq4wTr/MbBs3svolJzRqgN6u1Cz3HfX3ZSbXQqpeKkBiHxU+fEpUKkNam+V/0K9M
4j+E+IvQjKghYFk7eW4bboKu1h7dMTaIC/bbpVcPhI9NtMBiMEIK9W7OacrdEM3hUSWLDYw5l7ei
LTW1WjqmOREjVTvceurwbTgWxsuqps8rrCkFllkbIkdCpHwv4rP1zpRWVmuVl7DU7Cq/AJkYNnaI
4Bh+/dB3j2ED0qVQXWDg3Atq2p+Kj/+55zQKq/jxZ3yPgLHvYaz5gDyt5r00i7MtYij0Mf3fLOt4
15z5S65HtLbzCJzOR7cneqKnMvozGmLaQK2dGPdR0v8wCFVb11gd775hn0osqi/klGGtSnHkzndx
9igL1JVQsSKu3HkYLAWQzsTV91GYOxcSddNdIIMUb0V3woumvoPLcPkvwrqOiUkvwKjNGDXlaD5l
eB7oWU/l3sn9YOn/uaX4clhi/gPBOiGkHJhJu8qiPRHJgib9/CBpVa+hGmxj0vV6s243mhqw6h0G
bRn4WKyDzM7WtdGmTxkyYejA1nfvkAuk+YW2RlHR3Ar0SihR9Of5nlq69JA3yqCpz31apSfLpCKZ
TxiXRsHH0+u4n3ukgNfRkks0X/KtqVBqIpIu9qFQg8dItQlgldEmGtSt6Gpk4POMqrBl7XLqE/Nj
oi4AC/ayundx4G4qSSaIAqawL9MvrbOectEnB0E0xSZTMdKUlQXB0rKM23yAHEOUCMUmVFM8FgwY
GRyymudFmSoMe6drQbWUUYtTXiMXL+gSIjMwZq+H6SX3Vo7EMGEhhb9Ruxk+pnvOGevbkqAoO/+r
iZ+TFjBBrjnBr9YgAlUbw/xBHwfzAPEFb+A8Y3r0HUh0c6s79FJ3M7+z+a6mwhBtbBdEKaJSlT3k
oxEYr6bA3ZPBXt4qQGrvtuZQcEKvvAy5VJ7IAm6a3noMK7N74p9+603lnXqFqOUwDp3uoY9DMlF8
pz4XLi60rFDsJ1cn6qEJs/JKmC2aXrt9yDK3v+rsyp81UT90phyu8xfceP1Dro3VsUzKG8ja8Nb6
MUudzk6+vIDKqMi0d90K8Le5YXb0VZ5RKQBoCRsH+dTSSFAYzcjG69qjbyTar8Zm7x4oToekw8re
vAKO/ODk8U6p6uytZta3BSuD2E3Vu51oD8Lw0jcmEXeblsnGsFCFhUgcCbSr17lgmA2z4jia+aZX
PIIX8+6rs9AFNR2cqyzrSUkrfXFRsT9Sk8GHGJb1g1SzD9elwIeYARqkl8cXGMYvlD60J8CVwRPo
JWW6Y+G9ukI0gg+cHFEbNo9dmbVXND4ROoRbX1XJ7zK5e5iOfuv8GZbbuvMMxXRliX6yLIXFqx+q
hIukLh2n6W7NKgB8REPPq8QGazYlqLDSjU+WPRJ7mODz/Bl2QuFa9G5g5Rca+dxFxF5kvjsfZn4+
+ZeYL53KAvUJFrqpBvusFK5zGFkl+ojVYVlMj5ENyuzCRHvuKh2vUhwrUJMq8iPxoK8cCQl3oSiP
cFnsK/5X7hmtfE6EnRxtSgu3FufHQdPGX5Qy8dIUFXzqaaqb5zuagSkkwQIHChNfUUX10Sj9Z1XN
2lPaTwrdaWrS///dvz9VgjNrnD/dEA0P9ehUe22kw1OgqaOaDl1vPg3tQaXRH2mE+4ahfbKUkSSz
UL/oBW2rfJ7S66BgqrRkvjYENbC0ktGLF5EODfMjamwkoWodUIdDAtGZUX4xxkJn/drqrEmpey/i
HKzTD7pOzZHcV47aUTlgnNJotL3FnexWKG3VvTHd7XxzR3b3+JDFV+KF7Gtmsgthfyj/j64zWY4U
ibbtF2EGTj9V9K2kUJ8TTMrMou9xuq9/y4m6t+wO3gSDkCpLChHO8XP2XvszH9InHn0Vs9nRfrGE
+TEiRsPBF/5FoV8jCAVL1sZNiSQZ6kmzUMu6FA5Fy6ywn9zqK9ZT+CZm/2HbwjvmEUPzfCzqzeh2
PcVvqV1on++APDTPTkLgfVtsQxLcrnHtQqBy5paago0helR06xbgT6MMjYurM1HXijB5jVimCOTx
tiBG9dXYEubFOITrNqn0lQPl61nLue+WN7aUESJZUidWDhbZdVg248XViC6hw/SDcAA9sftLS4K/
/3uiaeNPbdfWefmXJkP/KPSxPC3rV4v6Cttvpl/S1Apx3OOZIlijg01QDb/QKbMK31KwjmuU2AC8
vIZ1PWlemyp9ZaNOhK96aXBpldW2iddEfXFsKwmPBhvp8tXE875JUsi2VYhMNVUExFxHbDEYvnue
YZK8kea1WV631SIPydq/X4ah/aHTNqDzLMmQRHC6fJc3W+WmBJRJW7Ort01sE+vcW58hkNU/+cy2
31APYJK7msJGroG5ex87uf27lOnvJDfSLybW9A6HJlpnyWQdxqRBPxL6uNBlf80EbwWToa1F7jyu
NgDq/ij9n5680sRyX1Iv8n73g7/JNbdACgcaORCJ/OtrQDCSzv4kyaEiMAxBK20NCuIh3HWOlmBl
lMNZwZ+gRTG4ztAmgA6qifuAdwMyDdAiB3cNRDZkHxlUr8OHiE0ab67XPvqaRAvfWB4dx7K9lBW4
jcioPRJoXbFVRLkMFGWUGsar7wxfZMgbl4lEkNcJ4sGKPXuw191qO3NvQ/PFbeWM3J5pOzrveqqx
DbeSlyDFYJTPKXp722J7a5vELy3fQg75lRFniKaxFcesHqMX3MaUoM70vFyBHcG/4tHN7MmqWV6y
aj96scZ/QvVNXqrPT+0sEET/z/aUXwF0q2EA/1W71Rn587ayURRnaUUulelQZJWB800DlamEYvzp
rudstMbB4agupxo9kAcLNc2L9Ctyy1dJDkT4EAKnocD7xy/DT/wh5znwx3OelunbuHRYMtE21FvS
wcMP1Pf+wcp67zLWBMqxCgefrfyJYml8UAqy8eZP7Kd1/NNJ7bHPi+4tEKa+ryv5OvQOjrq6QLM4
Z/pjkUf6qhvNddpl9guEAJu/CD9OqI8au5hcrGby757wTkH857YDx7L1wg5HGJiFb6f+ndRsAgCC
GduKRx4O9TR+t6JhpXXGZaZyRyVIrA3Cf/PimcwmCNIlvwhZAqy1SCEVyDCZiTyL+7BAtBzC0NLD
eN/niMLhhLpE6VTjJSjJvOpk5W+zUXOvlebRyxHirWocbAAWa73mKs1T3sgn3E8IDt2Q8S/OfuYB
KJ3SWuyoe8cnjVr9afT7dD8WpPbolWltgtCj2LBlz+Nd2+N8UyS/ue/0/Tj3vyvHYSMdzgJk9PJ/
Ik9uYwUhqRZxF0R7k9sNXBRe+TGICI42i/IT/knZmwil226bsxRwi9rl1egGk4lx96IbVXeAAmZv
vTJxjnSGLMRxbfvc64pxYSsb6PyCr7XdQCHTYNDY7e1+APiOqVaAAxqsutmWydqKiZ3ou7i7LYcx
qwiQTLt5FxXZT5jmzS1MM6hLZvUXTNT9RL0SphBLZxEHyOnLacsmsdzrOEk/ymFfej77Lw8+R1gx
nDAazkbuqbLuHtvGLR/7NO+gcAX6z8DvsScrlVC1JDwv4FkCNKCLOWKGcCDjK+iQC3l9kUraoyGl
8VaB9G6Mxxh5mdMH2vXePe0qPVvDcUEL0UMjY98aDVvUcjsioRTY2mzpK44lHo0hPNz/FHifp00c
wh7pUkoXLzfO3LfZYaAagXpI9RvKJ3oF03ObF+VN/WY4L8JBd36rk9Kb3N9hOtBPg1Q4yv7VcXTV
f+ysnVm5/ntkTge9Lf70c2I+GUaX71ofElDW5t7qTsvUQp4/blE91i1KhgXaaVY+1LDcPkW/EVeO
V5SAKP2VX/x++xR6dqljTSNVoLrKyEjJ+ZTpCQqwf4pDXIZLGk0VgHOUmR+dIMej4yjQ36RDDxDE
KMnSHJuUkM1gmp70v1lNRcC4inzaWjf2y20wTcAUEBhFG0Q29D3ojCwHA+4NWm6cXWYBT5j5zjY0
x/Rmqto9CBt8wh3PNmELAqSmdaigmSJvvF0MVWmbEXpyAdWHNBttt5/VEf9f3poRUQpTkOcotYO/
3fAPxqzoT6Ehw6paZFj3DJEE3W6DIzhfyzQp96QePY8GX/3vhzNzmvcEvN6XAciBur4aYnpOadu3
JxCT7OvtOP7xjJOpocxrUjignR7f8OAaN2bka98e8qvnja8y7/vXyIz715ToIfjLL4FvNseyZDdE
CEVGBWqK9rXRefIZDgaVOJJoJNXHiHG5wUQMeJPVKmG4dezLkSjAGqOBbHOWCh15b+hJ/Xr/xUxp
RjvcjS5qL3/c1chcdpmP4C9JMW2UmePtLFW60w2pSQDPrUtHgA9yu9JJL/qwb1yoqCD/7L3IbO1D
jpim2LocplrRj2UGCOb/fDEt/W9z1r3rgpFtKD8uNYrhBXCZDXRRUSSd3b5rViVYL5BIGVrOSc/I
IwjF0/KXTkCwdnoaMXRrxHSKyno4Ggmb0zEe/i6fnMJkxpQkxaENPf9SW4kHgcZLEWTJzy4vtT2R
W3jNA+1Jggb4yliUcNVG/hMeLLGzNPOpktG8NtU2v9aJ+vQDxsBCEbRrmq4LVJ4iFvLKsnRBMiXR
wPWPrUbH2B9tvFCFnOsD7fGilYrJQMeiHxROhFfC9DnKXe5YjOVrzbWm0xiGOA9TXOc05Odvj07V
g5xRrWtehvG4E9rJ6qp54/mifgJqyZ8Qv0WMJQcgcVkarIde+ve/k3QTBYJJY1p9JkEabiprxjju
63/GIp42CTKBA/37miUul3taRO1t2b0nKlRpFi0EIkkfDaIlci0g6w8ZBo0fEcZb3xysf7jHjr6T
lTsHSN7G9vPpgu8qfGiNzPum2CbyBt/RKfIqa09FUTKN9hkx8sQzLHSZfid39/UHFCDBBrkt312S
PRM9nX8FDpEI1pjSVQ3GgKG9jh/fsk2agD5xEYXA4GT6L12DeWJQjQT6rxI15XSoVHOEhIx1U4OB
SJsZ8KTgPnbj/HlZ7Os4fC5bw74S2qUswU3+Oxn/6rreflfoyNdwoVf9GEwQC6mkBoP7tyIeBkRS
u14+WwDJutuQkZJquLFEeIMOT4GO2W6IdTYkM3mHGsGRBKFbdkw3YdIjhuvwsVzb2C4rhavWsmGe
Mbgjv72Hxczj+I/Ouvhs6ePvOoP9DRRwWAXRtAPzT72jldmH9N/73Jv38DIgf4pgPJYCW1tXTOIC
8AD3oTa85c5sfCA2MtaWF9ZXCJsSmlV9kWiW8I2Az8OxXjfAr8JgNQ7OjL2tfHVAxP/TGD/06+wt
PNNyM4LAvdBUX9sqdWmspvxi9mhMB1KLlkM7uf6Jzi+ZvvYKREH82Nr57/u7HNXistQDrYl+degA
RNAB+kNdrq1KOSoWeW+cJycjPS8kcAQu+jEWPINUjdkzd7+0yOJ1HYBMVWn6U0+ewjHtrZMz9XSv
yyoeXuDg2yhV8+aSYy99IEJnenJ1UIA5gdulm7l/vMhEnFWNkNHzAIJFWL0EpBzijgIpOaGlQtEF
k9do+hXu65DIHUg3AlvNbiwwuc5DRrBhgUPYwzAvp04/dtEIoxdUE1a7kRWz7nbLqpqEkMKEPV/8
uDXA47iIv0MTzo43+y8zgSto0ocXzfHj3XIXNZYcj6k7IIdkAny9P1dLVsrLmDKEACzlX2et+uNT
l1MsD+Aii5b2fW4fXQK0XtJSvCzZP3aJ1zHz0+fGz54Tk2FN5Lb+0/0fbGK6I2HcbA2iSdexQ/eM
5oa5sZ2GpmyXMMCpfiVxePJCQx4K1wovdK5MVLoUK5jEHlInaR+l54wPnQwwCZEH5D56/jzTLH2v
ZE0iwVw67hqEB3M0VUx5A+sXFQypgE4OlCSIKoMurostuK4/or4kwCaOpzWoE/2LvervxGKWWmaQ
orD63byg9dm0QSLOZHwcDXtA7IXXrqxjiXeNs8Ts/z2L/vdsRmwy6qX19v//3gEUPd4xXFoNC9I4
l9ACVLgBUyQNazD95iXUgFYyTETvpS3M3ShzccDLX26FpadfMSFi+Hj7n0IKxPW9pV1qzyR/pAXB
Rl/GDIz0V5elh2RkZ4pu/Lkws/DTcdHzRvgDL+ThBVsahZcA4/oB8Ryz01zOV7uDPp62SfdqRaUS
goCzmjSiTmkgbAullVrq/uUAeJFxCd1RaCy/g7rkL5uR9GMnsB8sDeQwuhU2ty1+l8nSSfVSOpxI
z4YNPdVmk5IdRBg0h3quhoNTm169ixK7Bu4Mpz1Xe8xcwofqmhnXfV7Bg41psEyCJhFzYPEQsZcE
kopryABZe8zyAkcXVpT3fkL9jHUl3C2XMKAQMvF3j9m9EqIVQIx2GRvr5hT/pCHlr6f9uccWYIJq
9m4pBtr+eAgnjEone/CCUxWooT8a9YVvpntmeVnOlkNAk5RwczLDotqKN8IEimfOln4UWGKXX3E5
TPk7Y7PyMzHmk6ueWyaC5gKO8Y8FRmoKATlsCzFYa703eYIG2UEnuAxvfShOvTosr7f5vylyRWQ6
WyKKZxquDG65g0Y2H9xWS0DbUr4HlfwcW4KfbTgadmplT7i3bHDGEvdaGuJAEHAjIqZoZeCjzymd
cl/QLD6PNTryVMNqAGaL3AX1oFkWizHy3+8/qdkQ80ROoAexAXGubJLTZOc8L0e64E0mIHRxwF1n
nNqq0jcZGH2gu6n9rGHBY76uvUch4aDAuyGQq0u8lMGacba9GQMxYuCKTWxxM8q0/X3qAyT/EKMr
B7DSwgJyl5kVwVUxcck5wKQO1mdJd+A/BYfFI4Ef9NciRBDgszGUAM2Kxip/Hq0UGcVE2Ul2dpK6
+avm2dE6mjIU6h0Jb7Fvteui9Z61IRt//9+TkNJp1qLgbJFpwcAX4+XSnBIC94FSdF9dh0lAqOen
vnGUgt+AZWbrOEu0Za4uozbemWEzfTZ4C073RbIW2f22cnUT/Veic38UQTTe77piHsZV12DPGvPs
NNZV/lbwRrHjtVyiC7xnIjxU/4JptVvXyT6ssExEkcXmg6jQhxgP5rbwxupx6VFqZWxcjZKhXdoe
LDQdm0VYQpG3MRtPew/YQh8SwO4r0HklpCqDNjv9wOAAXol9VF0468R1P4yZmn6Z4pgU409x68B6
84dxY6vLNNKPelvax2w22433u3ChCZuqfHJ9TdwS4vDqwjzMGi9PkdG8MC7cj0llfvhtMR0jOouo
p34TWhKcRKsC+sg64hS/ITjmmK4GSZJ0kLKSTAmJ2m9RetTKLMHHm1h6DyRRoXvh1ini7hJU9Klb
+kmhqpNAH8qDVjNKZBMCpEQotKqIcP2D1Doy/Suveox/gwnvQDs3FsTgatOWHiMN+sLbaAMjWkyn
tMru+WdmzDKoMc+p5sJ8FHiSqLfUOqLmzvd9eVTlLu6NpHgNZTpuO6mzBarNnIidIlyjrudv1LWM
9SfdjPaj45/tuqUeIRSyUkkpNvfWhUXjVLRJCaHZjAP8x/BrTPBdECn6aUvorXhbLpvIFZsMjEHQ
1FWwAuxxLpjL71EW1ruibfUL3cF/z7jJ/z0rLqMJjdLXUua6OqoTrBJflq3hW1SHwq8hTGVKohXX
xZlYk+oxq9NXXU8Vmq2bcL9HwbAZ1BMTWy7YOJ103Ps7VPNNK9dAHwF0RVtbfhSdiyG02I2UccPP
maQXSxV5y+M+i+i9VxX2XgkgJbUM+YIDuFTKrYSPxc02vB09tlS9O/e3qIiss9UPp77KPqdk0h4z
T2vfU/uwjHtQj8mrOM1B+8eQcYBtACERE/zSWOFVXZNkCeFDK3UYE3n87eXpi9Nv3cqIfuyGzT/i
8fw0jKn5jCN5h36caRRFu25a1wpsL9uPeDZpbqXpqyaYrtl5h/9Nun25cw3TOpCnHeDNjJ1Vp3YK
tSy8fRvkeC6Xio9x/wUKRb3rbEFx0Sfam6y6FXZLurtzw8DJd3ineS46Y2QdUUYgFxvprMAmG2rc
qKn+o8hWUbgJXaH/JLL4WlQcnTmYL0QreLZ2uW8GS3+gIR8U2tnHFuvjlG0hHfl9ZN583+n21OLJ
nn1dQeOHAVCvEWwZyHFtFKtlak2yY/60nBUQ8jxj080O9XbKc6Vq2GLT/rOvYVy94ai334VugS/K
LfRZPl1xkAaSZXzbkzX1FnrGX3Sqh9DkWZA1TxBF6eGZBXfXsquVXtwdwyxpNx1VxwFjTI3dMN0t
UhGDruuKPvaO+iK7GUQOrGInm76SOb11bkgvOJmoKVK5YfTuH1AxpLtRYMRNfGac/qD2AzR5tsvn
ZPnYLJeeR3N9soqtPRbaI77N6FEOEVIUqEVQSmlHqq1do0beXhlku/t8vJkwC4bWY1DUYr+03gd3
tLaYmNLNculFtXvsgHAQb86zQU5/yG8iIlvp5vwkQdEdxtZjEoj2Wdf9rypDqJs32jdPgNPQMNRU
J9PsTU+ELKSrWbcCNQMn3ERt+pdDugaJu0/QYf+EjffmFJPxPjaO2JDf55xSsxouXTELrKeQ0c2K
UZVmuP5aE1p8CeyhOANzuuU67vCULvSrRjIgTY2C7OCgOoxtpLrrqCAaND+ETTRovAYamWnqkmyW
9O2zED1CDUGzEnwXHVj+lR2I4PzYddbz8hBOS5Q6rdkZbFCxYxZl2QPR5wPdau0JbXb2aDFig75t
+2uhcsNj4lyuKDHh1891tOGTWRysqEHipfOx1eFbPxoteWT6qHcfU0FHU+jnute8g22VLimISnaK
/oOmkC5JlbKik2fW0XV5Ts450ijMKh/tCJV1+UDZNYTHFnvDe+iapAxhdY1mYJrp8vFUH9RGtVPu
CyDt//hmC2ns2E6Oq+Vv4I3CXxdK0jcDBdwQDVggMnLEGyJ2+0xB/mh0pDWP3mheBpsSGduC/s5I
0+cO8y3E2epyZu8bGgiv+LVigpw7uSZTbqZz6NKlVrt2wbK/a0yJ01v12TrL/Jh0KzpkSuNnNE1+
9EzZrlPBklm72vxIGmv2mOjcf8uHZ/kCUG2YoBMEScHw5NJp0CJmy6flw83QD4n71mk8MPIcvojX
8MO6oUW3X2kwCIg7GRKiYeRJjPsuMjpTWSwqxIoSg+VFUhYzHMsPPrmkD57R1MRtMzBA9jc92RIG
zexmJFsIMHZIDfiqUskEM4epYEReyq/QT3XI4IP21Lm20nAgXh21d0Mrb8t7UJSO/SIBzCdBUh8m
J4AOjsf1EOiWfw5dlLVdYrQ3WdEeiempfraJ/UF4gtJpSRdMuEMz2Zpq74Ksx2lqUCRqUW1GzAWU
qdkT5kBz38eTudeNJrqOUbkZEqk/2BElkkn83k71A6EpVeGHafrtmsd2fNCT3lqTIZNsGnKsr1qI
b8z3hsO9YoVniUksS/9M0uywg+O4NY0hevzv4FdMtCdN/vnvJUxW2zru67OXgU5dSrVyYIypZ1BQ
Q8qZdeHF/S5evLzqLFzOpoJJSpLgZeP2GMoGpIRsIecN8rmiI41h2upfDdrpviHcW+u16SHuvWat
Ofh4Bw/5NAHgF9eGLqyuyCAjwKPHbCebC+C8+bu1MWW7oOaORdqQPV9oHzbxuJcAa9HKHtyK33QU
a+QUWBZwWp4GSUGEd914tQbfgyzQEGOmeQ8Vu9/VSJDjw71+cWn8Q9P6566zmgYj3qTG/8TADmL0
Dr3Z7k01XSoo/PfArUt49lwaNpPDmrYPG6lqYtfEYfrfs9maWfmlvk86H4WRa3xSAZLNQ1QI2FYz
SXYJEujPKXOwWejRT0t3BYWetzY7X34YjvHewcf7ixhrNWYTOaZGgV7bYzZm4o++0KOpPjyajzPN
rzfHpbFu236NPULb3UU8XSiewybc59ytl6xj7VHqulodgsl0yEXpd8vSldpCX4uAoJwkapBvNBhG
PF+1B0I8zwz30H6hc2T2Yl17dRUTcPmUCZAP5G8xylGXyxfCxH8g73fYRCmxY8uP4TGq3i6Xhuoi
K6IHXdLkMW8UJEPthiBXZZe8E7+WK5v1lQ00+qWC9vVWC+f+8b8zLVF9dbJx11WbQAis3ADP1PxZ
0g+8hX30MXVdsuJzVyPF44zeM49xdRar17Rh/Percc+vVgzV/XuX15fvWL63iKFUp6P7t6V1sbe9
Od0YfmZ9mIlFDzGDMjuUztOibEgGG/Hn9D6YYOkNor+3S+FUk1e71ZlGZKk3q4woQLmqwRn406PU
CHx03bg8LN/atbKmaS5TPlMEFgaij07xVKUnV4C/yDR2QxMbgLe+K7V1jlf4CsSD514OVybS2x87
btuP0WQBVnr9qVdB4ZWVHggQjUkFnl/8DuBl3kfZU9RM/dmrC+J8dDd/b0rjqKE7tvWuvlVW0r4z
onIzX3vLYjN88WiHLK+GPSheb5JvjiGa92xI5zOSl/5hIgv8bbauIS2IbTkrdbbTuzfDYwUlTs77
gfnw1iZx9ga8RttBddJ2y+XYJW/LN3S+klTZrksmD//58g8N9TAjslcwtt77GT38ZqHXhFvfi5AL
GkZw1sYKWQp5K9+x7z+Nc9y9FlHZHscOGWUFvPQbbQEAlzD69LEg7l0NtyWZfvW7HdGNStAsdcOX
Cd3+QGwpY2F1qaXdK1Eq3a3oRnmVZEpCvOT1KGgnaA11fp7or74ZOU0ypLs0XsNLraa/chba4Yjr
loq4YuolUGscZBHLfQOQ7Gw5+S4rBe8NSrz1sjyOknqw0UhMtJAXsbfrblNmAxky9PRPT0SI0Lu/
vLeKBNB3r048kjYUld1qTHRQVR39jUz6wdY/IvxkrCLDpnsBSKifi5xS7X6thXgeAjjilRzftLqi
lU/1/6RHk8tOQ2vORRpoB35Ze08SgHOZZoqxegxPS22RlU3yFNJ4Wa5wkOH+6nr3RH4puhGK9EHg
VXDKqbm1bmPsufO93TCzglXsG3eUY+6u9XrvICyruI4lzKts0Iz3whx/S4gc/yREurB5/zuhaXmA
QRJlQ/Q2WD0i+5qHj+DvfGrckaiMIiORueRZNFtS/+t/jbo1b/q01s5UAdSyUm+eJcvxuSA9a92Y
ZvOdG8ZhIALkPcaAtqePCiMaygWS1JDNPbeFQVqwEgjFno0sR1Q8RLss+mI4TzIWx7MeJ4zKbHLE
WgwgiBmTV3yMKpTKiv7AZYW3HrekkZhvoU3D066xlIA3HR+sjglfzFyjQy8m4cScmOy3sEe4pBUw
rgNEbgeSujq0GwTbygC+G6aece+oWsuw6XHVDrKdpexYXqund8+H6BCVdrY1dC+5DaM+Hyy8p0QP
M0ReXmvq+lcVZ+j8CvzwPYOUaAN9w2DoxTWcUSVpU5p9WVSfi6tIii46eIO21yID71OTKzmYUIk5
FDESkFu56qrsVNfOdCWISGM65ddHsD0Y7mT+XvU6JPSkNrcuJPkvE2hQ2VbjY5n4SrRMcZbWnrVb
FMFw4DZga4I3x1HZCy7T3RBwfdkWz7mbas9OLeQZacmtUVCc5SCtBu94FlxHsFPv3ECXguHwT+Gx
ZY3DrMJma7mnyNZAkRR+ftbyiciXofQfBMIolUWq38woKXFZws6rU+PGENm4pSmqI0S9ePD8+lf6
slSo1M9kVl+y21yF81bkqflRmJAYg9TTScjqul03Rsw+sGpOO8IhIwMZTuWdyShGAZQXRCcnsVIM
7klHrM/cSsxDukZrj4i136hBkCtO1XRNO2q+cPTcvYWX4ilJBejDkEfrUIrsSFZ9eQ0r8zPq4+Ch
N1P3ffkP0B+67+zEggdGcN6DWY3WY6QoQmGS/zbpYa3c3uwevbSjx9pG22YOnTOQZn3D3CxfOb7/
Jt1kvBDt3L922ksDrfItofI7lnHRn7PQejYrrznx4+CAgZHUrxtUFet8ie5mMrqiGh2ea/GdmwG8
qzHUjkv9YwHr6GyUybHggZSSf7Z2s8iCv+HtxGCiDXX1dmeEwS1uqM6FR1JiUiIYmnuVxW0OIChR
OK6NMa6/ZAVIIehF/pipJ2mYGpcqR2bxXMeZ0p9k/YCbC22lPVTfaeyYZ7sl74MgxmjfDw7UzdJ9
S6ml92VLKtlyFtMDwc3g1rseV9suwvXyC0FLKYeVP1sR9E393y9JjdWiQeBHlbisbwDzUkhfpnzq
yzA6asIQ4MKm9BUiXJQe7eKWi3l6zLSsQFUxgm2e9V8ueuKLhURyP/v2jeDMfO+hH35ARmO8lU79
N6xT+dcWTKjs1vyZC8aXBLNXzyl8xr1LNdISqbXjM1096yWKa5307T9iXpel6fwZNWRtIpw8BLbo
0VMIWyU85o0OvvS7+QskqvomUjDcinkYDkIq9HIfFMfYhIvpVnnxLS0oymogUCbWFjXmL4bM0y23
eqLWwNEQBuNPnxEqybIdtFdhI6Z0pvkdfW17TloD4b1qIVQNtTOPKnnxIaWR5mWzF3TRXLrYBrfx
AM54ReTMm2cMe/ps+lUXvnepJpANGJDinzpDvVrqz52Q5ktRy3iD3c/aSzWaEn13tVi8bpaHEjzP
nWcem9EK62N5XHbvmUavEjNZalHw9iZ+otQeUmwhNDKVOytHgoELABZWQdg0cNz5XQuHkIzBRn8v
QpSFWvnNe45W2JlJJzFRgfcGHuvKt5ObYauulnh25oxl1WyCYzbSKKhjCsnCo8WaiRV9ccUtdLJP
9nHhKQ2qd1/P7DPCAOphNScsWoKWE8QUpIiEbzVdtksTkGQN9GFt6e556Qj4EM9oNjbXamy6WzWz
rDmzGNZU69T0o8/qS/cBfIQ90cypZn1f5AFS19Hw1aM0uL9fDR91DTHgzQ+d6tmozJdS8/XnZEhv
jmhZfQmN2MYyxsmQuX/1MQ+fGq+wb0EQXPBBfoW5qoprTFxsP77SmrZAmtrmk2TO/1ALxCQ50iKc
fGw7q5i0Eoi8PmxdtSmFI4Eru9BObfYsh8Z87KSH9oi/6huSOjD3nmX9yMylXdkUv5ZOIdjKZyNq
yd4g5ekxaAJz18d5dMozZNfDlLU7GUzRkyUA7o89yUQ1ELWtSMb8lbqCxmSIB3K5pKXGj2pCjXEA
+S07OWHyvf9d6urSatocyo7l7+TcaYDmA6JiMfltlpsppktMe9UHh9UZh/ubbgjqvbmctN1i1Gln
fGshkY+Ld6fhWVKFJRR6lepVqRwXt9eJjtZsibNEvajjimeUUJEhqS6F5iSPtIYvjVkF/3aKoHiS
rS6Oy1bMqob03JLgVhGW8KTVyRtvrPZO+o049gG5eLWNryiUJE56Wf9DtwubyKw3L13V6tduzs4W
VWi16gWZZK2jF0fawM1LSC11FA10SJ1keYFy+lrTJ3AhTsU5rPV02t+vyQhDGENU1aqyifVJJHJ0
AczD2jYFvB0gJeYx4CFr4b5CylFlG63UrBdRedo1JETLByq6bADvh1RjK+jmX47mqsEWG8Nl/+iV
Y7DNfZyO8whHgdClbBtjC4tlB2tM+r6L4ormXuoSKGvGsffFYHDvxjEUfqUiFC6far93MT72m6hg
is8KSufAJQq0zVrnEGV6s16WkLCky5BFcXVq1Ypi9Drrb1LckHjS6w1qNE2JI/ee1QbrpVk/ugzV
BpKoD73vjk9uZ/4po2klndb+YGLr7RMU3Nt7J4QnR1RH3ilo5wLFAppiMoCs/SJ5j/PXiVt6DZHF
fq8t0kIKxzcOy2XLJAaMn+rsiNh5byJ70+jyVNljfDQo0y+CRXFEhLqpGp4HcUcQlRWzVHjc4Chp
NavEntEU2XHpf/kT6hVooaflylDdMA++8TrApQpM0Tou5c9yAGp77KuquS5XBMd1x5ldERj6rOPp
SamUGGZJo1bXH8s8GMmEb+pD3RraoWnMF0tXA08l3xuKlk+XF3ykQZsjFKgBVKnZTJ1oEJ+ZDz87
UNaOTCbwnanL5YA8yyIOEGCcNREY7AvmfMtHKWunS0L+9/X+MRt8/s+OU9y/uHyHZKDvMhu5Lldh
yuZikiQqxDMzWV0UWOvGiNiNgU1Rw2xSbpDYnYKRMYWo/735ljuwxObEPHYuUGD8T/eCLFyMJAR3
pDomNzsv/FXUeeEtI1vk7FbAJxHo3paXwr6VO8ZT/OnVdyxfsLRCR+E0l7vlteWAOuLJwjgL5bbK
gH+Kzt/nwPDGWjDBBE62nvFmmkSp5cGVTLDixO131DBOsWXziA/pSZsZGPC8ARrHKAfc7a3QsaIs
A7R+si5Lr1spzMSUNCcbnjCOwfrb9gVwW2UhQX2VreMmCY79GMmPgueHrMlLiAvvtgj/82I4BQ3D
Az5K/avf2JSRptltYCq+uD3AYWpeJIHQaUpoMyivwTMf88CZ97XTIJmnjQ2tUh2SXv571gJNOwDk
xzgZ7JpADMjFeRIvZmmfyI7jbA/vcZvXe490kYe6HMbLfXqqzPLLmajzmx4ypbIpCO8vxRkhszOb
tU1n1eKqfiqouMFTsZCI7C540qt+0wk/vi6vLwdNM2J2oFSwlREABIkZQehG7NPcF+9RWmoHBpX6
j1aO/Y7wdGSGyZh9LWfEVeT3s/trgpWXRs2DXjTtsx3T5W4p9rY4t+JPrMiH2jSaPSMeHa1jv9Om
Qn7NsR8oKfR0LkTTX0zXk+vUavW1ndYoF4L5l1ngsFgW9D5BAwO7mz1d9hxXSDgH95gbgXccpG1e
pDosZ5h48otT7e4X/4+xM1uKW+u29Kvs8HXpHElLWlqqOPtcZJ+QQCbGGHyjAIPV973epp6lXqw+
pfd/fhs7TMXeQTjBJpVqVjPnGN8YIusKPBBBRCESN/Psng2twiWMA5fluZpXjfEXp+rzK1vlzRY2
d7cmDZD2zGTYKwp/Bf16od+P0nUWXt7Yl9GgtENaVAalBUIkxqS9n6Je7EVYM0LMRaUgs6nvCFT2
OYV+D1XirpN0t4I68HARPFedopCPhQY/je/urfCGgbn4bCN4d+mefLfpy0Sepinxb/uq3RCHZ1z2
LNXKjTkyK9T6EzsBokJcNkgx9ICF0TiIh+cvFhvoy/NLYKbcZYMD82Lu1w5Z/MWPrHjjuiWqdRN7
KNhZQovnX67TLbxsu7bfd3R4/v0t4RLKeN4I66XEYDcv+5CZi30fUhE8L/zO3+tjRUYq4ArEOOSN
YRhq/Vzs07CIrruEyFQqRzpgP2ldeDZm+YE07cX3Bt35NQMXlVqdS5UFgb0zXDEdbMePKObS03AS
5px07OsLK0/6axtSdrWuvSZe+jbqw7LpjzDAkiuEzkc1JuLK6qzlDwtcuozRZjpWA0lrQejCUJl7
UOcC7/lPmRIjNglUN+b8ZSS5emXr7qz9Kmb1T1r6bGK80PmIh9b8pJzZnWi7H+1MF5+m4p9X+dxS
svRuOMj8hc4V5AXH8a8Nf8oAE/GSVcpNOhrOrT5v4dLcvsQN4H0UeelfxBnCwsybgZFlpLboUqpl
XPXm2ksmLCSdOQeg6aG9MRINI4XMDRZ6KZ40q5X/vFasWzZ2YXdLo43VUaVs+FLNa1cDNc3j+Xvw
Pvu9TimFWLD5e7k/sKYHHqlHOZp1pkxO6a01lViaLd3fxZr7z5/6XntVNCh2dIPqFSVB9zGgGW1k
BBiwcOhu/Ki4LHorfxpTRzFfhtPHUE3wYca222hIZalDdPoNglekAqWJetWC95y48hinMWpMtN6E
KMnIJjSoRJXdRhvkg/BtuoI0JOQll+785fzy/GUKa+j4k3cEatsf3Mbr4ErzJ1IzITcVYrj0Muyq
fDvQh/6geQ6ikjM7QyMEI64J0tZLNP25V5OJ8j9fmlhoVyFgtENDt4kwSWiRM/4uKwbA88iZAX4b
q+8jrwzyw0St7fuCC2sQc6yOTey85GrIz92Ns6CQ9b2xREEmL84SmtJgQWCwm7MI9jvV5NOdvx13
Gbs1dhluOz6NJfsSzcmNU8H9tcyVwkRoD/rp/AM5k/KssnH2//7eIKejpfyWSiVBbgiMzGU+ONWN
gEy3CCPDu0ABUS/jnEhF8uXE58Cjwxyn/R2TUXOUKWm287cr0pBx+eAIR1i9EcymnyHw7k0QAc+N
TcFoFMo/soZykPtkzgr1T/xc16iHmEKDCAXUABdGzXARxe52W+atuqjkPMyruUBJ+utHTZSMpnJU
T1bjE6mLK0zSrFQp0UhBP9Dcti1azzHB4UPJFtC3cIGLMj4aztwIEpkGhoeVfY0D9iWP74KmMV9p
MKLxTIMKdXAh17KhCA05pziUbNHWJHz1n+huzh5C13ydukfgKf6LaShsK0X94KXsuhM6mdic4ukk
CC1eBxbb2YHuypanyD14kzR3DSTGC7qzwwVwFm1HmOiASFmW28gj6IGtmKL5MSQnp2N3F9TjPJsZ
J7rXAD6DWn+shElXO25e3YjsTBA5wcICFI+eznxNk/KeOAD1qIceFTE6wXehasxV5rnBkeoZKgkW
rwcHgt4Fhmtz53RXWa55l1qEJHAcC+tw/hPLcHHwCQ3anv/07++FP3/Pj215QTGTHNwh23dUsHZ2
JIfrcXCIs5mM9FNAhxsxgBd/Bb5Oo2SAAjkBl/HjwXhm0zssTG3Ib0ohbyL8eCs0Zd2NiGiICwc3
Cw+Ne0G93N+BF1FkSAOJHwM3uCkxHI82jnhVN8MFpS4Aww7r1B5xC/e/jlsIp1FTuP6tXnLrQmdI
v/f92PX0WqidPvz1n//9X1+H/+2/5sc8Gdll/pW16ZEaXVP//cEWH/4qvn97/8JLG44kNmHlWLZl
EoRiWfz869NtCP357w/G/7IBJFeyw4dlOQ1YAC0ZThA8iS4gZvyLkNaVS2n+m2mSD9Sa9VepCNpw
bb+4s3s2J6ogfCoo+2aVdhkvQye766oAEpGd1l9pCqzaoUxWQesXV5IGNGFWLVWORHducm2aYdxN
/VSXWDfrvGSCtTBDUZHql2Le4EHsaZ7y3ISm6nuvyBKPQxhFtIb9ekJ4BmZb4Z//biGPkO+h1f7X
SwD14nJAovP9p7ZTY948O5bTvIdDPyu0zjKtLgTZj9JucT6v//nTia3PJ/or8SeoxSlV/Pzyv69C
0tDq/FvzX/M/+5+/9uZvbV/z66f0tf7jX7rLU/5/+1d++rW8+z9Ht3pqnn56Qdht2Iyn9rUab1/r
Nmn+dYPMf/P/94d/vZ5/y91YvP79AW9y1sy/zQ/z7MM/P5pvKMM1f7gB59//zw/nz/j3h+NT9pT+
3//zy794BWf49wfNcf7DcKjyKeUaUjdsyS/rX88/UuI/dFsXghxnHPemtOWHvzLo8cHfH9z/kJZj
W2iQTIv7TxrOh7/qvJ1/xO9zHZ4i1xIkyOtSWR/+9dn/eTi+X7TfPyyWevOwsA93HDF/ka6J4ZfD
+/FhyWz4wRbR4GvKesRG4RKjwaMD8wfuXLoOIUa+/GZpiIymCZRTDStnhRlw6YuavKxW3bioTJcI
cV+7Fg8O6+F1ElGJdV30ibVgP24Xj1KMghZxxypZ88wNveV2C6AFbZVHHK7088/l1Fy1QQGav62J
QUQbvCagin6kubeeFbAloPPsrrM0jBYdFYHVpMx9kjCrBx0Lp9yiJ+cxTy5C4WDMskA6ZKO80+bM
qh+u7m+GF0Ofx48fxxdOmUKqAbHJEWwwBZftx1PGoo0QENx5a1/k7Avdgo1xBEunsR9biM6qAlcq
mmstjNaK6ECW+RxamS99RJHbWhuwOjf9tBtoFMzNP4KyfEtf4mSJMtYWgyjtLeHuPUgiWNDFRdqS
BDLCglkESh1LHLS5L1593bjLVYpyVBj3Rm6+mtAnuae2sTzmKD3B1OmrSBUnKpA12lmRg1PvkbWM
LMQ99CrbUjZfS8kymEBD5RBnnWwwcsF3lu0XVKiYnXw6WaYKcUNpD3VJXlAaZNsocndRypq86JSO
gUq+Eg/yXIdatIUustLVoY7LL2bRabt8aC/BHPXgmIS+GiPz82x/R64PTkq40ecG8/W6X8SeC7uB
5gvdfnERas/2PZAWHSSCgw5kUbnWFfjZTatrd2xc8NJRk+u78lbv0nDnJYzZZXlnV1EDXV8FSK2a
V6kfIxlc51Ab6mQdpLZcEeX7FBuVu7SNj3++I0z7lxvCFPAMsNo6BPWptzeEXensDpOYGwKB7QpG
Ha1tPzipAK9tgYJjiaXss4SGqjnFpeuegIYrNKcJ9FMNJH4x+78rmvOop4rVQAuENSLtsaENVn2D
VmTe8gEWbNZddEQoTeYK33jnM8zP+c83tWR8kqZtSykdV5/HiR8mzSzJUp792iAjDKDDWEfFoqO8
V6nyyc3FrUe6ZIhZbNUkeKii3j/hvaORUn4LB4uw6fFkFw2XcsT9nchgNQqbQkyGmzR7BTz+eS6h
/fmIjV+PmIFLOVIJi7NuiHkZ8MMR50HRxN2gGpSfwO+lDpNj+lY7mJnskMdSz56lNpDIbmRsRil7
kymzcIMqfOfM/XrxEfVars5aw5a6PY/UPx5GV8Drb0qnWStc2ktTqgdWvsi84GO884Hn3/TzJeKd
iIxQ0rYNARLy53fKCogD9iQbchiB8aOO9+Ek5aTDV18CO7zqE3LnJ5vCHEVAogSwY5uYLJa1GexH
gacsh7QWq4ic1D4al1qVyeU7R/jryOgolxkD+w2nQ+hvjtDjBvKLghxMzI7xWD8GuRiWaVEW65gy
0tICvqJq31lTseaBnb4FTXZbGxPaiPFVCy/fORr9N+fL5ZQJV3DefrkytebL2OuqZk1Y5Loti73u
5U9DKR+mJmWqk96OCalRLrmE+dOf3/vXWZWRgPxFQwrLccjT+/lShVrfw/8JKSIJ6MFhk+dLbmEg
IT6ZG53blOvJs+nDias/v69h/PKZFfUUZihT2SCB5Xy3/vBQtINFhKLjQhQ0613e0+Nty3s/y28c
o9h4QX6DvJd0ga5OwHnXd++8+zzz/XyH8u7SYt0iSWpiTPz53R3Z93FJR2cNQAU9d3tX9OpQkqdJ
wvaRnthLEE63npuhLjVBJh/o+B2joLgvI2g9RbWZ8vKdQzLnW+7NIZmm5dqKBZXipLy5ErU1KYfb
tVpDa7vFZL2oawExqV7oQ/XF0Zsvwm93QZMe8HbdSK290sYI8+yJbuZuvosJKW/Z3XVdcSfCq3w0
Z6kt/6B9Huv+Fr0wjfDhecqrTcMZzyYbXkr5zlD36xCjfvoMbx6rBmR/5/l8Bsd2L8zMPbpW88yV
3r1z+X4dYHgfRzd1UzCeMhn8fPmklgJHNKdq7frVvcrHW5VMF+aysRoM49k9HukLVhsvVpeyCHOA
aY2LuEX3A6HA6J6Tyb2Iff29O/q3B8V8xJpLWoJu188HhV+6ifAQIwd3e4OEpy0W2qsR1mvM49WY
A8HRLalO2cMYO0dUVMs6aO/Gjp+hJ4CUOQ7ZUeuKhz+fq9/c6abpsmbWDcPELz7//IfnTCdvDdZX
Byc80m+bKX9oBSbmLr+phnr957f63TPNItNVWOOZnxF5//xe8HVcncp5tQ7jAjxzVd8Vdoaal8rF
YnJor/ehs0vKbqDFN2utJeL+ULHqfOc4fh1PlSkcwahms0s29De3h1sZBkQdfKUIPo/GuPGDnT+A
QoJjMt7KoHqmCniBv+Xlz+9r/v59JX1Omze1nDejCplGmN9HKKn+aL84RQYmh2x48DlX6M4eoELe
jDjuCPJb0TYh+MWyoi+MyhQkTQoPslTGQg8CgpuH6BtJ4gujru4xP3bvnZ/fDTVCsccTlrLwp755
TNsek2/ZwOz0yI8wrO7ZN4qHIt9jNPAWaV2Bm9TNl9aQ2HpmxU+vf6p0zV9JzV9PTf2VLiEQsHgr
XKq5cfscduDM/nwuf7NoQiV2ng51pkXdfXMvxa5PvTbIqvXo0WKrVkLot6NhXo1Gc1cYxT0k/XFB
3/lLlY4riuQrVwbvDDPid8OZZVGgMVkyK56en+9nRg/IEbXPE63nXyt4z4u+AEDnlRMXqz4RU1PS
lEV5kmf1ZWNnG29Kb3warAT9gW2ZuhOh9wTv6h1k3sjYlIZcJFaNTUkzvimsZssughExyeXI9nth
Fd6NlkOj0eLtpBdbEwAksEp9Dn6okB1XqKlheeXrzvbE6s/n+9fBy1W6TjmKjbWuG+LNI6OrzAkm
WzcIdbbQENvDPvdJd3AVhH/0q1On9e+tweYr+POEx8wr5z29Y/HMWG/Obt2jnW6iBL8YBe5lUJjr
0J6efDFuNCJAWIuMoI+n/pSa9kDtv3Y3ygwOU0GmuoN95M+f3/71WjNucUC6dGyTzPM342QUYZMf
aD+sk6A7ODkGyTi8jms2fOFnfEXX4NnZqZEbgZBtwaVdZACI4usU6bNp1iyddBo3vntKB3Vjd68B
9bNFHvX0yxL7s/RZzVcgu2JdbIYICFxdPScleuI+E0uqDOayF2SaB1/JzQJA3DwE7XDsXHWZxcXK
cOq1NXS3jc/YoIP6XM56wcC/KWpOEf0aGis9Ej9ZxvdBD8+0IPFQi6uryYdt6jSrLq72URrdJ6V/
/PNpM95eREdnDmYRx6p13le+nfSmyDQBCSPSCpI2JV6jWJLzhxSGdDcbimAKI2ZBFZa4hth/IT/T
3ulagt0E0sXMzXvnaN4uKr8fjTKEo1OoUueCyA+TXZA2SCoLUmB8SOxIwdwnDKP0gPKmXYQhaZxG
A3YNEc3CEDb5Yj215E41r38+jHml9uONPR8FrDqcgS7PE9ugn4cN4qONNNRTzBXelKzIRnt2rBRj
S0l4bX6fW0ubeOV3nl/jN28qKPRIh8UsrFVnfsB/+OgDWmJlG/FIYmj2yQH0v5Qz/nigypGqe6/p
t9IId6N0vqLCveWa8RB9NRp1J9CxLY3EJja80O4cX6B0pEH151Ni/uY+mbdaYt5nUPY+V/d+ODw7
Uk3UKDVA5B2RwRLNSJU9GT46lbct8PcScKIiSg0Veck5zDzAOkSEb1A1bSFJLfW2u4lGmzze8llO
6ZOGv6/JI3BnBqKdyKoPVSH2fz7mt7Mkl5EdLMO+Y2HxlvLNem6gjoECpRrXdayJ5RAnBIP4BEBM
44NB+qsKgWcNq4zWwjur6F/WEbyzwv4/b9RdA8Dxm8E4xu3VJORsrBsa21gdiWrozfSheIngeI20
pBeDiqsdzZKnBouwKocN/vdnhCMPVocOV0LIrm2ygyl5sL9W14HhUw4b35kfzxWDNze6skmP5hgV
6/DzPfnDRW3J47R7KmVrgPInt+5uzAk7bR+esLMDwxGkIOgXk1+v6K0SZx5RccXnCBJ0lWhyz77f
WvB0lIuMefad9YNp/fIQGnMRm/+Y2Oad7c/PAxXpKs+GqF+PdfxtGHUDS06nVo2l3w9jgmMarxHS
yHgjDe+J+bCfoazhNicDd8swFe0K1Cx9hoCmQgBZ+zxYKSm4WpAUJ4vqZ2REJJLI4sYrvM9pESTv
nVzx6xPNItJQFkMRHKlf7oIWKHsHFKNb1+u27oyNhxGVLXmWbSynCLemiL/hifeWCQLerRpHHdVV
heqxNO68xNsQBJmAYiODrEa7stP9BqNS3F/mQbuyzAiUaNf1O9sNTuSWruuqmJZdlcKINEBXWgJH
XUFkzuDuyyb5LOPR2U5pirQj1ox14PcsFHDghoOxHSwi/MDRVDwjBRzgCs8jTeBVmFI318uRXPL5
NEZJrlZ6qR8BTxFWhO1uDZh6WiIP1LehMEkCphSw9Oi6bltyp+EwhocyM3G4xgHmah/Q/zBLajX4
EcAFZGXf6jbeJGck0hc31aMOGDPR6UBrwTdby+8ntwXDlmQvtk2ihqqWhpluIAo/Gzgu9AHTuzXd
BV5+cpzuIUXGKSJBKAfkvOU0M6lQKMi2h7wjuCea0D0WQxTwYOGrp5OySkajX01Jr1ZD0Keobl0U
Y1oCVcqaVnZHxBLCnHUKSHSJnnupCZ08CrwArGj1Z6EPt4OV8m8TpiTbwkTp4lGSIrhITXVddNyr
MjZxaXh5dWPDDihYSCAtp8rq6caAGmwmRsUSjp0F+RY61N4v/XRpR/TTytRONxQ/8mULh2BtmONT
O3H6vdHKL893T9Mi8ks6uvRdWGWbmUCy7Ax769Z2v3EwLj78eTD9ZW/o4OsXbDqobFiu88sEQJjS
SCY8Ij8/E3dAvT4NlfOcO8UXzITLgWjnGmazE+krthL+qH195+3nIfPnoYo1puVKxVvPvdY3W54J
eYsV46ZcawCciPIQLOBGG0E/SX7OMY10MnACO79Epw9MvimArhoYCdmw3vz5SM51nF+OROmSZpo+
N9PeDO5piKUgkAlprO4YbtNxrWOz8brOhMnAyF77ulqRdES7KItOUJS+6OMap4vYGyN/P065rQh3
96oYQGSF0orbC2V3fZM34QYLGSb5CjZf6fb5ohxC7P3noCNXkyvHLrQ19DR76ekavsm5FXT+xWpo
rs32EeWBuT0/q33aMDQL8NIYnXOgges2TtoDXedlVk1yI/oAlJdor2W79f2whOaF3bjXh21YKUZ+
hWGWYHDk2ro4uUDnMQxfloTDrAu3wNvt8PxadRu+s4j/zYRkMbCbFinOVDVBiv486LOIGd2q77u1
Z5Te2qqaVebY15CMuP3tdB2Z6hsQ+XgnMOpFvflNp4qxtlqpDvFU4uqNFokiQAWrKQKEnqzZP197
QcH/1/uQIi8rMY6S7v/bqT0wvIaQJwpCpVaKrVf3pAd4iTmvwrLdJHo8h/JUYLS7FtXOdXzzogHh
vO1Icf5kh/EmbFr9Bh/wcOOwmLKqATLbJKBRG/HWbEtUFfqUXvoVWczwwBE9NwtjKN27vtFgX4qq
3hI5ADiHmtMut5uNdCEt66wmFiYuzt2YYticpm5L8TFcTG1uE35NynA67s1aVIs6hqPT4GUvGsNd
AwFjTHELBHOR/zxOF+xyRjdor2vy2he9R+JzptFCiwBppW1Gr2yegruWoBA/at11NKoGgC+DTnsM
Yn2Lrra8MgeWdWmQjBuKRx4RmzhcyXkk86ror6UsFkEggqOcrH5pasToofoym2VIvG0yX0NDGxAe
Y7CdXC3Cj8f6qHeTrY0u9bqMrZ3vCOiurjqYAtTAmBB+wschgwLySjSUACs7fVkMl2ajF0uvS51l
W6j7AIMnwsl8zlKB3FwUHdFBofmCckefYYFZql6QLolNN6UrksP4vCZJSvrXsnLTOxv6z0eAKkyQ
7kqOkXFdu/bVUED4sMERgEPJPxXznJuy/3QqyCJtoJB6MMXtaxv/TuInydo3CXOus4QED8tP94TF
dBu4tYvz20UV+80MiGZgo8AJGt3YAsh8nILHJrbHk2baQKsQBqFpy1dtMxrA+Qkcz8pQEQut1zua
Y+y5/dpdW/MmCUXIdO1b0WcjLJ8p1GWfEiDOelLPRN/mS1zExw70A0NRSoIvd4JeX0VktxID0BIW
njvQT6bxEIwvxVjUL72PhMcAg45J4lJN5lenw94UBP7lpKz+mJrQWiytvzFBn9LgJxZFzebr0PKz
U8NuRDnku9s6sXKXtkjBdAjIUnXlTivG06dxXm7WvbCfgKXi1HOihjSqwllUU2AejBIzV9R4l3Xt
uwcnWNWg4y6mZFz79EghzHEt2TRxBwYB+DT3vqcpO9kWQmS9Clg0lQ76Tc+9Txf12MsDItnbKJ9d
TV6+jtwKkCtWN7SZEuVj0wzb1FlB+GkX5ISGd2lPgFmV6bdR6Zxye2wes6nk/dxrJUPeJ1f9LcVs
1hfFMmqluNOIJj7FeXIV+Am3skgxU5uZuPTMwgdp6Q0Q92FrljGJ74Ejr3CwDZfVPLYq3y64fWS3
bNKkhwFRDQuaCeklRlzWS9t4jLVHYMbHDpcQas66oA1gOCxyxkdjgrxWtdq0C1B73MhSu7DaSV7o
I01J+I2HMjdveze0HnnGzd6lmEXq7z4QY7li+xbsSdJ7TLVi3Nlmll0Odb2dWJJ4QpIkVE6bNOs2
LtKvUzkOZAvwiHOVgpOmSLN0Au3a7unza/HH0EQNQLgDkL58eqBxb962Pb4sy7orh7zb91560011
CG/L3Ac1Qxzb2UOQRP0u0I2D1UPxrvkYK3zP7rx/qvY23ofzK6NOP9fRaFyImsoLmSCa5/fLzKG8
4vb0/xqP+ZEHhCCxETqeMVt3NXmLJGCvUvbLhuovI3YSYExsudex4ZJouw8CB3cn5kxSzFliFTWi
0zwYjhqZv2h4AdGOSQW4jytQjON1Qg512fhEcah8d16KjWx8+4iloLLw6pBsjObA6oydSbasZbIb
CYJq54vgS6UFlFiaC2fAGebXGKtjD85FMw0VOrCgvHFE+snKcDZ2fBB9SvJdE/QlJh7PX7UkGoyj
eWj0sWUqDlcOe7KZJ1YcrNCbUwqzXVAa9iVg1M005sSNdypFauvLKzag8sqMTPvqhYWGrZvTle80
w7Un+eLTErjwYv0K7IEJbx9f99kuImMDKH063eMrxS7mIqDo9OTWLwh29xOsUueXrY4AbyxTOHYO
avks9ovHKh+WoVbve3Ibr1lP4o8dan1jMb+BwQHLicGs6UE9s0CLWFZup4IlRtNbOrVSqFJRjM8f
/8Cy95ALtUVJHbElLByxpLvh6oiE4mqcDcd0mpAFd7WkoFacSse/R50ZbpMqsvaaBg0ZETVSgaQt
lrgiHNg/aEcsvcGnb1Y6GSfaE/PYdmCHOcmczCZy69FXeFdDdOlI9kIqdPEv9F1OmlCL9rOntRy1
h9KkrFEMMVllka8vFLFymBE2RHVMl1k6x9fTQavKR9wHzsoijjs3PqWjUy0RLSXLcF7mjwjBmaGg
GdOojEQ0rKndx5S1smE/hCCf/bZ8URLH3LxBMbvulOjzlqZyu5vUSPA0bM/bkyQqPxE1ZMA7o7ZR
NFQl027bSM5gE+KhrnVJqAOOasFqDYqFBWQMrzpnhxTToGatbkDPjGVZ7cAjrRBQ5oeY7MkBVNDK
oqa6rScWNG19oOAWH3C2HUiAB8hVG5veJns+MV7K1L80UG0uBlvbSTUaH0ObFE7oCs026U3Bjmqg
ZRQR+MAU1Tfidk4ZGDt2VxUw93mEXtqeY2zdEJ828czBiuZOu1Zxf9CD/tsMCIW3bi2tEvH7bI+u
KyeAGuYuhFnvm3zaFaF8KQBRsXIBwWa6lbbpS3DNesjObebkbkpnjJfk4XlmUuB6zu4bf3xykhSe
1JA7S8sRlFkzcH6oTxeDZXjbyHZt1DBUOwqPlMxRWd6qNnKIw8Z0SCqkQVrq8pjq4WHoypVehdai
6/TyUFnV58TzoWEiQ0uR5xhoVSydeo6ReriIXJAPWo3qFo1wnKhsUyDTdKsiWCPQ38YVa6IqJrnd
+gypoL457yXVJowbFkVpharNmiaQey9taixYRbt7zylfzakdqUSn3Yb1Bw2s9ino/ODSdFhK6oPB
oNkU7H3rkeAhb18HjbWmHJ2ixI5XUODlAqFZu41Ds1y0o4j2UTQdOkImbNeJbvErf650h4xhiP44
/XO1S7XYRXnrP/g1UPjCJvbPgBe6rgywQHUs13FcOde995jHJVlD7Mq3mFZlJrLLj2TaybsyHgHG
YMBuQEBz507VjTVz6tNGW1vmc23No4y/Y/nB9F3jgNRw0p882rSbiJCb1tHyj6My7mDg2qs8tvg8
cTru8tF6xS2FFT4Gv6zNxA27b8Uy6GAZnndbjkugkCFBnw2VCw5Ihh1p1sxEaRlPoMcsklxmKFh2
SjIeK/2+x5K5HmWPcZDl4CIvPG3r5sCaaVfHWgiMYC4UmKPdLlDoxTXhfF24Dfq5UgwWlgEkiviA
szQkqD/m1udIw3OsQQ4+1yIIGM4WeYoOuOrb28GfPuYBhpvMSG5KL8wY+c2NaRrLzC2mg+MDwGhV
pWGGkeMlCVU8vLF3kbWg67qxoNJKU7ZQcbeBcfQgPShaUKKiQwt5cG8mliJDRwaE35p0ONv+ZsgL
9kspGeoikFB2WmbuDBFy34/jltqfe9XJ0D2UVXFjq1BcGo72WlQNny9Fb1aF6AQKq93UI75X5QZQ
nOgYV3jQdxGCBi++IblM7Jh/1cqNxmqX2Y+Fk9BUj+1q0wcEuIa9+6j1IJi0ykqPSn4poUEvcj0R
W1yUF+Q/XpqE9i4koGMGvfweOol/AN7pLGx/QoeoMAk53Xgx8kCuA6dHNG+iS0xKHNyuqh7hxMxI
u5xdB5HtNZpsBNTJrkyzNedOHtCHqiu3Dh+HMoiWhIVLODr2bUCHa691dDq+29i0ORqPIvmCEXHc
TOR2U4KXTFxxe3u+A2Y7rTc29xBFng2/+5KFQbURc60vseRHEd62HUNE3sSkPjkExJILNS5oMJoH
IY/s/SpKqoSpuemzL3x5Gi1cBlgK1iSJEjc2xDDKIvyAxS5wdfdjYEXmIu/bG/hJ3maqzb0xeJ/K
CIqJyDtrcT4k4GPaikbsSzxxBrPQKOGWid19Edb2VSAabxmOVE3OoE8NXgUyS+ZOlZGxICbY5m25
Rf3vQ2PLSvCKlX8JrvpRy8W06TLKGXqWfvY12meklURLo578jROE6TKJOiJYKmdbIBGvWc6h27CR
CEUfNaMtF4EvyL+dfdRj119isgl3/opg+uqiaNP20oUx5OsW4XbQJA/EopjrodE33tgXDyD6cQAf
ejo0K5tAJ8Auxn2SgimJlHsaSXYvo8BY22EWLscy2DJpO1cRpZoTTk2AvGwb+rJkpK5DlunSFCeY
3FdjMmarniBWUtKDHU+VfvLn2HOleQ9jEcWrNhD3iFlZRU5RRRw0pW9ooo5lX2iF/9Uj7GRhViJl
3RP5tF6Hddm5JeZT5wkmKAZ4u3+y9FIthqomPBU6Sa7bFCQ1XFtUfsVK2ded3UQH4st4oI3sTjOn
yzsVqQr7HNSYKeugx/hXhN/dNYmbb6as+NJVlQ6bSK+3ppqXzG74kcLPc9Q1AaES6iqtzS9S3Oj4
3/bGTE1PW4K12z7+KlEHXwwFt14WDp+SHI6+9HvnVIPG5B4cNrUnKIIOg3M7fKKqal5kAetVR8K7
zOQ3eonNBa3KetM1+Kljf9hoDLSOaU0zX65faQ3cQPEEiQptsBiPXWtaSy/Ur0FT31ZTxYozIl5e
Fa+kfjRLy3/APhntodzfqqokHlX6zqZMmuM02zKLqCNobcLTTqVjIZvqwS8sIKK1IF2svs/MgpQR
jx6hNZ0YGy6YGoiE8U2yr/Q8wHnfgZyoYbxNH8nj6RfCQaE55nq/KkcMdLohSalF9aTKetwKs90Z
HlLmhuY/WBZz70CjWwEEeynS5skCJbw1aZssDaP5yM61XgiDRKbEhnvk6F9UFjsUXuxrV+GKTwIX
VW3XfUkMVlFSGhdAPRBaE3tRVESFqNY6dS6GGmyt1qIt8usB29neH57TqP5Yd7GxiR7DMQdc5fas
+aG+L72kOXUhs4wxNiTWlMYW6NeOi/ScNOQiNWkKDg8lQFtEjzLAmjw4qcD4gW0XTfyiKPk0TKNq
kYxHqr79hrinauFaKpvTMO/Hco78SVS7rEq7WIj/x9557UaSnV32VeYFQghvbsOlpSeLVbwJkEUy
vDsn/NP/K0qagdQaSJj7EdBCm+ouZmbkOZ/Ze224jr6QEOGBHvpOB2XZnbDb6ekCibKy460afzYr
xvF2wuNeqNWL7oLVGpDRjPavYVx+uhgi7ovY6NqUqdY4HpxRYFzRVszkrC0Rc3qnEopHvRAGptQl
7Np8C91FO2+dmhP1kfmYR9uIrbkMN9V5Sxl4+q1O3NpoCS0sBvHLSRREjwP51nZSVpdcLMBy5K+h
pcFJZX6E6NP7s1ARRS66gwGJr/qCH1SfKs5AQaKkcLtIaYGVFvZVtCkxzyb1uDDsoJ0jAGtVNJlH
7twmFgwkY7vTQy7ER2PSBtjfjLEKyzkDL3quti+04vnDoJch8T8h3882RozKWZRwUbsIg9DcQkyg
Sg9nwApEclsj+nKFYUUBbnQYbsrc6A5Jo1qB4qyP2ygOeWY+0g6/EUJ4tWj/cHfc9ot6VHetgE3f
ooJX0so7S7g39Pl3le5eKyN/0SdYpnRIhHki7jcIZsaYTUfhWZzn0/yjMYvHVGdti4SWb1E/MHDO
03sWp7+AZbWA27s3uzL0o+YdtHZm31NWaThZnAoJOzdz+IStdsk2TsKemtCnz/khYE/xNtaBjhiD
AeTM+Jb5RkLEGRF//f2cDV7U7smW+BgXNlX2V2Ku3QW//Z8k2tqE48WzJEkiSdzNuU8ozG2vRC8I
GCJqFzuJl6EPoIBTqLIx84eU3GMO7CRgHXIlEk0FB2YjwWiJeJV4VFGdvA4Ljjt7fl57sHCip2oA
WjdEOVf8qV7QArXwE+5LVjtcXdtVUb0sqhmzg4XUb5Vuj7rZvEDfITtyhE8DcLQDNXV24KipteME
Bctm7SDtPjsBJUiInxAMUDdMwK0Kc1boh8nLw3nnJJkKwOypYV2iKZ8mDi1TA103bqoXEO322TX4
GQunfFqnPdPiBej5TzKRWflItoKaaL/NTHuTCWS+0CP9CT5qqUbGQqhD0dpvjGY2H0f6y5CYR9Mb
mBXXhFzK3uBP1iok8mA96Gt5JGyM23iY6mc9NX47hGRoltQfyDis/HovZG041CRP8Pfb8a7smchm
sjjabJN3YuJhm6lunLL7URmcobxOXPUa3VyJVqHVPPyXZRFjRcKQ3M4/tgSAGRvvV2Zc3l3WVV9w
hqbAG7iMhh3i1CauiLgZ3UNajoRrE60Co7ou78yljmkTCfwWXvYylesciX7+grHmXRxHXePMBCy+
2cyPc5YgrGhei7KbQrMbGcMr+Xdi54exW2+cBudH6bTfyoSMYjtUREFCP6hA6QDbDJl+zv6QYKTr
0uy2sLTI3F32tKkPlYsXolFW1inNdmh7e7q18OM0+YEoHmKJyxxnKRWUU7XmZZo/mcy3F0JxdNOl
MOIGhrulBNOw8CSPyjEfPUk7FbUW9vJkcNAJCMeNWFFuPiFSB9fshjN4p19/NtqKxwzKywCnpz3J
zXtF3jF1PzC3wo5UwrqgUT3XU6HGqj2/Ab3YsCC8JjrT+4ywnaBy4Nf8iRrPhPXgrZsviV4QDR+I
Nrd1uNTjgRjvj0XpToSWk5LaSxpfBhF2Ro/cItb1DZcdRPboObHNMpqIqIr3F499XqrwciDAZbDf
QbKiGDX3DMBZBoBv2ggRHB/tmwt9LNxy/ewINhGQ5lu0WumLRoIVeauki6xcU4IHhikQROxqicX4
VAiQQkj6CfLLtfusNT9TZtY6cm6swwZ1NNkWxP44hs3+s+fVpOWeSb8yHkmsdzwKGM3F/Ev3jnwH
ha9VK2KUZnGpnKtDUaZ3NR4agGp8/qpJuPEAPSOzuxeT7eSZyExWGSME+KS6h7IFf06ULB0MJeLE
XiKUeHSSQ8o6b7EPE3BISXtLqB395PDdyJ53UNSM0vP2UloT4pmZVQ8yrHgsyzbSmPexYLePlBwO
swGXwBhTcrWaCQ4d4tjQA2GUW/fBLqPkiijiYBzeFDGoYaaSVme0406scT40QzqAg59hzdSx5U1A
FG3rArSIYDoQkAAcMaoYwgDMBosTfdrVVg99JGqE1UVbAiuQFo62qjoSFDyCNNcjWen7GqdGrMgP
oKcQjpjYHKZs+WnncomKunqsHTJGt6SoYskxoiFnO0kne7ERzx0U3awuY/sMp4t4lQqH1ftq6coV
6uzFnCfASeZ9ZcVTcUrFIF8EZIphzLMzkObwT/bWJBp0mBONRkXm4uTw6dDfdqfNEHzHBqZ/ZNAw
2O2jUVfifT8cTkStkJz8puWqdUTq+V5sac2mgNW6kT05eUHGsDUGg5GuJzEKNZpb/m1SFYfOuMJZ
HuEouJ/1nBOXmibZwXVa6123jPI4k/0VOe3PvpxNrjgGO0pObpHXJjq7Uc3vNUm2xpb+SAhQKJvE
jhcKXnLdL6oyA3BaCsFW2jNO+O0VB21b2lZV6OlterSy7WUx2GygzNeCcRpO+TzqRyLMi7DETsfw
L/2sZkFlyhEHxdtidg7suBlus7Zuo31osJK7ct20nyMD9bisbI4QogquejL4EprxZfpWyQLS0EA+
1S3fJbKrCGHSDf3GkshoejP9NPm5C9FebFU56txgh3LqdbLMawP5Nf8ds93AbbXGc+eNrE7gEFIA
ZId+hN0pdjh3Lt9Kr7yklh3sDIl2wV45ptWTNsx9IJeFqAhnJLqhusC78Yk7rEhCZZrV2cWLTlKG
WeMlor4MtvpzzBeXYhRd1DVVve64QeStsh6MtvNp1u33omIBG+h4627DJd3KwGJK7TskP3MOh2s/
N7GREWtJJnC8pfv0PPkYBF8nAJBzmMqVmTQbpJP3UBf7liZvpxtdz3VqCJIVpYa2Hho90SAVzuyZ
XAcyZim9mUBIauAGMRL7PiaH+ezX+dicFps+AI8AF63GB9tgrQM25pHVhhk26BxnPhWIGI9ZNzdB
6b2TAZY8ZHoZj53qEcLmUK5m2V2rAuLS88FglsxoynNbJZ4IxGVwp5nnQdGgfbQ55SORqYpKTUYs
zC4nGck11dN7fFm+Iw33YitJ1E25ckGqcmMlWjQp6ytYKni5C7Za/PpD1AinjzIXNXM/KsSHLYPN
WRc0SbvcL+gcOy9TzmQH5n7mJGNUFyUiaMU+qpuuPkNf+EGHL9PRehh52pNa4wFsGccn/VxGHpFU
2AaS4egNoxmpdWEGumqIuLAoETm/oKcyj/LZwsEWyxMMuFmjUiyYxJ2lOVdRnptR0SFlwZNx6aiW
3XnJbquJst3UzLjVxvZlnRnGkW0PLqzlrMmrJ/bxxdVd85mSPsxMNXvqrfTXn9OiArkaOolbBmA+
j6qD3zWtf0npwHGrrauieadKdMt9nqGDW9y2RfGakdm3itXPDCuenUxnd5myHGcVxCgrj+oUKYR0
gFBr9XsO25nuBa8iL/nd69zqTEw8aITZvBtFRjw4eYYEWafZYbN5Iv/oNKqRRFsAG37TVxU6JWeI
1bUg7PZ9MuNutQymiCkLV2c56tAGDlmbvQ7F9iODVXuidHs3d9Y8PdCpWxM02DiGiZLIiSyEj+yI
QvM1TQz77DGutNy5X9f6hU/UvkmtkY5b544mgawrgNHCpMeIu8f+6XioATm0QyhXRQ2aoiouyd9H
aBvIxykz7xCkAUm2SALgYqpOiv3WcQXeGWlKk231FpT8vNn1uz49zvpZrfV3udLxGL16NyydCzdJ
42tVVix24Dn96QeAzAQOeOmL2pjvLuHlSjHKQGsofKREpzCnk0aCk8MynTrKZsQf3JX63B9Nogbl
wp0PgltZpLanNeUHOPIPw8rDoWWNEnCLHpKVF6f2IIQKYV7LruX8LtyXhqncQYyUXYlk/GckRke5
QyUz2oPDETUH+AgoQ5eGoIFiHaOqTOPcGFEZrioTbK6ltN3C4aDazUB6mXtgO9HcKV3B07vn2CZT
QuNth4ZSfkGGYBk+569JLh6dbHpaB5CCbM5/VTK/B+ez7wQVVHqC4XEyFq99V74OpnVZgfKGcO3i
fFqwcAOistcyi7O01yJQ5XE9r/6Wl8/4kvoQ5+330tmKP4/N2RAEs5j9W29Jiqr8VWUKyAWKb71O
WbjavFyZLk/kxVPZpLu3JTXfp878afbOzdIbH0NVXSDxMkMhOIWmjHVHodHbdYS2L7YVc5IbflOR
SuNsYOhhV3BP79HjGU9Hr0KgEexOK0pD1bkknvNI6Oe3cHLXzyw/L63sivj5dpxYzFaIRQZ6kkjp
xF1L+KvPLFur8iP3rhdmljyVzWgSr4nbQtFPM9m2XVo+wVeUVHXO58Dau5mQWepOTXI5gdrGgMhi
I1bVsOmeOsTlfmqwqIS5cuzFGBFZSRB2QoKTZkbD4nwDhn5VBb92MpaMX9aN58pd+IbyfKt8VrMt
D0aSLnDT6rustmfftKoPFza2p2M2yORF1YfxLGcuJQZQbL2qG1xhjySQ81UHJnCwxU9jrGzCW+hC
hwxuTokw2vYq0u47j3xDarOF0sZgFwcMDkABtvjZZ4p1pyDJ8T0pzMDOU8Rl6yElWMbo4IpkQ3En
de8xy1sbSY3mAxKGl01uEKrsPZxlOxogD0PNRJnSdcWdif8p/OOeVwEtMxaCQcqig50F635GX3eL
9ZINFgloJooEy1AvucK+qMKI1xt8SS3qGxMd+LbmR69Zr5oWun1xGqsGFYi2cFFBfCyw/hoCNU8G
jECb+nM3YfVXWgZXKSNujXV+UCsUI+pckxWusR29mXcKQT0Xvik4xQ3J/qdjJFWlDhOnjkizZCSy
VFCnejozJn6/Pf7YS8YkGknaDtQENVS6yp8zlZe0HYWADywWJBcAuW0SAqFcXuXmErinsvjV+KpT
xWjhSKSWz6bBIgsSR0YZrMYzs6Q/lOmObdyschp715yGXck6emhmO+ayjcGSMobONjEwDa2YMk0K
Y5t5OGl68yg0E3FXk058AxSVvNgUWR+T0ttpJqC7ajTkKD8sQ+OkS5E02N+5UB57rBpIOlfmx/0Q
N6L68gzD9o3HZWgcVhrVT9LtuDh7LBtGOtwSIWEGRM8b8XotabtiRbS/Gm0JMssgHDSomuJQpmMk
YfXFqocpt7tobNW7Sv3KdQwWaLALH60DPu96esw3+8tZIIClzXHSiGkjPvG3TQjkLE4dnThTKo7U
xeLk2BAVmVXP9MguoEHYgdmx75pq1C7zC8asJyvrbwnoZs+sIjMb1vxG2DZl2AqysGn1yCrFfT62
aHnqmSnxPqnZtnuCfkrfZSqumW8rwRJIaLtiuBVjd1tgwAptGPxBQhumEUKgkq2W1d1Nk9CwTKzq
XFIEwq3NblxrG08Lw8ii12itLVY5TsNh5v5sR5RZpBfB16Tt0hl5jAQ25Kwx2rsis0l5a7Kek34+
F2t1U2wGXMzOeCdtOz2NBY4HA0F+h0He3oNGigZKnaqX4F1XloHyqFQmX5mGR71qpk/ZvUCq03eS
SQ5vVTVRDKwm+QJqE+hbtp6yEnc4EjmPDAqsE9ttCa80BCFF/AM9M9cPMnjSkOEq3KKPLI8KkAy+
xBat8Zg/6VR5kayBAlSwfAMzb+JSp0jHP+gwYl1JPKFWFbwGUXB6skENqMXeKjkRgeXxQ7iz+Fn3
0/uf+qFjXQu76a5XUW17FSafFnYMX14ow8Zg60ero/MpNQiB+sAOLnfW+dPl7l7hkqFHo5Qw+i9b
0YyfDpmngTVk0zPmvi2snHW777AEGpLyRCzw1aXTY6pq+19N73S7EryLRTncWpl1b+XbTSNpWxJU
UgHaFFQLRJoiXlIQAZu/XXt4Q33/QVsvggp+nblmMEVWumFn5EvGknNIio+qBTdvwymAQx45oAR9
mIItRVd+5Cx5VOfl6NrymZwAilWNt3WyQ3cbolTy8Tpsoee5uxtK860hhXFYtos39kfdXc5p4li+
4ln3jtkeAcdRHdSujOFQUX12jMby91x3f2cGF4yHlEqVGsIFp7OIOm4PSaoOl1XMkocPUWNXHxqz
Z7SS2HQLK4yHcXiF+clfaOEeiZ3yzUWMw6K4eJtK72Humx89zHtb/Sk1+1ns2//UlI+GhzQKnAwh
x3rNrYBeHA9/Esh2vdqslkdwpUzz0W3A/Z6luBGjxV2Rskrukg8zLSNSU8Kp5uQcKci6lVOEey00
Z/FSqPSKW6/eKnppk3WbI0JU0OOw+j0rskK9o48vtdnc9wQwymkklBYutISDS+Jwa6q0efa7wrBw
Xj0ikt18x9Ogr+n0G6LgSJWfSxXfNfV8t5AdAAo2eV/q4ZhPdbh2T1qvIsIf3jKpveSp9wPa+U2z
sbVdjetWyPLoegTxSKwBNC509PK2H8zxyrsVFK5BmnGlXjtVOzSGRCe46N99NcvImI09FBwsKCY8
D1cFU8ABpM1xGnSWTU6e1IDEqv/9p5T6zT/+mrFfC4ujynx9rYuYnFPKWWLM+kRDfFaTo9lRcGn1
s5pCgSjt9svYsDsIl6Aaw9Nf9WwyQrNJnDCDHh+q8yeS7P4XVFn0ErlCc5YdPaQbj3TGPtU7fbpW
E9TDQJD9mOKeXXYtVo52BVocNjjwqaQ5MSijsA9EZtcXwyMtoBuGYEt7Yte1kUgUtf0wYHV4A+ea
t44KWNAldvvtwUu4fYXoqZtMlIoOnYyrWYQvTBATrd0FlGdFzi7c0tmmVQ+1mbKAN9DBaBmiEc2k
Zfrz9/gXDUvn2OqG6VpsUQP3yse5sTL9XPi4hm44oPIdfK9s7pI90dJBREHtqbR8UEzNc6dEgDlw
9081f7kgxdQxgretd0tc+caGHqAqqZuM3uoDK2MxGhCwv9dFMuwcdC1q1pKkiUNrGv42TAl4oPK3
U6MctXgBmwvyEfRYIMnHC/Uxe0XPXAZjli9hWtDAWI4KYY4QrsSucY8iKA8KGh8VRBXwaGoI9CMw
hpbnXlt46PKc2EoXFrGcgxk6aGRU2r3RfemoTDGRbF4nMSvZYLi3Iq68NUb/1Z/NGN3Mc4a27TrU
I8KabFJjHSH0NnhMSsSGFBmsobAPVudkBISmZ1xyv0g45gBDjIYdUg07BTNMg/EHs/zJgNH4kw+H
5Z2+fBmWltwJz0h9o8Ohm5T9Mzvrl3FulQhNCka8JXlkYEGbNba/s1J8F8v64ZD41wzEJKl8O4Pa
E1so3RFDKprqSWIul0M2PGAEZJGnm19TYTOKtS5ly7fPtLo4bSC5N9tPWyZb5IJCzUp8A8tihaXF
fi7fLB9cZI9XJv+mF592dksSaaWh8w30zpY5s7zFbEoWPGoBWf3sSboK2MxNR2DQ7k3bcashYDjP
s37fT553lNm8hthGINuxswlF2ZJFaWqfPIFu+HdzBaPzA7mDN0y2zuRJIPH0MoSOCaspBeoneX7A
GxxLIXYZpEgIM8lnT4hdG7sRAoj0vLLtOWQ4zQbGNNNS2PRV1RhtkxasRIOeVe1kuQvMdPYSB0Nl
T+0NS31Auct8Ir2pW9sOFWHd5pamH7Pc/SK8b/M5hUjGZgBu8sMXmvabUmDmjQeM6lh3lkdmnkxu
p05nRt1c9Ipy2spanjxKq4s02FgY4KCogsBGJqNF86ZV+mktzOeOBV03Tw25qkv6sAz8ItLTQ6py
Oy5k8a13TXmyiO30zSxZz33G+zr8QBG4hh3RlUFtVd8V01FrVbdYBX1l+VXLg2u2ZMaL9XfidB+6
dO2g0TLkAJqLPgvVb2OhGid0jvrQG6mK+4VPAHNhN1nvEsFInltriKbZRdeJAW9T1xtScFIflD69
qJu/G2nzVnXJo67hWvMUEjjLRBRPwuN0XAb9XXMo6NfeRCxnrqR6ONkXmm09qrfsQVOBXI2UvaOU
x4mgK7aNw8Ain0VWnsKWNxURW5h60KdMV/qP0IGk1CzpkeX3TT+QkVtrHN4bIcDO0H+sFi9LKSHn
oiOLdqm9YT92s/hsk7linEwxmzNxE6w/lukCAL4MihJXf8tyebZcIiDrIRJCddFpj9fRQHXdELJy
Gig884Ubtuj60FCH5qAu76zCmUq3FJarxjCosH/PvMuawYc9W9qBFcjADgEbejmOqNw2uDJptuvX
n1HOlhEQzJGE3+Uxs2LckHQ6W9iBBAuLNRMHR+cTsaq2YPSObWaWNveMqQf5MJJAaRc4itDHdgRh
HNYsm8/rppGzOrH/ZxyC42+ujHBxVIZSaGG3P9Hrlr7FS/+KEgL1nhFLDBTq1kBY7n47KolJpnkZ
7LmIRm3z8DOLm3Jr+NJgIJkXR+GYm28qRtshySsYXV1egZe+sOfziyIj1owPZEn7U9vsA7Pa+XIl
z9mutRy40JmolgOq0/52avXSz/uCMXkq3pMxO2Oiqwjz5Pdh+Eu9CaIhUqV3WCiaCIsQsbopeVQN
yt06Ih4gqSTq6wrRjiXveZ04Fq1LXVIDqtDpKMdHZkWLyRSCBWhULumn6nm0XeS82mr+bWvdyeJt
dSidMdZsgz/LmaWM6b0PzNeYkWNOYF7Vz7gQ0pFNnGqXX6Nrd2FTe01QgdD2zf5+LS221XVaRfO8
3Mlk/U24AbR3r9W4yxGiFJZKUkQxyWDKXN9BvOSwIw3SZH1Rqqq/cec+jxn3VhcxO9y96XyewcoX
LQYTMxXXcfvM0nby1dZKufMl9Y1VXudyD9GoNzqORFOx1tMCEgls7hv4JHXAFjQzTz7T0pNXc+6t
tOWMereD1fPfrbNcUvyIb4vEsmGZtDNK5GgVqQqnd8SmUrKDUt2EGY+3PAo7B8xaq97DKHHqppuR
npu1lTERnuEfoVqeJPMTlNLpjACi5tTISYq+mTlBN4vN8yrwjyeA6Uz4zTHy4l8FHvzYSNBNr9Xn
hKw8KJnQIvHI8FCOw4NuoSMRqHsGwcBDV5H2a5NOtqL7sCkWxgoTCXDSfObTE6sawIWgdQYGd362
ofIaF0/zXYpJuVYfxG+fKtYgylWayy/deUKH9spUD3prrb0q5j41tyVKMJOc+922sGsk/+i2yZ5D
b7lcNBdYHJNFAa6OJR5iFxiNeBdWnRBBhTSCru5JB+PKlRik7MJ4mJtdLlzJK4m32B90ViipAoZV
Wkhl+N4X5bdU+qMlWDtnCUqKbEl/jyw3nb7+VWvpeaNiTeZPz1Hv5rNm1zelLbCT9tPD4hFpkFPo
5Er+kRfLI5avC27JH7arvJbYcUArpaqNC2C6lLVFPKT2LBTxFXY9xqK53z5bbssAIDRbrVipe6Z/
i/xYaJXM8jt1N+mzQUo/FI3hmDUjcUEpJ5Xn0fuVZ/2How2/11T8Vhf1bGqgyI2FZ0NrwbfBDJha
zutJP1g6Nq0/rIwaady2MfuZcj5Iu1VeSvihjav5aMoOU6Vepmwt0NCUv02dbIVx/IJzEZUFfgqd
pVdandN5e9bN4ScQVFY67I9as4tdHSa+uqvrqSNo6VbycCzr3rU+c4ZBTt29qHo3+NgSHrTU4Y1R
P8CJcDZ04ueSW48mo4dhc7cw4y4MM4KHD5Jx4K3HUJ12JyeTMDMIehnrvjg4PPbMiWBcW8v0uFUw
6vZ3X5m4WMj3ISCe/KimLaxDk2D/Be0DCWMIdcG4GMdbHjc21xE1y5FaIhXU5ymqxEPerD9gRtz2
RS6Oho24jwzjjN4XZflcFXeEyJkXS8yPJdDY20U250lH/5A7ymkS+icppFlszR27NKOlUJ8X3e8t
llgWWqU6Jcp24Wl1XfuRiwd/UuM+9WtTH7OKYVU2yDvdGHtWLR1q5U0e/pg3iLXgQWgBcTeufcLA
xexPNAspt5sTKjVIvmEZnszUCI6F6eYMmIaOCfYjWRKIBHYBzqJ4X1qvTMTayQRbFtILvHLRMjcp
9xVDln3VURAxf3BZQLaa1I5N6eE8b7C356qaHV60PHOPw67kb5acX7w6Vagj8yPgMjUjxcs/dOZ1
gSRpmMOkKvxlY4Ritui/l4TFh6vnj2tHLmnTbowhVS9SpkKJPGZXYYfYNOwxyf85aubO3Y42n6U/
WjT6OW3ThXpRp7LL9fgMfUFn3SCd2BkVnCvKLHkW3LhXnIDY7wk4/e9yqmK3qN8TBeTIAG89UJdN
iSRj9cDVuLJHM59PWoW+bRZLYAqPGLC+ZC5DVBMqD6+I+sbUo2E2niuWdr475i3tKMjTTlnYWWFz
053RODhKE3l4DDmd5UtiMMPL2YZG2mJeyFhw/wvRxPx3gsOOEEPeYju2ukOg/tXMOysGRh5V7yPy
5yfG8/rZmNuniuvZn530LZkAu1jONdHcp7pusrC286+lJl2ZNBCPBIDmhSDaW8Ym8f5HonCaVNtr
pwj7RswINtOJri1PHhk5nUTG3BzBezRJdZ9T5h+j+BPHWSq4T2jjBjslWnl7svfdkGnmE9//ezQU
lg866UWbi/Ys2XD7Zd5k5FgRrztJK4DBUP4XOMgfONe/+sctx8T3xsTWwGql/eVtMVFpJ7Oxa9km
VzlWbSPQzXf0P+1BeuKh7tRvwlzS0EIN4G31LUNv6t96qOPJqV47u+XJaBn1t2B6bYj++ZJ1QT2T
zpQ/CEd/mxVw+xmiO2aYML6QXgD0A6+FrttonJZxvP1dduZv01JR9IDe75dPd+ceNNgsFeIiLyRi
MXgU/8XcvQNs/vq6IaiiRPBMXrb2Fwe/oRIWt2FfiEbTvtW2lp2vm76PlYu5CgWT30t+hv/s18aR
/++/KTQhENa7X9927Z3R8U+EE8faiG3YVyjp+FiL7mtSMU2u/Qun+hwQap1DWvAVOT2SqdMwGNYv
VUXRsjS1Hi81JgOGAgoQYt/UXY7GOg8VIv9Uqz5P6oBQSQ1bQYhAb5MA0BQ3EJxwNpiC1HF1ulIt
bszYjbu8SqMqcaZ4cIzlsc22w7BxBKs9GsK0/EjL7mB57IipjmXskCOnG79I2BzilcrOVx294Umg
o1aHoWagS/KdkuN1T4SGgWjRFpJVkx9J1V0X16uvaf8C1IyAPtd4gieImcqLoVltvjVlIyv87pFd
k+eX5ZXsxYfedS4jnLJAvKKPkVHioWlaF4YelCAZD8RnwQ4XNwq2a9xWVKRDGmaL8sY0oNA7FpQt
sxE7uetr4+IVIEMYp0wR5q87Z1Zud6kVqNbyRGKYhZzEdq63yeZ4P2xxw0phxFcj01i2xbHONTqY
tvmlWLiym1F1L4r5ulSS/prhpecuNrnQvPHmCtNlBW4P6vdFiOt/fmb+jbHsWDBcmV54GmtS3Il/
eWSI/QICOfct1wQy+qUxb9K2fHVn2bLhywbf1TGD5c4U6ub6wCynPFEt6zBw+pe1CAtSNshBXo6F
QK1Tk0VOETf8IknyN6Fw0TYv5slmgxxkylYF67ZEakfm/H9+Df9GngGao+ueDkhKZ7/k/uUlTPyT
LmfKHVl7m6KiZOzN/jJ3lEcYtJ8spYfekbWnP7/r/8f2P/8XbL8Li+7/5Eb8X7D94j0d39d/4fbv
/8o/uP2W+Tf9DzQW2LujatqOlPgHt9/WofOrtm17jGZQt+v8I8SyO5wfPcrfdJjU+2MK28pQXYB3
8u/gfkV3/gZhm4OW//H/NrSu/wdyPz/aPx3ctgmDE46j7pmWrYKA0f5C1ltLGOGzzWYAlftTo1FC
6zmUnsFCq/5Pb8z93y+D//XPgRr/+XfS//LcdmR0LMSQox+qsrvCTdFzaNajUbgP//n3MY1/Bc2B
Hef+4RbiGtY8+GDWX2hrSS17xZPoIRF5WWxkDGSDwWwrLKfyutg/0NZAWLEk6bubE2XIRoSdTtSv
PXtRwrwc8b6Co0lZIXcecXMWYoHIJueHMI8RVWDY5ES5+Ck7utiwraQC17r1FgNk9MkXyn4Y+Fa/
bsVRLq3W3RKibMlIcEeojwjP5HwYMuDRWO6Xmmt6amlk06mTIjDMLeuOJKk3WrwmtPdHL5l056oJ
YpBiTMm2HWHSbLBAOQier8QMW+aptDttOPZuujrHWZ9mO9BURcAYQvJHmuLQyvFpk+PSByTFL+XV
1et1CxeYCMtpy8WK33SdDTNCNJ/KE4V29b3OpgksqZP5EDKNmsZTCe1dfiFScddI3+a0C4tK9s4j
8p8OmB6uhObJTRUh7isEzGVoo60vr22pigm1eoMsFxWuQLt3zgpjMW/cBU5HyFysVT4aNpFVbEzT
mBwAMLjNIcF9kdJdkTn5KEd+mvuy5Oll81+pn3bTtqzQp2lamT8aVEhZ3eDstDVuJ5/gW2s8Q4dI
SEHQN8eJm7Ieh1BJSnM+23nnIFhJ3Xt1qI+1i/gb6WeK2KdP3YKbvIPddCAD0VvRX3cjg4Iu1dka
4ip6zqfWJL6dpPqKOrbIH136YSaiBLDN55221p61fLDfvCqd+gM+uHG8cd3Sw20jwCowSHCL+cXY
bJG+EAbLRNLF3jkEU7XrBdLEUMcTT6mqvBUSBUK8MAUlHG2luWi7diPmu+u64VHJa2KvVGAJGxw3
/G4XZ1vVZifE4rhpZsWuz6aT1ealWpW6ubeqxJtvxGTNU5y6eQt9gkYarXKuZ4bPB1X+cHQVi1KD
Iw1/NBtEiTxb9N/OZmrllZGjqR3H8n+YO7PlSJVs2/5QcQwcp3uNPkJSqJdS+YIpO3pwp4evP4Os
e+qmlGkp28fsmt2nsuo2IgD35WvNOWbR2it/ztxiO0aSXt6k5nbc2FZVjFviO0jaoFzAnNHMOVgA
Yfu0MPLMR5OjUcnnatdXhWeTT5G70LGqrKwOgysijtZ4Rh9mW8wPlZG5n8hFb/qVgwqvXkmQ72gs
asY/e7/REn8XyYuMuGbH+pQzCMP0nZjxvKWRNDuHNnQtiRyoQgMpfB2oHa4n/cNChUg/356y6Gip
GX1a0cRosBmyzfEpp+9pPgSDDIwLmflRzkzJnYD8ZEwU71OpGFQxAWowF9YZ4xzbnQdmGo2D0MWD
WJWepjxCHoGeGZGFOfViYyFZNdFUY05fD1UyXBUeibZHbOSOwaihzpsNGjdyfBNsPup+qHFpbOjU
VfGx86qCr99CHro24HDhjaVzhVndc2hiYE9trY05yxSIRRshiIg4Aql9kwpdIk2VQ9Cu69FsK+8J
NfFszDe5iRBnujQLAfgL4foE3GILCMxguh2LaequTKkTcGl4hGV9xAyJA07TUBQkAQS87CTQBbqj
I+gNGIsyM4No3tROKG+YmQwJwB2VXJuKp7wiVCW6a8tQ3DRixH1W0RCK8ckzBkHKUaPsgn1FtRp7
VvWdFjDhk7pHs3AOspS29dxTVVoIqfRmHMasv6zFCGyyo7Yq8/7oTAwikT52w/d2WmzgYVmiHAgA
4X1tO6PDTm26qucsZQ/ZWmP+frAWDSOhJIUu6VKkk9zNbdJtVWOLT+WgsrNVO90d9gBUZGnXZhdY
tzlkwu6wSBnIEj69WcqZeLMRY9oqCPKwfIZhBwYzqopE7xMzR2kGb1YnF3Ie0UzgGUDdQt4gTeG6
H6OUETlOx61O8afghmBee+J1zL6JotI/atGhPXSRT1S4K/3SJoIPU9l0bUYWYQa+W096zcrGKu2i
fnMPqdHSRkNmrZJNkjrgGfKl8cfcsVYHO2V+t6LnnzNqiEcbLXsTRD2+2rafsWeXwXMaUL0ekDhj
mIHPkzJAz4zigUeRH/MiGt1z71uIF/sCMCNMAmKVgeUYPawqpqW46Z0mIZ+c1DNSRooGvUnGgN1Z
hTk2cJTEZUAgfZaH5IiFHfHJOU2BV4Y00WVtxhLxrx1/AUvVf27iMV/868VIpwN8coYwWjDZwJc3
1U+B4WdXWV2HDdPbCP+WlHWklxmyYrwDiANFmdlN5PEBh0aMSXYorpg2mYPdJFPmQf2UODemtJh5
dT2KslUbA8VZ+XXTBuw77nTIvFK4NOBTyMaW7sjKwfXKP72QlvnsKaxjK5+ETbmXHWaBnclgqN0W
0FrdPTK+CsWSRmWrhrjJaLOD/EKh5ESw6mpeotUA3huJY+WNNHHpEjFfUZGDc0Yq8P8+CphxlcTF
UKzafEQMQslCGxCjbk/HLkkge02tA4Gu6syZMOWgm8e9HU9o0HAxIkJDysOirqvhwopJrF1FBfaE
TeEHA8SSjpkcgsQefW2CeTtcbnhOYMTFOVYxwjzNizzA/bfCaINimpNzQDt0xALo3QprQi+Nt2Wo
F6UnupeVUwRB+bmsTGVc0WCD9YIW0kg/2TbJphund/3x6l8TLXLmlxZHXYLPeWs4cnrAkBq4J5eK
GhjHbEdeyKuTElqDe5ePdUPN0Wenf4XZwLNURbqNE3MRjKYqQKOIbfi5bMQU7f9FJGTauDYH6TRg
lrca2jrCDIAWHSUsfz+kZ53a7UdNhnf1sW/aJnhzqmNLcmqkSn/bYwgCRzdVRhduTkCdTKo7eCAg
X1iWglUhECKk3dnC9lBWCwCSzjtnaIqQiWkv3WwO3uboIZtH1vb3KvcPfxcIVQ+WsUeXn3b2279L
Ymu0DJlm28yDW4TqybkpMsiT3QAT/u+Xetvbcf/9E4CMcOhosUP8duBEMoz+PcmAtgGfwr1brxyp
sitbKmqravFcJbX774v+PzhvXqvv5X1bf//eXr2qn0lvX/8nd+7fWW//+bf/fwTB8Rr98vv/dqJ8
+l5+n7vv+euvR8qf/5//OVIG/+WbjmN69AFge+PG/8+R0rP/iwGkQ0+ALqTgxMlb83+OlJYg8M31
pGkxT3T42P5zoDSXkDi6aBxDsYHbAS2F//2B0gHp6/MPWeAIJskxXvDuxewK2YuuxUTeEv77nOig
vWQdGb55oCMOv/wwfzhRLv+oX5uOdHBch+Oe50spbWA4b7+BVDAUCMPaYTzWhp9As0FUz/sPe5tv
PzXH8Tz2Xc/mN+LYTdjAu55urywUIfMynDZYKZh4+cOLlmPZbQ2jnj///Z5+6+6QNCQ5ipuc8T2k
Le8uRpoio0Cq5HVDPXUbKeesChTjVNWjltO6NdjXx3l8+ftVf79F2mJEDCxxE4hnfmYt/NJJ7ZEZ
kTRVOOvEs+uj14SMtrCvtPdxXBZf/n6t5an8+tQ87nBp1rKuSA7q3jtyt9A9oKoukxzO4ua6c9Jm
lUxefGMgTVgTr9V/8Jb88d4Cc4Gb8+7b8t1bIiqKkNH2UNUHkapRTXu4rythUKxkZHV/+/vd/elq
Ho1X1kuO/lK+2y8cZDC5rHh+VSJMl7ENLM6tp4bhKwkD0/e/X4wv/befkvAyidda+gB03/2UZe8F
fiewX5VG/iU0I0ZbRrqtZnSCduni/kwIEoTvUZFe4fzTjj/5XC4/J/yKJSHCefedt+R+9QQuEcjY
gZC74IyZA+kMPDroA4GOHaLnPmx27pAnLHX/6bD94bP/7QXizSEzhz4uzR1WrHdXpt4yVdctcEha
Hru8y3HVSn6EAB/LzqcA3P79er89Ut+ExizN5a11SLhcnsIvH4eFfxPAAFEQpUKotWZVIj/Eqx3r
O2cb7yM2+tvdltWGxZ3MK55ogD3Hef+7ziGhebBE5Vq3aXM7pRHjagatl3GAQcaBP7IxSaj9YIv/
/RbZLljaBMF9XPz9SjqAeo07g+/fIzVhkwpPkn6XNpdNPYkPKqrfL+XgnKYT6pBMAT7/HQXYHY0h
MSw+fymtyL4ALh9V+7HVKHRaJyTv9p89vMBkHCfxcjOL8yUL6tuH18604FKcLlhqrS4h6MUe7tWY
RCd7Rsb2z67FwsatSYZRfPr8Ru9uDRStdogJAscC4vMxSYLK3yOGE8NjohyZfXC19y8Kdwaym+hC
yyX4ld377Z31reVMiYeTbEpre9Ni+3iiJi/umlCKC68o0/vByMzHf3aLXNRxbXZbDEQ4/N7v7o7X
s2D3vJ0IqIddWtKwaxRUPHI6hg8WmPcvys9L+VSdPtlYlN/v1u1q1o1XUPiuwex4B78xw23h+92N
H2OD/l/cFZNLi4WbvrH/btHu5bh8iAkYeIHjKvFQWJwYnpPdNo6iOP79Yu+Xr+W+aKfZPDzG52yA
b59bkQSxosdgY6SGlYwqwhn3CnnoxqHn+kq6avDBi/K+TPp5QaJzJEfVpYB59wnUVR6B8JT2egI9
p2+w0XnDBiEuzuG/39n72oUL+VQtRJzgQ7ApY97eWRc24Ek0WEEQV9kp9VFsRpsEyFr33FpxFF4C
6xyBUwyjmscjlt5Uf3Crf3hnfOIYENF6EIv4HN/+BWatR8yVkCYct8PHQkfPvalaZ3qViNc+4IX/
6VqW7RBmRp6c6b//WcPao1kCE3jtqsS/isv4tcCbsnUK1/ogvO4PX/qS2ma7fHBIeX7Gt/yyAc1R
ko05Y5x1yoPcCvpLW4B30IK6PPqsCgtWI3Nw/4On+VvIF48TVyOVkcsCQzH/bp8tXRl6oyCily7E
fAnfwPisE9hpiuV9ZwNVXE8uQbjwc2Imuiq9SljMDxlEhmpNcJz3z1fyZVLmLcFx9Dp/qgF++RX4
KtlRKhMs4TgTm2SaISUAI/TQQjWdkn7+95f5t8+ULYqoQMf2WLGZJr27+6iDlIYIzwF344e49+ag
fgW7lt2pIBUjPSnvg/Xu3QVZeECOCuTf2P0kX+m7CzJ+MBnSRBRzMNWuEXo0x5Cca+SBk/hi+5P7
wSz83fv72/XelTVYdBpQQwBcZ6fj4EQPHnGvG8XloWlt84OX6W2lyi4lTepFgGOcPymmgncXazBK
RbkNt7Zk5HXVCMiuUBCTvTFE5aaxGIlVpM5cS7dAYYco9IPLv/2ClsszeQ1Y3VkTwIa/X3Npu+mp
zo0QqJQqq90S4Aw8Y/IIsQ4md7zFf9bSTSW0uPrgrX27+C5XxvfESZzXSLio0N4tvlmPmNsPMBur
0ZnDzTxZi0HSHvyPlr63i+/PC9EGokbl/fFsiuO3S58BMtDBUxWukXk/Gm75KY7k58Yr43VTopaV
eDvQVXo3f/9K/nB75pKqSVyCGZDY+q4IUW0x6EGgI9RijJszeE58ProHeH/8+4V+f4JLAUdbgyYG
34hjv729aAC8lM/McUGikduO5D17cWrXjtiiAQsCLhsR00lzkvf/+MKciF3bpZnBIP5nqsUvy05e
4LmdkLRtLPinWGgJg7a3lQFv5nEcp8Hden5D/B7q+8B9+Pul364I/353SKHglMUP7LIav73nCUa4
74N+3mg7H28xbMDYqMwGRS3xe8k5qm3zgzXh9yuSIsgZR3DD9FScd49zGgcFpaSGISZ7hahfGbhQ
lcIZupobYAVGRrzi6e93+XMl/b8NgeU2aUkFDpson4f1s9X16/lKMVO3mUMUm0DrzD7yCdfxfuos
dM/M0G0wvW3Zv5gaoNOa0bGL2B3xZxwcYhEB0W+VVQzXEflH2boQNYozrhL3xyJS9mcIgPP8DZAZ
KkGrT5Gnd+EQh5eC6J1uFzGtKAGqdnZ6ocuiqjdR59sfPMW36+y/b49aiO+S2FWXXtLbp5j2JCDV
zBA3tIznxfXc5damorRFZGWXH3wmf7iYFVjLlmVxWHXNdxeb63qSsS9z2NgIT1uDw3DFM92Dpra3
f39uf7gU+xRrGpY5qoP3X2SeMnG087hYEhBLYsKKqXpQqYJ+ZBkfprQvL967d2Q5dbAC/Lza+3PH
NCdFkuQJvK90hODoautiMsHwFG5rnpx4NO8R2drrbhYJ5FDlfsVp2m9dnbYfrOfv7zpY4oPpz1kg
pAMCMpcv6JflIHGXEMO5xj8fFgbwL6H9lxl/EtEtNZ7V3T//jT1WH2BN7Jtc9O3VrCbwbIVRckMA
QLZuwQRfBl2GPCIos8e/X4qj/u+LOYctQVgcx4SAf3n39Q9NBIqiET3urTTDGE8fMD55XoGThTFv
8RSkA7EKhTFD26+LDspv5/XZp67ol7TNubotoqz9nKa1YR8HyML2NlZ9+pooG7j9YOqBua/sJn1K
VBMaGwG05CW3KgEp0uw7eR0OIsWVYHspfgqOz3zuvtf2j6bAnQisBa0n9sbBnk4pjaYSB7LfECFt
Q3V4UFN7Mc82aKuiyfwZ133PtI/lWsOlSMZ5hjdqlFqdbBUAnvQCQqcOOEk7mNFM6BifKRNQBves
vk4l4KVqgaQKkbUdPDeqvXUx28zwTKOo7R0Teg0WO2sxF7ag4FADuApVZo5zIcfxi0Rk1RRjaYKA
T6LicpKRKPczBHcCb4ymC7E61D0mJBzjD1MHB/+raThDdpGhRQhPiBSDfre07fF6SQGusuhnDWRm
DDjqq66oEaPXKARwRKN5viSrBq9nn9PcQQvrB/a65fZIRFGMYC+61kqStYaXEB5NTuzqYnTIwKTX
Y9M7T/CqFCtlxibMI+DdzeXQYL3FidTbxQYCX+fha6mGTx1JPT4MhUHrbdOkFoPaiCSC+iU3ZPCD
EtKNXyar9MxzUkT4EwONxT50hkNpGeYS64FNeVPkqZDHMmBdvkKxGIGD8+zUXnCssOfLiNJhrVi1
CqLVcNGd7C51oNfXeRs/zVB6iKuTviof+tYXetO2SRqcjTId26OHrMjdLArl6NUxu/LBVxqxr5ey
ZawREdT3HY+4XpktlNurtjKcz5Ey4Fo2vXSGvcysBQjcaAqmJIrcaSPEnJMAPqblOon56rDH4Sl/
tIKWv5dwmmS6aJxM+QcMEA3k6wUdPYdGT5CS59vigQNy31SgCBEXnTnSFMYFWjscqiXNgcdBNwJV
uy9KfdJR7zB81aLQa4HGId9DJst9QkziAUiPyh6cPCF8CPdjc6OjOjyPuFHDlV2M+AnwjULls0No
oMgvhBnvEixQE8kj03SfsiviUaD79Dxz3isPIyed/mBNMcjpps6iAWJh494nkBKbdcaiHtH4T9p1
JGSikOl58kp6uo7vCW412iPWodzcJumknb2HaEsjJpuITmhhiRHvrm0zP7TE1rjHVPO7gJqZ0nxf
IHCCtMsb6GCCKsBYOLkqPnnkG/EQBwStuB88y/oBwKAmNMUrKt/bNPYUDkDZqbJuq5YTP+btAKul
J5MAY1AJnZM8n6kuU6YVBD0bV0VrqUe6K+lXEyDuDfmL4RbLkoM7xxm8CRKcdO/xx3bfpZ7jcjvF
lXWbhAgB99WM6OnSjz2/gOOlzNca4w+UmLIHNxHKoQeozmxhJcw5udN4OLaqyMnBQGeszvhiFbIF
vIP1CgpA0wDADGfealztX6TbwTnHZlbZ2zLtlxUDxeijOcRpsEsn0SFyCmUjTj1siPiybKy+/SY7
K9C7IGl7qLBI/L+59ICBn8QdajcbrTZtYGss4WU5PXAI8rNmvIsG08KVtgKkyta4cHDAbkm9nzjd
m3dNEzLJJ6Y4qDdsjix5mZWNEhSN0gWcQ60ea3gIARpJ8BpbAzzmS+FWxI5hRIc+WuszQQ1kFBUi
N3ZGE81fQdzDX8HY5wV4HTtkKRk7tYuAkc9CljW0B9HjuQRQSoAJgPFgynm4nXr0Uqf7ITJn7G6E
OTgNqAS3xLTmuR3iG6sNvhmztohFUH3JMjkG2XzLa1jpW0IlW3drV3yX2ZZqAcWqX87pjVOk2uSP
yT2n/2KXdqAo+CLz66ykecMIBAFSNrmTvuuK1pH3ehY5HHortr2TRsMZnHCYSF5Vejh8i9OEWbAJ
TVCB/aiw3TuZnJ5bkBbdHsoef5OvRhdwlNTSQyDXTK+TyuN6a0JPc9YgBqOHstbF19jQUPDQNAZw
TOxWENoumuGIBxSHIQlyDSnTrmGe7BTQ2K6zF7p2T3V3M5O+BF4pUVZPGgQpNQdPyfyqL4NoXiHH
iY5iFrGpgYEShLYiejh5zPiPQO0THiU3qLRQo49FDT68S7Q+hOgFIY3PyFo2eeJn3Ta27NG7KFpN
9MKcJj7JnrI7ERJBhd3kAEEu7EQY4mSxl+Mdi+yF4yq8Pnm2lA7EdTw0/X0D+ft7pUB4r+aybW6m
3lVYwxMPc4tQ7QNJRnP3wxEU6Cuio+ynEegzGQL8MYhfRStD51T7ToV3O+uCaAX+uo7OdtNV7jVq
yWmGtuya+akLgtEAS+wZtc2TsaPm5OC7BTEZWi0I7gJD4pn8Yk9dxSQ4NVsiOUtzXRQVsDo9eE62
dRmpWudkiNKiWaPDrRoAlEmUrEPD9wuYx55TlZu+V91rVk/GNT0/jultAg9NZn3y2LAB3CWyd26V
MmpRrNuYdwHMaQFgbj0VkQ3C0Ru1pS4SV3nGeRZoV3FImGV9MipocgfZ1OC6WawdmFdDJ6MbAFms
N6siqzLoERGUzY0MOjJF4BNl1m0twyA6wiv2w7tkmoB1ZbRoPnlmrwaaRBF2NTWbA4421KfnVNkm
kDCv+x7Zldkj0YRQODzxX4056Q+dP32G4ST6H34E6PuTmbLgHgA8GOIwOPmEta+ZCZdI2Y55mmDU
aL5HTbbKYME3GLsSAWw4rUpi6TyqoZMB9MTbm9h23XUNZ8s5lxPaY8g5UhJr0OFRX5F5ZT7DxrVJ
keLA4yGT9JvqOXDImQDDHRaiOg1JFxoNVQtRSxBGzcjIQB03PlmuKVyolQ0mFcJVCM4J9GjvnGG4
FfE18Thz8FDYQF1htvbjHnUT06QoB0b2OHV17uTs1CjXqtI9V6xM0H2n7wI0JyzBjNyHoMUyJeMb
tEzlhvnYjmgi2Etjg9cyzSE3K8JrrYoPE1X8qgHln+bxI4Gox8oWyBHzaN9U5iEqxFEOg7mDCXQZ
Oy2bMimGp4Xltoo74mYKmW9VsKS+4p80YRvv0EQAGsL/nZdZCb/RuegG7MZzCrq1kc/wnop1CrFS
WxJ8mzQPblOeKyP67uXBsA1TJgd1Od0NFZ7J3us/j2GKvjZFGJWEiOx6wfIVGaTqwcRr8AFWpn9G
Tgw7NiE+pDejQ+iwtfuYyL361LjhccqsK3PWt4NXPs1TfyEcaEYgZ8lzYmuvfH2ZZeVTMILJy+Ls
innho9eGpKiJet/Z4avuowciIciTHp1nx5wwy3fJibSM746T36HPu1ZR8dqlxKoWYGGCXn4byvFl
Kjv8sCSTrDi2n3rEDvBi96QVfqPDv4cSl+xaqwaFhb+FPQL7EhsnmWPJ0Rma19kwv/CKtBvqbDRa
Jfj9MmbP9Kq+u2iG4j5q4AFyoPguk+oEFJ08yzC2lgU0WSUBSadJbHxuK+tVNoBUA4lxLap+RLX/
5Kngiukd/7NIAGYIsKu2Vn9qcszcM5HC4Nc2fp8+0o/hA6FnAdjEhElRvOb9eADMv+tFvaMI+rxg
7VlZrwxPHylVM2SGzbSCwk7F5Xfu3k+Nh3TOhud28sVKThapDsyYN3nlmmuXbeSebEB5jlLxNffa
66GIvEOGSncdCnvXkmiWQyfTId/52AJ91zu3GjeYjiVYwYilZQTjZNvwQm2nNB+nvIziNZY4zlRw
5q0K/ocmG7LvDMp+EY47xXMbfbcK1m5hqFe1kKopmAIqnFoffGncZDV8JzspWxJ5+C8H9gAayPDp
43g8Mt5dGRn83rCBxdPuVdpsOjsCxS/PJGRe8T7hjHT2VCV7PKwgELr+YXDljZ0Ut9AeidnFoBbH
/k4o93LU3qlQxh4dxSr0xHVTQontNDm8vMRnMNHUdsa32p8/Y6K9MCz/C9zuHwyUCXPLYZ/MD41R
3jKDuvZZAzUsjpqikwiwDdi2W6BUP8bZv5zGDOuHzZCW2mNeRXHKlBjGZSPai5zQmJpdipJ4p7V4
cKr6clgk1Nr4Evb2lV0mgIfC5GRpZIkVn4fPIhoMI7HQzIDhPLdbmhVL5t9uNmPshjiIu4idoU1x
ACIV34si/FSbw9Ee6z3JEtvWqx77JrwGFwqDWOSCmMfyWVv6Lu+7HG9gsYIqfEH+0z6xSE+w3CtO
ygclrCvSD+/NVp4x9V8MFdVKZr8QPHHVzBrqVb2vS4DXg3VhF83BwZuxFmZ6XRJlm4D8DPS4j2S/
qWDL9c14DtL8YtLqWCpCrfKuOJYDQEH8Z7AOp3UVeQlpljEiD/8oguFaLw7HMLng5IoxwUVPKjbI
8mEVYDbZuJIvsB7uS1E+Cce69qrwORaQwIg7H3P5YkzNBaVnsirM8NWulkMW1NuqOkkzvxzMZBOZ
/q5rxWEmfi0T5bARfXmbRrmBvVSeAosgxmneo584+tD5OxeRaV1TlzA7K1mno5PpTd/z2r0RfSdW
zjy0FGrOF+rXGwrWeF0V7k1qkFHZFu65RgOL1LleCTu682MGma0+o0jpb5uYz3/F4a7F9A+TJPH5
tRrHIBSP8NN0gIidS3lpVtNnTNwnK+964I8GOUzRDjAXrhRidVAjBSUuhOSub2nrMi67HCN3HSEu
A6tg02CJFNsC0nDsWCBjveaovfJoSFawsgfRNEJ8Zz9prswSS3AYopAupfnYYsDA2NE16zwwQCk7
JtxrzU50WeAubgEk2C0263zPonYi93Epoum92LyvcHF4B3mTx/tJ6gf8vPMjYn91lXbZti+TlzxK
7sYcYoVwUSGTZDKeyZsGI1mayUM5d9mpq8rqWQXedGl1zr7reUY5q8rUbjrktf7B7jLtvGh4As4+
byzD/wTwP4muOfDJ4k7JZBp4D0EE8cs2un9C9hRybrMCopR/wPAS41en4qx7x6gxTb+WyImzjdFZ
MEuHghTYF9+v2stao0feGn5ANhlMx+glsnpMnGQ9tBQHbUNqaozBF3yw6Bz3NQ1VJkgfKCx12Rsi
zM6FTHV8Y+EeSvFXdwXkwcTFGCrT0s+JiQj1i0s41lXFK6tIDw1nggZJVq03VcsPdYZgNGGSUTP1
YBErx0H0PcDOnCzwBpDRZhmtZBF7FO92bxR7Bg/Vo2XlDsp53aRkM+KdmbZpV43GF89vGxjndh0a
WzOsYb3lMOzLmzqclmNakc+P5Vyw2GQB42HMxGZpwAsz5Gm2OCW9oHQrqmdnhDCyN2jofvZlKw/8
fAAi5673X9TUs+YWNbiExSWwThO7vm0Dg8lgEYchEewNSLHQ50muMONlZ0x81Gd2QbStoBvdbWJ/
9hUsZu0cLXhMgCXNT/QmYLAgHt/rQvsPftPmR0oc75UwU3HNP6A5gLISr2nbRmcvTOd7yktOBAlS
FxJhO5fAqVg9jb0uDmOX2gAlCnWMFZ7gpCqa187KQ5BWQ090gB+UUP1rYWevouorSNIz1f2G7nQN
5bc08M0kIcdh/nhKsw7KC3aAORUktPPWBvCUYrdEcSl1vMOIY32KLbe8BMCq9oRTmIBVbHcPoyl/
0FT0nxvyI5afKc+T4zx6UHtNy1AXkQ1Qry8AF3hDH79kSOdXc03nEBMPhBkkLskPTtHdGkZ3fTuh
JLoNJ9qra0maGECkPluCcS1IwjQ2gmMHyfEcl7b91Ej9yZzNAph7E2dfer+v1pYWsCPdXlxSOicg
E1FQXeXYEiGu1aBqJtqvy0/mBeusKTARyVTJLcGW7VWaLxb2SFlws4oQDHph+HF6NWYhbgEL3tMx
Y9O4GoYqvg/D3LgLfXv8oTphlStmu+ZW8DHvBV2MjcoS67F1Yb54PqVOdWhUfiLeslrVejzng7XV
lK7gpQ9eZNygaHsiMrPAJlHecEC4yzk22QS2lks8VUb2L9FcW5Rgz40bfLV6RxxBVxA0hfg1ji+T
zDqLLiIjgsS/ena2nDq+ynZ+RFB3b2PiIIOsdzc45wham9gLomczhvMw8ObeZ/B5+8TYR2a/XaAk
ZYJGkxbXRWemt0k0HDQ6vx2bSrXqS+9L7TDrw3h353rFU6hcvgK/uKm0U66w62y1qi1itMj7iLDb
gTYF8KKErc6EFrPGuqV1EZDKPqXmjVTEiObFIevaH0Yjz9KoDm6dPdMV4uiWkopUO5sc2PW6JxXg
3muwfdFNA0hQkeKZ284CB2p+4L0BQVd8S6PxgiiH5zhMb+JlM57LTqzLJZumnqpdr+snNzQOWtf5
ds7Cte3pJxsOGOC6S/h4u4Ip8YVO1be5yPINDqbrHFbayhtGqh5eOfg86pZMS6gj5QkvwA/6evgQ
ZwCPcL9FPALJzrLHVJbAI11Lf05m0rCdmbh2Fbfz2kD4t8pbbxNl6GsB2d3ipCNqNwku+B7EvhaK
v90nFsshvKB2ek5bQJes4esIDDDFC+IWdK7p36yygv5tYw7BYfawXbpejvGnU3BP8+oqGcklFE6N
NyqihG1jd2fb+k5H8iIKgqsqzUF3EeXkFAdcQo9TNt72ZnVfJeoRqdfBM6tvS0uoAU6xmUFeiRRa
WUtiR25iCHQl+QH6yQnCB39pdPO1XAGZui695szo9TJRHIezOtwnBkgn3Yt0M3ctvltKxt4Nwm3W
SW4/T6M9RwpetNFmRN5mh9Q3115IeHUReneCj6Zx59c8q9djVe8LbLGqTi9tUe4sJz0nDcdwX9VX
CM8DAlwIm2gmifG4V5/tJu12oTvdxiN8UJC5e2ug6Uu1xaDTofQzy8+R5i2NDOtOyPF7FVZAv8QN
WMEH9rXnmpNEVXQIPUPxxDKxLwP7PgPeC+XPIRa0Oneu9QDe92vo+8/h4CB5CdeBbtwTacDRyvOZ
mVY1QWwwRSGwrnU+PdFiIDY56Y1tWor2BJr6ES3IM/RSTCIEHB1rTEdAuNyZGO+kB4uLOWhTxw6n
1Mpb5hC+T7AIAx3Y3tRXcOYey0ZBi7QO2oQMEY63Ia3aFfY/2rJZNm36nEOy5pgDRxnYPQLkq7Yx
Hg2HORZWCQO4aojIjjNxzh+aZ0eiRl7EhG1x9Io7mbNFJ7PxmNThVZcnNr1YanI6B0QSfJPj50YT
piTg+aCfi1uiSOXwAEXkEzOKTWa6h9lZQCHFeuYIRpTllewnRuXwr3jD41fB4SiU5XEGAcxCB50r
uQBVzh6NSHQMHkeya/va3/p8fX1AMT3jcHMqGOoRXCukjxCNBcDUpq4uyzTZ6awg9xEU9gQWF4vY
YRwmpnXwrmzSwBbUd7OWVIJ+pR9He562vPMlqUm9A0oIWEg2ONd0L9UZlcX31uegFkgIkITfZq7c
o/W/BYMCJYSUTqt+YuzDpP0VNyKAGVb8IqNDiH1VfdXA+3zbvDUNcxcwSah4x+0sx4hNtL0x9ohC
7+dhuM6LWwap6270ICglOMbLlZqGg+eMP/LsPkqmnRle26l7FYwE9QXmU2hm6yafLol+uGIdd4BH
kpnBMS49GObVWN4oGrAywjcbPzBHWWkD/JtOL+Fx7I2yvRmaT95w4w/PepwubRjUZXZbF83DMPg7
gm4uvJKOFLPBZbN/MMgGdpI7llM0V2zddnxyhuEiM8NT1C8J1eFBc/Sy4Or4PcWaPUeHmaGGOSZr
GKpEhWX30s9oL0GMz0JYMxmPjhTWurvPU7njjE7+iblEY5Kdnm3EErZs6y39vZMYq40pqmunys9g
gk6GaXxS7nyympY2zz7Qw95We8PRxyEHfOy017b51dAXoht20bjPg/EySIbN2EyLFXpTufcZGWCW
ET/FJNAy3FilQXl0MevP46uaU8wrLioAeObxBJaL5kjc3WHxvh4zcz8Z7hnZxY7K8SIKoyudq1Md
6kOSNYQvRwAjcz6vcpsSooT1cIlOY0l0CKuM17pz4IaGm/9m78x2I8fS7fwqB+eeCU6bgwFfOOYI
zfNwQ0jKFLk5bs7D2/hZ/GL+qKrqTkV2p1zwjQ2cQqEa6EyJEeTmHv5/rW91hse6Do1OiG1cs90u
GS7EJM/AcO3U6QfoeVIwC8CGN0+zsbpNXRqOcx3U0KaNGJoLW9grhwfW1tq2z8i+sEziAexWIyuW
qtZVVyXiUNvBQZ/8R9Hl5FxRUgvoRG8zLfR1quUJGPeKHtiiBcW+JQNjWJZwe1Zuqcx9Brs3CexH
S7J55/D90UVhgS153PWcbkF97SkjlvsAZPmORPZ2w8kiO8CrJ/nNJaWuiDPC/qhK43ebELJvjQJC
07LGB3JIVAqjFgVET/DmQPRxPBQ+gRFNH5y00UD7tqLP/GyQsGOv6iEoi2UfGWOBzdNSB6mP3ZXD
YNqkKNS6RfnhuA2sKNizfx/FGsFHPm4HRYreOvUA9y4tp9wAMJhxQSeqL5PLfizsfTCWOFsTLd+a
Q2/1q7pX054dgLUis1vbz96JrQ1SbZXGTUlhtLyY0vrObwLvommL6KqpAFcN1ZBdhxMArgUPgs2C
lOOZ8OOEsCZiWU2trM5ClzM9WtuZVe8x3JyweMADsmMbY1jnMInK4ND4rqldmER2Uf4ZqZfeEzDE
eqPoTg0rhqJp5rvSd7LxhkkYBpDeB729EnqWnbvE+UIdyqgo8wYMBoeea98KFKoCj3BhSZG/YJSm
6abjSLGIIhfdqW0n+gXowlHSSOAP6bwIeyu9LrmE1dxs+yporqOmsAAQUGihJcg5/jtvv3FWVBZN
/mGyniZRB4oOhT+eVDhaT0guGJ64RvZURvp0Rj4Lx/KaIM0Lhx0M6RuSLWHXlNPOjQdmQzcIZwQf
oaZKD5ycrKHBPUWakF5MjIBbaE8A62BdnwilNd/pHZZvciRyGsidZ93E7nzkjYymvano2+6o8DK1
BG0oJJFbLjvIvkkuEzqa3Pl4kM9pHzA8dZXvNBcFEilYSf4dGQBldVhMGxiqNkFufaptHXolc2Wq
zA50RdRWL2Fg9HTXL7IS+AIRf3CQtXw2EnTvknClZjAuvYbVHrLQREY7CU6RANVWGkFI4qQXwPhE
I/KRUOb1+KXxnxcEwwACc0zNXiaN8WaFPT0uwmA53AyvQcarlwFfXcVeYq6dVmcCyz+gnBnlmrp9
Q2Nc7Vp2UssuLIeDIhBkI5tI20b64NPtdvdkG7jMs+Kx9ZI5iAieGklCchXUouadR4FYo7dYmxmJ
gnDVk7F1xKKgrX1ls3y3O8+pE3kWQhlkEx94w9K10gtrMJ5ItrqJcE4tKw5vDB2azH5GKqNNrlUv
m3m/ynvvhu8GqZV+0cXbJgNR3tktMSz1OaiJ2yGib6AG9kMQFbaFoXNcd4KbqCPVuZ94zysOsRPV
U5ejjjBBlhOFzhEp40RJfzLmYIKORAuHJycN7JXSs3JjmZDcsyiB3wU2Na5pwzmN8Z1YAFi1DhsP
r4esHk00SgKKjITDdO6eS5MXZsLZTEgZVaoedoPlPtl6AJk5JDYqq+9IOjHWBHy0D+wbSZ3LaGiz
3TpVHJYXrsFWUwQcqxx/eB4s7cnD+LIGGPDDhpYK4xd8yRQCveyQVQBGoPkaTN5CZv5LDirsBPAm
MV9pBVTDDMiRyx0YX2V+UkTyrO2CkrMCkQehoIcXN+rdlyDZXLbGootn2oX5OnQR9UO3fQo83OTk
xksOCP2tpQDl6kkA56AsmO+IGothuW108uYal+J+WIZnWmMcHNE967gMFmkXv7GZIRKHvengbT0v
ZQ9UabpyQF2mg30ymhokgNpf9XZ2Q1XpzOhISDTQQyxsOWynLrlowRKs0J83VBcowsTtCNmUioNV
9a+xKm9SRUIWqZ8BosUFcB4J/DM3Teg8NS3tEYpDRO7gg1GP4l6WtCdg5HImtcvnlgrFRV4n/mM6
9N12stBDkEXlQlnI0pQHOHD2Kx0iaLNSssnzCgIqzMp/RCjubAHWTyudLjX9VW2gPqWXebCnGZds
gJ9rayHHGIbC2DU3VgcIM02j9hBK+MV134id1NG4AxnybmjrVfeenTlXph1ZkKOZBOke+i/CG40t
XtxgXGSOHd+1Zk9OzIh7EqgnCH5AnDJSnHKcjmNbZhIkiJDKZzoudL+9UzBVDh6InwcJc2REvkDQ
HKMBxbWN2g6AC5QGcgIK6DXQUQWxitLKTmPq88+ROTn2Jo1GDYyMsihIEnoPiJsC71AuwsbQn0sN
A+KKhg+Nas+hfFzosnxtlO53jNwwP0nFVFLgjyOxhKkSv1i+Zuxde2ZGV7324iRlf6igcF+Z2FDP
jES3odQ64/QYS2rs3DNj40chNVgJ8QIOvfcwULuBEuGzqzX7+kGU6JLcIh9IdSGMZ4qeBfXGN6QM
Dkcgi3na6BCkLLj7xV3uS0mypc3EgHTFWQ12k58z0U+XydRAyQ7VYLASVBk5ojgQDnWmV6fgB5Ot
onNDoTwPzkGfuICWzUY7C/wo/RErNzjJijm2nHL8qU4L/kIDxvwCsZT6X2ZvR/YxW/K21V5RXwsX
6E6Y0xortbZ4Dcul24FXtdvC2ySWDSdClSNp30F3mpW9f6YY8S/j1LuPuZg4wEFJFzs0j9ZFnIvy
e81sxObW0b+HU5Gw5zUroqNMhKcLr2uJFvUGkuMoKKxaLzTotvf1oUjM7N1TlvV9ILbpZOAoy/rC
3pSz6cSJmhwKOQsPfUJKruvENHcZmUSrgi7qWUb36Gley8DFGh69fEOLQVoT+pRVVF3t9iTovGEP
jhE/wI3pxN5A0rpVAE2mYN7DR05qByWbQxouUSyInYaQoO1RBQFOWVcbCR71VAP4PqpuSguazmKc
EJgv+rb1zs3aYrSKKck2DSLbUzOJvYsB49izT7B8SPHG165LmnTPdd6BkqkGy7sdLVV/Dz0np73r
t/mHIdf/kTUVVeGk5o3dKN5VzqRd3N7otlU/kYqtyZVI4uisQ22uLVTuU19JlApP2ITFco0aQVw0
7IftrZvVBClFXp+xBAAGec1Nr76sOqMHulXQwl9LvYLF4ha4vzaFGdeUiycqbPPCSXsCsyZN13wq
mO3t0KPpaXdpjJzOEtQadWHrNybxNdMGNVuqvahijP3bstf84SUKcHm9Om5XsYns43AjRjKF14Hy
KDSUrT9ys5Rymm6XxJmXbCJLE9YenXbskelb68VTxL4zf0XLCZ6KVNta32hkHukbQScqXzWByWrf
yzycIH90hFLSDEkEeSRm62vppnc7Fe3MJgrFqRnHpbey+q40riNzTtqpCOdhl5pMmXhB5kSVt2QF
tnek3bpkCbjKokwqZZudOWNnPRQSv/oiUp5proBlz53eOmnZxw0CZ4jQNMfAxJZN3Wr0CrLlkwFp
3Olg4HrTwdZw1t0ph+7NWkY0vE8ypHP2Ku+NiTyiNqblTEqPom3juG266qG80S2URTpUjypRGaIi
dCoWupmRyZ5QH2EgeKccg9CRAsxmMASpEnHmokdDNRqjuoWpjwCjIkZlXHYq0R9JggyDvR2VYb61
I5TQ9HBlfNP5yHbPRNJ2LucGymZnBtwt3e5dVuhAb55ZpkVxkJo2hpcxit7xC2H6v9QWO8g+cCAi
bzOPlMyY00sQT0a2og+QXbtOFr3ocJa/0Ev/aoJBJY1gGigKymg8N5/10gEmJLc1rHRl9KlzZduA
xV0an6u0HNXG8oNp0dS0d+3IEbvfy6f/5ZVnzTSeWDwUx0ptzw5qHeJqupJYAJAMWDHd60luBOo9
ZJkC1JkeRSc+er3pC0n6r9YYvjTCeCGATHq2dyTb9oLMToYK3TEKHuu6jep7LEDoV3VkkSCTePel
k39h2jh6nNA2Zk4FNjWdIwVl4KNr6kaO0Lengo1hMT0Lag2Rnu3KL9xF86D4pPoXOO8Y8Z5FRp3p
HVucM6OxcOmNCi2uHJtdaA34HwU6affEjKraIHYry9Kr3z/J2VXz+aJYWH2MPrPfSLeOjVQeB9Bc
pbpLnhAZMGSMG+y4lFj7BamwsS+fc2FtscA+maJ9+/2lPxT2x9cG/Clw0eqMYfvI5dRKhXCMe06r
ApnVYkL8C6KYqh2iGm086TpysGO3dSnw1MHb4CY64WAac3yiTxe//ywfrtKfP4uvI3jSsdPa2Bxc
+9gL1NCusoqK4iM14G3o9Rc4F4kfiqFniCxnjNvRTZVg/UoRE1FK2Q5htWdPfVOjDaeXwP5cJ6uP
UD4iqpEdL2yjuI8G+7EDTChGAlrD0ALdoEr1xQvxi0dD502wrHkmQCLPh/88C+S8Ysjb0nLlS+Ca
bOldxDgojArgb8jcmtXv79TRuwDGYPY8m7qJHYYT0DGPAtmMQjPZ9JzFKHy7iAyeS2SHX4yNf/ml
gEPMjAHXtI/NYPqsXSqnCitI4fbNAly4sVUFdZRF0gfp0++/0vGU8ofLxUHfyFSKadP8fAfx12Ln
SO1hlfp2dZq0Y3yihgY/lgxyymgeO7S6D9a/v+jx2z5fFGM89gSBD9aaebg/W2uizpiyuEEWG3hJ
vBor0Z5kCB1CXQT7wQWf+fvL/XJDPy7nYhueuV4M9M+Xw2NoRGhcgWFGhrmGGBhvbJvsvIKMrC8W
v1/e64+vZnm6Ow8RxuU8hH5yDaG1QF9EFQoTYTp0G9HV2eVoWuNj1FvZSWna4l0vpXjnpo6XZg76
kjCdBFl2rtXGj99/7yMGNoQfxqvOC41J1GIreYw0g53KZsISAytEton0bpNO4zl92WvHTl7icrx3
p+S98Y1VrXkYQAQ1TbteesBTdfBziybwv+ckIykrPpUivrSy8NXDVbdAfH4BqkwuzCF/0frhoDfm
35ybP+4jyJfZkg0CWxy92fakORP0CaCjGqUS2w/cdQ4N/xC6dw7HXHCqKDayET1WUufaF0v8EW/+
48bZ4F8sHfM533tmaP38FNmP1l2UKuAJNhX7iIyORaKEXtOCNHGhZQTykRRfPLKVp4umOdUqiWT3
xWzzr8aSz7qEWJ65BvPd0dIb4ZjODSyplNMcd8WYw9c7ym3E8atRJgScHCSjIy9RbZ5GhXNbI07/
6jPMr+KntcFw6J2h2PEc3WedOroTGqoct4rLfqUAHlFKj4DO5T7gQlNPFUcog6OeEwWvlpDFKc/y
ULjqlfMMVYOcHIbfD+ijF5n+KZ8ENh2KKSA91ME/PxbNtWsURqG3YnBMZ41qg5eeDsF1bE7DF4vi
0RTFpWBLUJTgPzPi7JhBEPoqb2EbeitY8cZTMQ2cRkQAQtbnkLnyIDZ/gX745YLss0yIB3Npjc3W
R97ETxPHnHYcQ4WdVl2YmC8VxYMt/UO5UlTaNrntF1/dzKPFDAs3N9GwHNO1PXgKx5OwNF1ZU4Rr
V15ieLseg9BLVAXhH6/Sf9H9/tOY4TH/oFn9Qvc7l28vH8T4n+l+Hz/zJ93PM7/NBxdcrrDLmePm
7eefwHgP8LvHUNcdHUULNn8G+l90P/GN7QcwGZ9NCBS3mVH1Jy/e0L8x2/MoMf8xYCFa/N/Q/QSA
gRmDB/fSt8xftlZuyqbRRgFNNXcqF3UpxI1rTw1ZXXnyhRf98x5kPs4A+OJkYzs2NjjOVJ9fa2R+
ikRPv+KEX+zLjGRKRUPRM29J4Dhp3K9m918vxy3HfW46vAI+nvTPlwP1DARdimrjtNatTZPNMiil
SyNG8Eea6oSUevPTk7/8Y7r8j38LxJ+/IFec99i8bCxsc2rAz8tJV9WiAlBfbSIbn0JfA2btyD9P
c/+LCdKctzL/nK7/uNKcJ+CwbrFsHafSCFVUKBfHakPeUr2zqiRZS85WsEpVOB4KIwJ77NbNrRgx
EeR5t4/G/obf9NzZ6jGjxpwXTo2AsufsDPPlAloysU5msKf6l1wjkCy/YOscLbXzs6dxwdLC42CH
xtT++d7E7LaN1A/TDbTjM6egfpvVl27oj6cZZ/qOXcuq4/BIx9nIyd2o+/Xvn83Hef3TLZs/ANMf
LxvICc5Cnz8Awt7WxAKcbGKjihOwJUVyUtgB6ZRDsyJiCwkpvhzf0JYezZkpc09NHB9DKF50vT/B
9YCKS5/eiAzuv3ia81c/+mRg/WCpzCw6XuujPZBEqxcJN8s2Af45gkoDh0UA7WFN/CSGJwfJ+zqz
aMkvejje1KmVbX11Lp/zJz59CCYiNujMKeDiLF6ao9sTT4DH0HTJTda34bsWj+IZu6lA2ZK5+l7D
OlssompKLsnFzJ60oLqdcVqrQMtDQmjNngwZNXHfTE9c82PqoItJ39gwujaW2922QRtAbcaahcNQ
rHxV3KL62Y8iTB6HgL4GJVUbd7q2Dp3elushI/Zgm1IGNtfxGEtF6KQ2tadmgX9mHdid/uqoxu2u
Qys1Xr08jc/zoCAl0hg1/6kqZfNQ88+DVgT66zhRuT6vp4pMs9xyURsR5EXiIoBMc4F7fNzUKva3
MKWhM4dOXa+MQs9PBDlXAFDGrAL6XHc/JDpFPCFOS6fLravkpdYI8qmSfNwzDSXWmuhctNxNOm6S
vNRwUbnF8IBhzCApNNBH5yCcjnhLIL9716msfuEqJ8drmhXrLtHUD3oAIy7j1HEAu3jpaVRiZ6EG
2LybdDtK7J1ecE4+TfEwhui/ETkTTm8rrLskFpS8z5KAumKb4ts8tZCDvUdmP+4cEqYecj8IaFEO
WvaYu05A6i8BAoYLRq+bc2jTRs6iM4VTIOcYAOs18bC1VACODlHUEInQ2cW4y9PAMDe17DqNkkEr
BjTpZYBox/H7bWQOXbutewA6ay9U3dLENXzqU29Fa5Ka9avCmXMRtkKNqH5zhRw6pCW59moOrOtq
YK9HPC5ovw33si9ox+hxc8hKvdr7oVR8SeElyEHbvinHfQmuMdljx6hWAc1ksaQJ6W4iARmnK1WJ
0QNplXdhonMIdwCXdAQtVmKdTHBCpmVeOXhybKu5s0MR66sAN++LadM4XRgxu/1DgluAZI6pGcOz
Cd8VsHu67gucQfEVsRPKp/+Wabdh4QFvqUpSE/KS0KV1m3SafBUTZIPl4KTOtMlcZRYb4GLiiopP
QKcobPvzopbpe+WO9g+PSnDIpyXME+S43E1UHc9K4TVn3Lj4vcK9uBajdxmM/bC00vCOAt1ZEmXu
98nPbxS13zuXCM4TjRjfnbRoiQR0BtIlQhIADIq+Xp7mI5K4ktI6iij8G4FzhXEz2hvTaK4FKvMV
2l1rNyl9WAI7jU8il15p2tpii5y9WmF1KkiPitN1NPnFXY0l7yWI8wcNjzipEGO6S5VDGuZIODr1
6Fc9BONpDoRxpQ4waVTrHtb0RrsKMSxD5ffoIw2R5F6P9lXRDQfPUu4JxmZjp0VRi9e0qvaQ5+xl
ISoTLZoxG+WstWYSLWq0p5h/1QGA+Qbf57CP9cpYT0hVdxPZdJpLPoVZ49NHh78p8lS70AurWQgj
jBA4NMa+b91s3xQeqO9B5hurn8Xwpt8+mrMjIC/NS7OP39mkY3iSIUXYQBO3AA/UPp5Q+w1x8ko0
Wo9Nw5reh9iQdxAA5SP0uGhfyTpbdU1+hY2EWAlcEKRKVT5ubIkgmgQFNvpuUx2sLHa2PWbNbR3i
UKD0xiuGM326GoKxUjAiHEOu+ix9oDaN0jyUF+CY1KpWBcJRAScDmUGSsWszm2JVKeO6J68ZbanX
+7fmHz2K/JAn8EwXIiT/ArF5dU5LILpOsniJ4f7JTnA/OTRqThwxoxr0eBIPJQ7y8yBuE/yuxIKB
qSwPHe2cFfBbHEp94e6tETxFT/0NQLo8zzN51UvSNBfOxA5yreyq4o0G+N6htnqPNM86DI0kbdLs
AfbHg3poK+r2C+zDMfIVitxVmO6zpked7TfuJqStFsMhX3omWjYjoZ+2skEYbcsiat+bkHu9SP2Y
XucEAGzn9mwrUBwTxlrY90MehWsd7eWpPTj+Fbm948FwGow0vh0f3Ni17iMmi20YFuZWq5R5ajSD
u3TL/C2hYXbR03zcFsU0ndv1dO1rYbjztHZRYV0mRslCSrQEmS5PaQ/bi5Da0HM2qfERG3hOX3jw
X52qGZ5Rk05rZKsoEKVWWKdNA4loQQJvjcc8Hbcqs8QlHiWfAGXZ3BbUATcwd/sLL02bZQk+Y92V
iOVCOxz3PZhYsqv1YliaQdHtQtcXm4ZEl7URT9YCPdkTSQzWNqlb/Hx2NdbgM0L7bcCohse9Kk+x
GZD0gdF34QxE05QRgXZSwlayrfK1y6dDV0wviULlnQez1IWvUCy84LVmelp7WX7tEz2wRdRyaSFM
T6OoesnaPt6GpYlyTkG1U1W4NjpZXU6Rc6EiDGH1YJ4g0HsLLeRsnTmV6ygnO5jT77AJoQDU2qhB
FVMuoTAplCcNq1LaVxfIgf19oKerye8OtnTfpDGSIJS0PaGjrNup0+fwWbLnjDDry2nELEh+jvZj
FmKGRKqE/tQscX5hzjVY2+hLyx9OqYx9U0kwGjCmrjARD0hAvKFdpq3vEfrRzGapIoEkopioUvAO
UBwg5wW+8TqaZfsSwbUm/U3gn5sS5W+igbFOt76yH9ltOOTd6hniJpNXZna2QIrVmjKlk9LdKg7c
+BNr67YDP1MuPb+9DBoHSE1E8OBsCPUviD2YFi0f+iYtZPfsV5q8yA2CaWbchJQnEzC7036M/Kcp
QTyxMAKb5mSjmfo9b4JE/2xVGF+A4fxIhMcQ8nEsPwKmI2edqt1WKiLvEPblTIqqTQygeZYdAEHp
LIGaemoabzUOXsleQmL/XslZVoAzAFDtihMqWnYzCSldqrEyL0QkCsjeQ6sDiKqK+8DRBp2q0WCW
u2nw4UaNpZS3hYwn5DY1SZ0oc5343sqQhi8ir6rf67Yd1KLXhkIsrIT4ogXmDHWbQnBYx1GVPhcl
Fl8xpcxCSjNOM6u0z2U5FfYhsUIXmk4WD/UWbYA488j7+u6kHpGNoR9Ze5QL1mlWkSerQru59kdc
HqSON8MDMSY2MrImvxno/1qZPZyoyMZr5BDrzpSlB094Cmy8zEF/Usdpv+sVJgHaVPZrEs07zIWo
c/95VL33TvrMsGWUT5irw2CX0x00VqouLTSajoFGWAN/QOT06C8qsojocOcTWlmo8+HaG5PxMjZD
p7uWvjdGq1bqGUugI1ah21j82poA1qF1iRl1/CxcT+xy1LI1mWSKhgiuBKX+sEUeODwafeaf6Sh2
I38VNA1pPFUcsalF8xZld6mbDm8uR6sfqvXGGyPp0EM1qar2noEif4WFDOKWWen6q6wH5nC2ScUN
jeY0uuxwj6XLwm9HgTc7YBUeC59nGYzFNRpqNMRjWWjnDbJsWvDZkK5hseWwTKP6Edm8/0hUporW
1C/Iw27S7srgjHCQRdRc5yhDt+mYNqcu0JyH2qvYLM1d3Vl43w33ahzpR+CrQhavhdMglqXuF8Xe
tgqYIyKbSELJgqFz7lMp2IjhHDqDwKOnS9nEztrza4RcPNp4k42xEZA8T6bIwo0EiaLM8FUzLaRl
ZB56bOqht3qdRul9I7R4P1KJyzkQIkNYpINo7lE4AHQAIRMvXGdIrkuz6nUM3fEHGqcDbFDk3IgK
qUvYdStIJkGyGEjh2namxhpYKagsVuqLkzCv+ZYcxcubCRHHEy65DMFsL91300/6HZrGXamPnEIG
vb4bMhYc14+nh4YO4s7sU1LLnbSZtiAGiAgN/WLv9HWAjmEwd4RTVgs2DxHxOmPHmoCOKcRlvgmK
YFpSUy+/m0HWtIugC3NemVa/Jei5/aOU/7dKgLdFxr/HmR1vw397+0eCx5l8q4q6eG9++7e2P4rz
l+xHffyX5k/zj9/1/0b8B2Wsf18e/B9V+/ryqTT4jyRJh9gPWlVURijNUhWbGe1/FgZd/RslOap+
iCvQPHwEYfxVGCRk0rRon5PuQDsUMOA/C4PmN2QDlFZobNDWoEL4dwqDHyf+n8sSlJWo1FBloigx
Z5AcVbM0L25GVwNPj9wluxJ6nyCVxTAxt5qivWzc7FBhHDcWHJP1FWAiy1v3JIDNuK/kVtaqO+gy
I8+40telnTJ/SkgqF7wRqmVtLJtdRi1cwTxIxSUEETiPpkOR4+N2/61R+X825P5/i52xqRP9+4G3
r9OX+j+WLzL7X/8z/3kAzj/2Z2na9b+hF/YhWhFNMA9Aij5/laaNb5DFqB+gcBL+nM3wz9I0PwX2
km4VrZNZNcJP/VWa9r9RbZ37aq5JDCltjr81AucR9vMIpB5GsZCiObgDmjTHmOx86Po8VxErqUya
LUiD7CJR96xi+LlC5tgIB+ESRQmHGd3+7vVmOBs1xm1FIrFekqWoYAau/LDwdzNkdhFWY0ykofTM
dZdNwWUSolV3u3IXdfZbCtTrB+xpXD5T9lUcg8lb+ctXoeZNJ8bF6g32mz//qe0TlSmxh8TlbSaL
6S1M7lw1uy/LHn+hM0Tt+TiO26gcG3OJSRo5IagYIkdCdvxRUsmLwpzUNjVAZWKQsg4QMeZ9bk5I
swFA4qbyEnU9TOpBT7/qqn9ExXx6CiY1SfpVhHSgoEFQ//mjm2TmgbJ2rE1NbZUV3a7wfiNnR4rf
qaVfEavn4GJ5KUY7v1ZlfxeVUj/LQ6OFG5jD8LStPL7s9Ezdx+UEONKs/aBZODgF2K9n/Q/SSP29
O5r3ekmU31KzKhOKTibqiwFirDQr6PZsdM4rH1YVtrcIF0hBGNHCRvS9GSP5AMMOxwS8/HnHQPXR
B2XSxK//NZM04/77f/9PXvTfTSWX7Y+qKf7jWr4VP08kHz/150ziiG8mOGdiqIga4n/m6eLPmcRx
v80iQaQJSEFcUnu41l9rmfeNvypIuqEoPxN16X/9NZO431C+CYN1x9VnWLP7t2aSz01Qlljc1B+L
qYHUgGV1fj1/ev2I9yUyMa6zdcF5Za2mFiIDJnqUDW4qMYBHgGRovB9GnMue3t5IK8nXFEJxDqcT
ylrbkTtXVoTkNR6ZmLHmnQIjeUXzRDBtVPogucsTo0VRTDqCfxGinDhgn22+aGIct7TmnCWTZjUl
PuZDi6DoT1+jVzbeV4Ng8rQIqqWGSGmVBfIS7lq9hIuaEeb+ZXfieBImUp1+AJEkpqCKzUz8+Zoh
GtkmH/MQAbCerCw/fTfd/NnXs/4LDcLxMzq+0FEbpPWHSXoBBznbTp+rOMyWXubf/jRwL/+YtX7u
0P2ra/BtaJrNo8u25z//aRw0LYijqJHELSj8BxVtppWGZPuLx3Sk6KCF8tHNRXOoM3aJUjr6Kk6k
6PDP8t/Ka/1VmKYnReY/BFJs/bZ67Kr2Dq3j2sVMtYkn4yrzhq/6OXyPn+fsjw8gkHGwP3QtcM6f
vydEbcNXsUTDmRSnadEnZ1Nj0kDo0PV3/ZeBJL909z6uh6iTojg6HsI6Pl9Pismqpxy0SNSWYIRK
+RplIQQpWJ3EiLoXuS9IBBX2lWjj984pb37/WKl5/vqFybsTyIgQkOpsmT9/ACsfNHuyA7nmqHxQ
ojxPNaoJthO/h62arhJHXMmkzwGXKs7IbvpqW/G7JdNTZTbxIspUDUyS0mKhT9HGiib7Er//OQqu
q8zNTpH+nE9x8q6De8ghLa6KMYUuSAkDfz7HViMRAQXpOrpMDOznhml871LE/5XOf8bAuppoPSwo
AdwIAAtJgIbHo/JdiStP58rIGe+IMUqXjohfXeXiOZoqtjBcrW8CXFh8DHLjaw517m1fYMbBUnJl
t+FrgMpk4bf6k4d+f0G5CClnYoobPRga+rkkpqSUXEDN4deIQHmv0pol1R5NIDujPl3ZVeGtZM2v
Vl12KmPzKq6xfn58M2LIzsauHE/scp7zpJas8w8RmFsmZxguHol75lvhkJzO4NWgb+tR7BSNuSZh
7Ly0ejz0wnnSgM08NH4frEak2svC4M5pGcQ3kXQW36j2txQ2Ywrv2SuhuedD552LuCl2CK+mszRp
iX8V3q0TOLSJ4YucgUEFBxeBTRVWKDd4NTuEby5EXkw75ujniwGUFq4+60ol2WsyWvemRP7vu/Uj
wWbpOnP5CIbMx7v5uQZufho3LoW/gRj7FtRDGrvGslVevRRFhqFL2drajoBUUhT24Tpwkz9u42AD
q449DArwKcc7N7TMtV5wE3Cm+ZvcyP3tGOk+rAz3HFOPv0UdMG7L0fEga8hXO5cxHvtGbXSTGxz6
vbmutWja9NRbd0UhrorUESCGGQoEBIqTntsQOdm0AeZCpWzyx7MgDAYs81aCrwRmdUBZZBHkLHFl
mb7TZnk0cVd+fPY0dPOtnrukwU/dshiml74z3yGL3JZDqzZRzOsKBt1adGX07ozhtEEpZC7DegQa
Z7jdj1Z2zdqDE7xLuvQqc2SxxbZm4irjcye+nDZ+UD9OMWdBETvJShp4eNO0p5lKQYttmww3MM9G
6lu8gm5OhVIwADQh37XQzrfFWD1SjE/WgOpyqoOwB9yMh5lXmETJMsa/6xtXvqHwEXV8Mi0u+ekA
zzgvjd7xi3vU1kvMMtZift1b9s0LLCARjSAqjzZZweuBgu9izJJ37FxsMafslZzT86g3zkzK71SZ
brMWFE0y1MlZaTHgEYv7WxmwH217+wqsCOk49YAwzHPOZ9HeGpequ2hy/9wYrSsMNjXG2vDVgoi0
Hgu6t2lQPQqzOLU19ahp3KnRlQ9urbUrveeBoUhRS9OPwAViUDvD8TwSkB5ILJjzK+pObx0xiMth
LlNNU7ICUX9LVtKwmP8fC65hU6evecgr69rubR0Z2nqefJsGlXdZV49xZl5VUqHcNHk58nng60EE
UAQ/V95ow7IxkaJTyMsXls2UMbkVBl0ozIchA/qaOUTAT6FOUrRrE5/etKSf2yGP0615NKLmQ+qa
FoOZ5DORo8krqtJX0dANFFnUzSSOcKOVIJKqrsjesinaJ7ZH2Lvija/jiq5Z9NpZ7WOVVY9pMd97
uzCXdMeZlF3Gyf9m7zyW48bWLf0qJ3rUPUAFvJkmgHRMuqQRxQmClER47/FO9ynui/W3qaN7yJQO
GTXtPoOKMioSmcDGNv+/1rdseEmr0o5eMgrAuEp5T6XKus0zedn0CV2wcO4dtymbcguUiLciNLhv
A4PEHqTbaU4ZXBLgTlAWa5tOy3EAIng/WMGcujIAXbgLwQ955NaqGGJ9SeenAlm9xgwLOFKtg6c2
MaaVIbZ9gSOmxnpSDppVSihSc0PZaO1Y++hax0uFyqq7hP10ZYMF9pNRSXEradpOL0JnNSK894Ma
VtmKhyJtw7gBqttITzPKlCvNzlWssGW5hYqJgcwoH8y4wOXt4KE4YEWp1kq4qEd8R0BBBmluzgZO
TL6jkfSNWlOCsZ1GsIxSpZe2uc5HVsx+Bo408yHAgV3ruXbd0KLHgtADrE4rqjlBnLRfGjo60LuK
zDca48lxFHC1St56o9MKVaQmP0y6bpy1OBfWQS1XX4G8TRu7wHUMpMamqZNEz3TI02MsS6RuI4t2
40Q8vwRKEua1RfLVEUH2MNb696pKy22saIJ6y8syZFCZCxqU/jSrrRcoUD2sepAfxiR7niaWZzE5
VSUjGN7liz3xe6uheXhdFtm3Xs9jo/pFSxkJ4xnrYho0Z7nYbOS2caEtjMPC4jWomDC0ZeAL5aB0
dKWT3LYdL42hix8hJoCeFHNEGpsXclsVNwDon8OsCvZgehUgQmq8ZooXa0p2mw1QsROT/BgxH08L
PbG0jF/6Sr2qtP68Ka1vepR9LSzY/7MImweDsGonzqQl/cg1YROq28S8cCpT3LqPQxg/Ms1iI04h
cKb5fDbVcoq91eKgEtA+K2UrWPHS7dR0uEnaIV+rmdwDaDcmOtWsIe3YTnsCX1kV0+7BBiaIvUZu
uSjvY5bWy2MfO7dzFT2DcuMNa+KXKuT/Vmrx0ooNxut2gZbTw2zS3E64m3ZMvIghuGQf79TECeX9
xpSQUfSQQgGGW8sS+7g3G3At56hXTEsE8YK5yrSk25ErMWkmL2PcqO4S4wmnmB9/ct3fTk4ofBUV
4S2HP5HZwiH07XXLCqlNSxyUh5FN8ocsZ/egmDth/U8E7IIZ/+Xjb/pqTXv3VbkkgWMWlyWHWddO
9sRqrxVdDW3NK2ZeR1tO9R1K3eVaQ2fmt+3ylQz6XZ0w3cGd3wyBfSH2OerCTJM7g+p2HTtTBQyp
KxZzeWRtXnReYlapWUufp4g5PmdwD4W9w5vutYnV7Eo1e4Fl9qBVLMH9woY70a4nmwnIAUvhxvT2
PLEeqRGA5aHTr1WdPY3YB0kLS1rO7rClgb6KAR35bcbgjAa5YzvBbvp1s0FLwxEqL2pAPDsqva8U
ki32PH6yINx44f9kh/+AMqK9LZG3xiu6gAVlOBaLJWB9+TllcxiAI8FKP8uSP00RPRuglo6rjhVv
fM4ikalMV44zS2LH0XrsoZ97c4R1zj5Ai+uH1Fw6+uwtcB9YcZ/ENr9a0U4eHyUD2UB8S168cnqi
oK3V9q0SSp5lDZdoi7BsRntNH5D/ZNaqwmbL5hWGtEy4EhvYc7OT7hWrfkj0aGOlRbHKdTaA4onx
6BNXbmofqfk6aZabcEyJJ+GkjyGZTLhO/obcR1ppgfSF8siNUTVntWJX63pCfSWFd0rbf0/UbKuE
FphJ5sEhC17gimFozuO9iSPQy0AUXxhSl+5By0x08lnpcRzsRnHYo8nEysAkZST6hVbwpOAMSH5O
x3XddunlbFdmtmpiQePAqbwKM8hV8dgukPZm4B4VACKpWlA3wY5/fUv+Vnn+/8umkTjB/vvq/fYp
7v77v95W2xTxA7/q9go9ILSsuk02LebC/6m1WfpfOiVzQtqR2CK1VTgG/7PWptJSou5MAKSIeOYE
+qZvZAutOWY/kTvNQP97gvLf1KyO6D7JFgZWvCT0tt7PtIvdaNJoR/h4BioNmKE5KMSp7exwW+oB
qgmnPKefHFIBHuV5M9jYiL039+oPVZ7TkhVKdj6CTsASDlo8FidlMjWp07KpG8sPOaGum1rw+qJC
8dU0+MQ+clpPEleieaJRjyNoGWfH+y9r1I0U5DKZcbkCpE2uAHdFRZZ/8n1+v6VcR9Q2qJYSSXJa
govsTC7VXtch4gNDasqZcl9dlrBJErmT9bWaZx2AyEK6MKfe+DJAaf7Mh326fiL0FNptvixGvt8z
3h2rqAneUXV/bvAfs5aa59kcONAr2nwzmUbhajKUyo+fI9mk3L+3kzBtTkpoikoZC6sMi/f7++uA
0caI3xg+tA2CbNB4RoiRdQRXGGZVQJzOpDQh6h5lXNzIqXGxBjIpylAm0vIy7CT9ToQpzCCUMuNQ
MM0ZK2Aa9VMKkJVgnDIM41XCLp0JdyGJpoLaPq8A3arGCtka03RrO1RWZgqgzopPqnSbxo70W9ku
c5Q1yF4syklJrH9PIsJFXRuu9rhmHxvcYWNLHnhYyZFjl/5sp3UK9gyXCI3PRNGp9sDJOoYzBmRO
T4Z53RlRlt9h/WbudoyZOCuU6OZXICoB03bmRP0dmSXZRi/R1uAKSxUOkCaVNyKQ8uGLNSJe8JVJ
d6oLEEvqTWhaRYvD00ru4DP2CuRKMNa8dpFDA6XRzcUv1KB/IlRNQJ0M2UOsMWpn5RBPlBEmh2yK
RZehYNbyoFA2Arp8bvdLO/uY2BqIkUlERFGfdAb8EcRrFTsZql3rIpGqEkJRKtWIIacevnTXqZCT
y7GOvI7+165oFhukVJ7DVaL1nK9j22oUjzAxyMVZ0BsXNnTo27AKRyj1+YK2DVC1jWIkjxu3QU75
LUehgYjNNprcVWNFRzOG0FqO00DB07DMk2vyovQbdiY/JPzFN0sq6EzkP7EkqvjMX2oHyzMnyGmK
iZxJh6uiGZ7LJJ7rFWZtHeGfbZBfrttT/Y00JupZmDe3jTQOFhL0Lr4GixodnNZ0HhpMXD/GJs7b
lSbJZJFa9qIhDBzqTdVm3cbSJfssT2drOEvI0vhaQ+y+Umut5Ijcqvq+6B2iHKxJU8+JvwSTuiyK
cz1QXG48M55MjuwTWKWQVTz3aINBjurm2nTHQtYXFxf5eDEpFF9dnZAyBUtxj2XSgBR9Tw80uq5I
IZP8GN1yv0WEy7EoY3NHOceekvt84KahZ4ut1Nz3fUSbo1pqvdijVA+WgwN9DXOomjvH2HI4ykeS
g4a0bAGXt1MjIfSebaP2+kDQEpZeQkLW4lMstzqkw2f4mWjWCidL6HcCETHdjn3nqnbK5FtllUS6
aaSE5H7FYax0VVFyuKQY2gVENfXkEVCMIQaFzJEJfkywHOd+Lr/a3YK4sIM/SMqWFFzPJciWKE0s
E1ZqFd7VqKc4pY1K+8Mq7eLKifFEw2Jvk+sZo0zoJ4gMGw/sTtKubUMy7nVJzh8bjK4vDoURe+XU
2fDYLugglVCeQD05CkdBYyxIuoDimkP4oukVXA5ZM8vIhyEcubIVEkGfZOWkkMygZLYryxPi7qYE
UkgJJXGuzIFMV08dCuULxTqNdIKiDxmDOaVGt40L9QKOuZauTLsDw532c8c/15I8eZHa82A0wj7V
dSyXle6pI8ISd4id5SsAJo6aQ9YVT0ZYThwuQeIl6yLvwZY6mkSsBDglqeJltRuVXFwtirygb2YF
3HDrSKtGWrLwEqYNZCkOoRwhTbsac4jvwLkQ/spF7VZRLUFcjeMxAmY/lAH48zoigYrgCf45aPRp
ZcLpeZr6RrK8FIuo7Mu0hsnVsTRpWbFqh6FfJ1gfPHr7cHmp2KeGW40iFHRM7eLJDvX8amH0Rqug
jlQ2sU25XJqzVChAaYfgm0MutS4u30Ovl+TbWjKygDeCHuNqwvMESBqpMYfipFJCj1ZQY7tqMWuA
LZoGSCJqb+M2L6kkbYtSSxqvMDnl7se+Y2ROaWPe9TQlqTLIhZ27AWA55ZNVTTk1b7GkmWJnRG3e
Zg9unGxPMI6RxyaFUB978n5cvcVM9qxHiPNYeVLHPGMZnlSOhrT1vEmRW+qYiyoZ65qJoP9kbyHa
d29XWJF8qcJW4bTLGfW3THAb+X3SF5nhS6gIr6E7lwrJGAl1yaNu8eQ+XtH/dDWNHjDWNTyS+LHe
r+d5QDVOSVLDL8b5MW8L/XxU88UbR4kgiCxILj6+3Anygr4v8AGAEaItDRAA39f76zVI0hsmNB0n
R9hfo5qHrx0ZvTVxHnMWrL5JoTVupNC1AqqSwV1XgeiSfsehN/E7p25pDJMEOXsdiRTnpBAS71WG
GkkrLBDFj4by7LzRkJiY3ogIdgaNRfXzFRhZeVY2DMO6YGH+Z3T63zo2/b+pamIf/eYZ/2a3vW0I
Afz+9P0f8z9uy+en8L0iQfzsL0WC/BePWwf7AiJIkd8pEpS/sPxTfFJ0lHRsK9nV/1IkKH9paPFM
hyGD+/z1APVLkcABCrOFjpdaNhUDW+7fUSScHhwc6GlAG/hFsCpEIvT7gSlbEEzqEPVqNMI/Hgaq
beOEEfHNvfnDQcg+2T8TNK0pFscw1YAsQBCs+Bhvym0N1gwJ3SpZq0ES3Mb41yYf2CaIU3tsSDSI
dIkItliCZQuVecJHg9QK8FU3TZezQQbDegkMihxmJQ+tby64RiH39tA9NWh/bhvJ6nSoNL2/zOkU
Aqi37emZDIJuP0r0TzbhlHf3S6tHFiR+2AfeUKszhaJMaYGyVs1VQ5BqeAYzPWDnbogeCrlQNcDR
vumAPziEThmKlLM2yhR5dkHW2f0uoUR8lWhtRtFiqKYLcYY0fadOHYmzCHJcspP04pAXIaY2AqEJ
2CmXIGIl1Pl6IGmd5WVEe4x5ibYXxe8ovo9JV0rYFpr9fa1m+ug29OewiEnFfOgzK9F2c9voOzVJ
lz22YjZrJhZFDC+LUZO1wW4B900M7MUt02iY6G6ih2JxJpdmUPTiNl/sRfJKVDAXkdYHtHhHg32Z
Lo0wJ5YsWGtFUYfsunEqk+0uiCwxDrYBzHOqXnDwU5/T0GbDkJuT/f3jYXIyGDHEQthiARCaPsoD
jOx3oyTNp061yJegRN46W1TtKnuGqF9/fJXTde/nZRD5UH+1KUDIJ+veXAR254CCdue2GHdpbB3b
QYEH2untmc3Ww42DIDhTkhISMtX+Awlonx1jT9af148AA8Ew0AHRejl1aIdQTCeH8CnXMqIW/1cD
K66NVQqrZHH2sal6H3/nk0rE6/WYZLi/IvMdveT7O9vp2pRiY5TcKp84QC1G52Vdi/u4sJTNx5d6
fZffrOTiWqyqaIUpcqMpVk7OynUVBXFrJ+ybu4JcjFqNUeIT3qiu5kjqupVWNeOZJNcjti+jvSpD
Wf4xkhdB8EuWaAe2HpHtTqCqLwkKntINAaQdjiJtgGI/dkaHOTOsY68G+NFxMorqL45mVceGHekh
KhzrPCEC+ecC/p91DqzEm8f72zK3emqen76X7bsKID/xz8XNcIQ6l3eVbQ29Rd6m/ykB8kemIaP6
sUFY8QAYkb/WNu0vdOOsbRbrGi+8KLb8Wts01jYgLvjiGUbUCNW/s7a90gf+NRJR2LF0IlynZER1
zGEhfT/qRxBuC/8XQWAH6ijhcdhl6zL152QV3OhwMb14be3e3J4/rHTgx/ilv12UbSyLPUEF/PX+
op1JCEeyGJILsOj7KOByUpxuJEykTnqvga5eWnuX9Z28caIOh06+o1S5yjMifGkwLEe7OstR0HV2
ulEm5CubAJOHZX9TqnM93hP/uNGMEUVXcT5pV5CxnwQtSFELbK/qHYrWYwIwF6h1pnIQC+0nRydF
0G5KwgI0mnWJH47ncz2uU6LwALI3fb5VKtwvWf8cKrLXKvkhlAzCOGUOaeAR5i0wtHW0SHhVi6ty
UTY1qEe7kQ8ZNDaqSMqqDwkJ6XGn1x3WlxbahIp9n9VapkaAf7ztwYi3IRIS268aen26vFajiyQm
ziSS76C2xcVlZVZnsMRXi7z4+vyUE5JYNXBVi8l1sMMZw+im2ZeEW9OaV6gXzsZogBraZK7Vxbcw
+hUDIjf1CekmzyGAYnFFOrBt4nolCzsYMM87msLER5u+Mdq3cY2gZ6R/PfZXvRZtCUul7sHh0OoO
Q2juHThyU2p4NL3JhZi+GnPxiCH0eir0W2mszool8DmYeNpE2hsvB5FMKZgmZX7Sp5lWTF5H1wyP
lNi4ZqfW5kuTKlhmVRPbXr0KSiE+wPwo/sWW4EvPKC6a0OOcuKkJmdWVdm/3maiPrFtgd2gPwACd
9+O1RMnJ4CaPD+lkP6sqM+awg06/6qzHbpaI5y6gNO2N6blbvpMJ/EzcYEfay+NIwzi1to5zDS99
FVebIC2vRk3eBPNjQveVZimhLuq3dtks7UsFfMgkl75XylsrPWbmnsG10uWHpV6D7RV5PCvs2quk
HV1l2PTTA9x3VT7rhwcNZhcQDFB9FW6sZJNK97SNlykAdIr3ytyo1pOlbyHPuXXzNU+Ds3lUVmWs
bbvmuSzPEwIik+BAXpzIgtxDnUe3sGgewb4HKVAVnyP+I07KS2LXuSMKSbgWKXtzU+oEDAY+GWvX
HUIGlYCEUI/2lq1fsvG4rsnbCAt5K2FiZTNMhChSFznXXWnqn7GIo5Wy90PO38mJsMkUJQDhLrf1
I8hpAnZmgmrIelYwdXZsSDPdSzXrWV/yK7YJB2Uxt22pfotKeVepyr4OyOCZywNbrQs9LrwUx+Hc
Lffq3D7Qft2y+l+SkQXghn2nLH8BkybV+Xk05ofUoNtltbGraB0pJBYW3IFiSboOBpE7rxzZUNC4
k821VVRHo5QPBaE1NSpcLLSrcOoBYcRI6eZhjdNZfBplVdnglvK1THAj7Y/z0bHXgSXfkHxFVukx
VOl1kmjVLt+ZM9cmbw973+7bmIHdjswnDiQXiyH7OuIC0jWcqr3WYxOZ8uCNWuFGc/nkTP3Lx3Pp
+3bDz+kbGBanZ+iEsHpOpu9+BiXdazLvxD7e5vt0k+70NSljn21Y3tdBuA66VNmg/gE/j9aUKTZP
bw4nXeP0PSgB6AObbqeEB9LTNsSPuJH3jRg2V/YAwq2KlbTHoxyvP/M1vN/0/rw61hYOc6bG23+q
pQ5JkyBMjnRtM4Q+N10WU7d6vY//2bz8L1FH+ffNy03/9P0p66sfb3cv4kd+Hc2Vv2Q2L2wNHPqE
Px0Bv8wCyl8MOVxFnFYRm4Mu+9f2xfyLfY3OwZ1+PKAl7U0D0/gLrQ+iXzqebH3oUf+d7cvJGYFO
gCoAqSZbKy4Et/39sDSp6zqzRjDOlFOkbdSFsCnI9uMEuiJSpZ+DBJti+KP8w8bl1Xrwr30LDUou
R0OWU5eKXJw+3/vLccwMyjxVO68JdApHfKLOB1Y3Pob53O8hIXG8jO1EQYQWWtH3sp/JBakaDVZu
Cl+edbOeD2ZUVjd4v+8l287vs1w22agnsr8oUK6bvhu/o+opsPM2upuYRWZupFTPdhy4m41F52eN
mpICrUyI70K347yCCXmMjLyqyDZ1CHIa1G415fJunpcJPKIRwISYDateh6TBwbhY5oouWTCk1yM5
v8SGOENy/WYQ/elOvZ8vft4pmtsQ7SCK4iM52eFJQQBZfhF3ysnqx6LJqztzNA3FNyXSt9Tahshv
TgNZhXMhPfJPOhQSPcNrRJCUg7wriWSwEQTnFNYkI5lMTaFLIUf2LkFwwj4xjokshz5C4lcBqt4E
hlWv4oS4mBVkHcVXSlP53g5Dkqz73jH3Y53MO+I2jBoNqLmd5A52ovAf/AhrEpa61hy3CE+pi0Dg
5DdpbfkDke2tskBRABC2rIU6vfrk0PnKRzwZUpSVab8jzCUh4ZTlvCxNVnEOQEE+LfaKzZOJIlYu
dhXn7TMKzzZxY2BuDkbNequM5opeg+h3aj67xlTmuCcbG2mewYm1EI/kVL6X0jzc5C02748fqjjz
n3xUEoNQJlB9tgT7+f3oR5U8gjGC4FsAn6D8bQfbEVsbE7IceehZiPawmmZNoN7wCYhRnJF+vzS3
CSIdJ6nfPEGQ5Wu+bULSOPrDFei2ybOhbntZCBx1ZF+9tfIhWTMuySVZwmCftomKJNwMXZJKy09u
xPvl6HVwO+gHkMah3YD5fbLodmRa0AoJOw8cA8o7KdDcQmmtz4bG+1OSuIyofKK/47RnGfZpAd7I
SSFQyxLBkD7X0LSyahdqpToSZYJYI2AXdC1rgYGQXZLsp14VxPFOl28C1cZs3gKpWtJ0OCq63Z8l
um3CwxoKtjX0pgb346Hx+zzMm4J+hCmRuhSCl/dDI817OQoRkXnE/FbrMDzPaqvdjc2yxY6l/2et
jv9p7hP+3H+/WP/0Cd//93814Y/iR/uP/+37/7i7+z9vl25V/IZfa7f+F25hA0sRNl9ROmcc/1q7
DRRG8LlFw0VYf0Ux/lfpwcaZTnMJGSS1KYrRjO5fpQcYmAhLWGmR7KjYBP9W6eH0LXrVHDFghJkQ
//yp8UoCvQpNV8X0i9YCxPxmZti+uT1/WIb4Fu+mjdNLnFQxsUsrDpaHwJsi/VytBF4FIevg3Hx8
mdPR//MybJFk7gkFmRPHYkfFN+xkqGVBNq5LPT+U5eylhnMvlZ/CrP90LdYDwJw0S7CCn8w9Dlvh
Wl7mwLOH4YycMgoGQklOuFKAX6VI3Vgbzso5JH8i3cf5TGIqgRuhthV31xnnjSyZn3z903VBfH3c
37JiyxRrTVGrens2UBJdyaDx0tmNpGOlZVsoyT7i9jOiL9dqY9+F2fRJs/CzS4qx9eY4oqvhTOcW
n1Iuh18KkoIrOhxT0btFn+A2CVfG5HxCRP3TcH37LcVYe3NJak0iuYNvWWHbTuiHR3q6/Xgc/cmL
SAVOhC1giwMDfDKQEmseSjvseLhBebXIxWNh60RvkoypaudmrpMM25+JsBmnK68oDn52fTFNv13h
xZMUaEuD6jdF8NNXkujqXiWoMPDM4bHSm8uly725zbYUFw52EO/nMN4nhnMcnWxb5/Zd1HafiPR+
6wK/fgTdRKWHGJvWmviIb24zgEc71IYcB1oergGKf1Wb/FChpeU0cYdwHrpZuJJhTGmhtodDQBSq
Gu8BMnm9gk8GyQuQQBq+/Y6hcICzd5bifhlkohGrcWX05dXHz0y8b7/dMlqXZPtBBVZO3co1zDNT
j0oe2WySfZu4mYQrVqUtMjo3UtueIeE8J8T1+ePL/mlmAyqimaI2rCNReH+bCDDmhRsLRmMxPjtN
flWVg9+Y0fHjy7y2k06/HrEHKoZwtl7sd95fRwttJWi6JPAIuyjT6oqwcPwayIurrlzLCeqDQd/X
YbiWU+kgppikjHxk4AfMfYexyK4pg22WhXTWePEmK7w209HPO2PVSexWNTx28oxDheQiqcy2TlVf
YnfwUIQR0JOzJwafoAw+F4cU8FlN49XA8NuXo7CB3xzjOorA919uiWw7lTrL8QrFuY2s/Aoq5hmN
3nOzDbwsMD2awuAGtWG9xN1uMoli7NKnvg19RFX7BK6cVMZfpwkVnM6Oi7bLOF3WDD8Mrq6oLOkB
zE6J0NsgGX2rybeFBfCfRlY0El68JMe5YVw2ZI2kZFcAEWtRKGBz307q4BMh7IVtuClyQdMcfHEn
ZSwkgcrM2vJCtOOzBXt3qo1twx0N+e+RM14YdX0Z5I8YRuhetrtkyg8Uidb9FB3nEeeM4YCCJXwa
h3GCsyc/ONbgk95IvHTyFfuBLy6o55Q9nezQzyG4J/0inDKvM7OvUC/OYCx9HzVp3bbThrxId46S
/TKpewx+qwBBmayp24L4VkNunlTq8XFSXA0xHnEpai6RRJ3bIVpiM9oYY35Wthmn2uBmceonqUL9
S/H7Qh15bXX7PlfiIz6Zy5iwLa+CVDPMFWfkIrtKHH2LQsmXIEX2YXdp29KuT+PvsL9Qii6bMoz9
rBr82FK/xAlP1LTvE7EuGERwzo7fWa7ZJ76xMTRATDZ938AXE0lpvkTcWzHvinsN+INmr09MIAc4
LBkF/0kzvk+hvi3qIKdVPW0tszoqSX4g8NTLF+tGIsU4iyUg3dJB/K5yWDbh0l46KVXWKPDJYDpM
Q7jPx65cWca86SX9NuZ7DGG0FxUE4SkkMOou0Ixz02DgSWTIxsN5F/YuetpD5cAzU51DwjEWlde1
mHUkAndDRTu3s2iDqxHhlrENU/SQfXQci6Gko+gUbjNOz6BQ14k9iL9WCGBZNlsK/plzQ43xDryW
P3W0H0CA9KuRPkdSy5uKEye8W4TT7a5FyCiTZJzBW5C6cV2kCVGPoT+iltRKjErkHVRBt8sGA88+
6sKOG4u5IQ77Y0DX3q6bS5sHV+qzB43UA1YHtIifCRmEFm0CFCLfWiCpOK0opqjNrm/1vXjUUca/
m2ysbOleGrrdqI8+FratHA5uVoebtpTWNCHWQ2SBMMW3A6NzB6vyyOZ4n86LR/Tr6xjA8bhHyvAC
y5HOKx7iaPEsNbwxo8jXM1YXFlZTJXu+xwGd7A2soyG3tRGPJkQF2MRfW0waeo6WgHEy5PnWUIK7
XJ0+maH+NMk7tIhpSEPkoJB2Mj81NbS8TnU8zW4uLZuovGLa9Ib6ybKvnhZrxJoLiEo0FWUqEKfF
3QRGYVXDwcFHmL5EvMUNIYVhVl5lxkyzS9/Hc77tC9Id57L3a6m4SovwQayppMN8iQZGUktkMTrI
LxY+QFTdxC9/GnshtpGnszUWSgKYaM6biGTe3w1S94hID2zHk5TZwNQjZ6vZWb6Nhr5NVMil/F1y
FBii/fOCNBdf5cZKwMWGn4bX/FaOeL1h1EJeN0qI8U42KaqRjZmWmY43j9Ex7sBhF8tzn84k0kLQ
sygKat1ZMdZEQApIKJMFtvSPV+Y/jo03H+HkbkxERuYtIhHP0KYLwqDxcJbVU9Jatx9f50+Dw0JP
Q4cYexxj5GQQDlkdS2qnOR6Nx6+VrJ9jBPQ51m27xXl9R4qBJp81ez3TUK1FD3NzqTvSWmMWcoJm
J5Fx0zjOoWzifd7z2kb9Z7x6sU6fjAzWbwWzotBUwLZ5PzLMELosinTH60H4IqPwgZ+TnyP5SUqT
LRvWwkLdS84dYOIIBJqx+vge/eFMJmrcaN+BRpGBcnKLAJ9rUT3Jjpcrj1Mb+XagfoOe6GfFZ8e/
P5x7LNrlCjoNSusoUt9/U6DfqLCz2vHUZEfyum8mqpcENopvlI2Vzoz8ibUOkcKfbi4vPx0gZiDj
1AWamaSRdzSCPVAOfsrC0RtEuTbhWmx0G4UOukXOrfhDceoUHvJeswnCHNOtGBEIw129NvazNvqz
PqzzRd0SRb41zeywQCyH9L5ru/BhiSe8w/KG9EO/hlCfwKKc+Jl8Gnz64puGopJt5oc8lu6htdzQ
sKWH2V4qc4Kk3jkQPn9uR8a+awY3Dg0KgPG+zYFBNMl1TmXMGoxtbSaPM6cq/Lr3clYfGj60+PmO
VKg5ifyuorvKamML2Knd+yN9UWmKHsRurOd6uAzPjDryq6zbDYRBT0niKn13qc+BP7ALnBd9r2B2
tzlmi7ekd/jzlsQGZkwn07diszSOvdun4UOoSwA4hLM/2YdR+jLY6VbjrKz307F2lqu+IPg0TYa1
WbFFjNudwj5Y7LQsFttuGFjdsq1g8EeydLRBfALN3rDa7fV5+qar3dkSThdi/p4bfR+oj3EdHJcq
89nxnrW4uEiZxurMVoS01oOWhLtsOjej4lHpw00ACaUug3sC/rCZ2AfKEO48GAAm+DOgveAC170T
X4fsPmt2vVaJSbZzDrOlr7Im2o9YfsQ9HLr6Us5DyK6TS49pI34uXtgYsqLKk7EdJu1ccvhrlG7G
On6ZuH9lIoLHbhtis3EMuLrTrzsZhyMLPonxmFLT67SE12s6R/LV/aZj/5QR54k9TWxk9MS5J0VZ
hQisnbfShJXVugs4jwROd2kV88UQD2d6yoKf8EwZa6EzCDr3wTDxZOaXC3DipGHT3T6iB3XrMb8S
NSM7YFtljBul0vZjPuyqGX8pq1CnL14Up9fLHLthOZ4VHE5LI70uOLAmDtQAqeG28cMRfYj9UkU3
ohYixogJ+y5kmhrIXRVjUCyxUGl2s4WfHHWBLueM19F39G5nMrt2AePT1ldqs2waEPri2TRSjy3H
BLAi3RAuu6MV7MLJ2RpTulUadnLjLa/03ceT3e+LH/wvoRgSsEsag9bJ0RNNT9Lz3R1urXQjzgMq
mb8Lu0oxDIpE38ZpeGNZgKv1edMGbAM155Nj6W8TLh+BoiWKcYO6M87K99NgKddyI2uT4wljzFB0
2I91JKnZds479+Ovy0n3dAIUxRh6Wa+dD2xtJ98XNIxUFHRiPN1I9hIkl1U0dw1WoOhoyYunLWzj
cZlcS0bko5jdJLVyX0fTY11HR/IegFNr6j6opMMQjWsOMitpGp9NnXSNKTRdveTIydygJCxN88BO
HXvIIUnj/bBkPRInsc0RN5dDGunDmz42tsrMoQAUs62OGyIuXFHsWrBG0JOZNmYFXWXEvUmnchsE
/Rn9ORLAtHMAQHtDo35kxUfOH8eWVydvxgvHZETNY7CKunG12DWb/1k/L7Ow8GJ0uKDXFkQd4ZfE
XuAfmstFocywjsQJNGOO0lT0F1PBLLjkB70xz8cueii0+FpCOdM1OWFsU+A3tGxw7CVun1vMsYzV
goOjGhwbJbiR4VsUo+QzD79++27mRF1INxKLLS6j6NirIcpIOdvqevcsNdGPeTIhx9ja1iyqK9vs
dwOvr0QpArjFMU1SE65IcFOaBvIQnkBYS4c8Db90GidCTo7FUFQAPgafmYA09nwDmmEf2MVVZ3Co
M1iuIg5rasEZuBzW9Acntw3DY93JMCHWWspa19kHSXVuUq5JyexaCbq1vGSHWtb2GIzObc7TmeT4
4r1ogZVohb6dlNljmO1nDvuaySvKOaM30J9U0b5KUJs14VFMs1Cl7pSRnmcHVbwBF65Xkvf6y51k
G09ZStwDEOaO02ydbTuVRXER3Cj+oEevWtvdjVoZYgnGr6c53y2zC73eNnbwnpE+RbW21VXDXmG4
dUP7BcV0tWqRMq30AIaelEJzmi40e/YMsOytXDylqX0TNz2+xuwahfrW6sqDOHgnTMoLB6lK7p5h
gYN7yaVmlUrLvCcu/Rqyzb2hRsdWtY81k7Pv9DkTlp1fhW1wJ47YkQDKT1AkpKZfK8xo6hS6kpkC
0wh9M2OlLAFxj6MPi9/LS8kvKmsnc06Go/Voxhzj2W//X+7OZrltJMnjr4LYy/RErNQiJZLSYSdC
omXZ1kerTdkd05eNIokm0SIJNQhIpiY2Yi973fuc5zSHve1xb36TfZL9ZYGQUUWIlFS1bYzZHdO2
qEkUsrKy8vOfk8YBcPnoTDCR/vU0buy+I+T/btIBuGuOdfLb/aeLa3o2j+IOkxMAIppwt//654PZ
LeBhNMtlpEiYZzF+l8xGG2znCs0BECE2M5gEWE92rD4lvDVdzBkou39wh3UEM7l423IEqXi/Jjqx
XlWtPo4cHCFqDjSBTzwlUyvuRO3xJ6Yb4CBNslOxT8Z4zfuzmRJJv/m0cUqTeDmG2U1yqUmjL9h5
0ryhURlKodrFPj9r790BV4/Sn+BgJ1HnlgL5HTAVKHJsXP+8sxj37vavz6LxlNrtrPvpYFlo8P9Q
t+OCXCDLeSGS9fJNpGoYW448348gdC7eh3NKw8DEzmtP5NvLOJoxQOJlv7SeUBDqJwMbE/7LPw3i
bJbKCkZRbIANSzbCyD3qFenlriMwUbxVNoTy1u7eNsXEuo+Hoa58kNBJPBsV37f5vt0hngEspv7g
qPHEEoseY8L698u5uf531r1Czh5BV3VlQaNJ4ZMMcKQ8SH8gaHDgAA6Ab4qf+PB9vTggaLBOUtCk
Pr2xS6Rg+YY7Fgv2d6QAbF9QAnIhyR9YIyFoYU46sYBNxjaWKeb5G0o9XVkK9ve26UulL60QEzRr
vaRgz1UKtnYb20RjZDpswQSTBx2692gtJaRUu/1n3KWjADSooSCSIhNxcwkgjlMWABQhGU6aPsg6
6Q/RvXoJQNNZABqdbfxErJDW8pxjjlg8AKCuSWNx3d4dsXTc/6024yK4Cqm5WWpBVEr55TvU3+wB
PEwRTS4gucqpkRIkHerIBA4BvUs0GHGe9Me6CNrtbS5KorWUuRXf1+sQSCLE6SJoHGzLGFVaei1L
iKEh0uPLoJulgOSGR532f6UU7bnmIPtPoTcHnOrs/GOeAbEGpZIJeO+H7+u1/wf5rlg2+jMsYsxB
7rcdImXANuiPxQLAwRg0zWiOpb1YO11IdM31DOwyboAwoyTJyiqw3djm8mvSGMfgbPnkSrdGR2DX
VQNuMf6btiY+okzLL9+CKVrnUTanP7XbeLFZ3XRfe5ti1H2BWSu/OdsuVoFUt9X0zV13XQwfUsPY
PY/ce/TNgMtGUe5y7+un+z2Y/81twA5bJEPx8cv732oDYAjEBzdffuxz/VKjYy/F606S39zbBiyX
cWHSEVV+9w7gjXzABcTyl0/tVF7L9cbbw+DBrNdFwMarN7cB9QEWkWyN/tTO6wPjyHHfue2psWem
Trva5d3H6AePETyLXPKXKrZWoo+T5ib7uP1Y/TR12LKP3m/R98fRzwWgdh6PDFtzenes/d1mg0FI
FKHoD4epfAb2sXiWSLC5ANTO62+7XvpbRHWkKQrPN2eBHf1jjN1uW8M1La//2l1+Mu7NTQxaGPUt
Kuna1hE4wBqkGZZM0NLireHV5+zx7mxz+KVI71Hjh3Jrbr5lgKlGyg/gMced30P/S6KPXuj8Y3n9
rf3tNoBldMQuD0f98h8y2NRN+mECsMP0hlmG/z494cDZ7IANnL997YwfYOQcX57cB8lX2kBArNIf
K+7b2JH8EHFB/tGPqpP4H7jaPzIhkIrUVmH9HFhvT+YHE5Aayd3l5VC7+4+GI0cJwPmjMpNGuMK9
tWyANgJAqyN9TXWN+IAF78gDEGrJ7RDZlqoH/bGYgB4UD4EAeP1OgTTgOylAcnv0zxLyLVn5ZStQ
HGDSXuQGl1ZAbm/USBNIz50TCxq729QxiZlnXYD7++RF0BCUTj5ckDypRu8OWofjy4uPTwaJyYb5
K9o8IO0h3xEYWX5fPytwBe/u2aH/XYwA8FcpdKhUAO0dMuQMhgT0oqZy0HE1BQiE6CkITfKA+mNd
hi0CIvKhGkT/t37h75aAgrrpAQYDU/BDY2zBBNMh5jJETFAFFBHrT/3sYfdSAFL9NM52SIFYL88Z
wEggIlJcFJrbNdKFjZW5N8/WAwfkvxBvxq2YL99paleYYSxLLVk7UxCkJ1fpJ/9N8o/P8rLjZikb
Ap0OoRC4gzuca4DaRcTcWYA1LI2FyH9+wC1DEHsAd1kshbraAz6uQol4kgJcfiwWgAELyAot0dwW
+efpauAJuuKhxLTLkLihLi6NwnlVDepjv1CUVa5+vyyp1FPp6Uo7eABy078q1ab5079Un/7JKD7V
dl/pSymGLf3V+N35yi8vX778rPKPjFetfIfih2+iMFHJYLzQ/5fF8q0u1JSS1sNsniZqEqkyxo50
xHxZ50pF7cOVuY7wRZz8Ek+uA4H0mQ0LesJKQNCkqFqgeMWTZJYUunP946re+8GqXt03s1z2+d+X
911GXX2D+95VM3ARC77Ltkhf5PpdyMtE1m36SRKGM3u/BS7HlfB5+CkaGOMVdCzLlWxPUZIeXHI+
kjBATIPz6Lcs5A4rVqyPvoQMXZ/0YRal4TDopSoN5wU5TV3ySK7UuxDgFAeH0zCJBsa2NlFc644z
i3nSee6qJOr3Q2WwhiyvDELDjH70DZ5K/1WWDsZB5VPIOTKkpkVIHSBYGj92JO726APLt4tx9H8f
hcHIQ/oMCtVbVt5rlP/X0f1HgP1yAApeijRKZ/d6zm5WAt3FTZIZMt7yoVrUveL4MB+8WKFer9Qd
uS74bWJJtcw0dCY6T1Q4KejotfpgLmv9zSAqmD6ua30XJ0OLBZK9ciV7mt0xObSgo1kgtfCuZM/C
vpqZKhofzJ3uD1OLB5LedF3sjzQ+JQUZzQKJg7hS7alsGAWHieqbhltzBzfTmfgisahKpsuV6vIC
lDUHx9MoWbkHxRdzfchP4TwNjtTsuiAlHCcAU/y1skHsSdffn8NpaGjKpnQDuq73Ig4Quj/MA9tm
avnQaycxZIM3IdBK6TzoZf1hhLEfDYwjCdqlD/V8lc36S1vfUP0NpkpJJsCdV4f9LDjP5qqgpA9T
Tt2DeP7l/XHv+P3H41f/FogQhcks6NnngLg+PQ0McGN2lXQ+gJRdLOYxwfqKjou2+/4x7JBwEt2H
BSv1kfWgC5j5margvWUOS+ub66k9ngQ9NbllJI6h2SWr5EoatPo0nKqJIeVSsONK+E08G2aJss+m
O+ELGJyoUWasWJcaui75Ehd1apKVDP56sl/vwKEdmEstMJk7DapjqQH/vd2AqncvBcIMXXAsDdNm
oOzx75c8l5NJbQv4IMavPhIH4wEz9mrFtTHdoHiAS7nhd2oRJ/vFdqx1v4cpjMtXfqJHfTjDNByk
loKibmDluD+T7twy3wi32cfmeRSPsyQ2B2g0duhqcSNKgDAdV0YsdMjNOufPW3BlVFMiIY6M6MVZ
9Zol2b3i2jxvzT/ISTB3jhZawPeb0k1PhxWWx6rv8LxnXOKNjGL7KQw7APRH5s4Qij2QASD2zmZf
ABW4QZ5kMCMzyhJEemL2mSvCExi4yCgIRmx6eNB5OI9v4lRNTd5VqWNLpl7wVudqNE7CfrFs0YjM
L+jIP2B8Uv0nmM4rB+MFD3oIhAUXYToOE3EQjMub4TMknqjmoCJbsAEPWrvFqiqM0XzXqi6I3ycq
luuLp1wbJV79I1wLE2IRpuCtqIHSGz3x7BzOMC0Tw/TZGPHcHJfTStFca8ODNXwUTkZRNi2ET5vv
607AE3lwFM9hrA7KvwmT+3AU30YzgyV6vjL6L11UCPxTnxJOlBWsXL0sn7+BjEUbES83liuzlELH
5b4KZ1OVGNENH2GItwlssJJ0HgTueM4wSJMJgi3nyoTufTgYW2Q98PZ1tJK5EihY19W+VkkcVkVG
pA7TmTiR64HhOcv4cFeqJ1GfZJIVtzzwsHMnIEPN5uGiWKLois0u3WbNdhImhNFMsj74QDbT5O7m
xNPmxXaTGEApQzXo6dOuuwY+NTrHYAJVmAWrX64i3w5WlAPlnR7opmpirlZKUVy58C5MLAHTo9mc
yRJIPVcLMwSshwq5Uj5T6a0lDTLkz5lslI4z2zTRwztcKfcm8a26tpe8zvh84l18FqHX03BG9NVK
Su55UO9n2adw2o+zZFQwV7RPQ3oiXTkCVOgQnhSENF09pcrxtj+PZ8oqemh5OCLnotuNxbY97N4j
bgpojcWjXq6CCBXcKVNX+LiaLyU/MiyWp7fNR6LiksBGNlJm7tdHEcz7mFvOPHj0mBbrfzl75USH
NmEfNWA9rTWTaGZU7tBB7GHNN1blAl6wB6q3CocuMWSiKQMDXFVE7y4cmpeHHqLmTjZK7/PgQLFG
EWPaE4u/vlwqPlxLcYhhXBK48UA3r4RimvtoGJtuoyDouLLkI8bVALljxryhMZjz504cjcwFFY4S
U6B9eDW9MLGT+R0P3Kb8MgziXzBejOw14xV8VHjkMdxzNQiHtqfXkMYPd44zHim+NbgN+AbzFD0Y
tp//Q9R/lWvW2QO5UQrXG8xQ32kC6bHxcV8vtCZ5iG8xsDailNEwUzzcGoezEXd+IZWiKjdu7GaH
7ihO53fkKstkGz7ocicbh7bp4TwdZUk2G0blte56INsdK+PS9HFRvA9vsv4kGoj6IgQedAFaNjQB
k9Wdr4tX4TQeUIzEYzY/z4MEdqm6T2Kzem1tvuWJzlM3nsZJPC8YIqItnV2ut+lDYbFOf84eeFRQ
1s/x4J111U0YfAyToWFvSFOV6xu8+jXC60sNiRdEVle6x6PFTVqQETa0PSz2+DfqP5gTRSk3cy5m
oaFTBO7eedVJlCYmWR9WxnE6juIbU13LHCXX5V5x7E/U1DKMpKnelfKJ6puHcHMTyuab4GRsXQOb
7YYnEF0RBKru3RnQ/fzfaRgM//D2No4S49SB7uRO/jScLQzprShCyL5klZ+o5c6ivm0VNHw4DWfk
kNOxcblgZLpzgfVaXBC0UVfZPadzZ6Tm1F0VtET/NHxcI8Q44zQ1xcGL40RJ252hgxuCw+/OiYlF
1IMSPuciHdhxNw9H4lxlaF87gtPwcRmdx/eiJeldKniqJaLtQdguIgxxg6oPxa6pmvdFo9MqHvPy
oEV+a24xm2qusoKc5sVqec7z1c97zHyzaa4pk7lcpbgXLgbjcDKxGsN2POzesmBppXiNHiof6yYU
YsY5mz4yQz3px1PBWRhb4SeBWnVmNkFUq9216aPfp5dZLTSU5Liv9io2XZ6mQDY7s+Dz3+KAaUGf
/67LKy6Tz/81G0RmgV9Tps+6PoimgMiqASOY4oGumt3bepRpFO6EP4xWDriPZBxO9zXFK8FrNTds
jKaPxBZ93JFlIDe9VLkT1KCENyq4KlqUgYTFX1+uo39eMeibPhJQP0fTvurfGTdg00cLV65DV8+3
j8zWUZQEV1hGRrKIQk93Lh/2F6GxdwwqIJ7JkDZqPGlhoeZg44H5ekFNXQX9DUY1K0u+W5sbzL/e
TjB1+pvEvfhlhLNOP5yZF/Fw6R2SkOur6FeTsAfb9jChBdG0mT14O3RLjiZqGM7Hhc7Rit4DI84X
SqoVDbI+FjzO7E3zYFIcERY39aWMyXU1gIj29uOhuWc+DIpeEgVntLkaERYfgRDwCsxEhg8Lhd6z
UXAq/9M7fF8wVTtlPryntxRLz0LLzGzIrEfX3YOyuXXAnLlTfaduTNXAiDB3qqeLZLS4t9UZ9707
6TzJexpbcWPGWrnTzm2rCtoejvQpiBHX41WWeDjXZ8pMtZAnducFaXQVrxwRGVjhKsiULZD3tGTZ
h49AKdkwujXjFuDielgx8cKFfaZ9ZFguwhszYtHoeNi6S1pgKZOtqiVo7Huhf71iqjCDwZ3Pl4Cm
RTc3pJrmBTF9/a/tYXpisL5HhY+6QW0YlBsepONqrCK7dK/Z9HCur9Sv0SqncZyKV3i513ulIqKH
BZ3cxvKxYkILYhbaaq7pQyN9uO+HFezwUTP7MQpT2rsNfvhQdT+AcBHfBm9T6hxugu+DY9KpcZot
T2b5cUynFTB0V926fOBpNlPzMd7890Hxx6jqocyO8GBD9G4oWZgsqvQNuOQ+bJ/zaDikcuxYzdOC
RyKzObrV40xDizypO3TJtd44uqZ1cwbXHv5YARjI6LyOj/Ae15VaKDYoiSb/++9/nV/L306SBfk0
VvCGlPBUFbtm6EM6h9u7PhKCVxFlGlukG80cG8hmjMzwIRghTsF1Ie7z719FKl7gL0XBj5T9KCP6
CEA1s4s9PPRVfD2MYeCVusaNjEzMBmbl7AGMUAjRyxXoqcqiJDJ63xhossMoKg+24qXamkRbA9rK
tubzrFhs7qPoZ3iIyFENPaqg7EEHnambdGyZNTlrNl5cXy+w9IAd6BrmK7+CiBeYrOUfHUsXRoF0
YTyr+Kb44Tpky8Mk6xvetgezHACICOAUnYQ5UkmfDFJZPjx4hdQ7ZtHErHj0YYDJaoG/MXSkj2pf
qfcBlRDYF4O0Dwe5qxZ0T1TdmD7Mma4lHT6KG17FU9IvJpqnD+OhoFtdzefDewMG1kaX9dFYAzjS
EHDWzMxU+kjsvwGn0EiWaGR4V9PwHXJs7Z8GXXele64SSczZ1R4+6j2lwWEu2XfD6mv4QNC7pPk3
jQWQy7BC9Bh2V47kOL6nUQrOndT0X4S3kalBfJj6+VPOsoEZSWl60Xx0SUVDNdTLv4r7wLQYd4EP
sIMrfMWcP13kMp5XKUPmNxbPfbmpljPqY0RvOvDKsiFSv51rhZVQg4+KuCMKq6L5OPgYJaOoUskD
3ef+Xh96a5/g4cI+ouXTKsdkwrz7yrug8RBdLAjp8IMP07+nTKuo2fFgjBM4SoPjjJBGGmXmMfZR
I5ZLJyZMOv7890k4XZS5omfCOKsjeYFzxRPMnj+y7z5imPkL5LdA8N1rjQHxx/JLyFgyDw7L5/8k
AjAMAScNLtStms9DnLz8T2qpO4LvXkXzm0ygzRX5geBD73DrzeHbq7fGeoDKbB/wbwtkPIaCNfc3
FxdVWfBr7HqPiP8M9l2Bwyo8hK7MmFj6GFRuf5GTDXMfym+z2UUp//Zx2Xvx+JY5YJnre63hwdea
Z5GMZFfMJKaPgNgRCRQLqMFHB+VRou7N6h8fFX4ip0bY3UfsqhtPYrsVw0fI9niAXW9Cqcqc0i+H
62UDSF7jhDBRgIpgqynDR93WazW5frR71IMFdZJRPGFEA/TwXlee9Ih8EnU3RKPhA4hIEmCEMoyr
VM/ZdF3xZZiY4TgffTofksxebNPHCflIb/g980OMjdMDF9ezoUrh/06XXQXC5Dd4KeRjUYD0VtPY
2Bwf5epHoE/ZoTsPzkZP1G1c6cz4qOo4irPbMF2acYW2Fb/AR/FpNxb38rvTEGTv2eiPVY6mD7dP
V6YIVDu2sGj5quf4AOLpxnExyMpwR3yg8bxTCbGKin3wUbr8Ovo1Ku+tj1qH1yCZyPSGYpiRRpeI
BslqEdbauUBPTBQub3GgehYrRV5r5xo9kf4ROaukgvv7uwXfXh4GWa5d1ziJlEog5AH0Wer3hoY0
yVjq9ffEU5pFzZz6KmBw9uymyzchiDhLFul3OB+8IkwxKX5mvARAr+5v8Sa+KxlXBb08G+chXVZE
i3R93yzQwMvBFVHPiGIB04TxAVX0Lh6DaYYmP0zjiVHo3/BRsyJAOpLZeB+Gvxis8uFInJJy7ROG
MQl7OBvdcULNCnmeirPX8AGVeqkm0wVdZKtM9zFwLe/ltKJTDR/dMRfhHVPQJhWAOj5Qhi4iq0XU
R/f/RzUDtsA0033EAS9omDWp+rhRhME/h1SCWNBvPjT+ZZQOiN9WGm0Anhen6OVXyqW6IWEsr7CK
D9HwUwgxsRtnPSh07LM5BQrVBZKr8w6ef0flIdE34YTE4z8Hh3MSD/MIlStX7pVoGhQkRT7dbDY2
7H9w6N035Sq+xuczJLXpw0S/omzXXK2PkuurDJA7a7EeJPMnthc7Vhj+Okuphiv4qnMNPvLhP2Gq
VdwWTR9W+Ipj2PRRskQRHbiVyzUbZhJdVV7aNaR4V9KqhcYpM71FFqDTYUgAo6epYdprbcbM/IqB
iIrZEK6BiPLbbI6658a1jvAfL4PuxQLWFQadhDE5R0PafVR8v8/mVvk787OL3X35/XH1+X9oRV6E
BSV9ODebW2VOfmFO1U99zxuqmq5RbMu3k42pGuZRs7fcsNnLorvBBGfxT/8HAAD//w==</cx:binary>
              </cx:geoCache>
            </cx:geography>
          </cx:layoutPr>
          <cx:valueColors>
            <cx:minColor>
              <a:schemeClr val="bg1">
                <a:lumMod val="95000"/>
              </a:schemeClr>
            </cx:minColor>
            <cx:midColor>
              <a:srgbClr val="196BFF"/>
            </cx:midColor>
            <cx:maxColor>
              <a:schemeClr val="tx1">
                <a:lumMod val="50000"/>
                <a:lumOff val="50000"/>
              </a:schemeClr>
            </cx:maxColor>
          </cx:valueColors>
        </cx:series>
      </cx:plotAreaRegion>
    </cx:plotArea>
    <cx:legend pos="b" align="ctr" overlay="0">
      <cx:txPr>
        <a:bodyPr spcFirstLastPara="1" vertOverflow="ellipsis" horzOverflow="overflow" wrap="square" lIns="0" tIns="0" rIns="0" bIns="0" anchor="ctr" anchorCtr="1"/>
        <a:lstStyle/>
        <a:p>
          <a:pPr algn="ctr" rtl="0">
            <a:defRPr sz="1200" b="1">
              <a:latin typeface="Montserrat" pitchFamily="2" charset="0"/>
              <a:ea typeface="Montserrat" pitchFamily="2" charset="0"/>
              <a:cs typeface="Montserrat" pitchFamily="2" charset="0"/>
            </a:defRPr>
          </a:pPr>
          <a:endParaRPr lang="en-US" sz="1200" b="1" i="0" u="none" strike="noStrike" baseline="0">
            <a:solidFill>
              <a:sysClr val="windowText" lastClr="000000">
                <a:lumMod val="65000"/>
                <a:lumOff val="35000"/>
              </a:sysClr>
            </a:solidFill>
            <a:latin typeface="Montserrat" pitchFamily="2" charset="0"/>
          </a:endParaRPr>
        </a:p>
      </cx:txPr>
    </cx:legend>
  </cx:chart>
  <cx:spPr>
    <a:solidFill>
      <a:schemeClr val="bg1"/>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_xlchart.v1.13</cx:f>
      </cx:numDim>
    </cx:data>
  </cx:chartData>
  <cx:chart>
    <cx:plotArea>
      <cx:plotAreaRegion>
        <cx:series layoutId="treemap" uniqueId="{12EDC0AC-32B2-4A7F-A1B6-DCB86A3E69A3}">
          <cx:spPr>
            <a:solidFill>
              <a:srgbClr val="57A5DF"/>
            </a:solidFill>
          </cx:spPr>
          <cx:dataLabels>
            <cx:txPr>
              <a:bodyPr spcFirstLastPara="1" vertOverflow="ellipsis" horzOverflow="overflow" wrap="square" lIns="0" tIns="0" rIns="0" bIns="0" anchor="ctr" anchorCtr="1"/>
              <a:lstStyle/>
              <a:p>
                <a:pPr algn="ctr" rtl="0">
                  <a:defRPr sz="1400" b="1"/>
                </a:pPr>
                <a:endParaRPr lang="en-US" sz="1400" b="1" i="0" u="none" strike="noStrike" baseline="0">
                  <a:solidFill>
                    <a:sysClr val="window" lastClr="FFFFFF"/>
                  </a:solidFill>
                  <a:latin typeface="Aptos Narrow" panose="02110004020202020204"/>
                </a:endParaRPr>
              </a:p>
            </cx:txPr>
            <cx:visibility seriesName="0" categoryName="1" value="1"/>
            <cx:separator>
</cx:separator>
          </cx:dataLabels>
          <cx:dataId val="0"/>
          <cx:layoutPr/>
        </cx:series>
      </cx:plotAreaRegion>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_xlchart.v5.16</cx:f>
        <cx:nf>_xlchart.v5.15</cx:nf>
      </cx:strDim>
      <cx:numDim type="colorVal">
        <cx:f>_xlchart.v5.17</cx:f>
        <cx:nf>_xlchart.v5.14</cx:nf>
      </cx:numDim>
    </cx:data>
  </cx:chartData>
  <cx:chart>
    <cx:plotArea>
      <cx:plotAreaRegion>
        <cx:plotSurface>
          <cx:spPr>
            <a:solidFill>
              <a:schemeClr val="bg1"/>
            </a:solidFill>
            <a:ln>
              <a:solidFill>
                <a:schemeClr val="bg1">
                  <a:alpha val="99000"/>
                </a:schemeClr>
              </a:solidFill>
            </a:ln>
          </cx:spPr>
        </cx:plotSurface>
        <cx:series layoutId="regionMap" uniqueId="{B0A26ACB-5816-4C08-8219-38D466E2181E}" formatIdx="0">
          <cx:tx>
            <cx:txData>
              <cx:f/>
              <cx:v>Rate (%)</cx:v>
            </cx:txData>
          </cx:tx>
          <cx:spPr>
            <a:solidFill>
              <a:schemeClr val="bg1"/>
            </a:solidFill>
            <a:ln w="19050">
              <a:solidFill>
                <a:schemeClr val="bg1">
                  <a:lumMod val="75000"/>
                </a:schemeClr>
              </a:solidFill>
            </a:ln>
          </cx:spPr>
          <cx:dataId val="0"/>
          <cx:layoutPr>
            <cx:regionLabelLayout val="none"/>
            <cx:geography projectionType="miller" viewedRegionType="dataOnly" cultureLanguage="es-ES" cultureRegion="PE" attribution="Con tecnología de Bing">
              <cx:geoCache provider="{E9337A44-BEBE-4D9F-B70C-5C5E7DAFC167}">
                <cx:binary>7H3JcuNGuu6rKGpx4tyIAxmJBJCJvu0TYXCAhhpUo93eIFQqGfM8423Oshe9uruz9YvdD6Iok0mI
EG12qBaSo9vdBME/85+n/PPvN+3fbsLb6/ykjcK4+NtN++MrtyzTv/3wQ3Hj3kbXxWnk3eRJkfxW
nt4k0Q/Jb795N7c/fMuvGy92flBkov5w417n5W376r//jl9zbpPXyc116SXx++o27z7cFlVYFnue
jT46uUmquBxed/BLP776KXdu49KLr1+dDP8uu09devvjq61vvTr5QfytHbgnIZZWVt/wrkTVU8PQ
VYMT2bj7Y69OwiR21s91PNeZwjWiy3d/dA387XWEH3jSmu5WdP3tW35bFCf3/956dWsLW0+8Ipmt
sDBLhgX/9OFuhz9sY/m//y58gD0Ln2wQQkTQ1CORDuZ1/vX6W1KsMfHXyUDoKdFkmdIVjmWZbFNB
M041RZOpItMVlYw17BUVnrKicSL88aZAgz8eiCQwze+ABEno1d4xBYGwU1nTuW5o94IAFIuCYBBF
0RUB9dMreQTz6xdFxK8/38H7u+fH++KmAufnaxT8dc6XyCmlBtN1g9/zvsD6zDilOh4birL6Ap6v
tN+K9Z+wonH8P7wo4P/hcxH/i9nz439WfT0i0yv0VCaUUPURtcPlU04Vzh6Mg76N+6nVjCN+9ZaA
9dWHIspnn78DlLteeLve9xEYnpJTphNKmcIedPmmomGQCMIZI1TE9tRCHkH36jUR36tPdxD++vkR
bubXvRceEeNEho4Z/mTo7k1Ua/R0pVTYvXMj6vb8uti/knGUYwd37wk4X38sIt388PxInyeRF3s3
1/HJh9u0+hp6N8cjADFOZYOpsqIJziUDYWSFy1S+10CCbsdSfv/fYS3XJw/r26v+xsnxyM8I1Hnk
WyKx5t+BFZ4lYRJ9Pab7o4JChkF0A+79poQw5dSQOYeJuDfPok56wkrGifLHHgQ6/PFARP3su0B9
UV6ffABLHk8+jFODcQMh2NogAMmbRODqKTE0oikQlbs/QU3Nkqes6TEy/PHuDiH+eLRDiu9AZX2E
sprlXlH+/v++Xocn3clb77a+PWZUxk6JyjnCgj9cz0266MqpxjXGEB6P0uVPLHCcSI/+kECxR78n
ku/y7fNbHKu6LpFcCY8oSEQ7RfxmyLqubkuQAUOjMZnJBln5XHwtvasg4klrGafNxqsCNTaeiPi3
Pn0P+O+uj5lKUk+5SoBhfR0/C8Ze46e6SnRurJMcMDWbgZxVTa3nMQKs3tvB/urjHdT/4/lR/4ir
cayk3ou/JWRe7xhnPCk7+khM+J0l8bcKPv2aYf96FEggLYpCYVlgyzdtCtdPNYMZyAXiP8MfpGhT
Sp6ylHE5+eNNQVL+eCDKytl3YCbe3LbeTbJGwl/HPHIeBqWaQfh9KhWmYJMARIZVhxYb/llDXRmJ
N7//c2op45h/eFFA/MPnIt7f/PL8Ours2it//9caA38d71BKZMC4thMEKne22aD83nBoa6ArtE8v
ZBzr6/cEpK8/FnF+9h2Y5CsY5Oj3/1nv/68jnZ9qxGCIu+8zTYbA7EjwIbrTNBXIv/sTcP+EBY0j
/+FFAfsPn4vov/rp+Vn+y21821e3x/RI+SlqOZyRdXXNEJwiXT8dniEHe08hwTF90pLGSbDxqkCE
jSciGb4snp8MdzxyxKjgRQjuC9B3fCK6QaKvc3WbV8dTQJJ+ipIabClf1xiEyIxpp7KKKFrRtZUE
4Pmmv4Pl/P6/64/GFOI489+/JjD+/aci0199F0yfXzvVdbdvqweW9uHpUAK0UkRld39k29NBQDYk
/IB9wdG5up5eyyNof3hTxPzDgx3kfwfx2CI8+Xgd1setbKKmz6gylC4Fnc85ZAJGWSf3LC+4+E9c
zTgFtl4WiLD1TKTDxy/Pr/nPi/C6OPlU5Tf4V3cyu4bnf8SgS0HlTSFM1VVRCZFTTVMYl4cmjOFP
UEIHr2ucNo/8jEClR74l0uvT7Pnp9fn04+nJFy93vPhkWHb87YjUIvyUKgwNF/raN9pWX0NnEvQX
0Thy53d/a925ihtWePzy+7+Grqnb4uQ/F4uTz5//z/pLT7clj/7QKOFGAIqk+3L+/KT7CQ1ksDcn
/3Edpf/3ZGj2qb4d0ecaumkga2imuZcowfboBPkPSmSV31de8XzT7K+X1z1laePSNvITAsFGviGS
6ifr+Um1zG/jG/fEqrwj52uHJBPnCvyzuz8hNtRQ+hv+dHIvX4KZQnp7yLCeLPPr+Oa22Ms84xTa
/QWBQLtfEOljLZ+fPp/zCpJ0TM+NKqecaZqGsHBb52n6qYx2Uw0F8zvaDPH8ptg8YSnjpHh4UaDA
w+ci4j9/B26beYvWgNs1BsYU+mEeM5QWMThVCR13mOG4ob4xuHTjjtv0esaRv35PwP36YxH15q/P
z/Mfqxx9yNERkY8aNxCPHpG1NUdQspmXHVgfTVGokd+X8Iw14Vfm/n5F6w/HuGEc+w8vCuh/+FzE
/8fvoPb9U37URkAy5LzRcLYuZIv9xzpaFGAHVG0dxYvmemo546i/34WA+PtPRbT/9PPzsz1Ck6C4
95lW0cnx/d6XKOXI1bu3aNa5S2js0w0HWgoYaFWlGtXXmfVtZcWR1aJDz86GMtu0009a0rjMbLwq
yM3GE1F23n4HEcfsuovQsXP8OBEN4gpRNULuK6ZCqMHJqaIYChrY7n0mbc0Hm3EipBmVl3j96Onm
YxUdPrwu0ER4KtLl8jvwoiyEF9dHjf0UVPp0mTKurJxUWOpNS47YTzfQ8amsW/6FdjYLAcXEgsZF
4+FFgQgPn4vot+bPb1Le4NwYOm+z6oi+FLoLdAIvVjHA61uol2HHFRmZrrViWjP8ShbuF7O/uXEc
+RuvCujfeCIS4M375yfAUBD21mgYk/sDTcNLnXvn/ONOjQmHIstk6KI9YmMH8oVI7lKu46Dc3Z9g
B1BqhYOrDOddHp5v2uSrpy1qnPu3Xhb4f+uZKAFX30Ew8fHai8sh0Va6v/8zvI26I0oDO+U4P6pz
bZ1lEhQSHClFQzit34fcSHhsEmXoaB0WNrSZ//7P9bMxKR2ni/i+QBrxsUgd8zs4DvOxPD259Mpy
HXe8va29Y6bZX5qc/41HhZHB/HYdVukxjbt+qmgK8raCJKGGheOrHDpupd5Er+opKxkXoo1NCPKz
8UQUHevq+U37JySpvG/X305QmTr5lHy9do5pb+RTlBLhybJH7A1BbxXyJUwRyusPq+qesKZxioz8
hECZkW+IFPr06fkpdHEdoch7vU+xH+h+wQtA8IG/+xytEHwwBi8ABUVQZhWcCKXeJyxonCQPLwqE
ePhcRP/Fm+dH/5Bi7o+pm14y6Bj0cccgU31WYlXZzNFv+z8xhOGYxp2fqgq4XV1Lg1DjQw1dp2hP
lFFVuvtDvLjpfv3JRY5LyN4fE6Rm73dFSfryHRRpBy/tdXVzzDOZaCCCb4wSufqIgUEwD9uD6Qj3
FRGhQAvnFkcVsajf/7VXwY5Ta/ttgTzbD0V6vJ49v2Yb6PHFQ2Eakc2qx2GV5/LQCrLm8bEw4kBr
gwPkSLIwddcZg0ApTFMfJQ1WNyzuFn1OQ9PTKkeFmtre1T1Kqj2/tku6PV8WSfnlOyDlShc8ZFhX
+ukItHvJGz82qepJBuyTe4vQ3IUDt5dlDxMoRT1ljOqaasAv28xcsqGTHk4dqvMrSyUou9eQoSes
ZlyAtl4W5GXrmSge5sfn13RDDHYbJi8x5nrk2s7or3/vMDD4bV7hQqf+29ogX1y4NWn/rZScPGpw
mCp7OfrwxEjooTx3NMv+UoBcTZx8kh0fcuB/xhc9TBoQzLx4ypji+W/VYOsBU8cSJOllctauiywW
Mx/6BI+F9ZdOyEPOK4408R+LEC+HGP4YXjxqSg6wMg+zDo5FnJc5Dk/LM2+n6o6F/ZfcpJjfP0AW
RmpzR6PLS1HykajjAPogo/Lkk02HecEYs/hy5mqYhf+Xzcmqa/KoleOXpsm7awpGSbPj9D65L+sw
AYHL9dIvtn23waG3E2wlrI9lV17y8ps3eTxJRMQS9hPOnx8oKy8H5Pd27j1+AQiSMCsZm1+X14u7
q1Q2pGz/00devW+bGC1LroTw/NuPrzS0gj3czzIA3+q22Bynv/727XVR4poWhqQAhrnomJEmc9wC
QlBwbm7vHmE6MA4aKUNPoIzB8oyg4ylO0Mv74yvESArThwPeRMHnmDj/6qRIquERxrHh5LeqGDjC
JKPeRh9urrlKws65S1StcHT//0/iKrpK0Chc/PgKtbl09a27ZWoyfokPpTli4Mw/HU4PpjfXH3A5
Dr5M/ivJyjIoyrK2ioJ3y5wSZ+65Sj/fQMYIFPSi7EAxqKJS/JeMfaKXZRNKKiUsbfSwtqS0pmab
JcFMIa4/9yRqLP4aKKB0E5TvG43MSFRbuDnnRiuJMbe5rc6cPJAv9kMafklAnUYx/whFTaYZKG5u
Q+K8CdVQUSorSSRnThJNeh3VTZGZQemmVm0YqRUVcrHElJ/iH42RU7R6PHDYCFJHSKfhoMiAVUYU
Qx6QvkE6ouS2EUpNZemVopuyZPgms2lyOOk0FcM8cCQOk56YLkApUrcgdpBVFkkl6ZL21DlXu4zN
KUnCCVBjG9oEBYnb2lATcamX48oKCsqXvl+5C9s1qHkw2jCXBMyoUx3dVUzgxZhWqcOZXVqKbBvv
QrVkHxVDj1fdFIfIFZDFFBVTmgxZGYR+cy8VazwvTNXSSnmpXnZJa7/vjKKdgDKsVWBBHUOsMZhR
YXcF9m0oSanwJmmU0nKUOD/PiFqaaSbz87AM2YVjcDarmGvMI092JiCP0EpHi5OOkcGyil0KekP2
JRaVcVlaVdVVMylR00Xj6d3Bwox5qgpU59D2CR4UOIL1cuJlkZJasU1w2VSbSa9J6+kzkvX5auL8
owQb+HgblTieDmWosqHrziDQt5sEsw2tk4u0Ta2MROyiVyp2HiV6/jZjWnx+KAcyg6H5C/ZAVTXG
BZGqa6lK01xKrAja3TRwuP6NlzjB2X4oYxvahCLgroxrV+0jL7UYldk8LvJolkiKv5R6RTqYGbY3
JOCOZm2nllEIUGVBzxI10C5bJ5pC2+iGyDDSneFGIajebQp5kd9FmeMASu90Z5qrNKYhad7clyNv
QhNNgRJwp1c0S5PeSKzUj7jl2hUz3UYi86Koy4PVEXC3sSsBd7XtlnbhgBnsjvFz5mi9pXvK7X5e
GNYrMjfuKcB8dZy0hbAKpgqDLu3Olnli+YWWW04ZaWeeXEZLj0c30IbhBOvtKgfsCc6EohNdHVTt
NqVcR+r9krPECpknLaXSjWeBxIIJIu1CweRTjD/F5QqaivnlAj9ktcTiKGKxFbjll6qtg0VqqM1y
P+Z2OIES3J+nU5yDghziyoDtrSSlr3h2KYdWyet6phO3/EbdMlvaaa5Hh7LCHSxcJoF5ZhzIE2xG
z9LA9yhgZW6o/GI7dm0WatcGE2DuVNkWNwCOIgNjcDzRQzz0a22qugRn3yM3LkNL5oH7VtIN73Xc
Fc2iCbTodZ/H1Tuiu+0biTbZ6ywMlHeBwbWfqyru/RmReGIW1O3fsEpy4XC0/iUsQPExpl16uR/3
O1w7rBNtmDA0oLLB6PY6baXyNHTwhBaG+Bi/5qWtvSV6klmSo7K57Nf6oWoM5/6HcZdACoQENN+G
pypeHRcOCy2FSF86uaHzUGbtoVwLILgiahhTrWIOARNEMehjWwvkLLQCO8yXLMrqha3V1QTqlOFn
BBoPJhMtyGSY5jUcOdqkcZhVVJYqKbAKkOk6DV3azXWJxooZqzw108JP61na5PIs7qP2F0pdw8o0
Xf4E06SYrlKkHzlxlNcNfL3XEQUizEyqm8CM6qJfEF1Jlk2akMSU2zp9v5/uO4JNFdyXojGi6jhr
jonf22tXaNcnsIqBFYQdN6OqTM5yqeMTkr3jOwEKhjwaqg7fGR68IAWSY8gVz6rAsvPU/keX+mSW
NJ2z7Grdu8zrPH9tN90t693y4/7tkV2dMsyPxyEW0AZTPEU+oymLJa6XvsVc12/NtvXpR63vtOsk
zTtv1lSM1SbXafu+8+UgmWdplwWztAic/nXKDYidXRbGr0HLs18dV+/aWaAVsuNO6Ild8UNsAf9O
xdwkmChxmZUWkaZ1vMDq9ZDOm9D/VXNjasZl1M26nlYT4HbCKdADAwHl4U4pojPR1wsNJzFyufet
oLLpjBtJ8Bo6qjCDxI8kUy8929KDVP3VlzzynktMPtRoAT64QTPQwSrrZOgL35QYV8n9rnAr32pt
PVmUbqnPFBVMOEH84We2BRNcpzIGd5Zx0F6IT2Mv0RsvD30r8/M8NkOZdKZeR+2HomjVC+bl9KLr
iPu5d117lvSOet5kta3O67hszzFMwzh82xR4l5GIGI5WcUEMvKQnJEl1zyoiOYAESA0u7qmmeGlE
pO8ucdOQsEC8IPJS3ndtX4WaZ1Wu1C4cJUoXxK/8CRaagjKI/GZE7NldlcJmWE3HokUAo24qcSBN
KI4x+YX4ciRMFMxiwJG1bTB2oma86lTX6uroHY9l+tH1nDwyNVfLQtNlWVXM0qxTdTOVdO9TmMjV
TE2UxF1yX5fPPUNPYvxPQ/mmQLJ+S1vm8fl+NhvDhIbTJ0PySKWqKiyxTDyJODZ3Lb9qurOo5/2V
GlJ/sR/KiCKjmC0FVlYxgxXqehsRQdYTx/d6z/KCqLnQjCwzJQNRO9z3eoK0g+0VxcZQOCauy5g9
ouxIZxMWSsBL10KK5bfWZ+8KT/XNsGSf09Re+lz5un9rZAhgtwFSBVoPM5hxKFHFjR/be3M5qfu8
jV1LKrPAiiqvc0zPdsp5hjj+HSF9Y0m5Xl62vpyYvebEyzSh7hVIqf28fym7ehjXH0JwFFmnKjrs
Bbck6Wnp+rXnWgoc3iUzouBMI1VntZ7hvNarTJ3QCLtU3YYnSpGSyJ0RAF5ah/0nnftk7vK2NKmn
RxOgprYmKEOiFrWc2QAld3Gw1JOUfvOCoJ2pst6auqHQCdHdtTGIRgYHD1MNNHh5w9Y3FIQPh6c0
5MS1qGuTsyyQ1dD0mOe4M7uryRspzoNZw9J4btsl/0fo2+S3/bQcYytgF1eTwdZwXaPCjl0aSFlB
wMdOpmTv86ZKvjBkuWeVbdPLBlhfZCwKrbBTgwvDyexFxV0jMNP6fP9CxohMZY7rSu+SVCIm3DZh
hhPmrtU2RDJziN2sqqvcdPRQntBFo6BUpA/lIVuKM2/bSLfbOidO4rhWnmvBrO+8wAy6js9CJe0m
tMQYP+FmHhX+FeQFxnAbVJn4La9C5liZ7LoX1G2bRZRr9sLvPMns3NCf4KddNQvvFJEUZhlDNXHR
hwzqXDIyjzpW0LvJZZzX5DeZxfFEampX9wEKfAakmqH4YKm3d5W1floWmexYcmLXP6ehpJiVQ8lS
YbU7axGczdPcn8r7jm6NI/LFjI/BTRa0gIOEI/zN2LFCKqcf+6Rq3ruENhMK4C4PKqjZ4cw3TLGK
gcLITmzvTZJ424aS71h9qEbvgz7obhyohYvOp/ZbpcnYRdExd6HGSor0lR/P6pi1V5glE5ksifsJ
/hmGtIpaH1MYVFWBfGoqUwVd62Y9FIgfAdXUSN4F8OC+xG4vwYIW2czwA/pB5rGWm1pHs9vEJ3Qh
R516Fti+/yZVHOecxoE7ZfvGSIE4HfE60VFCElOTkUwayZMyx8pTg97KclzPIr1uwqnN78aMFNKp
DSNScWUlYG3TomtoV+il61gVSlNfEyU1FmGep5dG1GuXaaUn552Ru+eGU0iLNErT933btVOe4l0u
aocjuII7nlAtY7IiRP3gBaOymSQtaef3v8RNrs78JK7mpRsWs6wqOfLARjAve99/23ssNiPPSH7Z
rx1HMI68A0ahUQPVMVUTJK5mUFmpyqVlJLPgvYR7JhfcCPIJ5h/RVqjiQbWiIIZYUBNcDIgdc/W4
kZZOX36RyrZ447nRMs60FvrLmIg6x4BRgsCcyjCBlAkJe+qltA/qUlq2flAtEZeyBey7dqWFMb+E
1g8+HI5ClD6QM2M4BA3ltc1MruFzrQorbI4a/bwhQTOTPBasJis8mrUfIxR0I2gEHA5GdRtKFTdw
nKpcWrIqCc1U9+EL2u1UzmZYq8CSmBiJIizmB+tQh4JgOGGXV2WPQMIve/VNmTblZVZ2hlUXifqV
0cY+KzivLTu12YSBGVH9W5AFqqHG4vZ5hv3VueZfOR2PFkYxaB3ZKWZVkjWXeVJ4hyN1qChhGpdK
Ef6L2/V8WhY+ctJL4katJdfQ+r7UFNZ+BhlxC8CMBhKRdLjBwRC43wt00mh5ayxJpIezNu+dmZYY
ipl4xJ8dDgp2jMDMyCh0G4JbUNs5CRs3N5auW/PPzG2NC5/6xWsuu918P6ihZC/yCnzLYXg+1DUC
FsGCKGUi530eGks9p+2y1RM3WhDbT8zYa+UbSpp42fuy9033edjPWq12bhK1Im+VXg4spgf1vIPh
vSoqKjkm6VlOzBTacFbUffrGjTU+76qqWQ2/elSM7pIrAofDGyXDdWMI5zCSc1uOZEQ2NrM9Y6kF
YfpWDZvCtnpCc+6ZPKqiCAxQuZ2JvGb3wQt7tTYN2fVuAikJPiiBZl+5HVM8syRyn5sh6J6auprQ
eNY1TuVc7cfxCOfgXuthqDFuaeEoNGwvtkoCxzdQ5lxWcp5Xc6ZInQvnIDHe2jzSF38CGOqCSIIN
VQZNkP0sMCpdIhVfSnVMFkZqeGbXSOGC5flUYn50XxugBGGXG8PR87LlS1547TsYpuJcUdrmTdb2
9gTBp0AJwtfVjW2zpORLN+DFpzjI5TOGks3rzK0acz8CR1Q07qmTgTzoaDgOw/ONmEtC2qduu5wv
S63sZ5LL+4XRsCnPbRwKgysOi2OgL2IbSgjwnZ+DTMjhV6YRF5KZunE0oUjGhBvXXqDkBMXFcVnx
NpSAa73chhlf0jrLvmRthvq3LamvdaRhTaQp7cqUck+byZUeVaauF8GEPRjd5sYChG02LCS2Khfg
xhxJUbQEdKbdNdrENkehYGA7JsEie4QLBre32fdGQLwgBSMSj1j4fy4wGjkT7s84FCRcMbuco71E
4EHe+Z1dRzFfIlX+m9tmzpLEWT1RCBlldETaQx1EhUcp6gpkcRBwQldgjKv61nWl8Esjcc0qUnsq
5zYFatjvBqMnecRzR4dMZUEZXQ7Xe1ml2vQzv02j+X6ZGgOFboXBeiJ2ws3M26AUvXaH1h++rGUn
OetKv7hou9ibG03JFvtBjVHJgC8+VHSJTGQBlF91mVE74LheVwIzq7gz73wpmoAy8K1of1CJYdrd
GFAkLrc3ZMdFGcS1DzI1tXaRdZ53EaJn7UzVCTU9heeXdeymP+/f2ihQuPhAINqAkF/bBlpXRIrr
QGdLv27SxVAHWxi22lwmZdm/Q964/LUKqDeheQcVsbNTfUjjabBhhuj2pLnBat6B61M/0N9GTUOX
CpfShRZW7A1zaXi4xoALN+T3jWHk0HB/1iZX1oHWp3IJWS6TPJ5XXpnMtaTJJpT8yK5QzsTtJmhV
JBiuLsiyrEQoF2XYVYxQYk7SLJ6Vkp/OIs+/UsJaneD/sbQB4GESHMWdElBzAr/4SZTmNXC8hDn1
I5QmleI9rRKpW9AKsYZZhVCPakrjK6dI9WXqDSW1BlWfyzhwlHMJ7soEBgaIAl2hwmQMRB3aynRR
m1G5UrsOhY+lkdjevCyRr6A2qqSYbP5nSKppREX2jlIDPVjbJFXRpZkHcIyWaZB77+tGc03Vqfn5
fukYEXzk7DiccxmMqjDB1OhS0sgFEtLLkoE9K9mP5l5VuIebGgxhQkyFBCHgaIJr7lR94ds+oKTo
y1r6rLru8zq2Dt+KLuu4LhEJfaQ4BB0WsFpOw4iwpVf4/YJ2ITdzTT24CwrEgBLBP/pQ1xVb/rjR
K14YNmxJjTyfGUrCzYa71QRZxvgMrQmUIyEIX11M3FIihbnuFmxZFB0/aySHXNiSG73HpeT5hJSN
gUJchu6g4XIXlEe3+ax34pA2ncuWDQJFC8EONyUEH8vYldUJCo2BQlkH4SZqzjISgtugApfUrG8d
tlR5W1h5x71ZrEb5wim0KR9uLAWPEhImfw0XLHOMut+GRYiPRmv0eSxJrp17gRSYSiItkKD+hUml
Y0oO+xwbvJplsQydUSi/NmX2dT9Djm4XbSZgFBWFRLF70m48OwhQB4T6quJlonFk9AI1XuSZ0UwQ
ccRlHdwfosHgoPdcLDhoLS+DSO70ZZEq0qWTaMo8dRTESzYhbzRPic22ibMFmtLr9zwrnD9hflBi
0Ay0EA/Bt+B/OUYZSBA9fRnyUDWZGpezGrpyQvnu0hSdvEO5TuVMh5MipiwSyYg7r870JaJA1Wxi
z45NHGZj3ySSKZdaT9R5Wtj6Ik/85HPVqPXSi6viSvV7pZ1Yy47exFKgNNErM7Qv4W70bfbqM6K0
QVvpy5LL0aWqe+GFXss/72cg0d6ihw8OC5pg0P3L0AAuyIvTGU3Ks7q2GM+SNwX86FlZxtnPDlGc
DzFSYlPJYZFj7wAiLY57G4fGBVFPp5oTRArBOQE9z4qFH4TOXC9r2Yzzoljs39tgWDYtKTJ2qDsw
pE5QoBrq69sINFzJ1ZS4r1G7VrvfkDP81stpOo9yJzsLdO6ctX3RXu+HKW7vDiaHLWYEgDGWcRum
y7o4V2rgUw1zZd47rW/KbsJn6P/qJiyeSDokhtB1bqg48IFuTMQl26A07ksOjfXMsqHmlyHB1qpE
Bn+iJc+U9Ng48JjCAA9pZnS2DK2YO2GW4iVdVNdVZrUxLaykVfrz2vGz1qy8oF0Qt/FNVJL18xZ2
5RKVZled2LAoEHcLGGJ/JE6Hu1wEemaGH3JbDzOrKwsWmLgNxjcjuY28CcHb5RsMdYaZQnIbBSsu
drLwCre1QyBTy+CeE8/SWKlvWr0eeuKT2DvnpKLzCI2OB5quYXtgV4yMHO7gQsFgm56qrcAdRLnA
Curw15Bzf5an2aeesKlDNCN4RBYDIQPF5jB2X3CVaMobKSNdYrVw+c6jTE/MzpG6s0MlAa1wGu5i
QH0c2W5FgNI7jayndZ5YyIM0PzfUls5Rp4jnciwFkz7zoP23RR0Hn6Ar725bRl1eABZnNjWq2I2s
NMbhgVnTpV72Xq2Qalyge8UuZnGTlPYicFvumE2dFplJQNd3Q50O+W+76b9CcMN61sl2F83dRlGt
NKVpMivDlF3IRVC0ZuAm6VctYc63wEXLIjKFkV1e9npRdXOj1yt9FqGS960tqfepifL2vEuiblHL
Sv4u8JucmhKhhbp0wzyOrIZ1vYNWiLBOzqS0p1/ksmgSq9C6fCbBK5x3NqG/ZhShLDqeabRI9Uy+
9uwmvJU6Ve7mThnaHdJuOA9kxm1en7uZ1JFFGVb2mSppfbZQ0iTqzTpgyAwrqpOYapwzb0LJ7jIT
MI/eQ50jrpc1RdBCPQlyw+782HKlqDBVVhATjZJTJ3p2dR36+RA6IBjB5c07Xahy0skeUguRlTmV
PzdIqc5Qc7MalTizQrLzgzUNwA1FLkjJoG6UbVFs/TwNYtx4bElJbczQS+Qsw6CdahMe2RSuv9UY
0Aelhjz0NhSgzu8jV0usSg9+1qOezvxAPSvKyDcbSann++VxhFCQLxX9iHcdZ2K+oPRKpsFpS6y8
lfv3tEy6ZWPIh7bcIvaidOiEhZM4JHoEQVRtSatJRhIrS0P1dROS9gtN5GyCPrtWFlAQt8MPZOib
EJvpwy7u8rBUcQyhl+0lTkchl05q1WojWkwYgzG0geHQl2YYd3OWt4nky1oWBJKcWHWaV6aMtkCU
76t+eThxwN3oa4FhhRoT3DAJqW0tbEOcE2kaMlPSvsRhBGmqCDjGcKh1oBEXJ0HRly4wnNEmUMCp
EVtNkPFf3K4gi6oz9EVg1MEsZ5l9fviucOzKGAw2kjliyiisSBRkSh9blY86FmeSO4tc6U8IKxgB
u8EBRjZcNLNNobZKGyVuwthK0HK0iIsQPf16wg5nORX9vPC2oIeGEsQ2FKrKTk48mlhuU0dniD+i
RQ+0oQ+1NCZA7XQuQIgQU2IvyEritIiYa07D0oskHwYaedvS5D5faAX9GXXjr7kb/haF9aVbxR+T
zrhMvfzAmu0dbJySwFV5uD8MWdHtfTa5HTbIOySWUTndzCd1ikbUeGqLIwKMn8fJERTbwe4iFAVq
sbDVBFCSAn3CJRSsX4TvPZ5Pqb1B4QieAZw5XFpKAQbbESTL6DNdwkGJxEKLuru0s0ozeUEryw4L
/y3tHWWWoO3jDN2gzocsVIsJL2hEfcCpA2j0kA0cKoDXYLTSrPISiyVGN8slRVuiPFpOcMyIYMP/
hwlGiy5CATHBgkA2krUaJ5jcUiuu/F5C77fXqxlCcrgOZhzI9QTEXR8ZLd5IPCs6/FWUQwQLGZAo
lmroYSssuuxST6rWTJ1EfZMTv3dNOEOKiWaHLJ/QxqOiMdz+C7UPLYmGkG321FqniCXbhQpre5Ss
Kk/67ORxcMFzRb1pE9Uz4fTRK1y3l18ocNK/VGj+mVjEyN7h53CYA/jpXBULkZ4aNaSSjcgipSFd
+K0fvlFlZMILrcTZUl+p36BRYKr1YISR0Lo3WAfZQHWcDc83ikIy4WXepPCAcjSUnXWBa5hMcsrD
2VUb/B20tA7n+MXmHg/ammuRElly1jnvezct5xKSDhM+45C5EGRSAxH5wKugoygULmNxFYdNZNlZ
6b1L+lR5h1Om8bwtSndupziP6WeuZCZZ5cz3W6QRvYMT9ogSwEDDaePh+QYWy6hSfJpnkRWlSmbK
iFHNgHbJslfkZiJcvtNhO7tEUAfpx1kUdC9tw8Kn6Clq0siSdP0G0cZrTSrflJ4x98P8SinrM72J
DHgU/Dzrsnkg+YuMOmd5mvy8f88jnIOMNc6/4TAgTlqLDVRKnDlxCaOFE9Y5NGAUR2YZBP3hnIND
wsi7DkEsrsQVBJP6OFYUOj3OHKrEg7dMtaWjF1MtwCOKDshExDG0PqNsLkCR2zwjRYS+ZrVKejOO
Q+lcQiuaa4eOybh0aJUcxnA4YQdOhe7GGUfBYaJ2S6oyZYHl5ak8D7M4/4daN/3b/QQa0SdDBDUc
G0JTEYZnbDNKxJzGoyQI/j9nV9JcJ881/9BHFYOYtuIOnuLYiTNuqIwgIYEkQBL8+q/J6vH1Ld/y
u0gWSSUyGo6O+nT3OaZl57+3Ph73y2oNHTwvb4S20Q23TXRJJBqd2ReI3CDLoiEizsQLce1a8r6F
luMImurgaDB34iih4rnKRTYdOW/cvpZL/LhGMtpBp4AqdGDEwY0kq4K0EFWDZ+sxrXV+IQV5UZTD
tOMqC8G8BuKxgVvPJ2QJBG7sFsnVkAyW8qDO8fbuGzCByruC8Pu6ZuwQh837vJV3vHf3Uhcx5an/
/frCnJmhMgIdG+pjZJYvjDm46YlNNYRrQTZFN/NY6sOyzPZCNDw7ChwQUPLbcLXTwriyk5/TPuBH
osGNE0lmbuop/fX6p5wJfAB5//W+zJEqn1Z7xl4UiiwZP9arVTvftmtVjtBNzeV8YaQzRxSlHmzk
DPU4sD+3z/1PiE08KLkrX/gx82tXNQzxbcwbrB4y//XL2nSXHoMvMHtsF9xVYFQBtMfQp0WQsXed
sAxKuGJlzU2a+H6gsgnYRzc16VGVXuwCz8xuFEVJ/bK0t2YZeLVmTF7YueeWEkj9JjQGBw7P+uff
vmVKPqolP0ahNft1kEEVgOV5gcZ/bi3JRvQtUA5B6W67Xv8zw0XeNqIdQg5J7tAcZmn1rgTJZreQ
PrwQml5+ECSMqA38yyrxAD4JgOHSEpfXUh6hywquSe1/jo6EF56JZ5I6jIJ3AMj7KEeXxUkAXELN
+RQnkDJztX6xpsy+aZ4GVREF5lHJNnoXSVLgPjHxTd6H9S4qurcWDpFW4WcAiAXa/pbZnbwi8R4S
8cJThMBsbQ4+tiv1Kh3pRPJLufO5Sc2BmJGt0olTefK5s+vmcCwhz4911u6Hpe52SDPf/vJAW0Kk
OgVU+ATX/sk5LFWS9ro04th2dXKVSmfvBeRYb96LCFgotgJaAocAb6jne7GNF9Z2i8PSMY5KGS+6
o2JZW0Ex/laNzLZC/x3q5HCRpsPqrRhKqOEptJAX1LUMLmRtL88WBsGrZmujuYn2Tr6nb9Z5yI0V
R9uEI0RMuj7UoDjS2S/ThaFeBkoMBVoJMoutx9cp0WMFq2QJM4EFMqq/GdUUQ/M5yLASs1EtFb2/
VHt7mWhgRKwS0AXk96gxPF8sXhtWGo4RUz0m73Kg/1W6uHxniiGuNquSg+XJ24ETDAowcNPmwLQr
PFm2ruOIK2Urjpll7sYOCaM5RAS4FJZLhZszBwsiCGx4JFFQiJ0KHAvv7Nr3ZXdcmHTvhIyzH53O
g7dDglB0bMUwHN5ye9s/n8Z8lEMYmgTDpLG7j8dh/Db1jbwQFc8sFk4UbjUku2BUk5MojywXPaxB
QTryQTRVq3R0rVkY+QrS3+idsyzbWZMXF1hlZ0dNcbmAmpoDKT5ZLSj35mzRS3dsoKA6aJLoKpo8
v8/qLjwMDeGfs7VMj68nJ+fWDd+IQhCUUrjPTg4dqqjxhpJ0x0lF9oqVU011zi45ab1EgrBsYDBs
+Q/eJ6ejLFObEQ/7tmM6Ffw6Q0KUUz/JX3Am6Q4lG7Oj4CUI8otsi5tkqskF2ODsV/5n/JOpxVKS
aBym7uhW3dx5VQtJh9QOFyLymRUEby4HnwuJCCrEJ4d87OOlbnXNj2tPpnubLmHlSaMrb+d4Z0di
rgMpm8+vr+CZlB3VROR7gCcAcr0gebFxkVxpDdOF1DK9x0VT3jNlcjzNxuSvKwrzy5owv0WRztI4
5P6qDYL4mEGJ9y6UXX1hR50J46hIRbA1BLUPe/lkR0nEztgHih8hv3YVdIFi3y9RuNNt0l44p2eW
FeZ5mwUHNi/QsO3v/5ONyaJeYuHxSEBWMVHe6m7f8/lSme3cB4GfAbAErEAw3E5iDmGhCWuoA491
10J1vK7q0Ie8eJek7lJZ6uwHbYVbNGvZnFNOoL18COtIpxiq1eX3Jiv6m5C1l6RB53YpCBIo3mxC
RKATz2dt9i1kEkXMj0lRMzCbtd+rfmnuSLsEVdtk2TWoiZdeCue+DJd7jKQIIMULcjCv5TCXmDYI
0mtHUWV0H7wd9KfXz8KZex21KVyyG70f3MoTjAJGXzWJJR5Aecrc+65pzEPPa3hwzH05VVOdpBdO
/LnPAnsTNg3I91C2PB1w0WqyjcFDPhqKYxqQ8RAs4SULvXNZOl42CQFPdEMhT5k7IgilJZ3lx1JY
dxO2zl87GbG7RM3dQ9NAVoxERlyD9Mx+jOMK/KeV61C9PrlnzgGmFmZgYODjWX5q7gI52dwXa4M4
U6zkcxlwRnUIcwVT20uM/zPTisOWonqAj0ar6JNpnd3sfCEXduyHsP9RMoLdOZb97vUPOjcKsjFU
chKwofLTZILHjvXD0sHQJIi+awkCYaKhpn99kHOzhvIbdKjY++WLKgRgTry7+5YdfdcEFWAmW/VR
tlAZJ9OF7zk71KbOzzeieHYKjsvV9ZlReXuM2uCbbny9Yy5+CAJe/w87AR47G/0dNbL8tOyH20/Z
JYd5ypBnTTUsY7hPPGtpVL9ZuoCXB9Ql/6AgPFIBbz4PVgSuIBD/x/BpIRp4lAHVkgRNsX99kc7k
J1u0hQIVRWCUi04SPm5SK+O+YEcUpWBtAIJ/zQ6wcsvGPaQHfu+WLF+qGmyMlToBHQL4HEF6Qeby
Injh7ZOj1r3d4wjNp154G9VxakacL/gwDu+Z5WNlQTKlEX7snZR9/VbYeBsP3gAb1Ifn1un2L6fI
wBa250eb5/JQhm6mBZmaC/v/xSFDAgkWJchceIbgZbdt2v/c0SSD/Sse3OwYle6XDma7CyNTX8jv
/tW8ngH+2yjQEgCGytGm9NScGOA0IE2m2TEAlqDogk6iRx7Al020Y/KhYGV3nzle72JigmPOo5lR
aWL5Lo/hh9eMYyerMrLzYR2bkQoNe1KTOL/3IBUeRBoEO8PatGr1vAZVnujlIVhY9vn1Tfji+G7f
gEcNbq7NS+E0yEtYIJp4wkyRdhrHndZgT9OhyASjHnnzhWARb3v6+ZQlMd5S2PQbVgEK18nCMNLx
JnBwD4lj+BA0i+b7ogZkdxMCO6lvxtwNhArjQYGvvf5t1qW5Lwc3wF1lGQJa1FFxA2Fx/7vNkuA4
LLGXdGzS4R3rc3vfdqTZq3zWt8g1UAfFyaUWTshVn6zkepp4cextaK6kI8m1roMfYP9e0ny/3Hv4
xI1QjOwYAv1TRIFFYR+hTA/DoUGk90s3ctoRxS6co388q9OZBH8X9Fo824BfbQnXf7Z4xpMmEnA6
PtYxK+m8xodQxR9aPYGgXX4e5/iW5PUDLOMEJZIc8Cq+LomwtO5N1fbLg+/tU22BtLvQhdQ4c9Bi
TugCS5kh8Regj5dzAuscIEbojb0B/KeCKYiTy4Cg8nUgvV0s7QciNYUiILiwv15GM4yDPAw0fYz0
otzXdLB1gNS9OMh6TT6ynPc/B8DQEoVjIT+s4AReGPDch23yAzxiQU0Cbvp8Fbox92bG1XCoSxtc
lxzvrsS34q0JHzghG0gFssu/isHJfZSWrLBA/CDdUMZdk3liu80N7n/5FhAXkKDjBQUu3PNvyZJh
WpXEt/Bpad81oXZUyY5deD69DDh41UDuBJQD2daL0JyOkyAMjPpDg/m0OxWLsKPt6JKOTr25RJQ4
NxoMYiCtAWUIC3Vyx7ZFPNjOQS8xaaV3mW6pLYY/PbgZFybvzM7bcscUEoJ4q4qeDDQlzTS0Y5FB
x9Yst04L4ApJjpeOTd0nvWSXosz58VCk2qh3SB5O3oeMpBNkc5BHyFVM390M/8lMwhZpgh/l3g1R
+vn1e2Jb/OfhZnuIbl3v4aO2oQ3PN8fa9VMEp6vsUMRTfFu3Kd8DofKH10c5u1ybhzYKJ//sTp+P
AnF5CUOv7asSEGda0DGuxmTxNF2yS/L8cxOImw9hGiSvM2WrpYAZX7JC+AFA+2ZddfLeetB017vU
cHVh07+cvc1QDz5sqCtvtpgnT4uJpcOQ1Cw5mHjJaGsMFsoFyf6ts5fiboVo55+0F6ny89kbeLp6
DBMfCl3+XLMuqoArlAcTzuICanjuezY3MuTiuMahSH4+0qStQPyJ44MpAwF6fjrvZCPqN4c9fA94
n6jIYpmQiD8fZUma0DVNEqMIyzll3Rx9CsZofnrzrAGNR6kLbD8kJeHJzi5hytgOtYsPaoEhIDxS
2IGrNPw4xml9Yagz0wZWQbzNWgl/1FMW3ErgETwUPkaWr69HS9LbWeaXXPjODoLFASkD1ta4CZ/P
mtd1COdeDJKJfkFtIS9umAsu1bReAoBb3oG0NwLwiNLWKUDVWwHXUymjw1r05sm0ExgZuFqm9jEg
eEY8RLUb4cEaqg7qrbpXIVUQGzfXphGCAZd07YCKbGovBcaXnw9a7T9mHBocIPKfbM2wkZNjUHQc
SJN1fwT4hqh+h/pCnfRl9ABIHwI3xwDFZsX7fJJLuchRpH2ISUY1rygWWLw34s62WlWpFObCyT47
HESOqMtCQ5WfGlqHPIa+RjbhAQdmve4ViQ8sg1tRY2VLfSgvOZW+mMRt5pBuIJNC2Acn9fnn2ZoR
Q3qSHojNSgo2e78PV/Jmcg9GgU8E9C+QvOHmPAEeVbjCkm0u0sO4sN/ETnllxoVATz/9CoJUXnjp
nvsmQCJ4eGSgJuMIPv8mrxgftQnTg1dEVDBnV/umTMSFSP9ipfBN0PLCFgCsYdzMJxtDQ7/HVEDI
oWyz5uhLYP7Eru56VDkYk6S9ZEz575H57GLe5KhIAjbXwo26cjKJbEaRaIaD6IHrGnVLtdqpRluN
UZhq1QQqFkKUagGEx7A9H1cRp1Sbxn1Gj4qU79qgIJ+sVPknAcZPRIvWTdFeDFGQ4PLQw0RnN4GT
LJxaLpXV/mG+L390+Cggdwb8cKrFj8bMyKWvySFNOFjwq54jTZ2R6G0hnIO/E5zj/6CAErQ3iBaa
UDh/RDe6GLuVSuEbwCKERX43uQF2U3YKS3u06dj/HVzepbT0ORT+plb2Fjeg7qhbos5+9CYOP+Uj
3EP3Ntpem30a2f4CNrBtptNPwzMQNHUkS2hDcrIqM8ei8UiTA8Kd/9KDUrFf+iDbJQoCQZgkFXfe
+eTCoC9jMvYCXFfw5gRXDj7fJ8d29sUa5g1ee83aivthseVtCXeP20IU9qrVaE1Bu2xwu7RRQY/1
zYoDYNXhngy8/mmTbL7wSD1z5AATgW0GuTS4WqcwTBNaZQmHPL/sW3K/wHOJhmIZ35om4KthEQqJ
MsgkUPCepAkAHyd0lZlghzGR5Y44lQETzOO3hw+kIPD3jkC5Bh3xJE0wSczg9tGRw4IGH1Vq4Xk9
E5yg15ORM+EDxLAtIm6tSlDUfh6kOOCjkPkiOfhxbIoKPmoBSLNB+HHyS3LnuoJ8eH3AM0uEtYF2
Kt/IWziHzwf0Xb5EIkFmGqAgS8G0wKmYSnNh8s4cB1DGwRXd2P8oU56M4noyh3oO4wPZXLzLCOPs
YawW7WqHTIUyhHsKGsn0+fWP22br5BTC7QB7I9y0xxj9+cdliyDw1lyQCkW+ofPixRN3Pt9HaikA
Ddbzfijq8LEulr+vD7x9z8uBt6ITJB3oGXUysI5yeJQnFvlxPI/7ycr5voMP/fUyZ9HV60O9RCFR
QgfSsdEfoCN9gah2ZmYKvZSiQ89CBDPTKlHBaG3EV3sVdLsa0OWvlvB0Bxp2sUexf95nPOekIusw
7eEcZ27AgVl3E6Ix2Oba3IimRZ+XfIKrb4DCYzkP7FbjaNB2iWU1s0iNF8D9M9sQtWuQ2xAtQII4
ZYiX8OAKsTTRoUxNdhX4jlc1ak8XTtfZUeAYEsO9eDP0OInKoyQhgKgpOgSZeW/GOn+Yah5d2HRn
jjDEcAA2oHgHlfiUWDaMwIR9OEcHFqwItcz+LJWMYSpmr5cRAMTry3/2k5DowqEHjhBIO55v8Z4l
7VyPKjpMaHpCwynJr7sVzaheH+WfwO5kQ0P0sT2SEABxhE+iX48+QEZ4FR7CPu3TCmJz8w1NxICs
AlAqfgadbD8PbcxZ5RO4tQGS9W48CAuslzZ8DiF1LKLxr058raiBu+efJB/XH642tqO+6BjZQ+Jg
WBUYkorKgDrNjnDQw40lyLwq+GqX2Y9UqrLckWSBexl+g455SCLL8LKok54yTvrv0tXF7xLF0T8R
HvZPlhTuk58CRsB8Ssg3dGjoPIVgPv1CmhGSAMhapoiGzkUgrMYFWICCNKGvJBxtPxSdDYsK7UtQ
YYJec/gomOu+NUb7pkqIjG1lw2E1VaQK328iGDFR/OBLuv+/Ysjzthj76GBrwTOaNeD90nAo+p8X
luZFqAEdFrEVuB0C3QtHkLIQagV/LDxEeDrsYy8U9QFTu3H0l7yaXjLIscvgHwEtDBg1SHBP8osw
nU03rno9IBmzfeUCgrpwCE8CGknJzLU33AZVl7R83tXJTI54WoBVJ7gSAl4pTt7OrK/nakF6Zw6k
64dfb54MPMdwgQJpAWJ6uk2914oPUCRBQq3jqoTWcYdSbERjpS+VMl4ePHgcbW0/wFbavI+3v/8P
/m6HXhtJ2HoQHv6Wqyj5jYLr5ZsvToyy4RK4xoD+nj785nAKpmJIF9hr1nhOR7pWj9FKFmi7SRM8
wKQLTXeaJYFp1eszeebzNhhp62qCp0V5mhekUyramvjlsLhyvemG+m+ZuvDC1xX/UILncQXpDrwX
UCiBDAlVqOezqNZ+Mj4qx0M9uK680uW0BHtJorXbJ/Xiv5NUQ9IfDk0y0Gwqs8+WFTzEPLgMrV70
WNe7dvAi2tlU8pjCVjcglE2JZjSKXNTufanSeI+b35N9m3r95Mt1aCtXM89hGwCTiys0CgQUp2Xp
9aERIxTmKQyH9z3k9snV6lrVVX4EikwR8oWhgLV5U7EaeN69khIdT5ZV5LySadx81YstgkoVti12
Za+KO3D5GnKVNRqU3NwMJVWdi5/CedYNtU4GSEFq3ti9xVuo29eNZI8Z1PwSZaummKp/Du67eg6b
kCYxEkMKNxXzR5moFrskWjJFuzqWX3VmxBP49+LRFk32W9dz8BHMPkDrOlDRx1xH0Zc5mQuIrFSf
yApdu3RP9TikGcjVsXtHRBSDdZ368n0/m6GmZZfztFqWIfeHsdUC1sF5sA53Eq5AqE2vAwQqlgVz
g8plgWemVkXJ7vGqlCHsxXL7Ebs2jij87cNP2haCVZ1KbAcLkVVKurJU1pQlsC056ky1ErKsuOY7
1FSjD8QZluydiEd1JVszf07SNvmBgvIEs5PNgoGZzN5nQdAKWjQwA/9UMzXesnaN170mpWs3pdeQ
HCd8bF8VYZfteOFlQUnakL+lqbOUhmDKgQZI2iZBS7Alem8dYiztmAs/o+cKMQckIU25x04xj2II
7ADv/Ai9kqI1noD2ZG050RyOhlejRhWXwrsxqBHm1+VbN3Yak1YEOKbtHCxonaVGvMJsqXCEGUNJ
Tgxpqyo0zB0A1DbrT9vopcXDvECa5tZuvAPasyYHNdrkydpSzEi9wnbCUW9cWWWxj7N9lM3t3z4Z
yF2cOvaAqisMGQJRsAeBBPRD0WiBTLDMe7ubdIEKRMgj9cusDl2K5lw4fFAw1kOFJNbBOHxO7M3Q
dunPDoQKlAUBZOJ7ZLmSfcOb5a8yXfoxdjbLYZwe46W+TNnidi5Hbl+hLyoQVDS4aRGZhmJer8BQ
GmVVT034YLMAcvMMZIcqli3AF+/a2lNZFB6kIc7U33hI6+9pVupvfQGlIB1dkTyOm8V0FZd4N8JU
IzLvxux9bps7zVT95JQO/hbCj12l7Tz2FTxV8z+OePMN/V/j6GhKQZZDbBMpb0VGpok6xs0vCI3S
Hs3o2qI9xHPbMWoKy+97kJN5lZOl+KG0tn8Y4KJHzE4Nyw5sHV+FcDb9M5TtnFeoOwY9dehd+QPW
8vPTsrhQHQdYIeNP89JOu0RGyVDN8Giu6YrefE/AQpmoQpQGI9pDIP9zLAHc7Bf0okx381JjX3Qi
rb/inzFQ4maX0a5xvK1YqvM9OJMZUvE0yD9McCyer1PeFTSJxulBJAoeXGgHmmMzju3mzc5KrMHY
562iCZi8t6WLa31dw/PbHnCQyvdZQwp0AvMLaAUkGkxDxyxGPZbB3y6nwPncE1Kg1VAsoePIm6Lk
thiy5UMieVg5GGADeAkXcqPXMsKmjdrC3YyxU1Co4tUzVbBNbSTFBzo0hMuz8TZIM/ZYZ5Pvd10v
UvRLsSH5WLe1fMxaPWZYwiHqsBGn6CpFBeNhKDOIeHJUfZBWwf1H70eCVgJBOfXgDs7sboVf2ZMm
cbQeslyl+qZHSzldjczCRHcZy7WsmO3au607C/YGcZk/DErm9rD6aeiPduaqBzLXF/1VB0dIMG6Y
BF3WD+NXgZLEWIFIGh+LuiGIswpNrys5uvSumA2k1SLW0X0IglhWOcnnd5EeYdsl0dzwiHaVCJ59
myzsBn2Pmwl9RFoXHdPMIlRq+LQ8mY6LX20cuOaYssI3h8nynh2FW0O8f5DPJkeWuhK5qWoRkXjD
1HcM4IHBtshHICMto49ocNFZigWyv3WqzXfiEmOpJ8HSVa3Ixdckm7LgaGaLfmdosRq3NMVKdlgc
puLKl9KnNJnrYqBAt6evsmAhbAd4CJOaPifrV7SiRiOzVU7xYxF34jqZwZegzOnB0ySBmn7P84aN
VzXicLiLmzkPYJw25B8b+HuDquSz4BucDKS6znMVhBRvmC0J5L34I9hsCLJ+1nwDYcDcDnBorUFV
iwxwWZUjB19WtTzU5RpYdHzpJcK3qVNPc84hg+YB6bHUsOy+Fr5O6YCXwHHWeVitzXQHOfj4YF2Q
hocVCRynMXp6jYdUKYspgHsDWns1Wy9K1NTnB8J8wynIcs23MQ3kXKXGQj+AGhu/CedU/R6AqcW4
Tqa2Q1RyAkHTdIHaCd5zjeY/i45oo7KB7ZYlD+5mCRdPYClp+y0hU/ZuXbRjR0TLxO9UEOMqayOO
ibJEZtVkdNRd15r7h3Tm4zc51GKokiFnCwJq2sG5yEWq3q2guXR0cC61OxwaUe4baacfK+opR5hG
LwXgUdZdaYP7Y8dzNTY/urTL1j3rXBNdt33Qfs9DS9QuadOY76aoQYcxL6Pj5NlwGJmCERJJOh1V
/aLkHeaS4w3GhnGo2Bo0qophSXe/CqhHf6Kv6KCquZuyJ2XS5E9bZhCsZqNw4V5MBRzfe3zsTHmE
m5qGhUGImIZsfN8Zo/9MGrfdEZ6BILwlY73gYYfQO/5p3FzgagoBMvd1uHyJEi//2DUCiafTZiFP
nQ3cr8n8bsUh4nL9jYbLxTcv1h65nAKc7esJ5JYYLAx4Tdo80zusW4p6rgmWR5gPT7+mWdgvA9oq
C6ohwf3MfG5/41GCxE5lkXJ0iUckdgRmgOLjlpk8tvMStEcrWjg9luilZSkEEZCzmHSaXQVDC99W
q1+hgwpLZp+MifMvqkinr13Bxvkecv3+F4S8XVYVY5QbKuvA3Od+ZH/TqY+/xglRpmpIXf9FcMP9
PMYEkAu6pcqG4v/pP8ykjz51ocw/Wr2E4BHJoJ0rUBmE3nmEumCH0yjKayRQmd93Q+SvsxXbCSTk
bfd0UFnAOaSFALRopvwRDbI6QX2rWogh4TX2GA4iaXYumPpvqu7SPx3MsZA+c1t+CtK4TaDIT+Wf
sS6D971Z+ndA6f2e2ahb9n1k5NaagM0/pBz0r0VPULTJulbrk4OgL7rJvVNfONLqqyEZ+TdfJuQu
b7ooR3NC2HdRWwO1x8d0C4S+/dB9wsx19sbC7uRzOwRMQBgyBOp+1SYKdjYEQLnLEfwVBW6F24l3
LM2PKoqAW8IsoUl3oplihrfKKPn70GXL8GlkiB7VaBKy7jofgjKKkDA9wjPcqKov82WiEnv2vjcm
fFxEkKGLROgQ55CH9QtVQEIljVo0RaXFzMuFdiXsDCnKi2lzFZdo4YbWbt4wilK1mvfdVDSfQRQs
fw+onoF9mPt2pRM4hB87naHjzZSFwXeJbiMrsmnRfnAxrlTKGOAob0i90rhFLYH6oRkGGtRYV5zL
vulv0inyLdpB2OReAgyMj2M2s79+6uef8RB39a7kXubQ4/nt+cGTaKrQDELNlYGHZnDj0GuKwWmh
aJ94DldlBMIl8J/RsnexV2WxTste4iGI1odhplFqR1NR3DllHKRAMLNZHbJ6Zf2Vhi7iLjbTtOy6
hAMuxrO3O9QsHkYY8yXp362tMhJT1xfp9TAP/jcIq7m6kSRpDB2DvAY+Ezey6iDX+JokA45UN+W4
UQYz+/F9jCa98qoxsygr41LW7SK/+s99Ms0/alA5m6qbbTtWsZvUD1Yy01Rgeua/er6iz+nc92tG
C4H1qxj6VqeUBJP5MoUo+4FyJosfYphhXwhzN4BOUqbNHRzWdbAPpyzi+2RULZq44ZpOqAe9vtmJ
jIfNLlgbi+lZ2eZ32HSrPNpYQvmBJlqcoQcJ/DmOWS7gMeGyGahrw4fE3cMMoncPdsyzT0EOP5gq
XuRqdoq4+Ae4NC55yhUe8JhuH1zpeJmeAOM1pApZIj4WgcPdCyApQ8GkLoBwwVIWPoHgby6g5wIz
q9LG6vBKjyKJvwm0Dpnvg3FURQWLov5duzR6uC67pb2XyC0yOnc96SlerNM3WO5MDyZCv3Dq1yHl
VRkgga0QCaAOXNN4rqs+m2BsImJU0mmhF45Un4vuI9yWREJn25fokznOo6MZ/Jf7Shbl6I4TdkVx
ZCVaUVRF09r2Nu6TcrlFNoW+CrmKimuhFYxx+x5Wq5Xgufkoom7+23eIoDvXLfqDgwHMo5w7PBR4
g5fkLa9HgVgDEQe6dqlhau8CFRiPQqBRFi0jZWcwYx4H07duMBTOO+QHlOBju+uyVD14j44jVwHS
hmPXoRK9H2xYf186LMjOIB3sqmLS4aOaNRLNxIUD39vZBmabmnx+BFY9lLupm6eRFmupE8r7BBM3
JXGjkIOGw4ycx2O/pe0KHgC4hml02zHEp5vWmmlAxtKoL3kQTuy6g07qWxHCZGC3ro1Zd7Ls0ahb
uAX2ksi4puM0AymFn3CNfpvTkvs/EvXem9GmeOfaFW20KKR4MN4JlZY1olohLYWyvXk3Qof7ULQq
e4yDAiE+0o0M90uh65jaDBk3IFfe5YBUWFtirLlTVdkWpaLx6sJfhTWwVouVn35rDtbKFQR59WHw
a1nvsn7sf81jYsLd/yWtHRQ6irlDt72dhy5GsqkDH15qI7GB1s9RIZS/QMoCMQvQEPhmz1EhYFpE
jjF3sGkRAGQtbp6M//K1xcs/+Aa1Dbitlwi1L0s2Oegpm1II5LbN/u35mGIO5TKF6QSKKu+qSPJg
l4OdU+Vl+WZZEnA8OIwgIKJOAOb9yefF65iudTotB4JmEpQhczquqF2/GcHbRgHNHeR0gi5wJwCl
4LJ3M9GADlWw7nGdr3SNhjcb7Gzfgl9b8+PNR+ikstfI3OXR1C+HIPQZTfGwPrAJPdjWMbjkf3tm
haA03DR+kCWhrHwybRn6h9siFoAkGzATcHEgFciGYgT7Mb3kV/YS/kRROQE/dStbQ652gnTPoFC5
iKvlwAaLHG0m5fvWteL3W0FWuCbCNbWASOGfndfzPRcxuwzJ0vuDseQd7Gkz5JkjqgZv3wk5zhMJ
NyXX5sH8fBi+zIFVUegOIaTZINJDQdiHy6UmRC/rXuhNjR6aIIdiS7+wkkISMbYNvP8PJSw730ne
ygcjS3ET1Wly0EORXPDeOMN22IQz4JVvvhiQDJ8Q3VamkzVNG3dwBE0dU9w40lika4n/HMDXhha9
JpWGbzdNVzxLJX/kGd6H5q0NL+GwBEozGMYJKpgFUPrn02smixS1iSdEK+6unEJ3rh72s29eRIwC
JyRQ/sEvgl77+ShdDH1akzjEpzyDPYHJR+S76BX0+o58ccZQ2UHhEpKWENp9MNyejwKwV7ChsbCW
r519xwXatyAap9tDUVSvD/XiiBVbIRbcMaj3Y+hcT4aa/KSa/2fvPHIjydI8f5VC7i3btAC6amHK
FTWDDEZsDIwI0rTWdps5wFxgtnWx+Rkzq4t0EvRO9GqAARIJBEj6c3v2xCf+Yhmy3K87o3WaqIiv
2ike/9hi//HGoaz9x3/y759lNTdY7nZH//zHefwTM7vyufvP9c/+69fe/tE/Lqun4rZrnp6688fq
+Dff/CGf/+f47mP3+OYfHpa73XzdPzXzzRPkqe5lkPCpXH/zv/vDvz29fMqXuXr6+28/oYl266eF
cVn89uePdr/+/hug1VcTvn7+nz+8eMz5u12bPbZ/u//n/27Cp+Kp/ZvdxN0//1cR/3xs333K02Pb
/f03QVd/XwlNEKa4m7gNV0Xq8elfP4IVQHse3VqoM/TMfvtbUZKn//03yfyddY9eioLUxNqB5kdt
2f/5o7Wzw64wUfFSyfp++9d8XP1x3//xqpifP//9t6LPr8q46Nq//3Z8wCA/yHGssigxlcWT6Wi/
zwuWolOLUjKc9spRxwmV51YnMtr02V8FcKxjAW1efUVAar1zlxVbUpsBgxG3K7Se+lCYeHotVp4V
tSfgAu/wGy9DveBiYBCzt4+Oj2kpLIh/PBatJnhK1mEw74t8Gl0JK2c/b8gup2HY6WkgAJepHggM
3SUQr6I4LL/nyvMQ3giSmniUr0Q3mG2qKkA2lVR2BhUZ6egUROkYy7N+X+5ffF6h2piAht4eEYkJ
QI+6lEXdmlrI0taio4xlZRvjYtgVeZcrAMrxXq3dD979i03765AQYCOLEq7dqp+MVMXRywczjM/R
nFtuhT0onb/yOqyH50y2smt9as5HJCLtXBjL8ygWJkAIkof6lXU+qBQpyCpcGsNuHJvXkdoR9INH
UFo6OmF9Xg33k5COfixJs0OfV6P4aMS2llNjNEPr+6zpdpZW5e3Y6NfT0E5epwrwpKJFdXrdjDzN
AKmgiQgZ5ga8ySpA9rOxWgDxldeWVfa1bQRIQUN8AoP/7v5jSjhAVxYlwRCKIUcLpxkndOTSzsJk
vZ/cxsg1R5nTX0WGQH4Mg9bFq+Qh78gkpTY4EwO05djQdlWF+ubzt/NuZ67fBOgxtFRK7mAE3i4J
C3E+qtGkSpZQpXao1KE7KI3lKP19M8J1/Hy0d0KLLw/+7+FeiOuvWu9zmRpqPlSWS9mtXLuorTtX
04yPnpmDIk2Aq2ai5cWyiz2MatMn6ZxZbZxRq7/SvzoFbju+yNavw7ok5Fm1j9F8ffv0VJCpbwyY
add1kNk4qQ0eFeFTqnEvUodHO4BreUVRrgL770SzcrWaMyJGy82EjK5LaxEyyu1eM5fNTGN4X0WK
YAeStp+NanYXWzcAcbUk7U5UGu1Gn/KbSlkz62zYFoXxi7S8tQfrvMcZ8Jw0MHQEpfcDzA88UIAb
QRVgqsytYFsDurnx4NSRdddo0iWFCvVQ4cvgLm1a2XUYJbYVg+irqJDMet5dSLOLAWC/Iw3NqViX
jZsLxkYWsQNssaWnOdA2jpEFj4KY/EqL8RtqAvWZCVZasMLFNScRo2yL4ySN74Z4DeV0yux62S4O
g0VeWpgtlY6iPHHKfLiyVrcLUHRgXFjMb19lhEXjqKcZOXJG3WGeUHcFZawUWrntNOELVY3yIImR
7uszeqUGjnZE8C6dpj0c2h+fL/PjJHhdVpx1L1AyCNMv2//VKjesqu/MALNBo2HKlJaeYC6Woi3+
tKhYt2MLpKwTT+ytDwcFjo1JJf1i4rK3EyAuI/bcOCi4RXg1dJ2FBhuwJbWpz5e4MWwzpeoXJt8+
f9IPTzJMg1c9oFU26pgyW4wQHwZKD26r9bsWXWXPnKd0M1DKKAfBcoS2/26Ui2APpfEdl9v4kA/a
1mzRFz/xTdbnO95kkLQIgrBt5n9HJxk6jEtZ9aHlhs2oogxEsy8QlYg25pg7Yk3PfgHw7aBzgGhj
k0xu3XamJxvCBZW9aW/qrkDd055AQm0//2rvIHjremBZrpQeGjtwb96+mjQGSaKhS+Na+TfFqLPL
bIZd3NnaqPvwOCT2ztqGhtisKDBrgvmcOk9iD1rce0mudW4acj1JVOBmuUFstLK+tbmiOVkb5U6i
3MRyQ9ezTSxYCzABBJSgHaPQHcXs7WBIzmtzNHFvF75NMWYUVkPynT7qACrx9mJ1TNlZOiZbaxVP
w4G4wGQ6TuxOqCt71KNHOAyiHS2z35bSQh/gsjaKyUGZCHBESIcYeLALHCZxkAl2Qmx0XGSpDDem
NedINUrhqXoCNv7RpWWQeKwyZdDmjqHWGlSdAr940x0Ta3CVXnAA3HhyF9/Fsvwngef/pyG/vdx3
//GvsP5dGrJ/zB/JOV6nHC9/8WfKYWi/W5DIRER6IJOtorv/lXIY5u/wuGgLr5wdTofXCQea1Stj
ZC1uyfIqz/GvhEP/nfQYUVWU7IEpkrH8lYTj7cVOrAlTCFEpGbU+NMpAJr/dcZlOy1trxYDeiOjL
0ggm5pT139tF+H6IowunysIpXsw58IBI7pccqp52FeUXg9S6J46PNwfbHwOt4uWrJAwFtGOl0rYd
cnNIeZaFYwpDJ7dLLCes9RNE/7fn5/thjqoUmsg1CXov8Lp+IxB2tYPpGNH9589ydE2/jELeAbCf
ywL0+rFU3tQmRtSAM/CFQ7FrftVO5BYH+vp+dRE61cY4MXcvlaR/3wp/jLeKpAB9RuLpDxTjq6tY
V8DwSpUV+YM/3hu9PXuSm7i0CfGK2ahXqr04w71MMd5J3cwpPTE8UZZ5AY0ffYNVOpL8G14PokzK
26UoyMiKZCZy3skOeJFf+bhRbJsfSGL7+j24QddyUO/bGY/QtvalO2/rbbLpNoIrnyA+fvCC33yR
o2CX9p1pTGYdwUR8pi1cJ/c9MeWJ9/vBxnszyPolXs13PoDrmhWeVt2E23Sfn9d4RniLI7pYNV2b
Hj21U8nUqedaN+qrIYXBHItEZEj9fPRUZ5zs8aLc6DvSB6e70Q/jbeSdWldHcc/LuqKqghgCkHrc
MY7RvTS3lEStOibTBrzigiawgx0thw1Wi5voRL30qNDwMtqqgoiX1BrhcqQdPaKggb4389hvvfRC
dtqLzEWv5qq/TlzhJnWUTXoluqlbbNLL/ou5jf1TCk4fvFao7xzPq0Qt0rFHr9Uy+qLUStTiDe3n
LN+mpwS8PniHqGrBf6N+BXH1XcQcmXM/gb3w9eHOMvfl/DCHp7oqH47BfbQq64P8Pm4TzcvY0Vex
YkgxXQ7eikZ+Jc8AIdoTJ+n7yaIDYaDNpHH3SbQh3r4tCzfR0EybxNfixFUMerYceSeOlQ/GoIpD
iU7jZbw3pKpQgTaVSU7ABapnSS0CUNCgqZ7Yzesd9vbswp0bTQeED/hAYKNvn6TMMi0J5SDzjUvZ
iZzMjfzmoNqir3jV3Snlsw8fCXgWyiKU4hFFeTtYEAb10mPR4RvCY9mLdl+d6t69v7K5CtYECWk1
juTjVTwppTYhDZD49fQdRpUtdLum7WhH6Scm7sOBcI2gvUDiT73j7aNMqRwvBQJSfgE2SC8FW8qe
k/LWTL+ceEHrBx2/INjKRDkKoRZiom8HojxiRkrDQBIwl43qZS4ej6PT2RQAbvDA3uTdiUc7YpKs
Z9FqKouMOxJgCDwchyNWDKZzyfXEH53J5SxyYi/YDbZqWxvFaRyM2E4d8B8tjNcjHp1+mjwbRUMb
2Z/38r6K7eQb0EoXBKxNkVR0i/1/43xf9+jxxL4e82gPq4uiUycxEj8TlQQ9mPl+TqszY+zsyJwA
Bi2qZqMbc5gN3TeawafWmLvKTNcZ7KFTxaoI0C64zkJpk6XqzVIgo4x0jXziZjgxNcfkO5wh637A
K8C3yHRb6bY0T5xlL2yRdxMhrwqO1CohER2d/AaHQ2QVTETnmkCaZltyhR/pPnINrzxrz+oveGpV
m+QvlSX/XGTsUYpl9D0h471d15PVLc2wsFO1sfEA03IYmA4MEdcUTnXnPrhcWdD4lND8JC8x6HS8
iR9AQZZc5ELC5SrvkZ666Pzgu/EQOZAm/eCM6mS4AXa1L6nme6GTeIVz6np96RS8m+VX3+HdQasC
Do153mQXbnlKh9neyE5S2QXhKqAopz0bz6z7FY27Tfx1u/G9jH3oFNfClXSSjv7RufJ6To7OlRD3
nQQ+Hm/9wbwOt+1G8LIDlpsEqiUBzik9xQ+X8avHX3/+KoSrMKLpQkoIPog5R5pi0rWT9aF1Cj+b
4qOFPGt1Fi/zyxSb+8IPduFOcgJbttfA33ROHMynRjsKSuUQ3LBaFimn5BqU0u9KHcupXW2vb9NL
hPo+H+99bPN2DR/dnXGVj4lsxSm0k33V3rbWpZGcSB+sFzXcz2bw6ByWBF6TmiiJX4pSdRnkUXtn
VotlZ0g0QHoANaL2ccdV1F+DEm09C+a7Y1bFwZgjcM/VpdnND0HfKTScCtfIBcCDUg59C4gYgizW
+hk5XmTJdpCjX1bSpBdhgAg3GMvkgKzFeQe4zhZQ6LuOaytzDGG8K3r1a58XV6Gckj8ZmldV4+Sn
cWCC7+131mTtIHXODmEn6HNLRLYxszi5Bx3Ilxk4YgevV7KUhzDU79HDvkLqEbRNpBU2nUOgdI1w
r2TlFfRcaE3VTQLPZy9m2vfEoLS79J1HPfmylRqS5VQbNwswTE+1kNCH1WuvSKlrFPM2QyR7KRf1
VmnAiSfNBHW2rM66Cca3rtF0KeXItUL5ohhyH/9yogV5dOqugJ0FbtGFGtXbSAH8AKx4m0ToKrXI
VloJCoVDpT4kyRBtQSy6HZKTfjYKxaEL+xuQBvdtsTzDxHuCl2usqooOoiPECE2+HfXmvDeQEwl7
k5+Mz8uKMR7RwsnV5SDglbZfiqT02sH4LmTVaoJloVQ+X5jBeNWN7NRa7w/qUF0JUifAD4B/oCVR
50WqDsw8R127XHUrJqEFK2dKgZ3linCJAda+seLMxg90Fy7IQ0VJEbqqjtqPAax4NrOzeemfTPhd
dqHE4WXc5a4stHvA+0xUZAW+SlvEqXrloUa22p91JTwMkbQpLcqny6x7uWw6kQSKtyXPzYfGFfL5
Qp1WXXxD/w6HrDuH3HYo4+hH2/zhSHqbL53mmyo4SXFY8h0avecDIbYzDOalJQOLoUm4zctoZwFx
XTHKzmjJ0TaFm5OEcMkgg0Jhq9jneZgGjqkvPhSWnSQArSy6DWZmD2JZPYtyDymxC7bTaOHuFcPx
iILqJoOadCi18LaNkpnCMNYS6EEqaC8BM7pS5emnjrmAPeXp5Iy6nIAZENKtnjQ1Zj1kg0gKwe/B
gFgXfkEwAYtf5pErRstVbTTfIjGrHUTc75CucEfN6OwGPyknmwxxx+tRbXonAA1oyfU5Hl39NMh2
Hcz7vBXEm75sFBicAexOc1KfJhC3bhUUsQOzVkE4Ks88IWOwLM/3pSC1zpxaEaDouQJ91fc7oRTN
+x76idstPbAekLCoGQ+PdILVTTIZtR2qyL9PoNsdesH3UOTmHdycbivn/caKlvRewUzMgcM0bom3
nkrYoFvy0cSJRbHYlbIynguQYjZTJ51NPf33mda5IK0wcGlUt1mlfm369AbqwmM19c/zbN302Pfm
zbiXEPAFpthGdiNZSJWGICujckzAopdbcokfgPmf20Uad8NQPZeZOIPyD6Czxw5ymHdAojs3b7v7
1qyoX1WSQI/FvKuK4VxcpMqO69TyzGIR9v2IYF1uzboTVEnloF4RnHUBzIGk3VtieTb0YmbrjfYL
zcPHHjlukPUZEQDNQsdAa8nDJVK3mw49WmWEDGooQ+z3Q/IoAFvCu2m6t1DLUcHugXQfq22dddtp
UL/EagTNFUln6DPAy6cNS8Vl4GdBDaBAhVRLIulqKftNMnd3aTqsXUVvFuCI5sa0UzuB4KtRfi1C
c0jF+b4IQbAH7XW0IPQapPPPqZXseEkMu1ao32n9XZR1ThT3h6kvHhqsUe1c6g9ya23hEh5i42sb
XTf5nVF7QEJugcB/m4jLGr61udiVggJONt11c/uoZgDdUi2/HgsQEVqaPExq71VdmXmLxN0RUX0x
lum7qHPfSBVO4GiEBDlyzJJ2GzXTVpAqH1/EEnkMASixWd53uXkmFmkKlVPcz5OCsnzdOp2xBpYG
VBH6W6JdZMpzMfQ/KhRqHW2JN80gfR/z4E6Oq4dFyh6FbF6BJWnoIHk7ueiVNo4+Znvsjlg2+Z0y
Av6PpfRiVJJvkRB+6YbpKoAs5IssbdtsqsvFMHaLmtaQPqXZbupu2uL4w8WzdL7Rk5MWWYspJo0a
dbwBXw/c14juFCFR6ctUhQsBK7LDIrpNZu1Sa+ZtkZcz1DC4nRYugnCcMRC2jbb71lhd4rbc1V+S
LtlkpRo8aaOQ+ara9Xs5LXUPrk7hKSlOQJPW3QVaf9aIaMnMBjbkqbTkZ5ayiLZQaD96oZQAFyMM
US7t6Cd9GjlCKis2O2t0h1y5zFIt8GYxazZ6xgrSeu2L1A1fp6b0ecifZdta90kIFSsbNC/FmE6L
BB/hUgy45NZJFuu2WJLJnoV+2xpEEP0Ma1vPzrHck5yYjy2l7JteJVshFx6kQjBdvRoLCGnJLcBB
X5GiTRa2oN6xffE6yUpotzY5Uk4C55+e6di1pdRbjYLETo/3WhP7lW48i/38nBgBHILYVF2JW2tb
Tqq5MVOWSNH3BnwJuK1Q0ZMt43WOVjIlpZLcaIU8+SKCGeoU3ErC/LNWtemcg2Az5zAHuuVamMe9
rCmMTPKEOGZ5US/LVSfIlzlqcMxaxFElnysZSKEwlu8LaTHhE+X3U6ltaN/e1mNzZwx65svhErpV
T2MTGus3MQdzKvTtBRdE4A11k8JsRpphSr/PTbHRov4a+YoLbZFTp6uqnSCYHJh9et42enkJnLS0
TblqtmK/ZHuh1J7ApF+BzRgcayyUXawu1xEnwyxHP9ApzpxllO+nEIoL4o6RbZVYmbWQQey614fb
rlsipwJrAyxBfJK09Fpsm3Mwyy3X/EwiVXB90BJy1ECvcSOs6MbmnGxpKe/iGGPwzOglTxamr+ih
Db6I6K+bx72+UeJct0dp+gXrufYgnIRbToKDEYmREwrEnUMZ38CW8JKmvYuwMWALxVzhJpflUK9f
qpZsK5fRPE2s1F465ayZo68dXS2AGGgdNubdbOXZeWv1qotU1FOWNM5klod2tVI0830eybcTzmBe
09Kg1WCO2ou+iDujbS+kCuTOVHaJ30tx+ivLCs5tbVBQns+jr5I8S3dIytyXo3Cd0nu18VXaR4sB
QVSd6PiGw0gsHLapLQf9BZpUTl7IUMJFaM55czkryZcag2A7bDXZEc3husFLzh+y8FeiaDcYBNwV
tVBCFAq9tLccNRV/FICJHdFITQ89vt4xCSuXGMpBgkSwT2i76gIK16qY/QCHD61gkS5Tqahsc9D3
i65TRjTbDNRRLtrmSPCXa811hD9fIBaCizVgYw8ZdOthSH7QgYWeLhoXihpdT0u4NUfoBLU87lgS
10U5PCHDcGPE4mVUyVfcercNKgx2prWQFZPlkgOUmkUlllAZmjMYCptCrr52xoTyWw0zr0nnQxHC
NodiCwsIx2AnCEH0Fy3IFohqk2MOmhNk2q7Dw6DIgweti+C0SIMnyOqFWQSHBJofIUgM+888M1L1
Xmisn1Y259449ueRJSE9o0d7ZQj3ijmfS3hpJ6kIJ1YzyAqD6jlZDAoARuEqYU+FvxZvZItXXJfx
6ITzdJhloFl66kaIJbiBtLL4+/rWVIsrXYk7e1l51NSAHpU6OQuMmMt62VqTfEhWKvuUR53b9NPd
pDaKM2TDs6GOsdsvFHLrEEgNFZAWs68CitZglIQ29UbQGn9EMQGq930wmBQvq051Kin9EbbNddNC
y1pCE9EahJqvmi5dYJ5xH1slr1aIdFR6NClzuqz6EYT1xZDAfJmir0tXfUnR7yUONHed0mjQsRG5
c3PN6A9BW7pZX8J0SeieyeYvJEozW0i7yq8M5BNm0/iuC1PhVFbzRVlIRwD7D3uhFTVbD1CiIE1f
nGQcVKcUOyQJIDfaadszYqp8G3JB9LMu9WNz9FA2vy/hV2D2FMi7NtHDcwNqEyVqbCGzwi3USdqH
fZWzUdTcjSWr3k9B8kM2x03dEqoOWuOuahAHOTdcMifWbnooZPOGUjy+IOVT02aqraLmtFfqtN1J
1fA0Qswc4D/bkTKhu5vFKdEZgUaNBqukZssWfh1aAsTmTYqJahlf6nmt36AStB80K/RWxQnXDPIv
edP7WhlelFn1Fe9MPwsscH3l4CZqNvmRBpnHVMJpJ2WS6TWBELqanlaugASTHTS95CKbNTjQ41Vq
xtxaOTAfJ5E5BfNC5zKs0UQUh6liiae4NUWmcYdOyK3QjNdDEImbMLD6HW4fPgh+RL/IT4W0zM5l
qTedJImnbSBmizfKWntmzcYlCmvtAR0GdlrRLy4HLYkz4WOtxyZ54NRRD+ui5RuPo27LSj+UklJj
3cuku0THQmyb3LDOKprsSuVs/JSnOvWHME7O8rZPv5p6yOVpCqEzpOoI51zKAP+kPQEeK00tYpLk
ZiZImGN1C0HhV68bT3U3nwmSgRSRLJa3tQA1Tynne7HLHss5GmhOV8upEudat3hf10AemwrnCho4
KjbGUBwTVaAyNPiDK9iRU97V+3Zj3BhU3Qovdq1vpZ+6+N6fqBK94As/GfnYfwhiJs4NPSNLt+T3
0RVCiB7ldDd2Fmc8U219l+6HrXYR75TvwaXsitsGXh9Ttvu8fLQ+4Wff46gE2sSiHogR32Pt2rYb
fM989C9PVnU/6P5Tplph2StRa1Vbf1vnU+bOxBHeeikmN/5LXfFC86SN+FB/GXenB/yoLKYyjqSA
jqL9f/RcYZCYUd/QUqJJsi1IsHp8bo1p+/nsfdgSeT3MUfU2MCNE1WOKfcluvQa441yqOQ4KfZxR
V+SFTuyeWjsvLdHjd7bqBoJuAd+gHpfIYezoJLW8MyyoPd2hbTa7A+uG1tza9dG+fP6QH5VoXw13
jNxdec1RXTBcCk64QGpdO9WfPTXC0ctazXERXGJxFOF9Xl23yqnW1Uer4fUjHL0mg/41TFceAYtU
14SKU0UPefbwP5unoyXe97B4EY2lWUX5QabUYQmnltv6EZ+8+Zfl+KpaTsDe4DjJEMVZfCOdIQXs
vjT8Wpss2g3dU8yij7qZr+ftqHKO2fjYig3V+RR4ulXd5tlPVLqcBdr853P34hb+2ZMdVc2hU4ST
JPFkiuBrl/pmOIuc1BMumoOtumynDbKM1kb16cGc7EEceVP/0XN6/ZhHNXRDLtNIjnnM4mz2+k2+
wd6HBkG3AXh94uA/tdTXG+nVG8wkI4WhzVD5ZB40Yh27R+nnRE/gw6bS6wc6utcqS55QwGJDCVvr
Uk63sCYU/3sCyNMN94H79evi6P7oKhvrAgWfzLE2aKsE8CuczhFc5dfnL/fE7jvm/ElZI6vLOr2A
YTc6ZlURoV1CFPE/G+boFCmCRW8xwGaTd3dtFGGdXrmpeKIl/WHP8NXUHgMjWgHFbhP5Nz9TSbRs
pGzgujOrmpf5tEZB5EyeAuwJsQuEAFb409oZP7WMTn6No8MmQMXQbNe+mWYPbvQrPJBbe/F5Z0Pq
3Qe71Bn2xkZ0uw39F984M89PBQ6nXuq60F8t5MlAWmWumAeS2o06PajBJjfkEwHaBxA6oPT/vupW
QOnrUXLMeSQ8NZntnYU3vFduRwc1hbNmB9CbArgLjQdtl8ZGBCvfnUle4s22+JVAqQXkcfLqPXEe
HsvEan2Ldcb6dTo0rZj/sygLD2KR7aPpFEHlw9Di9aMfHUo5vSDTXCOz7ucKXawdEuNuazhUDQOb
1slev/lr9irvzsFj450kDxSUkRkyhJNj1NTmDNOe08u1gfT5Xv0Anbm+WGDEClhgCBNHTzfUZaGm
KkNpdrZLEW/qnemsv6j8dRepv0bazeQ87a6AR+Jne8s91ej+MAJ//Q2OTuIOhZ4qX4EGBxo7lxPh
f+aK3gqk4Qu4rRvYF5kX2bZwPrqh02xCevOfT8IHCAsT1goYahzT8R04xh9UUqzCFxHXVrHodDvd
yScb9iKnhsT5PGxyv3BOaYd/sK5wmtcBFGPQArjrOHpUoykOAxWWYuMuvuRmbnK5InFbV3JwaLzN
Nqc8HN5vGkjQyK9boDoskBZHEx1oldZlOhpQav48hVfqiOte+2XOHz6fzfeZDM8jAzGWV4Qfc/r2
qMDUfsljtWWYTbfL/GE7+tH2dGLx0UsDRAhkAXQcuKtj4JWJmiGgXjXzs7PqIdmZm8onarlB/dOi
o/KSPdFdrrefP90HCZTJhoGzK8FyEleQ/JuTUKJfYw4Usl9gBegFK1vBUxlPciRveTqdZXzw1jCO
glAMfRL86XGCCoq/5z8SKAleRU41dwyx5Wvu12LmiUd7f5WYCFSTqVnYkcJgOnpzi6j/GRNNfn0/
e81l7OXgXhan/YIY+0tge+r+fB+GwZeGhQkSHTomqf/b2WyLsh8nWCu+Ue8y8WfZffn8md4vRmud
OYv9xRnz/vONSEnHeix8cR9uCz/dSJtoy2i7z4f5IHJFG0KEW4RxFDDNY5WIET/2qsOpxzduZ8Am
9blxs4YAui9/PQXM+uCRVrwhS5BJYysfXcWlrldm3fec2NLztBigOOLrwTCcJN1pOVgLXXPTUynV
+0W4Sl9QMVgNst6/pglVzRyjD+oz2k1Q9I5Qx54Q5zCabj6fyPW6eZt+rAMZKtYfOjStd8DdMIxV
lKCIZhTNDRoKzI1qUzhDC2jeKqgLfz7cuxXPDsZSgY2FPDv1g6PgqSkor4WqUAJKEP1oSDehrnyX
5fivD4MyBAwdCNjoah8DNpdoCjuV5N2XVqp3XSCujVqYfPf5w7xbGDCvX49ytH1LISlradaq/yoh
Nd661tsTJ+C7LWuukHuYIyinY4F2jKylyxLC5pZzP1h2bSE+S1X39PmDvD/aGULmXFDYstJ7HHKa
FUCP8J+ksGLus93i0piEXOtonrWBn3FAffl0jv3+Ql5HRUZghSKq77HJeI/OcFU5Kxp3clfAWIhk
GhDX0S2vhk22KT3l1LHxwfp7M+S6714F702JxhD6kevxpD9HV5Qe99aFcL9yGMStesDMwT0FdHy3
lXnKlQSDEpCu/UENez2kGGuwgIsFn7ZEzj3K9jgAzFNrR/jNuAggfv38XX6wWmCZIdCDmBLyDMe3
dJyhck1zsPKD9kzpn+LsxAH/UvV6c2IQAXD7g+PiwuIKWXfFqymUOgvORssAyS7YrDWDlpC1I0o8
Jbnywbt6PdCxiIKSLtncCXAKrPgsahs7bs6r9P7z2Xo/Bl1PBGSgVEKgfkea0zodyTX8Dv2AHlOs
u7V5LqLY9vkgH0wZLELg4xbRrshRe3Tphktft8oiE+Pvup12MHfqpWmvoXX94/OR3r98OImwQ0kt
APvDx377btB26xTg8bU/GT+S4aoO/vj8v0QM/X9NeQa9pVeT+I7yefXU/PP/vCF8rr//L40Z83ed
CwQ6g47IGlEvb+5PjRlT+h1qEMmEjEMQ6ltrsfpPjRlB/B0uNhY+OEkpsOBMjff0J+dTQICGVIBQ
dj0R/rLKjPJimfLv7bjGBujYGPJ6N1Dxl48v8K7XQlGb88FLBSEwMk9U+nI+j1BYlm/lBMuX0JYF
IckPwVTU46/WopP2c2ymSC7sVl27/bQGs7ShoFNMIh35VAfWhVQJKmV93iA570qRJIQ7HL8HQHga
IBnBMxuI3L+iBffEyR4UtUXOGTFmTMLkaB6+CkFpoX5QRGPjRnO1zBdSupSpcDBiIeuAmcetEsZ0
ACcgkkmeVKHfyw3K5AD92sz4RfE1Nu+tpizr81yKs7R1UczutZuxKRPrflTzVLNsKyzq9BFISTQ/
5xqSmQ/mDN8WbcSqyqEHgVtQ2x8tjo+kDSDQylpEf6NN0utRqaYsv5pQMJyUexOUk7gaPUVC9VAm
CBD/jGIjl0cK2ZFZo1WOu0R+J41imtyEUZhI55NZlaXuqGHcaMb50kZGf6Em6RjcBnKVDhDWh85M
d2kpmIWF0GnVZijaj3MXPmiCqM53YTYq+leMxqS8PJ/HOgNp1w5dcdVngdTeSr0Szo4RTrl8V+bY
hoeXWSgvOvjGLNYTUB1RJIPBIvGc5ktRbIoGhQUi5fHMVNOl+a6jKQq8WEuRfX2YO5QQfKuKC/FO
0zNF+xZPUZnTww/KxjgkdRRbF0taqe1mXiQEV6PaUIvdbI5t/0zhVilv6NKX2kGfZ9m47JF4QOlQ
QFa2xjaHr6efJ2YSBI0tp4tW6ngjT4t2k8bouPppUYuTYQuC8lToZoVeHPiwMfgaT3MC8rDvGlTy
O26UqEGPhl4lOuNdldS+Bic/rWnxTshUYrYcCN+KKJyhVqooVp8lwEtkd7Fasz+nKa1kTpFXaY/J
AiBC2c2KRL6uhHoC7Z4WAnCPrkBbIAaNhOZ7MYXRPe0/7CIwak0Ap+dBU8rni5pn1b7DGmXe6Z2Q
dy4qU+rs1paFRpqoD+G8x+oAJGhrRUpyRjdT074I6LyiBa/WvfXY5kMbfwVmNI13SThW3ClLFGtX
Q5h2mr5PAGsjiolx9tSfcfdU47kE+k9sJLtHI0nai3GimAcz70WcRBRjRBgpSDrtEALywbNGx5xm
VyqZIFyqsmCgUZIlGvaHIrKwg5MnWq155Yyuj92buIs7UqpNKW2fRB/Dy1FC9chvuaPUy25AsOlM
mbIoumJ5dPKlkhSS8b1OJznbZYDGuj06K7L600TJVNn8X/bOZDdyJIuyv9LoPROchy2d9EFyzYpx
QygmzqMZx0/rbf9YH0ZmZUkulRxZvWs0UCggI5FhTtJotPfs3nONzMmjQ9Vma0bkNCut8DPb7c07
V2uQg5AcUGXWER1uZ32AvwobH8VIN8FTB3v32HWJml2jSWqmzUr75zCqrR1903lep3/VrUYzbkXD
9dy5Za5H91Gjzc43w2stcaknTqZcTfzo8igWdt1o23L0pIsnZXIBVD4qUJnFSjTczDU100U668N4
26durPgtyrPxy9JNHUkQhIk5zmeta8sRwm1UiR2caFOEJepO4BNmQyLhxxFcI6q4xllI3sqsyLhK
TcqHq5iYlFbfzMSQrQzowfToCXBHn5wxFfoFeUEDEqTKVZslZVbLbKaVaNozCwvVULNbdJt33ldH
FAXkD8acfucQbryAhIss/+LWpKT8sMeosn7Oo2FmyZXUzUxGRztGB5IEIpnoF9yaAKQ6RaI/7Zyu
D5Se8Mxmg+7TaQ4kx9o0EHNPWPeOR7IsKkhpAbyZE9VLfuldzqcAceEyGFyBPXR8AxBZRjZ5F3G6
ICQbEPNv0xZZ9FUjnEa917LeVY/QZ+08tIEK53dIFRZCqAaNjAaLdajXAK9TidswvF3XYWXxc8dT
6nLLZ0OpSB9sbac8LsUijHUgxXGvmyYqjQ9WOXXuTTRppXvdrQUC2k/y0JLHUkLDGja8vX17AUwL
a8MVJNSmexizdhDiqhr4ZHRh0XqxEPsu5Rtw5aRVX9+WSznjn9KayYVAq8u5Kr9iI06UfQRoPXlo
YYSRfOHObm1eIhYEBFz4mSAJAiiVhypO28VYZK2FQBzO7lvIzhBtA2kWuaPejQ3BYoY/LmUCSKft
MyLFRnRgyQ1LN5fHHnVZ1iSBKHHXMJ/WC6cefOqmmcyq3s8Dp5g/SSYrZphdrdKrArCQaaD6FyWH
6RjkW7vh5hpuRpQdcuhhtC0+w6x7ho/ncVoVmaLJxC41s30yxhDl0O5O2QBOzJPAjLMBQOu85q+k
Np4iDy/ELuulHn9Qe7V2Ap5ZniO2JE3MuuS+xc6nYvS6RPEh5zfAU6q2oc13MBvkSl+XGpf/musB
lZ3vhxg55x+byr43lmHS94pjZvOhz1LDeGoyhF7YN7R8PBrF1I+PHWlDc1AWs8nmgw1RG28QLg3N
x9SqRl4hoEQcfAZpoubmTz6+QOlZN1RcKvw3VeeTgeOocpdSx/c1cv8kFzt1dhbX2QF+noUWUoA7
Qwlpure7DZ9wsi3GPJqLwyyz0VCCJI6L5LvM2I00QUxCU22FM04IE8a0AcVa9YsIXewP0B2ec0QD
S6aFTw80IwgDxO2CGJDf3Wn6mfbEyaHvavb16E5QdazlNrTBkzJUJiPbp9pTwyR3brV6IKwE5bGu
o2jyIkkXPHPSi4w0dHYoB1dpNk1ki62Wi9iPMiSIJieL+6aGmjZq8XDZ5PM+LZrbqQP38GwzfPvn
RvI/Ywx//1Kb9OE1FBWgBMXLy4rCs2VnmsR8hmmsikvNxbbiIK/7osSFtXrWyvju/QHXEuXZfpb4
MDbstPVQsNCTQjrzcsBE6BV7wGwKB5K2DlpHohXTWMF6Y/altyubRV6Thsy79v64L8t06M14vQkN
hFeEr9jgn16Oq/fWAEpJKIElMAP01dzdtq623KqTPoUK6M9/dp2vxjuZAqQeeoprSSVQZKLf2/OC
dMIRFXCyZKbBLsh9bPpZPdNLev8qEQi9vMq2VrrWTuwuRPMKDr7gGycny9yqayycFudV+P5dPXma
61Uy2UFBgdsE0GqvBeuzZkEJrolgbqMNMyPp7so0rdxAiTzzpm4T5bbNgNHhCnPIOHt/3Jd1/e+n
ybgW49Na4nTkZNxGS0xRIYsPq3opN0MyZfdzr7XHxmvd3ftDnRxQrDG0ugFV1yYPlG4WbfyX16jP
huirPOpQFuNzSnskluhp15yQ2Z4eDfxnBBQApyoDZcyHjZ0M32oXQ8YyO3+1TP5Rff7/KD+Wmfyf
uU1+XRAg8vS8jF+PqP+q4i3nDwjprOHa2hRToVD+XcXb3h/AQTmH5YzJPKni+Ve2u8b/0qkm2UfV
+Bv/VcXr+h/wZamu2JCAHl6r/39Bpf5aVN9jxQKwYI48W/XMlRBlsN7R72elZR69nEPuyF5spGEA
0L+b4jBTHReYGfE5dn9VYZEYHxU9n9ULLAGI49WktpegqzVz/mbN0vwWx03kfJWazOKQk3oFG51t
zwDNvEraxIEB7v4qdbv8RrTXJLdqQ6GE7j1bVb6qoqIJxzcyKddt4eJtZ20a0fR3hsULI2gMtwQ4
mG531/MPPxpq3XofDR3ZVyGVo+mQalDGmDjVaImdr4lTRt6+MWf2376pEnIVQkDBrujSLSi3s6LY
MfaEyuKs2ZVowhFiYt4aCjG0+8KQnpFx5BZ13TEx2N98iBzU+qMv7cSpdKw+saX+MAupWAGWbRBX
kkiDSr+eG3vUrqTslfSqUseS7D4cJezfMowemJcGqghUxsagwV25cqWZ2LckqnhuHWaCNk/mx307
peJ7SuluZfsYT5Kn3yYEV44x2UZS1dIL0Vk4kdhxFxjC2UeTfGB0wrt1sQd3QZ73unfZLUlN9g7q
64bvOA/b1zIKhE0umX8bI116zrhTOfQk9OU4KsK6iQpFfDTyeRABiRYcOdZGj1UHpSN2KWKDRH2o
tFzn6892LpZKKFplWvbq2Oroq/Ec+ybY8s3Yxt3WmG2oslGLeb7xqvYmJyRvWfw6n71vXtJGe23Q
SP7q5n4sbxPHo3ETcxLVYOzSJDxes6SBwDhJlj1yq/FYUKWIdOOOY+T5YPOtJnTz0d3FvYESPnbm
6CbvXf7daOSZhn0Nf8ku7oaObL1Zr/FpDLLO/Nrr+nIXJ9X0KNq8mXfRNObKRo8HpNo9LF2SreaW
io/mESdsB4UugUq4B3/nYaoXQ9lMrUmcyagMuqhdH/zYnLaEROgmUSBGkoq2uDCoj8mhM60lywmf
rIAvfokbk2iWsm+NZEeHNpsfh7rFSUyYd8NxTdPn+eVSR8mnmgw4ZSfmxinDqZ7NNrRJsvtCsUhJ
0wza8NUCvodJcUKwRwpdilvWmokLIVtJ+dKY2CpDEpbnJBg9tshC6uzrS5SR7mVnSVpjEI71IZin
VB5aLy+mXTEOc/GlAvuQ7MiVqJNt6XgEzHUKKN4gU6b5W6JRCmIDqxbwp3Mxwdbo++jrEhHXeOc4
EVYeti3dU0J3QDl6RHQ+pXk/yF0zO9HAs3Mnd1cRYfgza9KcurptysAh3Y5WWDeRwetGHKLtMsca
nxaV/QfuJtvieVt2TxSks5TaL0MxItRHE2r5TVnyjAgkXSxvC2rdopdiz8juZYRVbduLmceL6tjE
Fil7faMM8zIcs8irnoS5Oly8YvKI7bMm2wmqmkmI74F6hcLbuVFJPkr457kDG2s7ovfHJlfHIyFL
sesn5RQbm6j0XLnrk3FB7zCQcWARyRiTS2VT7iw20QTYcyfp7WdFJA+l2uQKdixNPLlN4+UPdqLb
06GYXeLtas2SaTAMpkacGxie7ldWAm0P7IF8HiJOHcKJKm/KnU3pVMIFkRxb4kPbUtlTmSX4ehRV
IfzMU0RlEBTjtBE+spiYp0nl+NY3UpZQEqLMdgk9s7X0/RKrVRwmImLh0Hl5Iz/JR0en9Wp5SrDo
kYKeeignO+T0NVL3iqUiOlXYreI0qfBMbxUrmZN93RVEPZJfqTyISrc/gbGMNd+NxAR/1Z7tX5GW
S5zFKRS29TLt+CbPozw5jNFcUXhNXq4cCJsR5s5L8Z5smnHOui3Ambm5iCy9IoEDMLGHJlXJaXVl
9TBh0hirjipqqL71eswbOOQlNmo9nalby95xo4sOb0kdjFOWUwmLooaQS8FL/qGCM+MyHkezvbZl
UbZgqLXiB+2YRV61ZqMrF9x0DsZE2trTxVi6dn8hidgmnLBUmHiXMRlHCtgA3a1vxwV+70409EEO
plpVLLC2RvAkOYeQcpyh1+eAkDiAd3Ufj79ijyLQH3Q5FKHmzCNQweV3yih5hSmNAptbmWeGM+wi
R2JDXUriwv02EcMU5FE73cA81B9jG0vQ0HX1TUmP6R4Ba5rh1VTKYyrsSQ0brTTw1EQd/nClmgak
FQT3ZRynx07Kn8wi+zlZ1KOb1GziHyT79AQ0OW457pdmoeHuxWnOJ0RfsQIdX05jaR2NmL6ORlBa
ljNpPloyV48qibi4zFUV3xefm3HGmF/phU+4r26QVTokZtglKbfUgtmQHqdG58ZKrPziOIHo7X8W
/KIcv7auNpeWN+Je74xJlg9K0+MVZitflk+C2wtsZWJV8qO5t6ZHomaL7gnaeJVeZizTTdAlE97D
YtBHoofUZMYUF9VFQBthIBlRiZo4jE2rkdhgSrO+maWuyotRK7WfnV2OZVDPNom1U1KJdic92vt9
6KqRWK5WmUIyPph53rjF9WICDLhNM0ftN2Y9RX1g9oaUd1Wb8v1pRkLTQgytIy1cr/e6S0WOCzHo
HNqUB3xCRh4SLuo4QVYSufUARUNZKp8WvdEFVaIaT1mXFgk3cVBxGcmqVu8oSAhrAatqwG9oVnTA
zDdguuJDmk4XqTFU+ZWSdWp2GQ9u+Uuai2P6EWnED3LqFBODUV2BG9Cr3N52taJAd+/ageOWupoL
4dODjFoslJVhg0tweEUNXJ3kzCbsYMJccGz0AU+1J69kXzX61oHVU9y3A62aJK+r6GGyxIR5rNDx
ehakJ6WfqzjxkG7TFgUWUvUxfkhyQ9tHDUpDsstoxwOG7oF5EISZdnPuHDOvLONNYkZYeVNbur6M
9ZHLna0eH6RUR3e8j8uZ/YJgO6d/d5s2E9t0sEk6gowbVe4W4NiA79fhQT+4g+4gXapoFfv577Mj
VIaCJk5bDyxz9LtccRMrtP/xogz98hFLqOb9Ip+qYKWUdUl0R0tfvfsMyXj6pY3RwCmRZ7PkCfJK
7Ou6WbLkXoymOgY0PAGmD2R+Y67l/zDZtZLY3VFEWnY5LsLsd0Um0s/M7oVIMmOgxddqhQMgw0yG
baVC/fhuIoRswsioqiggzsuUoVs3Krr0Rai99lknG1fbVoU2abfuXK8XT9YvRlGw9G0BQHmarDBq
VjwW2bq5tq883co3CzEbREsKmTs7DuhldAmHw6Sxay64gMvYM6PApMkLzsgcZea7sWl4Hz1t0ue9
5hIsHAow+WvCpTJa3mGRUy8/O53bqwGPNTUANADQD7NxhBw48V0sEW/msdN+HLuRQ0KfjHLkX+wt
Vcf+WJdOyRe1GYvlGIOZ7x+Il+M/bPo0v0x4piQfa1YJWyxSRXzIbbLlwjlqCWsFaalLjssAb2xX
sv+nkbOwZmNPilyd+W6p7wp1NcMVThzXGykWoyz+7Mn8/3L2f64isv9czt7/bP73//pWQCL+HzQ7
0zUGpXpR3K7/+b+PqJFRrfogjpnxHa69xr+OqB39j7//lNChv8+nNe8PpGwer8+qeFilwH8Xthql
Mu1IgIGUu7bK1uAf1bUvqlpYkJxzo9GDoKkjTjXXn/C8+wN83F4kwZdhNO9nN9oaTMYVmf/s3rzR
olx7Of+unf8ahbah5ejwADkJfzmKllqNKpwIAXNWAqXoK78uqSHfH2T9qa8HcaCl0Z5E3XjSUKoV
yW4cXlxoAVhQpuQiHfsAW/WPfz4M0gEEHIjW6Dyc9JJYYMrRHp31WmBOGvHGKzCcO2e8HK+VV2QB
ag5aWqQvJiLKkwcTeZlCQqteh0kcJRcJ6IDR7+olfTBmYDwbJWs8iFcLxZPOMUDYab19TaJpvHVH
Y4SJRkYkMmrNXoCysOdXw/fvwsuu4apm1ogQACaKlhQl7qnEKEdO0Eszb8K6bLYyNeBYDB8LEkra
pWHfO01nZtCZ8V4pjfqa4DOKUnK195H8VsYXA7IGd760kjNEsZNm4V+XhnYaDDTXxUW+nKycZHAu
AzUiJKinAnzHEeQ36feBvs2uiY/fnxMPru3yf8/bf43HlFXX/73SyRLomwq1bZpwwntabeVvcXh+
VqP48vX4axiXIArTstiEryvK8zcdnz/bnCJtQtlMe05L7x0j20WJvPynEwOfIoglqjkU6KxRL4fJ
BomyLVbbkAQX6DEtFvmebQLtkWTeJN1Zc97Lttx6WS/HO3kdZ8UgFrlhPCsOV461uIrv5uxy8L87
uyr0xk1yB7gARPCZCfn6dq7WbFrLrMM0lE+tCnQ9TMGhGm3zQZHwxqr+i8Wp34eOeNKf799SbV0e
X84Quo9InByNHj3Yt5NH14I9SHXiFMLVVAtlAsKK3x3NjbGXe22XXS+huC322UV8c05Y/VrErZs8
S8d04Szbr7VLHuqWmgctQtoFn81w2ssLb5ftO6x451SY6/p8cpXkdQCmRRPMx/L0HKuN3YXjd9h1
tVoB0Jm/Fsm5iKM3buSLIU4mi510RjZqgwwlVelWG8QDVBSsA8nwkdr9o8ahVejI/AwO9Y0VhRgu
TyfQD0QHes+T56cvucTzWPThsMVNf2xupsskaL9z7o7Swoc3cm5y/k4SOL2XBsJPMtc0QgdOkwYE
cgy30CnXzJ0BVMlf9m6QXoG+2+UbsbUPFE8TJgZCr/30JquPNLDOHUv+9r+d/AZMGrTB0boazisH
UaYYWaKA8ArHTXTnXtWhecH2cw69bZX47kF88ULnK52bY367cu5XM2IS9vvqKjrzrXrjVX3xQ06e
Oh2AeHSI1g3FkIZxgh6nT0M6vf77r+kb8/fFMMbLlS+BGLno6/W2XXFb1i7ux5xt/vuDaK/XO95G
vA4Az6F5v8JC0FqgQDLaPnQ0fwyNQJ939U+chof8cbXe1ZU/PmDaujy3IXnzJrrMJ9Y6Ph+nFgtY
GTKuBtmjeBp9075PtO0kz7wob10bwkt2tySYI5k8uYN5YveJQsgsMpYmEGm6VUUI6nk7lPGZ1fvN
24han9eRc/71TOflwwKhaCVOPvfgQDfR1/heDduL9kMUEFZeQ5W60DaQH3J/3HuP7z/At+7js4FP
iQVdIWPhJJDzSuMqa6K9k1wlbn7mI7wqW0/XUgdzFGUH0oXX8Q59NNdFu5JJVhy2cTS+RQdvUx9W
FHYx+ed2MG9dE4Yix0Ytu2bPnnzzjSVDAzDlQziQ5GNMJZ0uEGfnQpzffGbPhzl5jzkcbJrJYhjS
xT+aF/JgHP9EWpDP99Eh4Qukxbg/Z8d6vT1b+SsULsiBLUyJ68U/Ox9vyK/iRLAewnnEMw31NOGA
oW8P8XgdDZq/kBg+mrv3J8lrAyjn8VDhCUBeP/mvvvg6JqZaWadndly2nn8lNou+mQ4I7ek7g+xt
wnlbpDji58vEt/fyuoR/vGR+RI36d1F7++dq/Vxb8loXf/JDTio3j2asSnuEH3JI9/gxt+muPKxO
jLN2sbfus7NOHg5gvDW++OV9RmbTxaKBpQg/QvgGfcPbMiQU5ba7tI8okQeg6oRIaL7+Tbnt99aZ
FeGttef58CeTSwi7HRDlUUnlRwdqoeE9dhEddGs4o3t4azfAYfa/L/RklYPB5Fpeaa/fxSng3BJi
ZQJMOz+MQNE2gFd/npvCbxSTTKdnQ66frmdzOMZ/BaiVIZOjDHBs896g6vDCwjcukv1i/lfWoXXm
PBvz5L1Ju1xJGriNYT6DAfB8PRQb4JR/UkGc2Z++nt9CvrUQPR9zfcjPrrPtu8iKXMYc1GmnZjtr
wITan8n5Wm/W6b5mzUzE5oXU0Tt1cOD0Sh3OwpgpEk+2uzMS+9wUOTfEyVvXj01GTCtNRNQxh4kc
F/3nYO20exPXeX/j1Vu6NOdo52/Oy+fXdfJJ1AGoOYpkkvCqr9/Du/SrF4Kv/RhvUOHlfr8/s7as
E/2dG+meRLDaxoCc3uFGWuxktOOQEFazcI3tQX1kUd3H51A7r8kUzMlnl3i6xhj54BW9sjZnD+4v
9Snfz9frimYf28/uDUcz1xf9AanEvtqJT9lKuw/fv+R1o//eFZ8sMlPbOYqlcMXqmG4MIIK5696k
5j1C5t0MVv/90d56G55f7clCU1Oii9LhgWod9FNO4JVj0zhn5uq5QU6WFsscWw7UGcTQjqaYNqgW
0CncvX8lb+5nnl/K+iuevdiSaOAFjXIfRl+r7mp41PYegK5JHpt73a8fzk3NN98/m08+xh0SEn+/
Ks+GI8AiazOLedJEOa6EckNS+n9z354NcXLfvEVNddF5fahX18v4C0yi2ZwhlLz2jK7T/dkYJ3et
QACuGCJa607lO0yb7tEkLScOlY2zoTX6a/AwuJ2b42/Vni9GPVmEXdJ5lFZhVH0H/gWN+EHHN48U
FcdqkP7saFkotGbaB/E4/ujuOU8/s3s69/ROym043MBnEUqHKlYE30gAyw/uOZv0uUFOlujCnTsU
XgySeiqAeds32//LyzhZj8nAbm0wfFRD7Q8VwigpB8H7r9WZaziFH4kCvLQRcQ2RGgUxIgNP+fhf
jEAph7APByfN1JfvbdSAG889hZo4pwmnXRrLuaCUN9efZyOcLKnG5M2p4zBCY93Tk/Y72s9Jfvv+
Zby5gVol4WuIPb5A62RKIRSwNGnEAx/kMSRVHc6l74SrDxoGbJiE3m195uu4/o2vPhXPRjyZX0OC
Hn9ZKzjLFL4dP0TJMdVv8uFQF1n4/tWdG+p0ovHgwAsgAixAd85XZeFdpVXl91m7Gc4nNb210X52
K3/HUj9bW6M4K+FUcWF9flHc/o7vCpxrOQc1AqabPsCPEACFb7XN9M9OiNZeMevhv+/pqcl3NAaZ
TDZPMYqvEvo/wJEwVJ756r61j6LoJrhn7ZLgvjqZ84pKp91Bqx5GV9Fu3MUXEJyBbsFs+53meK74
fqtF+2K8kzdgwai5RAnjzRcI0rf1btkZF7oPHP0sY+o3dPRkVr4Y62RL4SWcOaeSscZNmu/ZtQXN
xguUvbZde8NwwynSsqDcVfwMEgDvKGnClmysaxC2ZBRF12c5RW9Mpxe/aF3jnk2n3Bo0dAr8IhS1
5p3e/Yk8C5VQOr5x1RGByJ0XD8pt8uH9t+aNhYcyVdctU+Uo7FXIWaX3hlqSLBMiZz3Gq6tzHgi7
GM6h496aTy8GOrnCmvuNBJIEk3Hj7sp7L+czyhc81B9QDaWfcZrm5+bwuWtb//3zm1pnpdVMDImE
GN3xnWM1vrCe3r+BZy/sZKNQ61HeAhthlG11aG4NeE/llX6gED4sH+bLc03xN/pHaMRpLKw8H47V
T10AvTIXSxyP03oj7yLqNn+F+QwXXmj74th9XN/QdBuLMzu91y8oHDETrgT8Ao41aNu+vJtt3mmK
JNaDEHJ9UkiP0UWyyeTQhoWsjYOLHzlMCmF8tWoLGJ7dksjaKW29EYZYznxWXj1Zfgt+CzqQ9lrC
ni6BS4f/uK7GMRR5jhr6e5Pp/lg+vv9k12/Ti1XiZJCTFcnTSa8pqx66sp48qYt3HMR0uUTUc63R
/fT0FotFdu7KXn3FeAlBALBd97B6cPbx8i4P0rUTsNb0xBfSPcbE3hXwNfS4vUys9EYhauH9i3y9
J6C7ym3UdCwI0K9e8f9Kc0b4mKzTaQ3TykNxNXxiPkGsJFfiKr1pz3V133h4L0Y8eWGSHhwyirJ1
xDXelRSDT2vRDJi5Bwk3PwCCO98X4HD49eM06YCuJ62au547vLyzvdFV2iyLMVQ8A7Y7JyjQuZeB
A4iocgZxqAdT+qgCvTiYWx29sFQI4+jqyN0Oi6p+iiQA8Y5FrNrkTWJDI1DRHN5htcyvMhkbe1eM
eocoVW/nyylDJx600zBvy0GLt4mUDRfqNskFMUPjDUXTbAdLMU4iaGaxfE0I6tpLR3E+OwqufYAG
XrOZh9GMCL0p7CAHVtj5YOXq/QKGc9O3S3TbNymExqRt9147f89JYZPIxbvmMSF4VZDBkKSH2cvL
jeauEjBI5/kFwhZp7XKrcQM+gsM3IpGaemP1lYVs0EGtzPri/rCVDMSaM1X956KXqF3Vupy3hlXZ
vxBMF5GPy2i+XC2wR6gHcXLk7lh1OJaFWsKeS5LIHyqNeBvNTfurcXaH29WnjK4Pwvl2cuP412TE
6Ls6owKPELndL1tmQ0jqU3IJAh5/SoIFdwMrokJFNsWlvCF5g6AS4UntcsJf/qXWZB1zd0R9qwHE
R0iWtwfRtMq2MSb1g6sMsg2FNRuPpYbwec+yOcZbZemKa4NwMKzx7nLrJLD5d4rTuDvFaOut4zR1
FgyogIVvIUrHwWuOJPyU7AIKeyMw6d2YhbBjfxCxFSRKzTGg15jfbImRuC7WgAj5KG0lTKvmNs50
YjT1wiqOcZVlTzqxZ0ZoKyAIAkwU+r1Y0nynR2jyliWyrz0Oi/exGRfX/aiMPxZ3qT+Sc2Jfy7Rh
3TGwoXzAlmxqQVK6TUcDv3OfuqJT5WaxAI2HwCkMYmy0JPm++n2/CCy2dmC7KQcLY5+zoqiNmV1i
TKw/dnqa7mpzwqKwiJQn1iil7lflSqlxVbK9N6AQksAQxPttyw6R/mgILKKsIhqPDjl1oh1GkoEc
n1jj9tjlRXnfzsZ4FB0aHrIZ7BnEV2IUqKeFeIrVvLwxWkItTCcnnIloEP72qI8+lZ4ybEtz6MK+
SKfJ1yLDOca1YoWcrw+/7KjHWuTNmIE0yTFw0yvLz4iz/t5XM6XTg5nMlm9zbw6G3xZWc48Fy+h8
vVEVzEjEMViLppIDokXOZW0owIREQ6zmGBef6ibGC4TF9JNqFWglhVH8bC0NBfCYtlRHbTt7eAYa
5WeEB/xXFVdEIE225TftJO5lScKaNmC+dqw0OS6c0G1mWTnKAR1jG8ykudKotq3qUAmr3Us3hTiZ
lTZhIXXTbepm0vx5brSgH3P9CdtB6pe1oV6rg1sRrtGk2qGuNeenWiqpviHTBcmZ2xkFn+BqOsTe
vFwPfB2PbAf0iyXv8bWzX+jyUCvBRHi9212VLIafCWpofU000W6I4ZRFY1vdNEpNCh5nGMnOidVu
PxVGf9uVqbLvvKQOnYEoix4Uw8/IUfG7kI9318xEWOxwM7eX5MvZmxR7/kXvCBwW5QqACXoFtTp6
2TlGiUyH8pdIuuin3WuRG4BY6ttNO2jaI8EEWoLRaS5uRTEme6NZJv6wW1hZPVd8XDpFuxwWiXw6
brBChHrE+uYPnjNdOEMWaeFoT2La453FGVNZ+MI0teuRl8f1Ig9R5/4s1MSKApgro9xkkzPcR51S
3XsVG5WOefEtwxADEqTBCRONtrZsAYzITZk7mBZsKrYoFS5hM7pRBWYnnOtaiYpw9twBPHtaAsvT
EfN3i/ajBvXpdwXy8cIYll+eGOoN76aJi0jPpq9e3RBpKFU3sPqW3rfbDIdWxwTfDHx9XNxg4eQK
LQ/SUW+f3MFIRh+/7rqpU2YJ5EGKOOzMGTh4hMeC2KU+Cx1weZ9cS7GuNF1TLnSW6sAmAzJIWPhC
qaTYq1Rj1h69nmgTn6aG/kPBYnwP+aF+igk0wQumVm1xybxIPUbpdLJPY0S9Y6fLvZgI7/PTrK83
XubqH1NwBTnyEmU5zL3rbixyZ57GdBkeRrOOLqZxHDm2HGY97A2Bhwg91UbpdTfIBhdvBHGLfl+U
013ljsqx8uLej2KcN/ifyLBoeK0HJ1t9QGN076lpfyhbAQCfPBO5UTsZRnqy6QY3MKOYyJybxQ5m
UT1Z7bRD9cKXyOjozmEqv+QlonOSKvYm0QX5lrNcgqwySdcmQO5LWtnZrhvkcis4l9yKXnCDll62
LJdT+rV0RhohSTHeCjnAQlFMwiuHbBl/xu0sd9GSZvxaRxtJfFvm+C5BmRhw1CqRvZdzk+O91dSg
GTXrrol6ckmQw14sQhcAO1YXSduzJEZVZVBYOpG4Jpql8CuRpUHRdOOh8FJoOCO+fJEN8aPpVOCH
YRAFkIvS21zJe1x4hbPTcHxdxZ5l3gzrF5kVwQ01q5n36OGSixmY2rYepTw0bWReTEpxWaWoC+f6
em5r6wOnTn04KZ34mOlrOkjTd3cxCAjfHh3OS1CU+IMkx7ORPwhd6APRWhdZRcQCAU6beXQxChWg
WbSZXxSbqO05+Bv6exw+ANB/aIkcNm2PUK02hwHZ/pgFTgHhA5WiE7iZTYyS1eQHN7GcW5AbRmgp
Gt6NlhtnzJ0ddCXEDHjU4JF7lR81JbAwGw+HkxvFtq+NhlcChW6dwpfSIcxDT7RdmcTLFKSFs3zv
I3JaQZTIvNm0nq0c6nQSm6ie5I++rqr7wsGzYruZzgGe5Zrb1O6Pyki8muVN7a96KpyrOlKndtM7
s31v2rj7fOJzYq7KIxUmb9yU4hyzYtCWqvoddF335BZNqoYx/ZKdmnfjVQcv4kPMx+0w2zgwd1Pq
ZB8yXalxiLZa+TGqReyCU4qdDSqbaeVrzACuPxNLGX1TZms6LBpxnZ1EtU0kqxdgzRoDlciZgDCv
4RNOTDYCRVxf1llkpQEc1PLBxfnyJZFuxzGlF3HqRGQ2Jha1NK9rGa1iycG4swjrgAw3m/EtngyW
XZAL94QMUWdo40QUcSM7EcaTrcKNqZU63g5VataE61Qt3sOiRJCTNdX39wuQN6oBi4YWugTwjNYr
CUuXjkM9T2AYekrFVL+0nAae1jkd8lo2ndRynIJgzVbR+qr6qSZHlW3TJtE8hvrdmF+QCAVgpHr8
P+ydV2/cWLem/8rg3LPBHAZnDjDFYrGqlIODfENYbpk5Z/76eSj7fK2iasTp/m4H6IBu21rcee+1
3jDxVsfnEMu375xukg2XxqkP8gUuRdPTx818l6Qmj/b2AxbpDwt2BU6TEzZM3jGxMi4RKwHeZZAW
ARbPm4bd2lDTOQAnvqun2Z/yzHhBJjW0VTVZeYC/L2Utwi0ecUXUw8Mx6dC6R811w2UAa53OTjL3
l8PBGqzyfZplEXCRfshxPfYagYDDbthCg7Seg5vZBmZyjMHOvq37SKw2cZG75qJVBzk8PqfZ4r/k
TPvYbnfBvUL+M7PX0jpnkg08ws0Z5sgblX+fvk6LBMmYMJN6R1db3IiVTt76cQJvCtvdKi8dhKWc
rFTXfGEWAjEkk+nWt3EXjQy4w41hQdwJXTAnvQ/s2tXLTenOCAdcgycb9f8BtfR8JxyUp8D9eFnI
Z/IdJ/EX+Q4tL5TCnNstuqo7pwPkT7K6wYuZAxUEltNuNfBBzVW++/4r/Yy4xTZyg2/CI2rZa7Ps
3CpFlXbG7SkIJSxzXJWMKkDh8zVZJ//ZpH+2avjp4waf2e6oZf4VYdHfRcbVHwA97cVlOfBveX6C
J1/Z7t4Dr+ZRRSNkVgmhUvDa628ynwUiu2pZz+24bEBYp0dpj1Gd75i34tNgY8fW7pRrzeXmCrBc
uR2/aAdF3QZX7Vp2SXm37xqk6SQoM6YG4PJ1+r35kKT0UxiDyE2Mx+qgv8xF2/CQXbfgZMVNuFX9
lbLFq37F6UZ/EnBZDASs6+XCQMDgED32x9Z5lRh+SG0V7oO6I3dnj99CPuNHSS88AaxxMAXvnOhK
2aiuucbCeJ904nMYAF1iLN5r2E5mqUG4Q+dnBofMx016xXGzkXcZpiH5WmbtXDSA2Rp5/Jn1sUQw
Rn4lIdIFtxNDu9nx/dUry7DRivyhfQp3a6vlzA45q9dD4oI6Y8wz7XTTShIN0YfakhwM7x4VDDSC
bXWBeyd18exbsAKrfb9y2BtF9GZBC6sQlhYFqU5OphjxRSy4BJRDdKeeGsfqzJUJ9B5toBgI2oqz
FDqqUMYSKBnm4qgizqiwdDx3OhjP6YuEsulBYbVITn6TkdJ4ke8/3hXOJNfx9kNPF/lIA0D0ktZS
aj5leK+E9cU8kW1lK+2rvebqu+ZqrdJ2ph9N8JiijNA8q3LpyEf+UqNm0apOWJSPiYX29eBdghJZ
Ga73dQo0xwwOGF1iL8WKZDE5VC8ZBa6ZqiPeWTf6cXjU9uHRPFjf08v2sn0crkJc/9auWa/n5On6
JyqCOWw26Hq9o180EWL2EO2hpm9BDOG+kYH29DCM6+zOGRzfxjVuZ60ajbw/OLAgQPIVxCdCdZBb
TlcCkjaY8Pap6pBfujDy+ltYrFGS3l/wCEFlgP3UgB64LMhik8tLsAzpT4xFu+7WwmxKKq9LfQVv
8/4mMscxKAhqc31liSnPxKxI+gQv0di87mr45/6Fbnwxu8jxtX0uKivz5P10hH6kg/I2MGiR3qHl
K3nq2ymDiKhnll2OTwlqQoWeOh8vsNd9fzEvUFUGAK0osKFJrJwOkB8Ws8IwC6zDtnzbfU2/k3Vz
/btuA3fjILjibrYoP6L7cZHeJKtuUmcGz0AUClYDqVA2yuX1TkhaEB6KSi543BQTksG95cRoW/i5
tbKDnZmKhAJ3DRHP4OSZO/zNkSvFKuKS3aA6VHXvTL/6RHJn/3Fvnm0NRUh2Y4k9ZDkVcy0CH5fJ
2M1OKILCxA/jGuPUwC2Ew2uk/0/M/o/5zvYvDPs7sfDNC8/7lxOZMX7/bya2CXfaYjKzbmBA/lL6
/2+xcOsPavkcIFRomeZvudgmf4jBsmYRuflyy6D+FhmTtD9Y8CwMaLBMGcv8d6jY3HZmIgpVNmY5
TNDFBbeV0RZmn6zdRgjI9JC1yKqjX067N91x+2vlvoX0n74bNCgMhOGKg+wfTFDOztNZPk4lt65p
rN1WEC7yBpvj8dlT/lSG4DZRV4ko81n11+7xOxqXdjin8Bh4c51Gi2mS5MlT7ZqVce0DrbLDsv8K
QKayjTQFf6jCe43Jm6ijtK3M4BY65TfJSx8yI7xiuR+GinRSEO/Q3HomU/7Y1GsYtQW98vc3cuVH
320ucRrzvvB23fcoVA3WULueNYSbUQIpWyjmpoB/v40S4SGQysdSkveaL9wXsVxuprlII0TDrRpZ
l6I8HIC6o+2tJfI2KPMW8nm6MmiLXfjXNzLHYFzPGo3wlk6/MVC1fIr1snYVQyULTFJfaqtdF6Ec
jMTtUVDzr+rQbNCL8O0pGq78gJqsUiJ0pKT7Kmg1WxTap6Aqv/VIrEx+ts/zCQsZ1DRWDoxzI44k
HzOYlTYLFZx+qaAZipEY9KYvq6lbpCN6JiE5f4UKaZxbxp57T72JK2pGUy9uP57c81Atp5sFewxn
IxUL2uXVSWzNQo+9onaTKnQz3WMdCU8fh5hPgbchkHGQcMhhPqPsD5Bkbv+b2cINIISAh75vKpoX
aNzuQw0LpVxfeYkumDf8/DkOEAPuttD/YVYt4jRSOkZZAPvcql78zCyu6jgMuSbhOK6lRuLGZuRv
wzHxoY348aaMqpW7tX56Wv36BLQUeIfRobO68+knaGlmJEksVC4nY3wZk8d3qrTons1+HHdNmlfC
0W/68UtYhMKmEzzpyY81OApJa16KGrV+W0+T8KUrEtj0lpFTAEkV0rSj3u8ljR+10zWh/jZUIOVK
67oojfRKy/BslMA5TtFEXUaVNmJYRagBFZKLxsFNWwitq/i+uO1946aLcwR4J+9TnqPJjLbiJTlM
Zc9nXApiBSQuFrSdJw3UBRpRtQcT6bleRYEeHaQbs0BcTQ0j8LtxFNl9ZaCqJwaXiN4lTm/kh2YU
IVlS4dF1g8R3EwtfhB4BMBFbA4SThmc1BW0q6SFG66Lg6N1ekXvZAWZoXWpWsLKwZieLdzOPyyUl
Cq4pOhv56XDkaWsmXVpXbgJ+0pGjgLRa1Ac2WwPZaM3O+vC+CazQLQdzyLZFEbSukVXqISgV8aUN
tc9tq/Q3fatYSI4pqo1Yn+HWaU7Ry0dJbez8q7rTNn4Ff39Dk4UvQ8UvFpVfbkjB+9/8CPtgylt7
DhHEHZVy2vii+fPvLzCePdz4eE0yWgtayOiLgzbVCWAWuRY+JX7YXPlT/Vi2Ccf+vy4Gt+9PwtP7
+q/prXF086Ljb5yVTvuzl0zsKzA3cAsxifdZOQmtbQ4JZvOtyK6VtD3QtDp5ipgHK1fNc5uIjsop
N0G40Szv09CiQkGxaIrKrcM8filr8wpcjPTkTdkafHB53NOFCBWI+JS9vieXkbypxuFQ9GAHZsYt
pVR0EhP1weeawWP9FpnmP/92p+LfyLtVQuYFxPfc8jfboyR0XtbHYuWKDS+uWjGO0jBtQk1vtjgG
XKkAUZCX+/vdSVBDFA3gSfNongYV8jpKhrCv3NRX4q2lR5dqj1qyrFIq/rh557ZlXeYNybaoUSSe
hWrftk/rBdMq47JyZaN48cf4u2L0k2tpKMtZlb/V+uGAhsHPEqFGu07jHx+HPzNv5mnDhmwZMk+y
xZTVS7MzKot5Q4p9k2ralR40u7pcs0M6M2mgjUDl5ZZM8m0ppWO1CbJYXla5+SR3O3nKPodVghpc
kWz0RHosJF6cHzdsgaZ7XYyzFxZn9ixmDjjxtF8lQFoT0mylKzeW9kVHhU8u6gOuJ+y+Y3I/grTb
CopeHHDJkB1TrqInsy6cvtHzHQXw6YCJjb6WhJyX4eKsn4UbeCng2vn+9qq3Ail2P2CwPXHXGK21
Kc3xe2H9qGaZf2Ma8LkU21tybnhQote9cus7Owywt8EWwoonL33aJ4anRFrVW6WLqul9Y/Wul46X
sp5dj7L/HFFD3n48CPPcXTYX+yLc0GZ9dwxRT+ONOnqu5PZLN5mso1zmX8pojf16rkmzetJsKUsm
cnlB8/UI95ypxzOmCtSd2nQZOoTVuOul8asv+hetsDaxlvdRNkD9TcSlcpBvoWdbZSMRUfF1Ijwm
boqqAEuQdd9rrUA6vsJgwFURbNgafb3HHOey1eOnrpavE73YW5E2oDtZf+9S+covhZTfrwx75P9f
Pu79c2sbvwFOdjClPAIXF2eq32SQurZ0YyH6bCTDVa+U11oU3P17YRaTKm7bQNfbrnT1uhSRto9t
zG3irSeCz/g40pnrI8rdfzVoMZ3ypLLCaaBB4TT9QJPRSTvhJmn1z006rI3yuZX6es7NklSzDcLp
1EXfQw5AF5ZupOQUqNXLuLX0TRVL17WpXYlmchDiZC9SlUf21r//uKHn1s2cxES9CdkQ/loEH8IQ
dCBTLJUz0cFCqXuu06H4+u9FWZw8eRMOyBWLpQsm1CZX4Ix+8g8eHTQETweVnR+03uKKmekt0gP4
1IDaGaDpIUrpTOM9ee/pMBjsQ0iqIgZeS/uIcskBXeLHj9u4SOf/OgY4WtH/gVTBHXDx5IiG0QMo
mtKVhfQtL5MvQgBpXI97W/LTT0MZP6lF+BNsYuY0sYSgaJ5uP/4E68w65Nlqqeiv8xnIWJ2OZh4y
0nGRFW6uVRQyquQlnKT7LsMhq4K8C5xrHG3NSO7KHvHgFFCyC+7JmWXWgRDo0pa8RnxXj17gSmV2
RCA9sjEOS3aDZW6VQh9AN8fxIVFHu8qCgiL1dG1pnb9rOsSCqwAPD7//PArIfmeDdjEgBew2Ddq2
pRTFrqF4oS0pnbhteuGQlNn0tQ1R9UKc1rMzdI43KSOmCxMqyQKq8aHsobhbQL8blfgBmFay1XP1
tqiMQxTkKMtZGigegKl20KcI2ReUPcU42chT6LSN/zh0KF0WsXIcquHSN0PFjYFN2wrgJzud9NnV
Jha3Ks98FYRf7QDfxuBaKB90PJ6Qkvf1gzcpN8GgzDDpELJc3GdP0mTBUMq9ixJehFtPAn7qpnnZ
5VqyG0VwaHrReuBOKSCp+Gwc4wo8HDkDTOSM5xCImpKNh1CIYLPWVr+R8kq7aCUJ3JKvrhzCZ14J
v0xkLZYECY3FfjlYXunVpVK4VTtcdXn/ZA3TvVRHAKC9B7FE3FOj71e2zjPHJCyNGdWALi8H8mKt
e1EGYEscC7fps8ie+glSox/cIdV/61vRPX/qHwTkwQWTgcvG/FY4nfT4Dw9CFJSFm5Fut4sEvmwb
iA4q1Udz6kK7b7KVfn2X0uJgxkWBsgKCWNQlX7MPb14KahUkY1zrOZfMUt6W2oh9lalFD3lmoGqa
hd/bkl/Uu9hyCku7S/FlKvLmkk/Lrny5QM+3CJIDrgjyVsOp7kZrsuxZFWRl14ID20RmEvYrvXRu
e0Isk71p5oHOgmin3TRifTbi1zhrW6eXplEcW8RWj3hN3aDPD4wWQi32P1O0tUr5ZyeYD2qFCOXH
G9SZ/QlIADcEillsk0vAC4R7xWhaI+e0SW0tAYbZN5qNWu9aRXeeZIvr4Cu2bFZBJM5yI1TAerd9
PuSuHKff9Ejb8eBYuWGfuZwBYtFmjjoeH5SoT/uTbAUOXVUHWbCXP9d9BbIjyz4nebAnL4MBF7cf
3VfujFqrV4by3LKercqod2JuDEP5NHIWR4kF2SF3USE+xqb2khTeo1ant2OQ3ULEGu0s6lYqdvMi
etehWNZr83OCnNG86t/M+NisENFvJFoba5U9etNDqaUOUt/WTvX6lWDnupZCAvngudrxLrvRjgnw
TdMq3ETTb4UI3xvcmXAb0C8KI78QVONBKfWHKBC/fTw9z3Us1Qsd65W5lqYujk9cs4JcUKXC7aQN
mV6nkD2woDg3bIsSNMeIEHoVx18+Dvr6Il10LUlKDceXuUwIWHHRtV2d1hqnqdtNVnxQhfpSkniu
qbX2rMSDvwn9UZ/typ5R0t6TXtpmeEpII4aMQo39EHZ4pUNSNd35/YgtagXgctPgfewIs156Ff1Q
1YJcoADMU+hrTC8UzZbq6sGItWcrbp6MYlK2sN0/KXGLtLOEWacRY1UhWDCy8uB7ociAcSP8QbTY
vIBA023wcQ22kRUHToXi88YwKnmXQpbfdmH58HH3yPM6etc9pNJ4RFoK8IXFOtMSVS+swcvdoU65
wcGUgkDEA6yA/VNNuYbDbGvsCk88jvOVJBDk8hsOb7u4TqYHMVC3TRvUjpGnB23KI0T6cyDfQqna
Uag+gQtOt5EfIkirB2uZsjMn4Wy+iOUXaQg8RhYD2/jwQ+Kq4JTQB9zp+J5Nm03SFpcc/9IsGNW2
NM2VtbMA983XUOA55Nw5D3UwJcuid5IMmlzhk+qidd7s2mEwbDkhA4H8nkUKpMCBcUpT29IEb1ck
oWSrEi+LKMrEjeUpnxB5fR765nPbeT3EoekuKnRA5WVSOmJuCSsn6ZlTab4kwCQhf6JASlgsOZzI
/NJo1QyHEhK1TfSoZB72k3le2aXoo4RklXwm1WYpKToKMWW67+VeWjmX3m841Om5q1h0GqWq5Y46
RGUBXaXPXGGML5IRMo4Y2HE9Ok0AmGS0LvEBsDWzXntmvk/JKdwkRANlaVI0nCHzjvRmWwWdHWpe
F+ZuAvFnI0iWWwRTvBkb0xb958oLHpilm0Frr5Jmpc3vzuJF6MUpgjKrFKRiwhHZjPvYGw5jTv2g
6FZGeCXMMiWOdD8a+mXMIrC6qyxpSa7Wrpyv5ZveHfhza+C0IELMECpLKzhfRJVMiejIflCrg6eX
+UUiqWuIkvPjBQt5LpnDRp5twN6Ol4xqChiyKKdOEe/kRn0IdPVaD4PnzrJuWx9tK4paF2VV7uV2
TZ3mfHAOfNlA1sewlMV+UiRoQMS9T/BCOGatctd60Z9j3LSbsfheNuj6RUGCJ8hjNuaHj3fh9+t0
7t83sRcNjwQhDDC8zF0/bHealTiVPldqeWlCac267rFUo6+DKTxiIHppSWvaoe+20jm8OgOlwTfM
iMDTfvezGUYfW5nbmc8BpMQq9S/68kZOor2hroFp5racnDiLYIucyCT4Aq92I3PTrLI7CFJ61257
TSZr/duD4MfwP/2X/PbXD32LaFgLNU/rN+sf8ZrS4j2KaJeIsHyf2j67Hw4wMkn5j0fwfCRNAggF
fgfvudNIitoWpS6xQOAkqE6h66ikiOPA+xn/dABFayDzs/Hm04gVKeNDtkgJplQk8feiZSPWXLtQ
BphadUmx86pU3rYD/NB/0L438RYzxMD8sJWxUnJDv7g1pP6qrspDacImg9z2T0JRXlDQIQCFshi0
aCQ7nERe5kohSIDCVK8tTIqrJIU5Hq8V09/dSefJSF2B5PWsML0ct1qQMw9xH9o1qqjpAJILMSxp
rcapy+kQ4fgSC8qnjxsIQuj9EiCVZs7CD4gfveKG3s7LupnYZ2IuXbosfIOC5N2rM4WVI8xO6gz+
hxjcjZiQO6My/hiLiGojiTEMhkIQwYP4EAvlTwxPyk1oyp1rmFF1wEnP2CRl8RCDMNsZU7Uf5fqi
zNGSHeS7MSvyTRRin4WBXLfrQ03YBF3Zo381iDaXUsFGa+ITWZz6csx9y23Iz+78KsNnOc2aGaPR
UrNvsLCxW4+BobqL0VKhxKFbd6n5E08kf18lgXaZd+G+y4TbrlXSi5hIuP9OFuZa4lHCKm6Lf/WF
18fNrqut9nbKBKfvrHjf4dTrZtjOOHE6/Vk0sXoN3e6rTxZoO1CkLLXK3xhp07kQQT8pUZJc1pL0
TUt0nHt4ztk55hQbGd7rfvDRJplGz9jrBarHspaUh74T8NsWmtyWy+iinYZ9jhk7VoYC9+ukLe+C
CMHGNjO8G1VNJRdYV7KJ9Vc/Oq75utRsfdQiNqEnPhV1+9gLWFQpmXxjeNIhlgqYr/ooa7uqLnQK
5LLxFBB35m3Wl6mh4OnoC+PViCPaNogn7y7wkA/Nwqg6Ut3F8agShWNQifpGm1NsfRDHL8KklEdd
HotrseKu1DYIOeAW51hRozm6L0eXJhBnG0LaoYKa66h6Ix76zL+UkHbba2nSH0Ko3g660A/K6H/3
0j7aRP1DKCn9MZSMdNMVFeYvZvwjU5PiupuqZ96FE822tgrJrY2lTo2rKMhK9WK+7ymGOyoIJjZt
lDtnZMrekhRI4JG07zAHwhbYsnVrVBw/irQtdU5lL+jZDWkxxm52BXLDAfGdCcuGr2OhkoYf/Ki9
AE0y4BiteDssvSEs423RO2kVHNHTrD9JoDKgh5bdxjLwrZFSX98ak5of1Ra+MkzFwLejsnIiP/+a
m3Wy85UIC3gsD+/MpvN4zijtQai9q0IfRYxwfO3oyz7K4ki6C04OH3tTWwMSDSpu7aagbj3Mfb5p
WRW5GR1fOyJlawXeHhy+fTdIwpWuItxCkrXSsN70RmwtA0x1/GDXKVN912at7BpTF7Ob6LGddNoA
87XMNtpUFBcpecSDIA6OVteRG+W5zh/PPxsiev1pn3/XWj0/eJF2z8Mv/kwxTpQ3HZC9Q9npzfdA
KVC+hYrnbTAl61+0IIDZk6h9Vx4RT+nx5x3xLYuj9jEcpb3BC3sjp4HdeAMQ/x7FBavZJUEDdFzW
nhCbli7K2T2zLRAc6A1jugHFBtXRF3ZtxZhMCtRoqazbaiu1PDE2+YiEQTZZnYt3lcCWIvQ9Sir+
d0yndMdrOBBSRYsQH6/86aYpwEO5vjmCh+Oefm2kNYoImOpC+JfG2reVdJJ3aPGRpwNVO9mFXIOp
8f1SRj6i7SO7qAZ4J0aUF+i0ZN2VkVrdsZZYMzvM7TMn1YX6IRwF6aAmOdaXwMXDH0Pu3RiBiTJy
V+sOGiSh3YmeeCd01AM3fc5ONqY6XISoP3R9fY2FO0L0Zfan1goDUtFB6DtFaU1YGYQaSTQv8fSD
VGt+7eZx1V9rmXYfK6ldNzz5LNIGF3EMxzwtPHWLt6eNJTqumtEt2Lq7XlJ3eP99Karoz2ossFyx
hAstSa5NH6XksD+qU4FXW6jnW8MIECiopC/CNJFHEMEMtGZE6jNJjiO4EBcr0QtTT+4mcSR1EFaZ
M9VCsuXC/JUCer3F8bLZxaL0xdA4MUpOanv0lVuz5t6Mbxe82aC5Jcn0Z2oyL4Z67Ldd7x+wW+5t
jpzPcsL/thrjJ4FarLK8q6bsLrwi/JS16rZXvkD0BjpYtV9qPf0SiDwiIaPzqhOL+95qHmJTuRJS
1BziJr9EHsPpBRWUTnnf4XIL+xrLcb13vGmkiookBz0jjdYd+gYssc9WW9UbQcd+K892JtSJTPeP
GOnOKlO9tJFInqAhQ+ZPr1BGyTTba9KXqKMDrc9BDsy9sD7NuiYkZw+5Gvz0Ih8SOZ4fSYDMDwxt
s30Rk+wT8i/boJd6tB3kObvHtVMH5RQpD4YkXOghvDxeUWOouWR7rxX/SRqahGUefOkK/UqJDdlm
YpZ2H2e3sjLtLZ29YPCT7F6QWOnxlH5WunGDPIsrafkNxU1b7xqNgo3wI+i8jt3Vv1aldKuG0pOg
1ndqPOQH9pkNMgDfWFPf4g7DaSN2mkHKni0yVH6QXojVbMxq3euevhOkwfye5vFVk+pXVYOoRNQx
HftK2I8J6ueeJu0V/segePlt5AfJtlS1YWuImCkghxZyIdlmVhNt1VFHGs2cXIht93E2vPRj3R1L
is3NMal7Xx/cQO/C+usYDF14p6VqVuV3Xm4MgQOoT99hezgdSbn9/PiCdOZRCwxAFQ2ZNztF78VL
TBWDUm/mZ2Cv6QdT6mw/bq8mTIM/DnPmDs2tT8QPilLKrOd6emcPolDMKDzlble3R/j/0N4FYF3V
Tizlzcehzj0u5xsmh6I057ONRTpAzfU+gl5PjTnNORi8nT5+l7PPal1MtpLVZLchC47kyApzrYAz
/+jFe+tt6CXOK08rLwsbenNMxgtIGy5Sx/ORUBx6EyPziY2yDYxjp5p//81wEnjRv7WAKkLaB7mr
eNajVNU7LSt2bZldy0OzQrA5N2N4C4Fel7hWgy4+Hcph0uKhyHg/Y9Y5X3juuLraubkm8H3mnazB
vMTiizqPSVb5NIwv59hmURx1277d6NYXOenJnSv7oI6dWFgz1jiXFQDfDehjxpRhJLR4KatcCsXG
mx95bWjnoyxsay94bsrUQSzogCH3ZRmgoegntLkxHpKuWinCnO3WNx+weIq1aqH24kBeoAyB5yf6
XgXJlOAu+fHqmH/MuxmKYgEZEMBM4PROuzUp9YmNl0cYN/rgSA6/3LDi156w59bgzO+ArGTOWt9L
io03eAZKfySMI7m6NPCozHrgruaT3N+MsngDKP2zr/b71gydj9t3NjLI/JlYQh6UZp42UNRbQy6Q
9HPZYI+62B3TvEMUyIyfp6ogqcU6walV+eSXKJQYa8jEM6NIUGqpUJdnBbzF2z0Okhhhk5x1OKXk
qPHm3UWGHtpVK6krW+qZhy1smDmDhM8rldDFNjcWGOkMVZm7QTdpF4WWTjusbRG+0/pwj5iauJ3q
aXDMqdFXChln5tCbyJK4mEOFkLHJGzTSqM3DXM/yzDXvjTPnxZyVYBjxEKTyvxhFHxPQBMma3NXG
5iLT96ZyrfBewGzF/Xi+nNlmwNi8soBnYdol7STVrSrweg4LM66+yuU9pq9/5oLplLV/gTTUyjZ9
bnrAjCCvC2+BKtlim54Ec6hirs8uRRzkyWbbW3njD2u9d2aA5gfg7Pikzr4p82e8ycVh1DuNKNHl
LkXyb9UMltPUu4/77WwIktQzeXquTy9CDBiti4VIiCEcr3TczjdyYz7+ezHmSfKmGb48ZHpgcdIg
hGpTCNs08Voa/MyAWDKYbNJf/BtxxdMQ4DD6gnxF5jaW+NnMwz+7Qt0H4rhWQDsfZ2ao8RIFxbro
rm4w00HUiZMZ0+cujZ47BeE9cMzOx122FmfRZYbqd6VWcIoAHsHQPe62vWk+luSYP45zfvj/as/i
EiD0owIUjfZAOruDFXsnpMFa8vpsDA3Cy8zwsfDhOR2bdtQr3fLmi4bhOWgj7ctq7a54PgS1MjKE
+KQsT/3CHM2BQjkpyUY4Yv98icv9/uOeOrOTkUsEZgCxTZsp1qetEDsLkJ7FxSKfkp+q116NafBc
1ilye2sF5rOtMagYKRzv0rvKkVR5ic7wZ+7ARRPzaZrU/W30BCAN8BoKiGwQSsardMebNYmHZGx1
sZ65IGOuLWShNp3Z7dQSz5xoTX7iXHvmWzwkLwNigbFcnH2TaBZKb9T1xLupvve9tR3m3HJRISyg
kwDKEOLn6eDkEvYBvtYxOGN6OT8bcy8mhxiuoDHOhQEUgXyTIcOiXpaGEyANpu9xyChGtMGbnRwk
cEqlWimMLNQDKBkwOOwwEpAkrj8A106bU2YDW1lGnLqubCswUU3B0kh4yJP+2vL0WwWCsycSui7J
HOgvWAIfx8q4ayTjYqq/i4mwbdZAwQu18t8fhQXha5FBAnJ++lETGXjTS5iVpL5v8pEcZrDD73VT
FOXWKLSdEAHUsoxtU2kHjSSS5MtuXz/FerjJdGkTlsgq/kin+WIzbdQy3Uyy5cZ5gSN0dcx69SHL
J0fA57RS2o2kXHeatnJqn7kjcAv5qwWLy0gd1BTMLSVzkwbr2fK5UWU3EvMrWa0cVa7cjzeMs9FQ
m1HgHTJpli9y32rF0ChYYWEVbsXpRhjHjRCUmyH/iY7dypQ5NzO5/vwr2OK8SAdYbmZIMDEgQ2ym
m6A1Nob+5Z80CUGN+bYK2HAxL7MgbmpzoAMHbUQE2LQHZDt94OGIEee6sfk42vk2/RVtsW10HZnu
IifalBuo+I2uJnwO5JU78PkgwB3QIeFIFxcd53VGmaQFaA9TGB0huxOtfBtX5UpTzh0es4rLf0eZ
58qb3TZBubk2dJlXKWoZonUxNcPGJMEsqf9mcxZTvAA822FkT1Vaybdm+iORn7RSXplsZ2c2gB4F
9WqRksPixcIBbHZpK82Xk9oV+p+KXrq5YGxJstlCaa3A6M/23V/RlpQTSvxhW/dE89XaGXxrO0Gb
HKmBB+3fxmjO++58xIOm4Fm9nAx6KRaKqI9MBhHpzbzfpebfc3j6vYu+CbGYCXXro2ksDMwEQ0Zt
9Wjm7RYH0n8y3+C1ciPmxAV/fzrfqCKFHjWVjMfzlRaIEBxyp8AMr17jCp4dHE5dpHz4xztcpK+O
RqYbHO0Nhb7B0J1RQiZNzjbqmgz++0gQxSWe5DN8TX6X4MzkwhKjkPtXpuk7RUFiu6YuU7Y3EdmA
jzeeuXdOcyuEmq0o2OJeCa2nvdfJKEq3MMNcTzB2Zjl+BiXgBlJwLcSBmyqXFImzaM1O7f1GRFAy
uLqIZhAI8bn9b7aIeLIS1BInrjDx5IjGFytPrtO6/9tLlyizYblOSXtmJZ5GsaQWaHPKePXR5ED3
oOyYOrH4JexkUh3648cdebZNvOVJ+0OcfQfwLuFeacjWMjuEeCtBAkkEqpR4RvyDMNizzpC1Gfyw
2PRQ/xV832zZITxMQxDfRS/dFuCqfxxm/jHLaaEB6efeTO4b6MNp38Ux+s+oHyMtKWNzG8obQaAk
NN13iHiKXbDNy7//2oR7hVqPQffhWrJULaCom8QI46dca1EPzoVLhnRTttnKDvv+fj4r43E8wd8G
xbV8oIkTCN8wNlPXr8VY35qF2DwikxutocTPTAcJPhl6QIDtcfNZXB9wPE7CxkLHIs3VByR4t1Kv
3cKoWcnAnmsOKBG4EGRNwKcsNj9pihMlMZQUBCl2sqYGRjIUtJWD9v0ZKGmSiYANsNbZinwx5xoz
6oqhmVJXtkZHk/PLVMSZYywdGQ2WTM2eP557a+EWbSKR0SNGL6Zu2Y87crE3eOls5ieAVYbbKq+f
/kE4FEfQ76HGA+bmdKpnQS7Knd4RDn14FHZcT5vcALnTJDQ3EaXWj8Od2XBJZbO16zAjQPksJsZo
1UFfiWnq9lO6GST/uzaVDvA+29Cuw3Hct6OxF/y1Z9aZE+UkqnzayFYvYsxNstQF3GEX4QTKbXDG
GvvvVP+1Q/0t/ajHPOWv/5z/zI+8GKvQD5r/+s+T/7oKfzBW+c/mw9/lvuTX39OXevmbTn5y/V+v
vwzmbxZ1OvkPChtIr9+1L9V4/1K3ya+v+P07/19/8X+8vP6Ux7F4+V//8SNvs2b+aX6YZ2/Vouby
zL9EJN6pS/3vyp9/SvZ9+Ud+C0xpyh/sEkDBUPWnPvVKoPwtMGUof2hkK0mbs21xLXijMCXI0h9I
70E0505CJlhTmG6/JaYETftDnNP5+pwp4uoKrvp1DGj97a+9no77v2IlTzc0AiEYDX5xSVGN0ziq
efYHTiZNwIEyAFfoeoao2F8YfYp2ypte+R32LSTzdEP7K8xiFSqAoMa8zALn/7B3Jk2S4ujW/itt
vVcZIMbF3YA77h5z5Jy5wXIqQCAQkkBIv/4ez64hw9Mj/KvefWZ302bd1RU4IDS87znPGetBfIb3
Rt94a2L+2c7jrz9/eppzoPqDvO4327gJw+6jj8AXrGS2bgbzDoIg+JMu3MfTD+6vC52uL4gM8dIJ
AoMtfADLfCT8QxWV0j56sJ0F80UGtL00pZy/Fs7dTz/qiE8+GVlYH46d1CMIK0TiL7xl27jT8Xut
K/KPakJ/3hQU808vpBOI1Ugnm4Ot4vkAHogqcXagOxFSc3j5/Z8wtf68Boby02u0C7Mh8Uag6hU2
PgkMoMnyzc08INBmhKlAK1rDebWdm3B8w/EQ5TsFWY3v0KLr2aSLdBqiapdl6JhHoC8EEFhxXyEM
CAEV7b2z1n9rZhPuDbZP9EJp+aSD9+evRm/56a+mDWR0EPHJ/ZDF+v2yIjNgyLoOxQ/EOUSJqeD3
mz5xnxg4r61ZryGqoheG2jMXj9PjuPhpG51kCoGIbq731iLDbhwraIqUmzZ9NncbmTQ+NL91eOXV
SVsOkBg80FHof3Yq+vPOUb99evEaGXY+s7re11D+QzJDwfeBYvtxgRlg14+QLLw8MOjxD/69Jf3z
QtHpVnQUyoFYZtVhSVNePTDMeDVy7Eh7RPb7/bow2BjbatlqPqsJXVsaLO5GVV6A7ktsfK4cgnOI
DzNH56KhlL7iZigWy6JmKEPAGdp2zxNtsvEaOTMwaN0OMIbID6nXwMBapv3kGwQzIRwpiQ6ZhWZh
2iyMw7aSw3Fu+nepy9YEhPIFPNIVCg3mgRmaZ10mung7qNW0yaZlqZ35Lb4YuoORwhunh2nKKlFd
GAzn50+IEJ6+jqrtxtmXwIVCONhC2AmNGYbCemGc44ecfQtYap7+fXaU3mpwXA6roXy6H/w14t0B
rut2UAdvogqxm25yyn9ow0CFD/gAiJfmQ7tyqFZqF4Q9Ag2oqMYvSH9KTXxdqaXrkcSFjnBQrFWH
40bZDwy5U6DoJQ0DDisL9VTtkyXJ3FukHs/idw8ai+BzzeDL7HOu8V/e1EjQirKdCf0O5gg1Q49l
cIDgrPMOw9JE7FtVVca7RZfbtSABOm5myDWJEeM2mldD3LZnccT1HmxlNZDNyjWCIYqA6bC96dY5
QfIUVG0qAr16CTr7llWQjrgcO/yqAcylA+wsRjpREI1fpE84mvVsRu3wW7UuWZXmAdq1LH0Y6qgJ
4007atlCh0cbGFVzw0A1WjkEkWsbl0i+a2NXeGsajHd1FXUdzRfEZqoHOdVzBMddHCbVdEM0bPxi
09UIUbvNQjRR7pwMF7XX44y2cRGnpqO3Ibz8kGhm4Tc2NluK/ioChBa/Iu4mQ1JaA87+27GKoXas
/Ca9FoIz2h+PD9HyGgdZ7GA3aENMci24nFrYTOd0CalA0NqEb+zVmqwJXR6mRKzRvea9BUVJe9Jm
YhsEooINMut7roe91nOfYR5GpBgN4Gnsh+iRAta2givfI0dJ3UyIGTgq7QZF5tvUkwhNA/WtlvPX
WtO4QeI5HN0OqT5EmYDgTIpPu71eRkSyyw2AKCq8AUhDD/euk5x9tDgf8zcOkY1uekSwjrB+IfD+
JDuoPmx8jIJYcik3eCLrYookbbn5DkmcZeORSkA1tKFhnUQowbLGVtsuGbNG5sdAPxS13dLrDAWt
DicvaMGiJhN5ioYMsrE4FIMAZQVm6thOLFFXz69jOVEePaLkwaDx3kYcoXdtl/dOOm8oHHw9qQxz
y9OuUodQyTXzixQTKExbvfKhfb8N6hmAu2tkNAlqX9Wzj5y3I3LSyd8DORLeo2+Guhp/YDHa6M0e
CUV0SYvOT5qEf1t036dIA8ZesfmdzCtIIBtHkmQGgQEpQnqnJbrWzRZOij7oxi3qZ03wno/BrEB2
yyymweu5aVNyg35pGH4DRq9p2ly0aey614NaWPgwwT9A/JJNmNBfLVmt5dc+Sbnv52OH0z6cGUE3
2ZtpbSTau5magrrFKG1iKPExayKSYI/0FXhhrrnGohbknQPt80DrpOpk6Xdj5I85tXRkeu9poqYa
gKeaY71zYvCQJQtAzNzvZAvHAUhTSSjQVxnjrImyjTdi2dd7UrkMvdgAH/QstpHfxV6L/n9DhP+R
QX3fe1etG1v6TTJruuphaicMga2EGXCdt2MK6b8Ey66nCZq7sa1jebBITvO7Uldg876W4Sqx4YNs
Fi/9kfZyhXAT50ceIOGnr2eJqCXXko5keTDDicdELhUdLb1RIom5BDcDBTp4DKZBzbcATkvp39XG
s9jZYS1D5hrgnXFfm1yFcAO/C7H8T5DKjC4LQQjpNevuJPh9FByBjk5R/3ufdYGdyoRFVYN0I3Hs
3qetg3W57INooPdQxEQk3VQdESwuRaSp8wo9dW1E8WhGO0CIPfbeOiqRL7WofJlPbrXYv1IGN8Gb
vg7s0udri1Q/7DxDFP2RWphQlXrbiEVR5UPe3kzpDScQ7kdFMLNoQQbPPIbjdA1Pggalw7JaAAti
ZxpiMp0sCYc4h4UhHWE8iZ38Am5kJHaYLFOFwtAKUHaXgyFHe9iLqdX4dMKJtl7BEJCC+DLgD3R9
3PmAQPi9YcILv6zSjNLl+OKbtM6nWmiF0KpeqRqdHY20PBhlagiAPwVYioZxk8E+omCnqVGOj/IW
FoIMqUrBWOm3iagc/kbFKfaepWo5r8YcK/sMaCoLuhBbPw23gn7bMUieEVNIa0b2nWUcb7hTdQgk
AekZVOwgRMbgboNzh9UwD8N2NtfIJrUmKVYyKcikjed1rNunEVdxUWVdNKw5zEg1hpWZoEj+XoMV
dI8JCOCbzUTHRn4PeuAvQH8JwWS/muLWx9awhoOnA6T9GFhY6VkhlDKZwg5ZizrT2CVnjkh8zxw6
avOtwhqvvpDJVnLMgVNExQQ/Ec61zyFcPZgXj5sZSFQjVqFnACu4bga0QaE3hNAQXi/MvHmPTZT/
LZjSer5jyzCu2zYQxL0zgosEaVed8lxXxMMATXbuMjb2D4gAUOL9XElpl5xErHff2DBVUZ3jP/vx
rU9tg8tZMuP8lA8dUG4fDHwX/tvUJPiec2a9VH9sla2rN4xPXZXkdaaG8ACWIBrym7hlK9T4pA88
RLoZvsz6AKdexpZ8zRDdgbZuF3furYrEwKIcwnbZIao06RzCB0IrKo5n69XI2yEg7EcF3LusCfJW
TiJ5l7bRZPAgiWNjSZuKVx9UbMFP3KwNzrWb1IUNgiFMlYW7uFuRf43k0RpG3AXifnlIFAvBl++q
AElsOTYLq7lHmCA4AwWeFFBYmD78cUT+ThJPrNn2AWAiH5oORL9HFQ9NEm7CxRfoEKGC0MKIrxsk
ROZ2WSv2qLnrxV7ECMl7uw4AmB78kaj0kQFhMHXF0I999rhylukJO+cBVrijn2SpPARedVKPeT9M
k/+mmrOk+uYP6IC8mrooRv4bRqfLZuSxtXp9mHmYIUvSrs5lr7POC3tw13VqaJ0jejObMPid10BX
jHEsCMWn4KrlNcj+wQLrjwci051YQNb4ttawXYBZg02dJ/NsYlp9m0QEuMyD8FYOTxuEQY269Ub4
ohAW6UfVQLFeVnZ+4FEmUQBdgMeEX0WN0Sx3mQeJxP2YdoDOFlqKRH+vbBqFNxbolzBShXCx88kj
ZzPPsseJTX6wefnkcr5yAk3b0y0zBkOzimYl+8T1H4MgmO6GxQ0b2mvvQgnzuU3/yaYcDGD02xVl
WyA7undJ1sEDhpF+SaNz/gZQgHp6A31FxNDNnG0j3bB+F4ZuNodmzTy4qVyi/5ma+K8D3ikah2D/
NsAtAjta6zVXstPd+2VMTO7G8BI66HylBDL7p3fi9asMkb4nDpnk3l3qgUI84NPaz1ghD+I4Ub/8
yk8iTf68l1+0edDNksmYFY+JtnAIBojZrfKua917HoTDG5oI5u2FDgsaHe01SG1syVxfScumx7lP
7F0LXEiXwxaYY2mOy5d/1vkXibiTp7c/iXlFRuuodhlO6LAQtli0lLS/wy11yZvxtHH0543/EqJt
hrbSxk1xCZfQfAdOS3rosODeCd/Zcs7U91nQ7DbpbHyhLvDMPYUngzMeA1/7+HNl3YX2DZdZ8Mny
RRxkF6+vXn5sz9Sk6GmNg6hOE7aEUbnECSk8mN8KYUOWk5bG+aKSrz4ALgJxHVg9G/wzE2CXqivk
NsKrtzXHjYUXyYelBfYjncKPtfOWjXTBpWi4898/MB5P3ytOKH4Dr29c8mNsdBFHVZQU6LCFFxXq
T7sWf75WJFw9vcIULSv4TmgvRgohvhyrb9F4nsbETAB/C2UCR1s0X7Uxj3HOra7T4SPyzUpvbTDB
Bq9iRDXm2RGO74dzVmJhwVw9gs3gkXq+0Nl7ZiCcBm8Fs2eIYQMp2xBZijNiv3MGlhDSnxO+e3kg
HO/21xIUPeVO+JxgORorAMFRfdx2kKUhA4FD3ZIYCmY/4jtfvs4zt3KasKBDbAusVElJKiC0Cpze
0qGoJx2/mgchuvLlqzz3To//+09lQ7BaU5TaRVaacArfCJGaGylNXKyR75WNIPDhZTNy2XHaPgYT
k/3Llz0uSr8+RD89mYM16mBhk7msBFhGNpuIEfaRmjj7iMORGPLBi5H5LXFKfXz5eidInr/H7klJ
rPNiABndXJXMR43UjANsgunyuaNhaTEjgcjbqCImOJAdO45FG8a80F2aXPcBcQX+nbiIuqHeLN4x
qJtn08aBjr6NCE8/V6TKvr78O8/PnPCzPX0dMMLy3udeDHfzVOfO9+1uXGvQ5gMR7Ty/TvZRO65X
6Uq6C8Ps/JsAbevpFZcxXbTfJlVZTal4ZVtfbBvozjbcd+SW93QtMqAqLuyCnhltp/2jGdEZFQoW
yMhlBC+AIG62pxZUJNEh0hGkoVLKodoMaY30juWSMPHEI/XXy4+Cp/cY8mrFewpJSUWEiO4JOa0S
hfltmOp4t6IwlZMZNH+ghxji5kODYN76caqMugSEOl8wDU7BWWokfbhWYC0c6yqvFxd8SXHK2YKt
1j2qdAR3Lxg+1aGLgTGm/i4U/XhhE3J+FvkF9b00DkUU3WNllPYLRYTVNkYp9i0OPZcWxvPrDlyY
Tx8uW11g6zEmpUpQnL/KWsQ+4yTXeerCoDk/QsG6f3oBvcaatt2KC8hg6Ta2Q1k2MNyJnHojYhXn
1YMNKgj0fKHA/cx4gQPz6RVXMYZZK/DQuFzFHVQxw3ZVE3KvE/O5Rb8WKLexyhs7uE2roGisEDW8
oSsCd16eBZ5p5kBw8fQHzElap2u8xiVrUJmrIHgDW67rSr9F5YCMq0LLXqLKkZFuRzJpt9B3thds
kuffJ1QJT6/NKuUGaBxJKeteviOmE680gx3t5Vs7P8FBO/f0r3skbQYSLaCO9H50E/QUvv1VvouA
riiznvr5CE9W3qFG8F/NbygFPb0gIA2xCtIkK6UOs6L3tLuZDGgSSw/mb913AMi2lv93z+608TLa
JUGx38/KVWI4bkOVCl7aJWouIX3OT6AQST29m9D4U+8BfFVmYn1d9RLwlrlIJMBP0VwhoftYtIae
Ch1ntlySjTzzyk6NrEkL9wIwDXHpw5b4Yanrfs9nhg0g1O2bODrmVCvHDqab0wuP8fykBeHe07sc
ZlQhK4vpEp0rcT2idbqFx8JeL3Kdti+Pw/OXQIbX00vYNa5j7FYrlFiT9G21kGNck6g+pdKmF/ai
Zz8kJHKdTIwOzSyFggjuwvfEW8JRjy9AD0n+mc3oj1UN3o+TkT2byVKCr6ic5IikVVSxbxMSXAr6
+nHi/mWL5gEb9fQJUUumZSVxVALy3T623rxsakvsRiTBVDZx9wVF2X5DZ6UPjanNdk4aW9paV4Vl
Pn/7X7wm/IiTmTiN/D6KVoXxHsXVdRXiVDHVdVy28zJdWF7O7ufhbDy5zw6hY1WHSNISdow075sJ
RE+dOXxhar5GlelSvuPZEQcP0slwqBglggPlU6KoFe9CjwV7GQh3M65ACL38tI5P5cwrO9WbwNLq
QfoXxwB7zLpgXoPyP0qLpRF1dotS5rL3lvGSP+z8lvqYOPd0gDA6oSTE8DIYOD/fkwUw2s6hg7hM
Y7qxCIsp6qV+ZAxR0u3svjuB6MVRBdFGjaB189b3cg6mAbokhGE6hgNrEcsMajRHkXjxswvv9+yU
Cd7yyRBa4lm1JI2qEq4KdZtqhA2PoPpfZyquP3rx4LbIhl8Padzx4Zhk5pcvv4zz7xveqaePB+sb
MBzHso1IHAe1JNUbqWuHrbwcL1zi7MyMaf1kSKWdmFC+x2nBdXAwrpTdd132tgGVotEGhV6LbCcU
7d+8fEPn2/643MkLFxzBVzxBdyiYzXA9o4NSLvOqNvAJi8IDwWajh9EWwYJTN7oFy7WqSbed0kkW
TGK1jUjsdiMI/DBdrtU2RgjWnmRTCsRYSgsLe/uhHpfswsdwfAi/fgzpKRgcBnAJZC808zyT6Q2d
wwAVv6y3Hz0kt8KR28ztpf3i8QGcu9RxCPx0iFbrZAKPyaoc+L0BLHhjg/QjRZBf0ceD2sPAbjHz
uyQPVWxKNJHJzmRHHfUcuEtw8WeGW3Qy3Favk/HiczCgqUZkBYvbQ2iYfExbtD9eHgA/Sg9n7vPU
M91gDRgXBH+UgJ2lRR0iuCbgMkLZJ8a3THvEGUoDC96MiQfijB6tekDoVuWTciVjuKtGJS/9lmee
+ek21TnCTIg2Tmlhjt9N6AdvVNCRLWjwyLJNSHVIRAiGc9u3h9Rm8X2Cp7ERiFfKkXYwXDjZPfPU
T9d4PWQeCD91DYp6NbsrNs9QNYwpCUxp/Gj5/PKDf+4qJ8cBrBCxsYuXIaOpsqU/h+9Ypfs9gyP7
wuM8v1dJfxQ9fxrBupYCf5qSssYqUUGOHEHnAtj1dKmadf5Ig2jck3sIYV5KgA/D0T+N9fchkq9S
UbMcjJn34VoPN9q2FRqw/VBAFHvrxSJ5ePnhnZ8kga5++nG6qA4ccvqwZwjjaYv2tdyjcXqTSOh0
2kkuOZNa5YhI1NuXL3j+bSWnG4pwNqs2WAlLM1XzNojsAuYTJpvAgPf18iXOL/TJqUw99FLrc4DX
S6QqVG9GFn1ZBhQjYX9KNzJQrnCtvaQsfOZap7V1hJU0fYS8dqjjWnI9c22vkM7Zl8Qbwg18NUO5
Rmq8f/nGzh+9IQ842dQOBoEmgMtimAwBvc/qqLrGoafeTgTVzzg5YtePJBKvMvXGaxKQFAP//Uj9
+uvLP+D8biE5TWf3rRt91wqsGlDsbzXQFjnkAm8yhKYUC+QUUCIVQ7e+qio6HF6+5PmFCmSNpwNU
CjOv1uGSaKSardPJeBsBFFYaGdQ5Ilkv7aWfu87Jh1A1rWFQtUGm5C8ul4CDvDKj8VBsXZcdEk/6
C4Pz/PiH5e/p/SCUxQDeZAkUQEldQv+BTy9Nya4GnO7CtPvMrZwudsitYP7aoopw1CbkDW/GA/ry
0y7TXX0Fet16Ye94flqMo5Nb6aHSFggd6baj160PpmmrTyBbe5c+42f+/Omn5bNljuQk260XCnvQ
oSVXmPjgMH95YD3350+mXASmLrZJRb+tGM9+h8QmuG8TcqmW+8xrPmUCJNb5AbyWybaFjmcD4qpX
BGBqHGIo58ofN/CPXCT/bxaRe/F9eK3l9+/69rP4/8AnclwGn/eJ7OTn4fO3zz+7RI7/wh8ukdj/
DXwhJIeDxR2BlnHES/zhEsE/glMXHjCkOx7jXY6H92GE/uZ//u0Hv8FmiXTyI1IYzrrj5/mHScT3
fwMRI44wosF4iBKP/vceEeSnBTE6vzF+YpAhA/W0FmbxPw4imdiGorlTcLThtnXjQe6Cos6Fz/OH
6ezvDel/roWfC1c2qEHAZp2sGv4IiczaK7aZoozc9vOCg28FfW2m7KegQ2cn6Ppm26yIkjK1eJBI
VYARFDLCYUVjPoxqcFD1tDOza66DbsAGkjuFYgZCgg0fS76MbCM6ieZQQATaExBMOReicd8Lk8eN
4EWfjQ5MfU0ff3rhD/+5h58tME93LT/uDIRw9EXwEGFRPF3pk6GOM8CfGVSafl8CIuoV/qpGbCsg
BQRRCkRXHGaByeWXXJ9PZ40/rwyD0XGIAfZ0UmqMV7forBrYxveHehstfNg4L7QX5qZzrw5vLQaE
C2QhOD0wiH8+O40G7aU5y9oNHiP76iLTfJKzZVeA+9I8hAKH5p5z/a1GPLQoEOVVfYXGsv5ohXs/
GYbmkd+R+HVC3FViuwBR4VxD1tCP9PfGoHC1Zk4DvRsaOW/aBbhq6LFndr2ChPqJgRi7gSd5lEiA
i+k1nTp9mE20vv+/+Uvbw7f/+Tc4fD+N51+Mbq8/D/96136F2e37v+y/+s/qX/+Z0mB9Uz/Paj/+
zN/TGly5mH0wPR1d6EeByt/TGmziAFb8AHGkmKj+ntbob6AyHJ1tGQ1QC8U/+XNWw4QHYgOMb+DW
gBdI/X8yq/2ooT2dauBLBt4FgS4R+i6ncM4qI6jqOAVbN/qYyGtFFRyc2WwBdl5AhIsuouqCtyRe
u/cZgMtQr41N+gDdtXrrgQ/smYAjjW4MqhJf3RHr7JPs1s7Rfm1WvkWuxjpiMoGIECK5dwJk4n0v
o+TeGypFNiGxyS1V0YVtVIBF5KfCxfFbh5MX/wnsDmS+v3yEbQYJeMiGbmNapVDmTflDKAwUy4wi
GNwqlVdKJW9UprH1tmN/S6UKH2cYsXYNsEdQgGTg+5LxFosL1LHMVnnPRtBvG/8tGLYRQL7K7vUg
1f6n4XRmejxuwE7eRnhkPQBegRQu2B6fzh6pPKqWbYeuIOW8hOho3daGv4P2FxYrPo25ri6iBE6O
sD+eFjiXIFT5iDVGZ+1kZkQNLKNjGoD6s7AA4l77ThhYqYBOyIoxCe9pVIvtGii66dPMlGIeskuV
pqcb3//8BKz9AdxB4MP+AqRJJmFssuAniEEm25hCs2vRpvyw+hQ05qhJbj2Vyk2zouLmE0a2nQ3Q
ybca+fKxBeUYYPeciu6r4IbkKE1fOuefmdfDGFR3BPKlKWwlycmS7JKBcCDy8ZDou3a5ReWokGSF
HtPPl2HO0bMoenYfq7Zw3noV8Pimp9+wyQEmHEFa1bGGtiMoFfb4r25G5GUCtWQGOwcUV+F7gQCD
SUHmk72Wc3hhTTrzcJE7hv0Jdk+IbTqtHE4NGwYexGyjyOjnyJPmG6QJNkXWoVq3ECcuHPx+Sa0+
bpUwfLHOAhZ7DB86GcXREmYzjpibMCAIMU77a4Q2st24GL7teVfdBjP9MmvQ5xESZLZph953YlA1
V/5M8lTF8U7DMXXhZ/36GPCrQPqL4PX34XU/+VVzlsrem/GrMrki4KyRQcEblJUx144bqK//6O//
3y7/33h+P01rv66Ss8SCyH9eEH/8G38siHCDZ9iwH5GbxzxZrIl/LYhR+hvC6sGWABwG08APItEf
+/z4N/ALkGF3DJqEMwvy379XxN8wd+H/jxURk30AdcGJ9fslKzj8Mk/nYMy+PkidoGegtgb8RHJc
XH6qHdZBIGPmx2m+QpE+Aosm5tJgTB5Vqxl8kelQV4eR0eoR41Y+2hHBwFR7WVOkfi/u2RQMJexm
NYejLq0FGOvDel0NSn/t+yY4YA8430eRYmCU98BBruF6gImq3ne9S76EzK/fQf4OOwvtj9x7ntV3
qQ70YYTT73cv6/xNgJrwtb/6HHxZDtmmHNvslvuTQKsihD2ERbot2dLwKOf4HErEdCMudUmFu1YE
QRRee4ToBwAbtEXXQLgU2pZ+TbJBAXhv3Dt408zXUGTia2Uifm1xIvrcu9lVOV3hsst61d+EdUy3
DkvppsK0uR+mJXnfpGaGw0rRV7BPTh58wlGw83iNWPAlxAkjshF8ZqhB1XlAMrMZ2lncj+uUvmlW
FV7rBcspbORjuGXjKpG5SozMx1ahrMoCp6eNjpNlKRzhSVL0MJZ9ScEW0xszusYvZyROoOGiEkwh
i2f7qUDyqesew6p1WY7EPMu3Idq5PDcBnRDASMb3NrWIUM4GJAZgLX6smmbdh8TxLwjhgSUJcS7F
NA7eQ1WvBtEPvtmbJGh3kOz0B5izlut5rb8A6u9tG+TwbR3UlegPpfEr24v6facogrygxl6X3DZm
J1Qmd5VAVl9m+LpZ/C66czQJUC5J2a23+m2NLDpago9U0ECAid4pc+2JMLpteDhtMY97Ba3SdEtn
8xCP6ZtM+0NJQz4comn+neowKlQ/zzUYkIjJ6GS1qYQP2LJLaOG7md0NtOb7qsGOKCep195Hs13G
PAAF92YR8ICSLIR7xa4FHF6qzSsywoE8piBX9jKu+g3sxR1QJSBL9la3B2GNzWcpHLzIXbBFolD1
BTyX7HODhfRdyBJErMAhHn+YlwhZydR3jxmru0ffUFWMAaO3QP0u8K35jOWTCdsHPY36MfMnnUMm
mmyrRFawTk4Nkmoy/nZogA0LWu2uR+t6xMmu8a1vnN1TT2nsWlrynQGGDkqf5i0AOxwwn5ku+ai9
9gppCOFWUhLfNpTHr6MJNg9joqumwpFpUye+fUDORQVZqEduh8qzX/WyEBiWoEfi2q338yjTQ2zg
Q1CNhR8E1dsdXZWH7CTTbhugzIq2GdCnmln/oQeFaYPTudlghw+h8MDjugxIP13FvFM3MyyIV2rx
9K0SpsNV0qi9X5tKv2oSr4f61g72GmfkSQPrnqmDSxKWlROF16Xo5opuli7Sr2H3VbdqMsgxbBPk
NcHHx+5UUtl3CCCi/AZ4i68+WAMgN6bew0rrIJ9rP3s9dG68M2midih7SYE3nDBQKJNIbBWsUmtx
LK6CaudCf4OsO6aAX4ZvCtkzcDnmyEo+MuKWaNiYaULTlFf6nicedqfW8r0YgAZC18PDeGph6kMW
JVniuoDBtrtG9JOADldzaG4cHM0Mvfy9D6ZMszVYoVkOO/p7v6ukt4EnuoO5JeAMEsfKO6RkMe/N
PKpbR0My5TNbyNdgNYvahkgC31XSn6G1VAgPyTVCundN5RCWm0y12TcSwuxcy6D/CoNNd48o1klu
aj5/A8ICYjCgSZL6SiBYCFs7tPbgCp6/abjPzKu6F4JAJA8rEezA2SNTwQesWc0rkAD1Z0/Fidko
rWWSE1o3m6F2g9qwoZ5fk2mSX2bGWlIg0+mY4jtNcwh33EhmbB6p7r28w7wNh4bKAn0HK1o1XNu2
NskVGt8SfP3Un19RBuh9kAqzDZ1tizCpV4bEUiq23hAHh1lIB6VCIs0Af5WzBpk4ZJwfPcuyGUce
KsIph5zOmT2E6c2dGFNkX/FwbDR83Qo438zguHRTZXh3E9xRCKTzvObIIwVGPq9MSufN7KBPAfx3
wNTiD+vVhJlS3vO1RX4TpxXErloSqIyzecc6Bl4FQd7D8VzYw8BVT/7AS0ifMDsCHMDvEHDWDSXr
Q+ZtV1sLf9vTinrY/g3BjoPNiwQy08GqFg2OrnnrR3VdLF293LQjYnSul+kVgC0kKXgsYhzNYJ4U
Wzn73mttaoiaJamtujZwQb5B+gMGKDCHS64Ejk40jGtdwszpfwdmuME51FidAxSHmq9yzqux4HRZ
ToMP8ZQcgsx7TAMkvBhkOtVLCGUtHIrJfZbCYVUAg9wmSMhp5bWL53brD2HzYWBUvncq1Vtivbpk
WUU+IAYegULUDuamI3ZmedLQ4BvOXBpGSJYtWNbDeI+SG4MrNEuLFiWyW9WT6msLm+AORpvwsQmI
vln8ad51RxVGniBO+CsFIuVjzSssU5XnvaF13fE8dQogCCUQQBVFHL0Xm+3TNfiq54Uj7QX09SIh
S1TA0Uhft4zU+3FI4z1KhOZAltne9zZLuwLW6O4R6Wrm2qBAt19DR2/4kFV34zCYbg/lHrzc2LGt
B5/E7cMA0eqnajEKyT2AQXwdVI+xsUpXXwEc3x8YgrPuLRz+3xB/TMG7mMPt6GrosZGxFT1MyJJx
uwxKKw+DB/uifgwErKCw+qZYAZu8X5KaFKPR4tUS6Ijm82DURqgR/oHeiGurcMZau8GSbUhhuc+b
aTUQ3MX9Z2+ORhhPbaTzKRk/zSNO0rmlDjWKY1bCdnB1e89gzZUf2y7Yq9opesTnBOGWe2p9hJ2x
cTtHEINJR0TO5I0nhMx1tI5kmybWIuWmusaYe9MfRa3IYGivhWVkZym87CF8mHukNgV3C1JBvCIb
8TYB3oy3OpLBt6ltp/p/2XuP5bixNEz7ViZmjwp4s4VJRyadKIriBiFRKnjvcU9zFf+N/Q/Ymmkm
ks2M6t1ETEQtOrpKOgngmO+832sciWbJba7F0esg6L1qh1Et/459uXVBXtQ9yr0icIbRt658U/J3
/sChFvpG/zVUOr+Hq2s2j13fLrnNU+EplTi+ZJ2Odi4z9d+4UHe3+Dfp3xTyLDK7NfJ6X01Vv4WO
K30prGlchK3j8AsNJsVZQ/jabvR7bedndfqrEVrjtpCK+tXq1OY6N6hKXHkSkxu9NmqnyJPMrY0h
2ouSsADS5nSvYQ6yZDordYKKEdpCKjSEBfR9ehyqsgfP5JXv1bYefkej2H0zi2TYZWbXYgraKeFt
YhEzYBsZZoZEkxER3fGtRWaQjCOFlm5lNVQOg0miPCVSsR/L1PfMVFVBRGvzKjYLy/OTaPqZQHz/
6SOYf23zCURH0bKbdLTCK1wbolcDdtcOdVp2U2tiZdGtN7aakl6PWt160J/Lo4pk9sCVWttwusFq
V6XudYKv4GIKkh1koVddY2zLJ45Ccx8I5XiYYlP4CQyb7UahE39NfdDvjdzX9pGQqW4idChm0yja
6BVyLgtehdOhyNj3lta7FU7JO3wVzIMphGwNpBfpZHalRrlHI1o4uGqAIhg/u1xuvIbLiQbKXwc5
cQ/+6GhieCuNbP9i0En0dTEyXO7pr2mp77va3M368ILFRGrj7LrhUN2Bnrh+bBL4hNe6WqibIBVo
DXQHUazdJKyz18T3bypNfEArux0HLZp2DSbkuxjcud3VYWM9BTGRbaFsDm4cT79wfwj3rdGzc0t6
Hz4S0TVdm1klk+OoD3ehIc83rZQVTliGwa9GNMdbSdFa/1ptErg22VQ+CF0lHBKtgX+u1jmy2Cnd
0bBuvVGQDQTGE/40uMF0VyUrxKNxKoGqIKOdrZlt+92t9QMw7rQTiFkZjRccRci9sHBJPjN+LqI0
NwXifh2UuS9S4ViNtgmLafP5KKfXTRIh+MvpWr3FauBwsg68UBrMS4YAuDXViL6dAbn+cIr+HxDx
P+WF2POf+43A9e2P/3Hdvf5//+vHezTi7Y/9b3he/Ms0MOc3VdkwUEGewvMQeyAPgSmQTW4tyto/
aISk/gVZXQGeB016a1b+G41Q/jLEpcEEuEFUElb5/wSOoIF5AkeA9JNzaGi45y2++MoZ8JiM8TQa
cZO6WmM6ghg+JbPmBRm7nLSvyuCuLeR7DW85otwcXAMOhdJ+JRD7wLb3qObFTZb0V3WrKLbfRrt2
KghvbPA3LK9iUvi6Ltu3TbgRwnkXlsqDheO4H9V2008bsW53cMoPuLgA5D3LSrKJom6b19BuW85m
1LYjVZMeCZtWtp7lGcOJMb0pK2MTqpS80atW/4CpZKM9wxnnNRtE16hFL68DsiTlfaAl4CSGxw0b
z4Bho+v9NQGSTmoY27HDlGr0nQBHqVL39Fh2cU2CRpuiVK0B48fdIHzJ+6e6eZzT2dVQOvnFV+jC
h2bqDwN3oV79kaA5EzpSJnNsKlTFxvSfK1/mVAN57zH92+anVZIb19gKhh/DSwHRF+LrXsuCL2oN
BB3NXkxdG9Q3SdduZ7yCp6LBzmaikIicJVe9HfqNnHyjsMdHveAczDDZmR0D3pdePphdtO1TTtRG
35VpSeuBuAGyS+t0G5s/ezHZIl7eNpp2nSSjXWs/LBVnfcuJUU7R4rNx77qbcQEJhHovZZgOTYmr
1z9ac3pokoDtrz6UAmK/+VULkk3eji65CRTT3TEr73o5ezDaJ0M/xshq9BYjqniwK6iNRf5TC0Zb
yhU3Ue96Ykw1+gt9cJ2GPqdM7mLO5AzK0ZKuQ+nLoEtXGcZuU/U6yVd6Vn6ZdHHLtcuRxKNi3gug
ElI5bqUAVzjR3If870rMqKASIPmdaGRORIGR4DYaZb/89KoT5w25f7jGvPrN94LnnOvogN2eHYmk
/cYR8MH3Qf+eVO2rr2h2FwZ3ZSISzpv+UiKuqGlwL87obnV5K/MzrPl27H9hVAP0nnqcaNdoOm66
gURJEt8aYyL6ut+QdXxl+jdc3W1FyrbRLKA82llNfb2ca8iNYFE79VAhHNRdfB1sg7+g8W9CVb3u
wvhOH44CRmz4+NqS9lvjTjgoXHnmwg5qZj5Mfq2ghhi1qxbh1JLoGRmli87xAO3QTsv2Rs6i72q+
WASxwLT5WKXjXStzY+pLiLVM0wEb2D5zU7psMnY7SohhVDa5I7Z3AR2RsT424CRCIB01I+D+e5Va
xKP12754nqfbokudKZps3B4es+pOk1pbj38rA05ueuJGwW8Lg5IkuYuVRw1EoQXJqa3bdvrdjDNl
1U08jpjgPsTUs1X0UmMT5IuZkwFPTtXvKKrdLA8f0xC4SFQctf/ZLO7Z0SFUf1ThVykYN0IVOxQ8
CGlK8K6/o3zYDvqhFUvPaLA7FoQrSyQkFzvYQfuCg/u2k3ZZ9TIFy/orvBFVUUUFJZWbOqFPwTcg
by3BAPKpio1d2F0p2n2nEL9caSR8Gg6JpZ405Yc2E7wqHg7EctuFzF/UsZb6nW+Ktt7mbtL0ABM5
lelzVDwawTO0rX7mokciqZTfqWrgJKl2r+vf5+kbDF+MyAxbwkY21Gb8RnpWHdtIXB8FhaRlVdkq
ys9SIyaKmRDIXJH058jYj2boFPw/CirTQgI/E1xR6yjkfwjGdzgv3BPBJfmbs/BZqnuX8N7DYGnM
wQk0NHcz8sGI1Myq0THYqsoS2ISM3TKCgE7uZFzchWm5z/rneXzg9o2zDWjYo8VZIMuzW1rXCfLz
Ft12j/Agla1NyAYnF18T7pMT0Ew8g5j4jZO22ZE+4KbpR2cMfwzwzVDDeQlJk0lUOQQlb7KcQNx2
cjRti5DoXkwVhxWDTDufbYi6j3FquLmvsxTyTaS/kBmMG+Xsonq3jVkhR+XRrEc7xuKkxqNEY0Lj
hlYmz2Y107+8TcqQZFI2xfFrbzxiv+EEpcKPSO20xbwufAn1DoF2ac84SFi18JLmg22FgyeMpMXW
JiGed2Z0Y0QPbT47bXofNIM9lD/yWKVEc6Mq2/VKuwtTEgKjjbawK5N+o3UzDO/ZgbV6i3sOUSaw
L5hMtRa7nf9TLdDymyW7xJeiSD3dupW0b3IGpD6MiT2NR5Qu98ko262YeWVzZ7atU1H+a4rEXzO6
JnRs2xRaQCYRF1Gl+HsuO36OYmsRB4nxRczvk/AB/wDH8hUPez27ihTOvcDxa6DdEjCmPeKScYPx
gYchzVVQck9fQtgzGDuCNHzxw/oun4obfSzhpUPfBLWkDY7ZRXFtST/yHLkHABS4DvoJaze195lc
uDmAk8CxqUxkVyPDTTgk2qbedmyV5JvexYXqdrH0lGM0FkekfccbKAH8Z8IONzmcdszEVXtipufq
FvvLay05YgrqBAZQCR28JzPDkoA8TSEEKEgzB/4wDYrBtYiKSZMRnT93bfV3Hr1WXeJMoeVMdX4w
tecaQKzp5m01qZ4pX1vh7xRPrUSzCOWNnJHtmYbEHcaPFCPxLslLQl6/NGbsdYqOe5F/T5I3DXIa
DECFhQjkxyttn+qMMzvNPMzY7KkWbbpNHrCo48/dlRT9Vke8ZOEtKKN2H0ziscJGUEbkU6pfivqo
iY1j5vjm8NKsEouT6j7K9LtSze+jUCQoRwOpAwBNxW2Oin3u95N+PTH1ytZtSvNnnjwM6pOpwr9C
zmY3SBjn+Rl4/5jluA3Fd02312V+M793VEpXTfuNz8ZRy93f6fyIq+02lZ+rKHQXH04idpK88wJQ
0TJNXgcp9ayudARg/d58FmLdrTv9BSXCHk6VPcr+dZ+bRPJNV5E534Z1/CXGOjUNZhI3/Lsoz49m
ZB6hqtj9VBznBJ4m6FpPBqqvtm7bDp6GA2BL7QibI5H/VgdSiWlTWyJqiDz8rajldTc9zxjzj8Lf
EIrdLr8HPnMDDjS4EAALlF+mfhXTJlc6M/MEqz/WnfGVPfYVmdjGyKTS1tRqh0QfLM8kXQLYOeRR
Ve2aHA1DCW7Y8X6m6X4gXDv2QzZA36kQiDYEmPvm7KqTeOjRW0UZQe2VdUcIyN/Q5XY4WH5JyuhO
HWS34BD1ORU4wqtbxQocdYqP+H8wY+vkCfsmO4usN3DennRYHblwTby6k/vqz1TkUm2kO7lr2IOT
jcqWJPfjC3jNvRDKbuqHt538YITLwzWummzMTN0IufYicRDnk7jRBvlb4CfflYLXVAJ4FzvdSH9Y
c30Peu+OwkHo55fM6BxCvN1Rtw5hSgBGMNyps0HkRnulRNjvjeWxnHynJTCA4E67U35Awz8oYwnK
KjlGVW/IbJdi1W2Vp+XHslBcVZ8RKi2y2WobadMhRflQJR5Gnp4sYCzXFHdlbBAionD8TJatZear
Vnzn++6yQD2GVecpCZVPYpLKkXCYk6qcgSMsKG+YZa4pkKtOM6szm0NrDLhkMe3V8vXdHe2Da/fS
yX1Hgnm78eA2STOXFoGOocuqASsFgBGK2aYuMTGu6uRuulfu1G2w065SgKor/7G9ylRbcHRb3IA1
46jkmK2dby8l1qyIDP/6JQqUG4VrOSTTNS87nROtSzDl45dkP4xnYxMdelu1xdfosbxJvXQrXeAo
rNSpZyOuuTiRFcPTr95GRAXvSLt+l+9GR920W8u1Hj9/0yvh05/RZNGE/kOyImG7p61uMZQbs5Kk
1NWPrOJdvsG65GHealt5k22CjXRBsnJxvBU5UiIIgzgtxhsclAFu6rbFTm2d/m9r2zqhJ3P7+OPY
/x+t3T+4PksKoXVc4RVFhUCwekTMbw2EkikGINMuFgSnsyoH8oqtYy0WU0h9/krXmNEblvDv4d64
Vu/IA6xCnbYawwGkO6UMpaVy6VJ4n4/y8TQhhk+VFEOHQ7h6KjrrU1M0feqKh/yOlsC29pSD4hCh
7dBzcC6MtnCb/s1K+9c0gf0EoU4jxFQxl4d+91Di3Ol+QhfT7TfRw+w2TuzmHNVOalvbYhMmrn/h
+U6pOucDrqg6U1R24igwYCMKdif9GqLUkSKoF6FwgSr44ZtUyVaS0V4vQMuK1yUXEXwtUUvd6SA7
gh15BDYIrPFib27C++ySuuDj8cgjekuFBFVa5uu7dwnDLqXZxXj0VJ9kr9rW3/Jvo5P/QFh75EZy
4dMtK/js070bDgjr/XAWaWgl+cipG+9xMXWabegmjraNd/HBcD8f66OpD0P//zzZak52GrZOI21o
qjH1LR3Wjx8K+evng1x6f+sNsqIJks0TD6TZk8NctGM3OBiesVW88HApaHClBf8zEflI5GqyS5Il
dfr6RNLQOpbgsmGJTv8o2cVLWdijK3rlpvrqu7RjU0d/pgepbEh8usAG/eiNLk1W0mnkZX9ezRVw
6URpBuh6JV6y/nhsFM754dKm/NEUIWKddY3wTjrbIbNyMiJV0JdnRNl3jRfLlXg3bWRX/RZvL3y9
j57IUqA0i5YGP1BcTccITeaiNuBKyFt8FvmAxlXxO3Hiv7nuXotu+wJz6cL29SbcP10DuiUhASHv
1eRFrjdLXQ4TCcvXzI2e/CPWr9mP/lr18i+hW15F1yJl2oGKW9xM16kXbTqbi7rgXhItfVBLnPyK
9cnQ1XETF0GVvZ19+HjT5HtbitGduVF30ZfUMb0Lb3s5Ts8e3EQeA24M8/GNJv1ur6kFtassur5u
er28auXK3yfOfFA3xW3gXnrNb46Zn422OtwHKRYxhllK75elbMNqzAXDc2jcbdRN7Uy79JA7F0f9
+BkBUBRFsoiUW+06TSLWkKM71Pg2CIEdcjb1V8t+kHvhffWvBfmPOin/t0myFN7Yf26R2PWPJkrf
N0eW//5Pb0S2/kJ7YGJi/qfJwb/6d24PVEw6V5plSFC2l3CuP70R7a9FlKDgsEKijmSJi7PkH+0C
CNlf+DbyB2SLXGRFhkj6D7iap7sJdQ/CBQoSiWwwjm6UWae7cyblcz2IwfewyuN+M9L2eYCOrGWH
pqSX8O613P1rHr8XLr2tz39Pb4j+jCWyTeIIpsm6vF5Mc4CD7zRxWRanvnRb1ewPtI3TrVmq3aYr
hvDH1DfgA8iM6HiknjbO4v3nv2GZy6c/AdSEj8GSJrz6jFddWmIBtazrncXKeMm1FNyM+5o3tXJ6
NeHPsdgXSfe4wLUPi0vIheFXr5s3gE6FFuUSt6TSFFu97jKuTQsz3s7B4z9yYoVkmIz8ihv+zCUb
hNOqfXnZKCBMTRRN2q+oZ5ZV/27nSiCpoX+Fz5BXYBh2H3N4gZ4W9fdmLvJfGriuvh8Ei07M5694
VV8wMvxEjVzwheuPguutIng3shSC982mPIFASeZWC8PYGcIx2udVJjlF3UlbS9DDq6AVAHjnRLyN
Fal67HtdPdL3vnR7OS2E394Dmzc6Mq4uoLLrGR4HhOAhKh8cbbD620gEAsq6oHJwbQsh39TN/vPH
P716L08vGTw/+hk6mwgylinw7ukTCGVqEI0EYrd4ndgET8hfJFW45Fy4zJSTibwMg2U+GwDzCJHm
6TClmmmoc4C6AYr13zPpiG4LR/VazQgpgBI1T6D+ouT0fnVJxX22hhR0ENqy/bCEeaGrSQyMa6aj
YIxOlGqmAGlLHgUfd9ncKn6lOrGxx6DEx9GdtKIfcZjHBQ+wpCRX/fM3fTbD+R0aZRDOEabIklp+
57s3XdGokwpdhWlbFyn+NsKxmG/AMTNgzkHdEgc17T4fcZVG/ja1SeVD4MNJKYtobE+HpMEcGdGC
QKNxApg2Jh2LCj0QoDoragBWK2USoKzQRYtNaljrqTPE2Pvj5phMs635MvRDUSUe4Ap2lgnBUuiS
Z4xyyulaMCpUsbTOgofPf/XZpqPIElo3Ulx5VXAlVuIknUwCneWPzxBH0VYAhvoekW/j5AGBPRe+
ydncINteZbVZ5Dsvc2M1+wvVEIiAS7GHjRUkWHnWETaEib+tDabu5Ko87wZxam59ZfaPZS70F6gg
q2WhLzJBFcLJEke3zNHVXTQX4IsN+FbbcMujY+cHxpM1tuGRyLPprlaFeJsmxA+Zam1dqJHXpxuF
E6pcgvkswiLRZqwtIo1KBpcBU7ADrU8Tz+hTEkRKlumPMiQdCl1gLKaOli+hCnAY0h9zWoSPTdro
7YWfsvrgby9B45BD6oFk8iwSK9AajVw+okDkfppfLN839vhCUkUSynBht1tv9n/GQs7FDU+F5bPa
DJpJaaSOlDOiOYbuGoDYaGEq+I1bzbr2IPtFbldLvozSiNXGHAvJMwiBuIny0nRmLE8v/J6zR0du
8lZV4dFPX0pdzXVWQDuOGmxOuQzUxjP0IYcGEVfwt/18ivoLw622IB32qkSKK+cLMlLKp2U5vNuC
xFQttMKXIGckjXWs6cHH8ZC/Rr2RHKtsUl+g4cGl/nw9r06Yt1cOsWqppiDVmGsZfVnriWFBCMct
V5f2cTeaBDYVxgVk8+xNspIo09B7oZ41EBSdPlow+MM4k5tGtAtcz7TLoDf06iLOGAfvHz8QawZu
Ng8js4Lk06HiOYKKYJYT5PtMkj2VjL4SoUkwWRegqlUtsLw5+uMmdDFFWiqj5c2++1xzpmejwU5s
l4JOf7+ytEnC2QjVx3ESgjh4xU01+mcO9NQ/DCpxQnNtRjoHqel0UD+ZfbJhKhqv3QT9SKb1jjOJ
4HHbvOTMuJ6Ob0OBaJrc0tno15EShg4AEviY6pkRDQsE/OIzwp5ua2pk50Sa3+xGude3n3+9j7YA
TmBJ0VHAGny91VvVany7LWjDtkG0dS6Hv0H8D35Tf60i6RDF3TGq4m99WY0YosP+kMKc8reuLvyM
81VBr4PlyPUEDIbr1OlrLiPymrs5noih7ttbC33E1Tx2w4VR3hbXu7qLr8k/Kj1pHpZjRlqWzbsp
VNZTbdZBOMLlsXLOGSLZJMWNCDIyj2UxhtGN3s9fAyulx6k3T2RuxGTAweqGupoKcFwvvPzlQFv9
HllZDh6Id4Dm2urlm0LX1jkOhjYGXc1GXpx/hznUt6EKdT6zaLLpfUBc1eIQDK9Hd6lN2s7Oh87f
ocbJHUuH6/75j/rgU/CboGNSBYCtK6tDWEs6ISEljNgiofTdqTWaYx/l/7CsWb4EsAwLig69CKK+
+uCgY21MqtZABhCtLBW92yMSHjIFTWX8/vkDnU/x5VjhjoxyWeQqsS6h5jRPy6JDsIA232GtU6ZV
vp23JORVNKjz+WGeYvhO8XQf4o+ahGJl6/r49+c/Y70lvx0xZK6zG6PnYT85nXt1KrRygPOFHTW9
/mvogmBvSSlhcRktoQs1xNlEfxuMOpfZLhJSvr6qVrVVpDV6DZsUJGsfdpCQnLE1uZWXJeTkuSqP
Q44cpdTFYK/KokDjVcRYD+uoC1X3ejpxyMrUMjjH4CjK37Sa4h20yRpfb/qWRRsiHDHVhzquL8Hi
673zbRQJ1AUAjH1SX43SAr6RzggDJJnrLy02t3aYcJWocJ/3qqF+RR7of/n8ey4z9P3a5e6i4ojD
vknJyvpdHbGJnhEHqItksmNO6EJCQTWDBpVExLZFuxmXlzwClglyNiAkWPZolT1y7Y0QmfAGrYoB
BUW+L8bpe40YA/ve8Log5jJuWrhVs+/1EjTXUL5w+K5L8wWwlrivaVxEIASv11BSkaaXsUNCS1Ok
je8nj8RfvRIauG/8vHaRd1nOnJp3n7/j8zVzOurqxtbJcpHHOWLdYVwSuSy50QvIRJqFFS0mEZ8P
9sEH1fAiYcsD5qFqWubYu8Ohbs02Mqo5pL0fVt/MUSJDshq1Aw1TGDpzE18onM5eKTsS+5LEz6X3
wOl/Oh5YRNFlRoJqEB0JjAZk0ywUwVPM9Hdqiv5DUFSCV4TzPwSX3u46fESelSsvosZVxZYRDyKo
FoQczRzI48vabvw5W40UO3EhlD8zvwy/4HjIHvn5Cz5/YPY+0spx+BCXibRaMQGlWq8ZkCO5+ViK
O5Xw4raot1r1tmopIRH5yXNxpxnVZJHK6gcXg7vP5hNoCx9YNSRe+7Ibnb7yNB7GsRerEpRSRFXZ
dPm3xkrM69BSL4UNfDQUt3Z2oyXUHVDpdKjeJwoMAQUPW5fmK/zgztbVtvhattOliXS2xdJ0fzup
eW/w99e3uGrG1H+UoUD1eVbeVqIy3HfJZF0yjDx/osUiBWcCcGeuTGvD62pE8EnID/qpIq4PYqln
GbzpupjtQcUc+vO5crYYcRlZyuAF+VgcgpZ//24xGiV+kdHYIFY3G+l7EKfSbinpvshFH/70RZIp
/4vxZBB93NckA3eM0/HaqYqjiOYND4dEl0hg9Lt2W8ok8cZcPB4yto3wwjOefTeORklckA42dQqT
1TrsiqTtTQvGfDtM2iavfX+POK5//vzJzj7boq+hIcHbhAAChnT6ZEYt16NEvqMtEOqnudxg1JmE
i6huXRPAY/4vHkollwRRGHPSOqvkodrQjSJfEegvv+/6WL8pKYoujPLReQ8jiWa7hlcpXILTh8pL
AFZTwOBbRk/9FCGVwKtax12BJINHJdI7ZAhTZX79L14lKwxjIkMil369fYiFXghTAGl2qqFDovAN
92k7WlSx05ReOI4+fERKRVMDkQP7Xs1ITSZPtu4sVoA6S/TZBT/6HmYTzPAs6Eu0EEg/oWByTWz+
6VpYZgwVOq0A4GlxXWi0kRhVFQC1TXdA+JYlZfoYYT/YAMrW7Yva0xDb/BcvFvsSLvcshTMMocqa
JWCWoKigkIONEg2lV7Vq6OIw+sd78j/yoc6RvreCVF/64CpXbWVVU0ikh5cIdHOOeav+3ouQmBEy
SiRBjbXn1wRJjbnU7EMBzSzK0K9xEg0XcjDOy3N+Ax+Vk4GqGPB7tfJJkEc3RZaIDbkBc+8OmzEq
heDQKoGLV8kmE0CgGd8v83FjquO0k8RA3/3zl76Y0DCf8VfDI/J0DQF4Ex9aYHQVcbsnQkua3SWT
F/ajHl2oHs+uYEt9ziReTA9hcuB/eDqWHDRjkmE7YQNHSZqtNiqcbvwMbF61bKuVMXuNUQtwvYUm
300C6dnPY0zTQVOLdtP3TfZPYda3X8TGwVcga4J72ekvMqK+6gPIcSRRdjS2ujHZdNWYOP7YXUrw
+2gHNlA9c7agiTPXLENfGQYda8cMEUwEm5Xj5HdMtwvBmV9f6tKenZvLi7bATjlPcNCkv3xybkrp
YCbFhPrIQjlQ2pJPnucUlpC2p0qgt6PNBlcFS7sLR3HQbL2K2ngJvZO9UJjiXzqXdeFgGK36RNu8
uqonXJspi6OLN9Rlip/cZpa2JmU2+ww2f/L6hhqP5Fh1JYnCidCLTiYr9VFTw+6OoDRYTZnwzEcL
PAw/JTufRcHtpAY/ETOWN3llDt8/XwofzU+8k2Q8VOmIYZO1WpAtNjRJMKHTk614vu1qtXqa0tzY
4JKpuG3Wi1eRShyKiFri22ws7HHxOMqsWt7v9sJv+WC6QP3Fpwz0Hw7B+pRBWZ432GKyObBCvooi
Eb+60iZbAwXcNimHwYl0HyCjHtt9rg0q1Hciy+kUpyRJD6pOY7z3AeqBkJShtbzPf95Hvw7CAa8J
crJILX06waLKqnSp5wxULAQ3QyYp+yGtZK9ue//CqXB2XwBXfvNQw82QakFffZTUavXKlxsOeR2S
Ujj0GGrE/UEx/GtMYqC5F9k3woUz+/Mn/GBYroAyFqbcVdgfV6d8ZUapgKMCB4QvWWQ2a6MeuZXa
YhSUVs34MpKMoVOX+uW3AWVtfmH41QvGdAutqwRtH2SB6mZdr1lhAwWjMjGPkwwMJGNULkj+24NR
4Yjz+ZMuJcTpGuRwX5ofSwGqsA2efss40RJi8yq+pWm1nhalqtPofr1VuowGY9OJXjMilBdr3USd
LaQPnw//wZP+awuAx2KoMDpOh+/wJUjbXojdutEgtxr0oA5RlpZbYq8ufdTVWEuvh8MWPzPYYFy3
16e+ZTBHC5Ja7GAoZ2DAgRXVP2Oyb2my25linV3YUpZ1sHq3zF182UTeMGjN6uGqEBZFnRPnrlmp
lntlKHbj3lcbdJ2fv8UPBoIYQbNWYuNS8YY+fYvpXBpsGEVh11EntncYs6WN00uTKF7YmM5fIZeV
BTSH/EN9v76+t0EO7QYp0CIdVjCqlEJPK8Jymw/yJev884m5YHmivDiYwmpbW+iTIm51WUONVvYI
GMuQk2zpECA3jub6hkwS62CJuk6yJXLEKBMvsmA+eFY6EZTeCyjPNrw6Ron24l6RhjnmwrNcucSF
YkcWwmnH6CHVZhDVEQlIIDaTg4GT/w0HjvnYh10xu0ludQ+Qg0YcvdRpOiAxz+59HzaP8/mH/+A3
cvdBmw+MvtDAVjtx3Se6FDdgnrkVdvukxnzOtwb/Puuy4EL99sH3WBT4Gu1o2vLsyqdzrO17ow4L
QFy4wIqXxbi8JNRPu2RK2COqIdsKQljaPco0T8TY6ubzJz2/CtHwezf88vPegQG+iQVAm/GkqlhJ
z21YGk+DlJWt1061QeBUagq1U2e49V3Yi8/XFgODW7NfsEXR3zwdOFG0UO9N7s6I6iNtMyVRiipE
gYN1YaDzM2cZaDHrRfRDKb56wRiR4gVDaCqboJH/Lbdq6eRWEj7FvHQnlbTcIV6r3mmEfrmfv9uP
Rl4gFpOWI3cRbXXa9aXe+JBicuwRiL20EzEVd5hopZsIPuFilShjWSgnrmBo8YVQkA+HpkxlXoHz
wA4+fbt9EMtRM3HPJMo3fMIxcNzNMdqzXmhnpyH3+bHUx3ifDVNx4eT5cGRTpfp/+2cdK41/ZzuM
IkUMFlY0nawY+MzJZlkmpnYaX+TQyv+OTKm6r2SNTth/8capfrl30FFmOz197ExXkgDJJftoRZrV
XMQoSAskCjT82jJ1CjGIPfJlsg2ki8fPh/5oIeE9z66BQQfEwtXQDb+qKLHHsmUjMxwzHNVNnPt0
QW2ly83ia9sFCOyAvgrjwg7y0cgAz/BlF26svEZeiyFPpWriodsyGa/ltpi8kabNfaKQMKYI2OC3
5ih6nz/uR8t3odouajoO4nXvSQ8LgC8ine3B6PQrzv/goaTg2H0+ykeTCVgZW30AKQ1mx+n3HEoS
P/SSepGo1c7DgCnaDj2pkNrQJFd5FRDoKEbaw6j15dfPR15x6pcuBUuXUhGLlIXUt57HQxHHVSTj
WYL6uLVnBX2i7Lc/8VKki+FLpiel40sdySQtLvabKmBmEtc7UqAjJ9QsGE7CpVi+83fOT6LPupCm
qV/XvL7azAc91gA1gRt7lL1LB83DuzG9FKZ7PqNwuuXevgBkXA/W7RNTjHOzL5lRo9KB3OAtSy+1
C8qpsmO8z00smIrMsvtmKi9d0T56xgVNBW4H4QQOPP3iuTIXgqmwcSmln/0IKazJa00xm3QvfN/l
LzotInnGdwOtphbC2FZJMkSfw4TnRFK0/kveh+EDPiaxnvRe48f+tybGTKDOQNLtUqRMkcbgQqXx
No/Wv2Ohi+L8De4P9r96YKssohgDcDhpEUZalYrjW3ydKPJjqOBaYaQ9/rpIN3GGQ4ncF798s3vG
PeCY5jTsUlP6WTb1a5HJT6U15xRSMUozgqUdqxM1TymItJMzCx851cS4ZpYk/KgRJk9Tf5uFwgWM
5Hy9LkuFLIKF7YvJ/KqayIkPyzuFh0nSSVZt7iXBjY9VwhfFxG4e8jicAMku/GDafv45VwXbUj9Y
GmJaIGsAJziWp2+xUEsRGzu4RBX2cNoWMKMSDzpp28lBa/uyvbAvLSye1QQ6G3L14ay6bsuQVp5X
4mEXNYZcES8c4/Vn2sVIfLu5gQFH1oFtjjgaDNjnEdiYgUgKE+BcX+NR1DlDKhfm1uhipV88dQ1q
hdyoCoxBksHMnqcuaPDL8WFQqQbMryKMMrefqQ1bbgmNULfOUNTieCcDb2pfxZQQ2MTJp7HHY5oj
D0zKMX0cwBC0m+kcY1uDf0RJUEHTwch1OMeKUnH6Os+rZWKouRJuu6H25btcV5veRhcwFJtSHxof
r4XZTNAoB4M4YsMUjJ4QlfE+psV6NZUy7i21LsSHvJqVQ6W1+nUuBpajyilmm7RjHwh57DAnbYtK
sfski45jZs0Pcl5Gi09FdE1TEj32MFg3dW1VmznHo6OUoIaZVQ4az/l6qNNKeTAHsblOo47AOIri
LbF4dFfLwt9XvZgRt4sDuz/7maOncn3AGXTajZkh7Bva0l4ECn0t/P8UnVd3o0gQRn8R55ChXwnK
tmU5zwvH4/WQaWgyv36v3nbC2mMJQXXVV/fCid4NhqUCsxDO2WGowuhbm91fzQQcJUmmPbEmUZ9S
eBC8YjhkjCUzvnpLLx5IWvlfAA3Lh81blh2JX+1tI543QyscizlikgdqbtLy16XzjD9Fw7K5Tv4K
xAicHVv2IJQrNerR5uvzQ00sNPZ7p36ZJzf/q1WSjtSSL68Zo80ddGmO095chYVTFUE+DfpbnsBx
cw2t2sJpKxoy3bWU357Vpac1pX/Vn+/LJF7Qzne36LqW07c1V3BghZFAwWwGK6AcvqtnT2odA4B3
/h9rHYlYeHqXRkAKzEgpDTy45auHtBf6cQKz+FRDqnt3Fh+Fe6vyC+cvA4DCMDyObA4gFgO+909r
9eLdzUCF8j364VxUWrsCPGKrwNV8Vhs1dwgqUoyBVVb1paqAODsFuT/HWMw/JGHbBzcZ1Q5Gqfey
VozuRZ1UB6WvXTSvGUmaTLYIw7dtirw6IzQsNeeQ4Rf62ox0BJjZmIGfCMUozsuicVnqB01tdyO8
xVVmqQkcmZP6sTn7QGgKopR7OTjPA3LKWC8GF3lBNhxmZoYnIYrdnDnx1vZAhHofkF68eM3ihGNp
LB9NM7g/9VKQY9/0JM4b34uSzoBEuJi5QaCv63b1YuLTGYxsave0t4xbsk7k45byCveYBsn4rzbK
NyKI8bTlP1slDp3sD8VYAT9q39qq+1Wr9h/nRgcwBxsxYqsJKoKBBjqx1FA5untgpXvVHLBsHssz
+bLN0BtXdXI7y3ywQalp/Z06ZFQpH3nxrmUN7wLgI8hYoLusFz2D/Wu1XhcvwljCtdPta5HUT1WV
L2Hb1zFtuHsnsmdyw3fTNyfSbPUpx/zNzc3PbTbAPnuyDLVBSyMz6Y9TNj9QA7U8z5pvBrvvNqjs
IDXSlXQJEAknK61jR3k6QAIOTLN5FqCktrp5yv083eUygUapIX5hRLEGNsK6gxQbhNJO55okutE4
zd7UXGvH9KgP1yb/yxSnhftIsjBlpyYiW0/8sBNRsUJvkgkOjARSD/GE8rTdQWvl6MyXdpquXNIs
vpp8Q/yBYUKEIrKWYePzaiBVMhlgcNsC7HkbMmPv83oHHWFn7hpsaWkOcI5kdtN4cjczQBhIqr1e
FY7f0WV9wKpMfmKB3rXzjYXJT1MGla7pJE2N/0ow/Kzv+02wQlkf0zLbpS2IcoD3WVT4bInngD2p
Iaui3XtEkUH9W4mKoAqpR2O1lmtddNTBTGO36zKl4qnTSnDqvl/ilPF/Vy07i1o8LUbyxK7cJ/cR
rm0GjQHLSbc59Q++xziq6uYHljGuPZsLYUfOaj8srRsyV9iziQYFzD6siR2begnXyDq1DtD3pIcU
0wNOI1uYzuByMLZDPMglay/N/JN12xji/Nkz8ngt0uJrdJfTZkO3cZ3y4q3+vqD5zCFsu6hteUOO
89Ca7TPrbzLKdb5cRb+hWzQ/dOvqXK3WubsTD+gK52SHQHWmT1Dc9mWa/C4dDBdUIchHaoDQ5FJj
Ma3XWg2Yqnw/D6VW7uaaeh1cHYRWV4e7NZlxI7WHbnM+67n+Az84tPsqULJ7li1I+RZKoFZaXEoc
Hath/RRKHsA/BVWlR4ZHOdhmyxtpLd7NtCuC2t1+0xbLh12IeGr130lP8CEMEkafDT3VC9JxvaAE
Mx+6zH0x8upTutscSZcE+SLyG9R7FcxdvhNWjr+oPHC7DxIjOzhtf9JWAHq14FqGQoE2x/a+vSa/
rJrFoY7KINj07EfPttj0Jn5cskabbu0lfNi4HMtH0doP49gXwLM6c1j3rpG2InJHLSnAl1ntk94L
+VONefof7rT6bE7KjEDRfCi1sR2wKdg7/I07hvsy9H4Ms/60tSUdhHyZ/qAfVXE5Zz2p6nWXO3y6
FLQILpAi9W8Dk4XDuLWg0LW53ymQwRH0p5HzeF+HwkjPHfczfpU+Gvyl0pCYLpKnuoR+SwETujLb
F6KM28LkMpZcYibdc3s9yBJqu0ODjsdP9TgP5s4e2TJa2R2Eyc+EJ6yK5lauJDAz47HS66vXQMmT
S8piv96rUAxJGo691fMXrInpF/xxvcj2GssJjP5hofTmNa+NmJxP/ogWAOJSn5962ghjdzZEd+hl
fkoayGZ5egdGSjBqsAKLqUDGkFenTaQXu/TtoPTA4plV/qHX7D51E61Wzd5lG3GiSn32oIdmT+yE
W1HoVM5PCh4q54HpbdZHk/fc7zeuIP3L0NddNWdvltb3NFRgizgq9qZtN0JH9+f1z1CUHeg67XlF
aF/37qsAjiC9VAZebh5SM933MolXG9zWCLhasx+bMuGSTrr/jCT7mzrmu6MvHs8JlUdZawSE1wjt
Lv41Gb0PwwKti+sY3Ji9s4b+pZyNG7ECGpNcsVb65sn1qzbJd7OZrfVXvxKXjblk6BjtsfDbS+cW
ALMc8acvp+fZzuIRN1a6MHzZrGApzINvDnHVFmdqsDVQdwZmrqcvi1596XnuBEyqPqaVMIGskq90
ba6bsR211AkTc36uhXXNQCMGFm6BbDb/FBgkcNr9Eb1fcW5vpiBt8qujkl92bqjAVvMPQjvWEDMR
5Uq7Nj78dF3dE7psjnTGN38IbalDePjl4FjogNBFvlNfHGt72zJ11O4j30EujzJdWOKC+D/+l84T
l7Hx0MJz0FnrK7Ba2yt3izFBKFXwLVhvbdErGKcpU3Fq0nCV9rXp5E7UzkHYyT/X0Xmu0SeEhhKW
ykjoIJS/tZ7/7QSfcDZb3iq9gf+0roFbm0+sNv46d4FxUatDCV5UyDHyFS+pU3daUPYF77zhhmpj
mNpohhZURg5reazQYWQImyi2bLuA6mSfzMIsoOjrD6pYz2Zh+welice1rNnDa85FPd5f6hdtm/bW
5JzwdWHrMGMHY9bc+YKDwXRmJPOr907CLTbb2bl8caR+rVJVH0SV/9cCxA876EuxVouX2etgyRY3
xyr+WduM7AaqR5vtOq09J1QLdAZYm/pLqpqSy32Rs/YnNdrTQrWfNO2BD89RZXm09vlhTDUaL2NU
Fk1s9H0RjNK71XoaWTzIqnXZE6lJYIG5ZCKc4zC7EMzH2PZQhyQu3Cq3vK2OFS+Vcc4mO3YS8ThX
6mCSFmlJjbKxyjAacYm9cTtvCnyJZA5205hHxJU+fDj8ERNnM9AbLhgMNrVUcQft3gHFXy4uoock
NjjZD+3ISsSb4BmGmwHGqHVbFmFGZlN6+1W2H4LsLQ8O9TG4fCD67VQXdcWbI0MWJF8Ia4FNVcMz
4b2HkfUjYB3sWjjILwLbmiMYBtw6eAnYnq7ka9bbt87CgZXQX0/VZ2n5DHmr6E7m0rKUqkntncZ5
bSwZoVhg6+GnRRw2lmmUCvXIpuzRbnLwcP2jtXjRuubRkows7f3yIYgniL+buwSZ2V0KDcQEi7V6
Xuz9vIWxOD7Lqbxqkj/PHhY4l1ldvjh1FUsYj5pGI0O0D9JTQate3ZRHrrW9LvanNn9L46Wt5j1B
2fdh8HeSSmzMOU2Ld6f9o/d/+6LkxXNCMkxcj/ZbPh5rfkgQ9EG+fCXlJV+qd2vzTwgwI6/zA0w9
gSEf5fyoyVeR+VwxazQPc5BOTdS0P9zv9pa1HXXUzs76pk3pIdHKJyLiFahd40LRE2wzSDyUIVP/
axd66JUIT2QbWdZVa6gb9OrRlm5YuJdM/x4Z1lM7hiywvqA2f+yNJC67kSEsy61sN4KwCPwOSGgS
40s5dTVdNfGbEo2c3T5O21uuvMtstk/a8J4k1wquJk6Kx7zqY795l+BliXbEHtqTzc5xia/wXFVU
adCFFMBQCeZSfll9+cDwJgB5TwTo2eb5XII6yuv62KfHdRgpFLQzq6C7dPzZeJaWG4cUzEHdOp11
/ECjSHZLUu5Xfs9vEC2IdAcuPvQ5xhVlE9NwOBXWsz3sNFJHVoojwLhJ7WgUb2P+VbG/6AsZF9hb
Vk46Hbd+d4fRBYjnf2DYI2ebdpp9lO2jUT3Y5Ym9BXa17aiy8AeITmLBuztr/gB8D3o9CcDwA6o3
dm36ltpPmunfmuFjqPeJbUaov9f26y4J6jOf/oPtH1edZ8F4ZzFm/Y/rPtcccntH249ghvtOPiJq
2zlpFrt5dyqmR50EWmdxBqq9s7K9i9YUabAsSzTK4dVbQUq6HwmWKNUztfmaxuExqfr33v/L5jz9
jjzOiwR+cTaeGm79kDDjsn4T3XpM3PzZaeyXNdV3SdF8GKANpQDHCfh5pmzQkpJifAzHOyH/Hr1f
Uew6Y5iBq7ar8nAPHZc+ToPjpg2xrNfdNq/A+k3iRuaEM/F16tkZTV/9+RfyTVzbL63zuel2ZJVX
6V7T8bTBNBSlRivTfdDyvWvn557NDdVyC5Uz70dz30hlCYs+lJPtLL89yW7eM+TmpOKfPEedsSEE
SVanUW6/OP70Nk78q+uZIW0ap9Xfpn7ygJH5SX6xuJjLznrW5kPGrJRG3K9r0pixip1DLZ5XCjke
0px0PruZ8dq342nu6l039RdMLmHNoMQRMeO7/6j+DQLdy5Uw/ffkOkVId+OaG+13pcub6hYO+3S/
25YzpqZVJAmLW+4739wLDvPdgWgkw7NNBletFmV/nnLUkhSnZf4vW/HXJihZ+PdMr9LgL+tJN6HE
dB/MxD34fnXhv6mbKu0ha7Sw1B/oPh16RgBYR4KulldFYsrmxDcC3BX5Y7fEs+HFJdacgGdZqBAt
GOPymKzpTjrGW6FynjDe3s51njZTPOBLk1VxyvP2ojpYwUk7RY07wRn/Kht0YPnr2Ex/l2QOez87
CH0J3LaPebxydP5nwVNW+ueUrFRvRdx2rhmR7jyPCVUuF+RsUzyro93WD5UwL8Pq3Ep/3jVVysHF
FYHeLWNYQ4gd3K/ecM/ZllNhsyJRuTwIxn+oHMNM+9Xc7aYJKIR3J+a6xMnMEWO24nSy9hzVAvQ6
l1byLIXoSAPCKP8ruFmoQewM/o+VyHozOrdBLSdNM4PM/+lMg1cnfxDz1Z28gCNdWy/0qAx2dZ+9
msLXHnnXTX/EG4FwR2a7kelh0fCcgKi3X4blZUq9U2P6r4unTlTgL471Xhp62OGx9yYRLXoW2+Jl
4wRtNkbsNgeLd3Rrp9jjpqbJ+UFO3Tstp13VWEfTeGOOl0XG0F1tazyPd0jnKqI6sb9T13x1OzpJ
BoVoqQ5awczFSsuzl4sHaouDZbafDgzihS9A3PTJTF9VCVBYZFCULdYSBKJsoNNGMIs5bEHELoIE
AWBtBt6xW3Y74gxB0/yYrbPXfF5y9GzcTMLBe1G6jHuDMZ55bKT8z2hiKzmUuryThIu88ngZh4OY
jaPhW3G1mZGTQwLUFOKWJWjYSB7cJPK0MaqdCzGPiuHBTK3YHCSXvlt82CMUqmQIRu439vZHw/eV
zPUFzOyldLOYlUk47nQSnKPiPetysL46xjTrXeT7HJNXmh4yfpO8ZbClDnj1JuzN/1hJDnTuVRan
f87fp8RsPtmPo12wfrIPtE/9NzaMWdDTf/CPnDoz23kjH5jkXe+4h27budNYvlyW49iUn5LPNx01
aB3WeDDwlwWjyfE3b9xPojKPRaddyo5W2iKG/5I+Oy4s1cZKrEbUj+atW/t/WVewYIlHhgE5nmFO
yUys/yt0+92y2xvb7y9pwk+6evNTyzAccePNsupHvxV/tda4wfXmqbG8jRnWkmEnQCfr48vo3mwX
mGXzZHqfFc8Q1X/dUejsuUeJUR3TlMeaJTiUl5Gwz2J77NmIHAAL6suKY8HeT5nYpXV1WNW/MRFR
52pEkfPQYbWM/qQ7ztx4fuS0xfUsY49f2g58BB4GPvgp+y86uV3qfI3TfHB92Dioznma5dw6Ne/f
wGtZzpFPstfloXtH3/plF2JD3tepdSoVtyzcO6w5u8Z4Eq62l526pcWTM2Xfic37rGGP0rhq2uIw
VEtgqrE+uO66PpIxpn1EV4p7lFggZDfHdsOMILQdcp150ODI4ze6v9BQtrcPgdsyc+o9J/2j24mD
m356Ijmt1Xgu4JgXYxewthiuvofS6y9ruAxOzLDIvEPN0VtbWgauzvJSZ9vrZpSnifCoVZwyE6I6
KzFO9qolxtl1r/nAmXX63ZInsfAco1xiDh2m6y7thkNRcFPRAYWpKtrm8eAXtGWtZ5PauTQJRjcP
/fKC+IlC+ztRWK9YWq6n9wxlkppecg7rkhc2z09WQb+ifOZyDvLND6oVZDFTLLP7qM0hVP7FGaxo
HDmueJGdHSrtcF8taCRH//W3sl5t2j1JvpxpYASDyRdQvw0Icnf718hlT2f30mz19+BA4qm9qLAJ
5A4pMlsrbEuL/IJQx0XH3mNdm+pae69zJffNRE9TBR3DhF48Ns6bg8RplLT1k72niT8zfoCxMuKN
rnirnKDoOMjSaKqdsz+9m3X3uE70uHzYpXVC75ckhicPujnvsTzFPRVzzlg7zweIwoxTimKkVTvv
hs6/JXMPwoHHiPTlPqmyXeOWR9K/L9XgHMyiOZSudktcua9NpuBZPz+ournN+ESDYr6TrukcKGDY
A5tkTMppG25GrOlMo5rWPrNUdyha9NoMJ9yQWHv+kKm5jKYm/Sm7Dh5V+lEM3Y39nrNLjwfbJ77N
9LAu6WnRje+p9a4b7ZhDnfmvTsVhUuhVTsMKJV1TrnlQOc6/alK07nCk/Uz6PB1bnxoZqekQlkV6
IlyyX2oO6EIbW1ZtAM37Wo9NiJrapEM95226KxXNaaW6m8vmGVzrfCPKmXH8G+2Kosw52Et22Bzh
BwnLskSfkwPLuq/T0JrBNIu31p5psDRbh/Gy2i11t++V+qwN98keKDd690mi0gy3jHdEWnwgNbf8
2/g5k4OGb2AweZJVDg0s7RH9ja6xYzbHcy/n7jtffAuP1WaCUk9WTvLJMblfkSVDMsrL5tFcUY7W
yOSoF9bvqjS/WuHRxRN9/mSUGCEmw7x03rrrRuu4SaR2rNGY0VSAva4Hsz0aAvo98ss/KPIQNUpn
wIgn/+PQ5od9y3srmT0Bo+8ZoHePibfcdOU5z5nenAgZvginoO51ZrbbHI3zIeNvqggFGCmvChZT
fKwdySDojlkOkxPrrp9ZmiTDjyKH2XjxMFi+KdFiZWrEPL7bCX3Ft5JXmovcNO+E67QkStcO4j62
KM6UErN4Vc7iIT0bB52hj6J77aT6cRZp+1c4CWyI2s/ag5YVznvt1bZ22caxra/0fLf8b75Yyv+R
mlTFzh7ckpYCnwl0Xr310PlcVquS4kF3Z7LrOoOKbBj0z54gc2QOPgdTjhUxs5bsxLhTfpmjnRzw
iU1xCnzihuAPlU2fVAvbkrJ+KHOLeReaj6BCwgkb3HCPqbbx0a097vz1whtCy/mib6yYmUWdo6gY
7fxeJhc7QqvQtOfxNnKqPeYph0XRVNbVUFIWgU7LLdYMsws3t/XCtZo0DgHl/DsLDBvtjD1Eekhi
WO4+I9MzL5viPlAlDCjGas3jSlUOFgfTH460lRqi6fV0ZuoMAKD2q1dvYbDJZ2oN2Pejb7yO2XNh
LLoXawBbtsj3luwyZ5bghk+El9KOr7bKwm2DcWrKoyXwMOD50J/t9u7eLM3uRUvm5onr14z0ycJc
AuA2dDIDs8ZqM+iRRo0LZIEV5DXNxEHc6w9l4ioMgCK5iMT1Qtu9qwH8pAY7nqTmx3q/RBEKDHwD
NwkbDLFXUd3vcwugjtIEZ9BY2nRCN9QR36KdXDHAWtdza/QZ0qNt1AOVid6lnON2Y3dGfdRpCsZ1
m2X7xNSTv4lrMXJlp6F/S5t1OIk8M6J7gIamMqbiUl9oQKy6yQRJx5+WDfVFjXej3zQ5gb8KQoGO
GJhnwXBvNLq6BLh5oPi9lyBokN0ZRaP1kJqgLdZU4DHwmyUei9yL13Ssz3N5P5LQcN61W1PG1kQF
3BBRfMfa+McpZy9wGfBgBxqxF0nfeHWcSYVmomhollP5biI5xRbWAAVkssU0Z4NxGmvNVN1sgsn/
cm9qQqPqU5zArdzpLeYjE+0f2oZhQqaDRK0YUuOlqhuSrNZUt2oPuWHmMTuaXWV8rA0DQXYlfQBQ
b1tvPA1l45DDz8vsQWhpiUGDaObdXFTijkIbZGbLJC6t0kvWtywDg2NKy7DKqjMua334RqxLLPAt
I4GQjoEDlwJji67VU/XRNbVuf7MitS39zra3Adli6iD5ZYLkNd3Hpm3JnV6vKe91E8rlf2T9cADV
6vBGTB+eV1vOP9scHBSLQ6kZjPP8DVHSiaUmv3zGZ2GKUyFmW1CNJA46GI/n42VUWnUfE+WsARjB
sIlc83GVEGFgtAZkqPoyWta5flObcO9fqaXe8t8GMY1jgoU4kfmTS5KSMjixpj5P47Yt7eGbZseo
HqZ+U0kXGc5CtYZIY9C2K2zkWpwMt5sl28NCLu2HXrZumgRsCpkIXwZbqJSLSM0FSpKusQW9PVpw
Sf1Vkp6n8cGNJxt/NY8ZGif1TO/1/7jYPLrEhEz4JwWtlw/d11h1zfjs2tMijppd2OojSYxeHCsv
NZN/Hpf++rTKZFk/LcfurRMmv2QI+8FL2fu3x8Y5pM2kXD6NbZ6zGVc2+rsUDO/Ors3hImY/FOh+
v/a22jHr4FNj6bMnv5y+M/tb5U1LSyGwsMRUjwT0yam5Hoj5gZjVY991yormDpBYnPfojAmk+Km3
N9NV+1pN6X/1tu9xesHLmORxYW59xkw8s/G3hXVqiBodMHwW2oeDLZt+Rqut4VXkctfL8R8/cufG
kFU8JnTgTP6N+jhOv2oRWpFj7Ugn9VUTOaCYtBdPR6zVJ9uQv2n6OEGgoWvB26G3rfvpC274tOny
fOuOw7DolOCF62zWq7Rk9l/vm0t3Xhp7ubHlOFp7PIdD8SRcZdZxLemD0/WzLAzSYesTVvGCJl8N
Zs5mn07MdukYt32UStRhX/aEQG3taEFzqdKa4TCMoqjVq4CtbZlGoLVzgxN46q3nRKam95JyF6yj
Xk36Lyvp63BjWw07+dAJqzvNJUO6fyvLcIApigqLYecSBcVd7U39AuwFby2HNBPDdZvCuN7ZXk/x
rSZzLc7+2hodL84ote5vW/tNvpM65KCz1jnKidSyKfNfN0lviSyV6M67SPUt+UH3OT14alPzdEdH
Wh6TnJSfbb9ueU7PC8xNQ5VhlzKLurxqtV/YTr7/7urLgjws1ejs/5VDu+kvzGo23Fv6NGYXBMxl
djDSYgQOseXmio64mobvjT/VPr2m4PYZVNuUKNiFeu2EBpzS7l/SO6J8Id215QffJdlLoM7VRa5I
HlUtmuB8rvTxqa8cir9MekX+MbYMhT/TxVtQHyWD5V188tHTqyNXGP5ZOYy2GxSq6No/Rj574YwF
htp4HLo+XHhL/quMrE/3fFnHDlYUxmwxJXRstkRffuxSZPc1U+Oz6ZWYd72ZmYelymb7KJTvn7ci
7U+mVWFkytOObFTRb8t8rRLJFk2SNP5jxnj0kRslYVrZmZ8iZ1ANOUklIUO77H1a8HS6KbVq5aO8
jed+hRZm9B0NoCrT4DP6o7TJsE25j/2bPFUvEv3s6QbxNptwf/1UlHX7t+h961PJ+zxC6z3vtzX8
cdfwUXx2Cru8WWxY/slK1vKUpmjYlv5UUq9MnJXZje6Zouh28mgs09of2RCnNb+O/vLS6kKzOY/4
CQY9wRQgHAm65IGRlfSsmzztf0yoGzPLWHJBE1Yn1o5gK071ZO0fu27MwT+Wlf/sDu2EK6dSkhxo
1vwSj8/R10w22tHcl1tPDMmwTvXSZ0/Q+rqnzNBUrCXJp52OX5Rf763Xd2HfW6TwMCgGjc0+g4Fv
BvHv3nDHd6feCP8BAqMqEag/BgvLtaN96AtDNjd1P3LhjRfVrEgyTNJ2cvKuFQlpzpNLc0rd4bvu
VbPT5ea9Jc6gfmg5p7yR1RznrvxmnvykNZwKNTFvV8+T2RnK5rbnOdhcnMRSfzhWZJT63SmpkL30
RatFTpHQoZpQaG0om/ZpYhjv3aD6g2pn7VrwHNBDvdDn6tErE2acrrR2gz2qMxECnfgJGlrbqJ4d
GnR/V62e37turbubpZd2PDvJZBz9gQ9UaC1d/UCWgHBPzaVIsHfpxG3VTOs0uKM1hobL7mpAxqWP
stTqPwiU4K6Sw28+SDfa0CBF67SNe/7l/6YGTV4hxEYXHbk1C/sUCU3Z75q2McOe1/S4uJiBO19d
MrpZbo21aek4GWkG/agVFBuwNUYOVk8e0XBY+5StX4fDOonYSOwPRymm7I3lPHjAx6lbnObaZrQt
Zgu7QkdfU/fkdlZmkt6GbsNR3HLTb0zrYajMsy4qTicgBMO2tmp0aK4dtJ143ozuQj1DNiDxuHmJ
ZXsfRxy33GS7MEuMnRxVivkXBQ5PaT6cNic3Y2H1dDSz67YxDi8nBxtZrZ5sVTqBdO9r7veoxlKR
OSVX5xJ38zr2kX0nakfPPE+jc6UG+dYqSqOUQSNXZL2FhEvZTCxbCj+PKn4i0hs4zsbhQjd4VQtq
Nmt2gVAXPgSIJj11k3UaU9RKbl82odJFmEzosOi47gs+04Hhl14kGl0/LXJzdw72eP7GuPDAoV0A
Fq7hVF/KcOYT+ghF12OSW2ZhzbOHaOXzIiB4tR2fW62839gZFB31IS937gKHgTXmM3PJLDQ3I+HJ
h4uL7TwRsUP0KYaBViU1a+z7DbbbrMNo1X63jbdctNJ+tXuvZ0Lcv48uErlez5yQePISszRUHjGg
dhEPmSEq03bY5+XqnKH0anvyAPObZ9+3D7TBjglInNtppthoINd1JbfPrG9DxZM4bLvZDKRlHmES
yP2onEOXMe9YJPnBoi6vKBYZSg4jqkSOBcNU8D5rkxVvrvFH9YAwieIzsGp4gWEKbWFpo6mipW6Q
EigZaKRUI3VZYawuGRjk0wXTOjMvmtYMYdXFTnqGi6VjHbmqtLCqqYyQSX6YE5EG+/6UTrfXbCnv
VrDhLGvtxTMZn7feZ2HR92YqfmA31QmEl10Jeb2NNo2JbW5vibQ/M8r2e0jBxHHXTc+p7Ai/WfV0
LUQx76rRtCJdGVGy1Es4i+aD+6wVy5x7c16ynSnIMoarwyxFT4f0mK4mU2p+D05KinAqL22aJhyJ
6vtIuFrL39HQ3aiEJhNCNLKibPB+EnN8MvIVm5Tx2bbdlxrVk6n8xzwbn2hd7Brq4GAAMuo2mvae
p8ZT7TVMDf1mha/q0xga3w2V3DKlWztvM56MaaVVlvfLPzmz+W05OS3HpdYLvgwFCojistI5NvXF
0VYmvQ7T3UJmTfVxqWnNBtIp0gfPLjFEzTqXhQ8lbBws1tiGQo8H6Cm0GPr8RmusZ6RgVRhx0/VK
l2G66USV3xvRb2/Ktqfb/xydx3LjRhRFvwhVQCNvCYCZEpXDpkvSSMi5Eb/eh97Z5amxRALd792I
ocLcjv5YXRrPV7saW9Z5HkXiwpfX6KAgtGwvqqasXR70pueldCYjnUPfqVo0Yu6LgSyHaNkFez2r
oaPqUK6VASrUlJTdtXp/6W1zF5s0ra1jjhrBsNRdPrfaq9KdZeulOsWGyfAT6za8n9uxQhKUeBjZ
t1D5TSstm+1CgSObZw2uE9XsAKFjD8Qt2Dy0zkLpJhFx8ITKo1iRvIO978enWdbvBCbkQYqw9K3s
IECmYmkPbMJNNOhOd8pLdvo8pwMMKcs2HUqIGNpw7ZnqQ7V2N4JgudKcZUVSM6YtcM4+XhvAXUMd
Uhkj/QAsyDy6ghPWiN1SufqmMku1R8ktWIDKL8io9W4YYs61hnrKmtY7ffX8wwJEetRJAr70OR8L
n6pB1hplQxw09kvcYfeoMphSIZL7JB/uACYRdmsZ793YoXWIkwdrnSkFi6loIfGQv9A5I/xjydaB
wOZ2QlNPniSy9Nmkzyidf4uhBw9f56fVNwcgPbdDtmJRvVskKE2UHrk3vLM2QKe7uqF8fszvmL4B
mya2LttfNnJq9vZMhIpUh1wfVywC3mevxp+mp3+xY1beIcZAApTEvypNbuGih4Zez67otqZW5Wdi
Ie/XEhLGbnGjuxz1oPCodwC+2XX0mdLf6XZ6ImWy14mgJp/SWjN/FH585IwOh0T8ZH3zVozg2UW/
XgcigIPGpj6+besPt2ysbV7bv8ac5tHiWj9VwiO0Dq0eJDMHtD20B0GZTT7CL4037YicnmOZ+BGb
DlELdmdMaEaSN1vR1hXfAnQ2TVW8NrbxZHglyrHcR7G4LGd3zN/yqd+XglV8GfSfSc8jr6bx0Hfa
+NWRHNDoN7LQjn0wCVXs1VycCHnQjvrIwUAAzUz2T9GdvQzKBIfxA1fsScXTElS5OmN6PVYmA261
NGgSOlg30ctjkYJged4nT3QwusVFUGe7zN69nslXY5muQzHvhQXHvSTGl1ksYPdTDo+EfWpL0k0S
ug0dD1k2F+iaM3IUp46fs658tLFDFhCVypNfIWhKjdFB5WKC1zmJi5kG0YbtKvdldmODrlVHWkdG
anKsfVQCQ9de2tzrN25Sp3ikkYUmwj2X9NfPiZaGXWNq7O/8JHmevwJKIkbzeiiWcqUoZrwpQrEg
BSv3tpGVbEzrCVyJnl1juac49y8VNx1ijeASZ8EYOBN7k2yWe8m4GojJeCCc0Izswghb8GBEGPNX
FxdDSGwiZiZj+JV+494TnELggxy/lkp95iU8jUC9H8SKLbRrxUMxmg9x0e0Sie9Mn/ynVCepgMy7
Xxx/iFJcVQQp0oNgGKhDVUoxtqT9+8wWmfakqySWSZMxdvm2kzNXo2i3MNhUfPUC2WXRRqPb2NvJ
L4/E4aqjp6GpNqWxRjrGnZO61SB1hfWH6x79mSdeGooC+e0g0JLqrxLZzsjsSwOZjsUCJFPGyX5Y
kiMr6H0zx/d9zCDUA6ln7vTpJfKxY1OM1jb9VzGhg2lWh24dP8RayM3a+nTKKGPYGF38oKES87Tq
rh/dsyWMv5mwFGKltS+kdQfOQZQCtrUtMpDlJPcjQrypJ14wZZMPELfdd+yhiR+JHq1Xs3t0Vwv3
k/9jJqkfQMATqV5bb0ROXc0iv8z+GJ/6VH2k6RyTY2O8Z2BksCPs8E69fmCnoL5cenuJdv5hXKZ5
O+B5D3QPS36ZnifWiAcMP+bFY/MF6LUD4cwnVVcL1gnY8xjgz4+LDSGbW7Krd91A0xpHE59LZf7T
aVDGBa3tEpBLI4BbtE7FrP/L3P4jXiuUkk35vMbJtTaXd73CaqHrHZyaph40/lyg03lOydnBnbOT
WqsTKW99gBdAv8alf6g0JaD2UgRaIzNHM/kAxaMdA8NOWTS26HTyJjtmkzpYtUHfZoklmNy9x0TW
3P7C+5X59MS2vuNovJeGNuN1mP9IkLq1rghz39vAb/w+zoR2gbuKRsvxl2v4roIAivyC2XCK/TvT
8NBlaY9ObAyUUVUPrqoU08+05ddD8CI/3Vu82sADyWRZc4JOB2NEAErJNX2eSPHXpN6vMQ2zkhrN
oNWkCMtV/SZtGofG3H4qbYpwCr7iBkMyJu41Obwy51zc1vkmHZVVeMrrqNNQqICPaedqIvLGapOd
kiWUa4ONFooIvwos9+glVZS2qr9M/eozbmWXXDePdizQDk0/xmy+xxX7suwllAA/C6KbLIjBWW/a
VhF0LOQcnGBXY61CFwQI6TwqlXwBQmxE/pwl1sMojQchG3pPLSnQofL4uouNzCMzNwmD2U0BXVZ2
ekgyT0Ebc/pYJWtfrF4Ty91DxCFvi4tbUf2Lr9UnrbP2rkIF0ImDLWWYlx6jb2LvuiZH0FZ6XA11
KAqF0WF1PmAU3v2lp+Ig45VMDksKto4lbUQ4sW7BQKi7Vf6T52RJCNEUh13HvKFP+7QW8NK+dooZ
BYLaRKMwoINQnX2eHftmKVmADrOfujacDSUKh6oruw1Jv/oBJ8EuH0gU4orJLl6h/VrOgF9n6J9B
cyhOJ5xLas6pR4U6tiY2QSR0Zo+mYzrzCkS2qUed8y2T5kGoJvTV/FOY7UnzFK+cuOtF+TiC6fpq
3DVifU/9OAIVi+ZqhSHvl6dq0EKz4FTLxPBpC5kE7pQeJ2sI/dLSdyzUD6T47QCkdm2doZ6QATxq
pOVis6LxnKDBU6LwWscly5Cj1UyPxfLr0xKBdA3bGVfvc+3N74acaNmc7SdlD7teJ80mbW8agKFf
LrVq74jQdOGweezaEpvC/Ie75NZ7joE5zigaz5a3xRNPdoNmwO7tk0Uw3m6qq8eFpyigL2RfU5Cg
APtwcNj3TupCiJWXPkYw4SWYg5T16VXut63s90U4TmBbPCz4DyMyhvfCRMBWgwmDF+vlXqXloSvB
wFXXbUXj/C1GySvdH0uYr8zS99XqbtpufPGKap9N1gks/QLfy0Na3qU+VerK2dF+lKOqdY5tQo6r
YWgI3mIvsLXqagxWFckY4YafTvf+Ik/KqA6ZtM/mzdSJGgZFkdN92qi7UGAeqxh0v5jvQOYoql/7
bcYTqymUMVVSP1ZV99qY41UaKqYl4+ZekqT3TbijBzPblcOMyq9mbPFebBQDjbhz13FfeEiP6Bnn
sgbQ19qDY6bnTh8PMsWn2Xrw6e6DqbIw9bVomOMrg3PJR+k9JM2w0wQ1nx6CR2Ilig1LQL2hgfhV
m28OshRHAbb0oC7nu9mft8sst2C3BWcZ8oOVJOeQg/8+j3Fb6n4J9JH9uD0P1U1NghjQ71HWM+nJ
viAj2zjF+fivyfVPMrbOplW+avr4aK/zEo2eq4VGXB9Wd3oy7YFKeQ4Iq3zX8jYEyI+wQDGjqwQ+
0GCjNkxzX1Lp1DU3O9YYLY6FIgeLg+7Jq9lihFybdJ+Xzt0op6/Vn56BcdmIy1MjyiO8zrFTOC0X
709ni9uIld75vpOIpMY7RRxcUJXune7qkWM6HJvxpyasv3lUTw6moY05Om8AlXZg6unfmnJEdp4B
1S0IroyRFBLEPkZ1b566Hkl3Z7tHU9ltVJrWoZ3FtnHz7bLa0JJ5gFttn+hYC6zxI7blIVXpMeGQ
KVuwQtsFtQa18BakUd38pTfmUcz0jxtqm2rrn1H2IZv+2WCi6HIRTql5Hwv2h8kZt2M6HjN9+YNM
tDeul10I4YDvQRYYf083CVlZI3FV6iDL6XERT+RDvlm6zljthQ6myJvSXCDpt/vVDvpJfjatDk81
neI03QoShTlH+2cyjh7A6WANs+ForUWUlOA50wwoJWOUwRAgboB2AlWcRMAlp6EPR1kegL++M5lH
XUfwpl9nT5a4+R/6aevK9eqPxuuU0KVSrc0+nrV/RlZRmhBXj74uz55eiFC18YudswGWS7FVSRM6
q8MgNzoXb1m/Fse++jkgCQAFii7evgbx0WaeVqRthgEYUVlH1xgPCArZU6qdqNTGRFM0iqIE5wOa
qJwGkLxipG9DRsNHcu3DBNXAmE4c5vYlWcVXExvfcY2c1FfbeFa3J3iXOshpVbeCSevWLoeP6j0j
8mZ/V0DeZmV9Xzikq/Jynl238KIi7kOVjT9JUz7iTb3LsMfhHGgPlLCHWe2G/dy/1qI80F/R8YIm
OrqxlqBbNe/nof3uauvmBTL3OK50BFm4VkV/pw/V2cNjbarHsafmIF7FIaHN3c/sB61MPyekNK0P
PZp593b8PpfkjsvmVOLAMG+/qGNtSfc69aW1r1sPI5z2RKbZUWvmPYl1F/zQycbBBtyM1qNw9TCx
OoZeTzswDrcBnm6FzQ4xjlHq+bZHE6zWVwUPapTy5MWNGU1l8Zfm3rOjY9Ws8GuE7pjRFOphB2Ut
qIK6BhGzm18CdfINMhponor5zYFvAb3tgjkDPRRyecLxjPUbq0Ba5XicLGiEVua/XuPdrT5Uyeoi
XeeMKXLjYZL+yV2b38HNPswqP+pGxTsI5Wp6uAbbN30gS7sdr+1AAxu/EBr0KRUf2dDDWowUGxRj
GbkermMc8hCFRD2yK/qsA4jEMm190oz+2ht1iAwWDcEg//QJhdjckvGMCBRLtO/ZL7z4UZm8NbG+
K4S3Ty2eJo9tKp12IJIBRk+EnoVBdZQCMGORLbNvYSIza0TYmx4GO2eCk5A2hkW9CuPJUqFZTcld
v7okpMzgs2gLHPhKFjbDGnloDTnfjwk+Ht9RzGGVW1/aOFWIPMRyahdl7jyn77ctGfEPfYO7EhPz
zxg7DQrLKg6MFoCw0PXqy8VfSdA4aflFJ7JQR9pz0UVXoOgCfZI1bE8SoxUo44h6r79Cq48MensO
58idvudmIkPF2Y3V+ttldM+DZsTlDqL40EH5kKA+4JVALIFdkfPbcBtGjWlTZuK41HSqtPDdIHlg
5pdEkeVRx0PQz2KPCuzQYKvIcwagqkAjJbt+ZxfN1jfUHXVHG8zAmwTPoT3Wke0uPLD6tSIwQ/K+
y7K53AzxjumGA6O26Q1X/f/1c7yoBNzVImcjr8Icu1KVz4FrTH2oZcUBOdAmM5Esxeqr0eVuGpvf
wsalicWmFM5GK9LnamIdVEl2trP+3a+cCy8HRj5zI4n1cGtcMZg+zPgYq/QUI6T2WLi0n3HSOXSt
QIuNCx/WOS3FvrEwybIaILHfe4Tpp575VsbWj2+0lyprI7APxnynJgTQzPOfaqqHAMY523ZzH+XC
32ajQKfW8X0ZoeM6WxbboOhK1LnpeYaDwff0UMVXfqptNcNfLJP1p2XGAXVUoNRwsVAxypgfTJOv
bQybBtzj9nk44ee1511egB8B/viOfM00B/XiSz0919OPn6GBd8EJ++KaAwxBCxEsPb/nzhgM1W+f
us9x69DC4t4bs3pxMrWV6/Qbq3FrIh63xzQaB0zH0OSfs0zhYXGUADOMNxdC+ujU1W4wyr2pCpJy
EKVWRs5Qx0PcDB9pfKn0dDdws/Tz8OPU6oIpNCxiZgU4bOT7tR2slb5zkXLdympWj4XCd4/wJIch
H3aj98LvHdb58jhizr2FOizD1+AukeJBbof05HXNnVuXpzpmQyvTp2qNL/4wH9VknohSPNfrcsEs
65sJoyJQNyimypeT5ernMq75OifzyMR3r8dpNHteqDdQHcn8hOcVR1t2bHzuS228T6yFrAf7glTH
QFTqXmYLqFtbT3L1vovY2cRkMvp4NDUcrP2sP/eJcZLGn74WB7E6p4G5ugEEzBeCPlrCLDZ9wxHo
jp+8BL++rTGEZlsGpPtiOQzOFRrzKRHlRbb9JSM2ramWKw4LyOWjD3DiUe+w3LhFKXYpHMHig8JN
jQlRq+06t7+anfkiXPakG1DqTe53pdKfppDY3mynAg2oDqVtnPOh/C685pmDKZyLYVtTWLD8X+Fj
kJTpRX2qf9040kEWJyNLnpZ0wfcEZOtMxbtTF28i94wALdSlkIhHlfbkp2QRp3wxy7ptBm4wsiW3
N14FnVK/YSJB1RifCE/Am+TcQaOye9Q7A6okz+tTTXa83eSh1w+AdfBI1Hb2mLD5eq48PudiXv4K
p7BguTAjtPprRYqQa3R/MQKIjbb25Cskn4JBJy2Gpwl8nvKIvbqF1Uzu+ixt7q1EUPLlyLf2BufZ
/TMZtdB8mLjbfp8iy0KbIXaNTRhjidcuBY9HIvM49NqD2c5Xuh6izDIeXP9ztFb87XWgK/vVSb2b
xRwZTM7WYNqcrrgASXrlP4Y+W7+aVNhn+ACmPnllmTmUWEXK7lEO+VeTIcpuHibd5N0ojgYISk98
sd4toSa7qEFrX2LZL2FdHTltnSY5mWi0B+84ZAbrSyvv5hZx1tjvXbN6yTPzuOCDWFIuFX/YakhR
5YrRjUQIEz64s19aOd13rtagTVDeZpT6FoK0NbR/mGMCYBFMYunvbFnXOZvOevs2UlQQ5zFfYnrV
++KIO3LPRnmn6et+Hcu7EWeYv5g4kGnaQ1vB0oFSBoKHpcEviHyKGX4zgOCxB3bOi5+RADdg8fYw
wCEMZv/DmHcsLeYLQoXwflhvpjHuOqHQ0msPulgPbVK9OmomzQT3HNJdrYpmZE2idR/cbt5j5UL9
dcCbY3NSxpwnpA90699alGS3rNtOzVFTUUm1MswWp3p+5aI4ckn8ScJGRKNtPP0l9XykosgDF3YI
XGh+6794XFwszmHmLypyMvGaz+MuqYx9ZqqDM+Rbrc8DY+aWgM/2mD4MzE6UxiWpHeaj92ABf8wW
LHz3lTVrmEqfJ9q7ML8c7F5uYjlGVpl+MYttrF4LTIS2FlraBtCsZRLMKy2s5jyyG2OboJbWUe0a
C2teM5OrrvsvStN/EYXsipIB2SEUFk+zdxKFv01ioPN2uiJoOysbUMdGX9OTilGZVsTBF3api/F8
7EAztXNt+W8KXe2Q1HhCnH9zjbF+WEPg6UOm0bKCIxQcmSqX1T7mOTxjp0eJf9Um691M0f16A/5O
XCeutnUFPeHEQNSxv4XrCDF/gRL/shVwf1c7ozf/xkGeOiBPTXvxSBkJRTNdrXI5WigjaqC2CmXo
BrHo3eSOZ+U0D11mRYnKz1mN4qI2/92oELIdr5NlvM1GtSfHdSdqc7f2A2Q9OV6kRTlzfygmH5tg
FWWoqlc7PtKud+zll5zzOy44aD5CKZqKodF+8A0D9XUV8Wu/mVb6CGj5QXxjt4ldgDSMLwD+VlSw
/rdzuXXjnpzqlwUv3myTbWCvKDCmDGuCFdFpehJtSliGQJM2WgwcXYywjggelKU5Krp4tSCFh6AC
UYEJLaFj0sx8namR2UACQx7z2MmPpsKtPdzfpE0dXp5F8Ao7z+Q/IbPSRYCuOPIBCkS5q+xu5zOR
DmBtofQuAlagVxdzuaT5V9tzErVVYHp/JiFIFgeTKesvMbMETb0RrkZ2xFD3mUz+gahwCLBsui97
873WHGY6JA2E/2IoWs515gWucyo1sbX764Apw9L/kYF01xdWNC7uX43fgW5IwmXg0oivqDp1nqxv
K2v51znKCGRYpNyYyd/QLMijFWToH0scZt3uJ80wskr37JBgr/UqLPsWBCy5FEzjHppv9v6kMhl9
ybnCm3XGVrYH5CUIkjNP5f1Rsl95brfLs4PUkxBFAyc4b5YtTkv/rroy1DoceaRjPcPrUYeXzndj
YX47HffyOtR3zMEfMWLrhbOAIwG3q2cxwjrt8FXY3dXSbm7LNrA9lxgN+e1U6NTspGUucupgGIfA
t1H6FXzUelIG8ZDhWBweZpW/lGSeDt0Nrs6JhUDvYqTESPXJW8v/murs+6VszjEf6CSQX2NpR9EC
psFp1pGd3fWPsfxu0g9upsC6MXi2B+lvoW/icBlWfq51WHZ2mdw+1OVtTo3PBOh9Q/nFr93qyGXd
WyYGhvckZpxSzVelY6oX4tra7UdqeJ/28ApurUdikTuZ6dvSTt5A3T4T736u8j+1LC9Vueu52HFX
ENfxQSzZVrAJNekTCWEf+lSdfaMPZW18qdT/18uGY+xEFW/QFfJX0819Re6W7XZipysyihyyeAKf
msIQFztXW0lqRH6OJeNYpS13uM3SR29e5Gd3eyTzUr2kqemhIIQoRC22gA+LNPIKr35QjVaG0BpL
SJtmgkZH6Hgte+9kN551EI0ijoMIqkjl5glZkxS8CgnvLymP+wrzYNhaigANl+UepTi5EiYpH7mr
cNEXbXxadLtF2q/aYDZMfCSatSDZ9b7Qwn+tSw6H4zefruDLK40bpC3qx7Kt8610l6/JNrD4+TCB
2oyPuZpda5Mu8cvQOvybNlBuKtrLOjvDrrWAQPtMETRmzqdk0IaDrSH/AWKgZ+KW6KRa4oOB7a6T
Ae/tDkURxBUEhcNEOdrpFuUAf00Jk4X28X5cvEdvTF1g1NJkFGsjKTAaJoORbrKlEjsvWc8OyCEn
Lc7coR53Y+98IbrvmTgJ4XZj2h4sZHO9G4MNVt+ucEguMPgNLIJeMTeXEE4bERtXkfsPow14bTv7
vIHjymbs08qBVveGJ68a9o3O/wJQlfaIreN14ayqA5lOXx5AiQsekvXyqmlQp8vN6zOYZ78bbsSV
9lwwUK6tG8J/9yBE6hv9IiTSGCSFANbBT2VVd/zVCNj5TGNpppuhsfGmqPU7n3lhujWZo7Vkt50M
klMSr4TtmzvMgPrVEt6Br+cf2VQOrkvtUDnFw0QW1OguD+BkVdS5JF2ZNpZ/VB6gq3mztUVxdmuA
MWjN5wlho53Pb2kP4JChOgxmq0Am5w2HMl19mNiGgdB3vrtxda5lWYN7ya6mD8SNA/JkwpXjKCUp
jCq1k6cztfZJ/09mHOwJO3SwWsWzofJfGmovWdFjS1SPg9CfdK/+Z63L7RoCF6NNA+PY2Pw4poZo
vkoOWArCprM+pYfzwrLxvvsZLFXaWuiDy18jdQx0ghgU+prJoK6AlC20hFXn4FHEwOH460EkCwIC
2oEOc9reN05yQc/+b7UMcWQt/eZz/SHCWqc0D9u1Ia7o5D5v4FZ9G0uogAF/6oKkJZTBsDDdLq5B
WCZcx9R5ckOc6hhMyZQESTZ9Gmp96/Ggzev6ld9c360ctq2wCAmS8q6u84tIOebYYtLNWKYkBA1r
jqAy3hKYqBAhEGTYGHO2FRnREwancmDxam0yVX8pKZ5WXu6KF5tvkSQqJXgZExKzD4MJGDyh1ocL
RPxWWaRvzI7+WyJWj5Yeowt35avf9O4GHRkywYwgGRbeSAmga5oaSQnDfIam/jetkNm0k9uS0Ya/
y22J0yoRWBC2vu/L+RcEYNp3vcCDlY0PNNTsYbpZj/KDhjqRXLUp7G8Yp1VogPPoQkiXOUJ8fRWW
FzX8A7Y+pCvTzPhpaRAVxXJJ3BK3u0EwiRx1Ru8bpz8J42yTuBSu1ThxKAisvWzObsaBa+baFnZn
m4w6t3NhnzI7Vju5NM/1XHx5Pp7WsjF2BSHOm2xmwBzjO7NlgyPneTORhxLERsnOl49bR8qXdXHu
VeX8VIPPJVWHRVFdx675bBXax1qDhiTxPEwzdhwhnhokZYTnVFY49TaJyYnU0O7Xp7aUdyjvz90s
Tlln7E1rcIGWP+jX1rfF4jyRO/cyeggvkP48Vsvwkw/J/TJQHZK5lywD4ilRujO27K3EuHYpWIgQ
xS5thntlWJ99Gb+t0/hqtOINXJ85VDdPMKVbXWlgzP4/sYzmIZn6OVwEMG+aGcN+9ZDBF+vOTPRf
KK1NZt9CHTFrY3PGtmlvFmJQsfITPDj3MaEAGXMNh6W0hkPf0GWCXvCDLczEYITnzzHbryaHfNIz
zklYsbt5Kh+z7DYershPdUFIX9bxcGR2d1/lXrn1YSBTUelh7nLjaCgMdC+7y1nFNm5J9LVQKSps
26JIspreCdXJCOfqPkSMMX8lvcNWfbmhBgfvkDu627hry2CpzTbqkunAc2oFMPRPrfAQPgCm2liF
onzkAazlwiutsPXgu46X+MpBdOwz8e31+XnOcQEQP0TwUeGPkWwruU0aNM+6QLwj5lNK247hNX+r
Dji/uAyqZHQiWCer5UAe7aXnv489vEdvHmTjLHttpL/JtQn2MluyT29s2poRZNVm4OpapU4LSZZh
avf3k6OOJllQK288Ypwd8RcpDOR4Kk2njAgvw6iTdXQrQIvbmveY1eIfSfd0cNF/CXCtMYbKG/YE
V7BXDnd0PXLOLrnicKoI/gF4TaPBdh+ThHOG0Ih95vNM9lA+EsUPmilmw3mMkt7/6DX7zSW/Rqby
gnFp76b6g1+mR1uDZai1AjqXRib8X8Yj6fSnibjSzbiwqTZOERaqJo1BAOm0oEF4i1BJpZ8t+ouV
jVuL4299JGFoFpxYwNsIMcWBKRwmdh7SJ+WRKFK41XtVgoriS4sGfvXyJtJdhhGwpgCHZT3MnAU7
+zJmW3rEzCCJe7XvfeI8sed051gfWcEblDmji1DMnqR7RRzu7jvZnH3XehDCMrZG5bz4madjjSYx
bVUOkYQCK0udklU5Vq0eqtLKUH+z3Lv62pBqIv/8gXweZvMAuW2+zQwwYMyd6BrbWxgCKGhjc9JM
ncZJph67ZmJ7jl8zYJwmcz4bilI3Fq0M1FBsLdQKgVmUl6rIXxFS8dXcOgQSwi6042CwHpnoBBLO
fHTg66L2ytWeV09cR9d6paptY8P7e6v+vpBZldcpMcLCvegL2e2q2k5dHq3jEC4lnSBOdpOv39pM
TdId27p56cnIazoskHaif6pmOtC3djBb972dlg86WnTiUwZYec16KXPSSK1MGPuUDgTkKPEtMXaB
EzHMMfImQWKJ35xH8qad2G03XVd/QDbcjYDDmxiej9A//SlPGBAbx35Z6/6pZyqwqv6gueR59Ov+
tnxmdfqsJdodNu2XJHEu0tfY79XJSsyz6O7dBQSKLeeWKRAYTX0yNMIfRnuHn3TdNKC2QU+iEel8
W6ubL06FYS4t56+4fvKz7oUo8D1M7nEo1seq7tl0SNbI6ZVzNBBf4LhSgVsyZg2J+8Iz1QUTUlSB
6wy8S15Xe3n3+mrCMGj/2S1htDE7mA7oCi9BkHLmsOJbAY92fELk2N5U2i9jEd8vuTwl8IQDISwE
Zm+4lEJ3EC80CvzLl2Qr9fJOgSOo4StXy8UiHyrLvTcgoXtV+MhW4VxUvx+GLxjgTdrozHFsi9Z6
lkU93mIiv2uQ3FAT2j1AHXrZ7A3dR1BUn4tL1tVivNjw7qk+netWHTsXUw+5X5tqQM2Bthpj2Lnu
9W+po5PxuIQtUz0PtUOUMmGNxBHEEwOp3/+BQnejfUBhuZG+vRVuH9Yr+rO5cE8ah2mDgxkR1108
FqdlSs+lX+0SYtG7GpOr3lmEt8jyVTbDm6k5xwJ9TTJqb0TpEbRp308MLOC5Hu+qx3hQDmiWqp64
x65LQmnp3P3DYu+UzTpbqV1iggh02ZtE5kDHyjHxVQhiAhDbBJpsduvkEUD4SZndI96yPb7ST3nT
HKGTP2RgAC6Zv742P1tI/KzqSwdNMxpUxCh0emMlO8MxcTkgYy7jfTHypCwxf34KLdTk2hoDilTv
bn31uXHjOA4ti3gE9VNjS2UEblCyr+nbqKwvEBqQ4Vl9MzU8YSENyULe4dB77F0vql332hbuP9wX
pHksx2bUfhlbo0ECqxne40SI4Dioben4fOFVaMs5KDmGMfCukbNaBwf8kNWSuQmtU5z/iRx79pIi
LgXGWPPp6FIgd1sGX1r2KO7yreGMO8PLjtLCruVqVwvlcEE/NlMPok39aazMGyTMCUHIhEEByDYD
jyDrzKagQE5nZTFs1ot3+Y+j81puFYmi6Bd1FTm8SkIoWsG2bN8XypGcQwNfP4t5vzUjS9B9wt5r
d6z0h1K5gevE0Gqk7I3nk81Jz/I83dQJTzwfwh8yMCKlDi9wphCbW/mvqy3fEDOVopjfsYQwqtV2
ohEnzM83iRIixDzGNnaKNnA9dyiJj5PdraekeQtH1GNKTvMx/OnUA2trRD9Q1/kuqoKzipoMe9ix
dMtj48JpDfKOXlw1bRYXfUIGNhTjNCcQzNbsnRmoO0fHbUwuYAeSt1urTbYWI/4zdiGAuBqe5gJj
aaUJkEXFcQRLudGm7j0sm7co6zlyRiocApN9kXEtWnl/irRkX1OZE2fPkBOansO1bOtI3VUGjcCa
U4/h+iMnLGll2eZauhAe8nTSvCzStCNd64upGvjxEaBx8+BoStcRzv61O6OeL4d/RlFepT0h5m5W
vaM9oVNtV1oBZi+qm1sVu/+m3B3XQxK8xBYEnYpWwI3O1QInx+i+4/h+ZSq9CWxS5u3p0A7GnbKB
5l1wrIqVm8unEgwgDjpbBTuL+lIKeTQQjdGrb0oWZrKCh2x9mVBFqhz+BwKYmequRNeXgsdwnpX8
Ff4Db5mDYb85Fg3NPvtLBYlXlL7hvgGKxEQbCBsYo5JuKVfK3TC3R8fqnl3kcEuAOsPsqbky2kkg
BEV0bCC6RuophrGWy23r5uWdiSfh3GhApyg5FtGEEJOfiIkBvsDKfAsEENwSNFin2lCyoleK1bXa
6R7hWx8qtS7SS0423cW6M9Ri2qM99GOU7qvcirDKmOBzos69hVhMrFS8VUl+B5ssKTS1G3E/YB6s
70mN90PDws2GB8umW1KKIf+IpJX5jtN4fdUvfEYWL6Pqy1TE69z+hW7O6cUpY3CbVml66AuqBe0f
y0mvbRKmgz+A9TdcMOsgU05jDS+PNGKySxaotn0OzIT5dSMuM5iilYtAZRNEY7lRtP7NtPXL3CPP
CWzj6lYujbglqM6S4GCyYe7R62461dm6sub8nekKrWdFi54JUGa32bQQRSyghZNSUaGNxpc1cjMj
St6AAeHBnhUqYaOJqRXLu+LoSLLV74Yxve5ID0Mq61F8SyO286bGm50aTxVZH74InHs2FaFHKXqN
MsdXerRX7A1+whr/GUT9l0akDuSFJiUpKoJIkyoXOcS3wDSfUOH7SRRTPSAEY7rW+kZKTdN39G1x
BfOlGxiM5NNrqbm/1VTSCzB0ahEblREr3NDkk5VwvVCqmyFGYpB0pXmzGNuuy5TZiW306C6iF4xi
31GWbRvoYV1lPGu5/erSZKw0EOS60eyg017sZWNLi8npnH24Qn2ZbP2rV5ynSYyUlsFxxlbGVASH
u8SlYVUEKwSMtTsTbHCiETMmB3mNe/OFPR/bgwi7QG79WuMTzgvYwQ3GjcqOGDIHybs1mre61M9B
nOzxXG4KC5khiyJjkOj2+QyK+jbE6i7joA67ZavRNjRufDkaxXLQcuCZwsscY6tIC6QBPKBpmjmX
kKIUmzlXX6oZv4EdtD5+fOr7YBOZtBNQhRXZfCAFGXm0PlQjWDuts2PxafiaxsBoCMNTNKtciCEj
bbYxbwVXYaxGAPmmQxbkjO+1u22UPEAKTU9D7TI68xn2PghW69Ia3amvkVq5BAqUrMSzfvxteJeL
OUFYpSrcnspbq3MVMHt4N2dyLrROPNFLbgJFoJ3PuvWI7XpS7rnU1gw4ykXItBZy2EgutQShcBAN
ZyfWT4Z0d0ghNqoB7Uizr4EheLMtjuaU9Tlj92FgZoO+MGb6HTMXoLFQdwGis6jst45+j1D8hwN0
EE2jlg1s/YEV98KYLDlhJyuPbuv+mKO+w0l/wASI+TBI8UwgwbO+9XryxwAo+ZDoe1knlATpFRbK
L8oPrnkRvA8GUkk8KfO6i5u3Pmjvc/Bex9M5Tca3MJN3tUmKra0BySBT+5q0o6eFCO1SnbqZNbhU
lKPVjDnztBR8TOmsDRiiWo5UHTPBJpiKeTPNWKcU99bMhYdTxhsNm99Oxl4+Dc9kysebqmhYKBnE
xeht/qdb/b0N1cCvg5FKAjUsXqwczTS6fMZcNbLj2aJmte7hVH8rMbcBczq6dDeyVkivt6ZenEKn
/Qo1JGWuU67b0M5pQ/j72X27Q/dR92oGK1LzaNx3iqoSSYTEscrzf3jAKBZr6kme0BvT7zvfxBpO
yqFfqg+dxZnT7WzVPS4yXFlA77aQq7imp7nFP4E+Vun6vWzrk9vFn0zN9nHZMBFh20VYULTRhfSn
tnoCar0nZZChgXlHf6muFRzArOCFsmX28FujxSBHqKSCrfxeV3cGAsqCXado2PqW7qjCEmk/+3Ff
aBhX1JmXNiTRJJQwfYa9ZZZv2RQtaBDE9BMRKSkbf4bGCFTACSd2s61rZ6dUWyPEX6t9qwGCQf4i
c8dQyFmLxoRkBfF1kgIBA7TK3ngeJWLxLn8KA5hpSfPCqg9xHZBerLVqkN2GcbrNuvmM1NYXdrq3
Qyb9iKl7nhU3m06TpDAzY/0XPy+KYXnpAxpSTvptwqOqNEgDlwovMXt3rU3cuvziWChMUVKtRp5S
zFwGpLQ4zSAAnid8IMIQGIlbWBsdHOZz/UnWV74mJWJhAbdccFXBN8eWWqO6BeOyctmcshUAu5Zz
nMdF+2tyLrOG0D40FTpGG9zdLnylf9t1s3mZI/0ssCtBzxfc8JRaArPOWi2G92ZpTJHcvFkFEiB8
Vh/xwJhFzZ4rl1/SKtnh2MMKFRm1yi8Jq9s2CU0/DrE+jWId5PiRdGG/lRPJKIDuvtqy82QsN1kQ
cPcOMdkVosTzjn4HhKAnR0BhA3bfqEafFX3lGjrDRIDeZwvYcRertrIObZWar/JsPSGzlTXINHfs
p5H9mZ0LHLhhC5Zy2SpVcpIhTqEqmU7ZlHmzEdCVcQM3KT+y1M7gHPYGcBgtIpAnTsE9BnV67ARS
wcmgNNQJUGEu5nzW2IR6YziiMaqQj/Sw6KNF6l0U5PICVHak+ZwP7l2tOIbDCE0wiQTiSjyJS53Q
nABPnUwMgKVsDr2Op0Cpkd78MMteC4UJd6r+o1FHmCXw8YBevo9a9100ZYOrGMyEGYp3Z7Se80pS
+rSmNw3ZFssv2rkCBXti+S5F5wrjOY3UYP9gAX4t5+CRq+33FDATY8Jy0PrvRmcQbKSRP7OiDzBJ
agM6izi2yNXQ5F9RfIgZZ4LjPBd0IAQw+vlsHnX5nNvcUyry8SGmJSZ/+8Q/uAcdNTy6laulyH99
5jwwfiIpAjzim/HIcxgr70mqXobRPjvt8BeRgsMp7ZQHMzBfKqf6HhUc6dWy/tL5dsMAzEIUHXOJ
09Jydw7NRg+4v27YzZSdvo0K7ZEp1S8220OqP5n4/Av3CCzovWCuoHX2TxCLp4IvuRnHg5UYb2PF
qd2k+0DjB7AZEYE3bUPlaofMIUR+jiULV8rY2Wk3QJJ5ABlwxc1GmV8tNuuKqvtGx/heHKfoUvPX
qUgeE2oogkZRR+/AHi1HHkZIe62jxUzKmo/+lIGfnFg9lqhSc2Sxc7bDr4OnbNy2+O1lNOwJt96E
LV0awuZB5ciaa09Tshd3UclwyKl0bjPWuIyhMvG2UKU7HsimW/ehcVMY4RdZ4iHYkuHnsDi3yleN
8qRBu86k+V4To9IBUOSBeShjcpgXJaHI/dRCiK+P4amPP82EzTCvVU1GAbPXvhI7e8y58Ry/NIuz
MRtnx/jBjcEvn6wy3K2TTgdjF6vGfiTsDiwT3Vz448zuGlzVy5RZn6zinTBbxPQgJAle2Q2tve0a
bOZOx0hO+2ILvUnGzoedjzb8q1iA5q7cRDlr7u5lYPo0cQOWwt6lscmgJqU1CfxU53kvqKsU7dPi
liF9h48WYTlkkcFU6QHA4lwU1XaKPqe23Jq2vR0h0i46b5TuYAdyr2XulxtsMm13YZGuRmbhzqCt
tR5vb50fBAuKrGn2NWv+ciH4hibzJbEfCN1qGLH1zilBtq4i8OtcpiXQuiTLdnZ4SFboDaiNquKr
0NE3hNgxGRiFwRY5Hm7U0G9Ef9CUD7NAIDDrqxJmUqwjjmw/hH4CbMrPDwRgeJlwwgwchjjIKT/3
5QQiFosobDww2pzOXPGt2vo1sE1Qqk99+cgFpmmyuDdRdGobA2mt/lNPXHtcK1XOQF7QcLPInZ61
/pTJ50LuFIxtrtzN/T4Z640poFgUAdMcrh0785Mh9crw22E+kYIcMec7iRZbRdA3LKR06wB/5Mkx
iq2FWMGNwn+OEp6mQv8zwI9PLthmoRbrXus3YR/CKFVfzLxkity4JC7YSJ764YcAulWIIEkZMo+I
Os71btrmNYP7UcOa2xCLQBMaYg+sDgBLTsSkX818ooFKcZSWP00zXdrxLKDsmENw1CzhjTGR8PDG
Yna449T4LXevIZ/pFxL9yxkjVlu7kdlcJQ2qMNWT4OzoseHMUM/KGj8mQ+6cF5tl7rzMgVqiK6p+
zziS9QdJkggltbk6ga/sDLlKQ8CMQt04+I3KOaessHdz99m5DD5Ndy/lLe4AuSFrSnGnUzAxX5/r
rcpb5LT5qcUjajyFESi/mh5f7ewbjmvyEC5dfRiUF413UY03hthy4DCl/0xCEMfqW1PuRUQIj7xJ
yovwOravRfrUGRppCcve4hsF06piHeSoXrgsDRzDUzsUbuYjYTuDJdIcs50mWdOTDQkvZhP3xmq0
l6aTHImy27ah4c1QYjVk5DkCeQXEWcgCAzARr8u3MUAQS7EqLyjpaCIqXbkbBfkG9kmxt3RJC6he
jb7m5q2iIQpnRnXUkGPEt5tAwcK5JtBa1XuHC0JHxC/17TL/VPN/qOuy+lRNnwU66gqP1xz+Of+C
Cqtn/FTQnTIKdpAtqlyCIAPgBq1N4BSWZ4//YgW69oXtijVu2U4zOcNJ58vGh+EY1md7oYXDAktA
lUE0tGgSzWqbOy9t9mI1mwEBstXCyY058tuTGf4aGP90MsnaeTMIJDDuk6PNXheOBxNFjDAwyafF
oeSm6HKXxIKGmePoNcTzNLrLOYGNB1NiqOPxYRnLQNOrI+566k/C+iji9qXmucGPZZKZlz5pru6P
jljnzDAc9teTuch8Cfab85Ph7nnnGDzj/q8ZBGIO0Kw3N4LCqqU7ZL6HNgb1bKW/ZUL2Wtn89sIE
OqigARjrDhEfBvI8V+/LzJo8j4hmLIoANczyywhh2JdASckMG7cQmw6OG766GgIk006u7PNhCoCx
gaMR4wMpR3tHrtwmZ1xA2bfRY3o3Z0skWjTdukDCVX4xKmR5OBGGYjVrzxmEykZJPGDVuP4BTPbW
IWr1tdJ0V5tKki3EW2lSFLATLaJ4nysXRwHj+NKZ13A4M5VaabTFYianZv43spHqDXFOy49BxQqB
NhBXVm7Gb+3E2V7BabOqozk8i0R4DjpIYIObLrYPFppGUGW0TRtpvis4CRCiwDFa5TRpzFqMcpdb
71DA7QA3crMpmHQW5Ucn3lr0ImrceraYEdPgHwTZG5JCpSxvGfdF+FxFD1N5V6xjEzwNMmRe+TSB
bu6w7VVswTYJxD51OlCvWjb7O6bDxjfBm/tlxQEWkwXeS15NLAXSfTu4Wy3l3SUBJ8f3apLAkxkv
/ewb7r0k80inGS0x3Gk4uAfjW61HzK9PRgIbyCfH5uzOHxJHKxIkD2jYJoZc3dOAM/AszKcJqWP8
ajv7TH12ynfopSYJ8hLAo+XskuDZ4gE0k/2sbpHrMIZA1OGo72RiMrtAX8Je9bDoDxeRrwx3wwgE
lxis19h9slio42Zx+2wz9lvGbmay1RH06qw8Y8y83T0gdMlESepmp6gmT8JrSYnhCZX4ZwNpb/Ef
nSouVJgRy129ysAtEK3HzM7cqsl0d8tegHeGMGbpXF5O6LwzRpCkKPD+MI4MYqzL6HJx1rqvsz7c
FEiY6sCQTnSHvkkPtcSwUl3KvKRvf2ZTf4Caf82B2ESlsh7jeQ3Mh4FCtYrYf6qp+y9HkWlTAUN8
ZIBvb4zpzCIQ1q5KNgK/QwsmM262JvF9jAr05lEDrGr3LblZs7hK4xTWL7K9jNghM7/Iiq2jZd9x
xIMquvI4CjxZUP7Y7K51xJdBpvugcf9NZN+QoWZtUyX1CwT2Nrp5d0CsmKinLk//HGwSrSlvFHYH
Qa5Ng32da55tlLor2JNJpuNhdmoqeRhaAlQEg7klINmYOhDENX6pcc1/Z98pP4ajbJTYAolFEVRN
P7Ou3IdieMxOfFbb2bcEA7Wh5tQt9a/QxgoM6GvOzZUhoFqzZsejAiI44HyxicKRwYw8LdHw0f2G
orr2k6cypug+Rna9lruKNTgA5CyySJn2WY2Z5DWoqJemTTfVF30cYcDdlmYZgM0umBKP7B7SIXdz
Lj9JQUR2gui5LTxhD4eULIKwy98cZVpLlSjKXdIOHK9y1RT9tU3gVPO2noH9MUnLFSZ/yqZF7cnC
9D0XCP510+8V4KnG71AdZ6psOz/Ps+ZbDHWc6STUyhvqSwg0RgoSsDA3sLseEgUpa/uU4W4isSDQ
IMYeRLAtaQrTST+hZN3J6oJPnhMFBFuHOGpGHhCb8hkp+WYgIaruGMWlylW1pD909Sucs5OJCkxt
UfrbrxgksyWukhZXQ4Fh6uJWueJh9Cy1KMgCLdql8MAKecWZ8mMI91pWIyViDpiELD2Sj3UbitfE
wwq7hYoJuggitmBDcXxnjwoXYEECRb4ew5lqjD0zfI/woVWZ/vUMJaP2XaGCGPE4oRVzo4Mh3gt2
N434lmOx15QfCy5wJslqYCLRVOehegDH5+WmzDeCg4ytk8aiGG+tP0mY6EzcB4czk/llLNeurW2L
BfcOH7vgn0VzAiJj2tYGYre+2+Ujlusm2hNJ9ZIYwT3uzn01b7XwhxMICTieC4kMcKarsqi8M+4Z
cTINY5/Dz+mHW8cloTwXjb3n3Vecb4ViMO/e2+ZRmvx22T5tXiPM8TH1ZxJg5anDlwD1b4YGF4mE
l5oS8Xj/VyxsBBlRQgHxpbpF8JRBFm8yAxCq59KXW1XFvHUgYsHa1DpWK/mBgzPSDk2ochWJPZ6l
sWJMitjbqN6m6DGHJAKF9CIRfWF+JTeM/4Xu1fzMsDYvfYcaYUZW7xxaOpgYW1usY2xM7xjn+Hky
L8BAOQx8U3IkMJKwJNW9j+ZmSl47bT8UE436TZS0p6rwIZx6aKls0Z3zCC1vTutu6m8BXzU60KL4
cuybA8yvRsNQlJeRtaCbPdr6o9XmTWvxZI/vMjm0KKoqMuBYNvBppl9k5BgLTE4Qe7fcuU7S7MhP
XnouqhaVu7sdm80kkTZLuTJhprGSXSsuyCnsWPHUbitYw93Etg8HKQmOWPRm4n203RJ3Eohym6Ay
p9WnlQJE4JTH1Kn8qrH8ALu+oitnhJAv3BLg4wR74gndV7yXve6labDua6YtUbMu8GMtqytMJRv6
UPS8Z7s3bzHMbRX1j2OOu5wXvOQEmiHdzUIjGcY4YFfbgV45ITDcKwFlV5U+MCA9x+QCAuddjwTa
1pMLD4bBL6SsiLisqOlWg+t4cYYbg7et0phgWthaee3L4Ueh3OVyQV/UBnu49JsO8U8yYy5I1R3Y
4v2QuzfF/Wcm8SUiISGUYleZgMQbSlwdbgE3/GTk9J4KOFllk+Mu1JMYtFSAHXHa1KHznNicjTFY
liDxsYyfcKfuLdzWaxv51WUO2AarBaoWyi4rTt4Hy2bEYdMt1BMxGKyrwlXnZOAJs/S3hjlb9IAO
h/icauPrjLAqtQvCNuuLhtky7zPf6PVPkWD4KR6NOb9k2W9ThIi15NsoSSVW9acQe3itJ0clCi9S
tvvOdP/C0X2L2NE2lcJvslwfV3hqXpje25zj0lR+2J/8duqwcSzV6ydJul91AKQPr6hGelgjA3gU
JfJCd5mOOhRt7Qzh2579Ju09FBgbx8iPw9A/lV39aKaGsdMpNSAaIxlwQWaZ1hbKvBAD1Jbi4DBX
isrpOWKSRka6b9vKrScddKZwbZWBua9+x1bjw2BjhP1e5dfBYu3vHjiw0TtNqgelfGtJ6RmUzZwn
X2nMZ+TgBR33C8zgkkaYMTHXGzpPOrOHhM/hUKJkQ7HrHeOcqout8KxKd8DmpFEjA7oTXxG2KN4r
+2NG0t5pn1RAGXELdv4zIbjNErGJxuy14zCJ1OQDQieHIKYSJbRXMXA5i/9kor0hF2LA8duZrIzt
jEYyphczrUM/PwDq/d/wTCPmQzV9igIPve9vyFcve2VtcolhbwcgQm1tm4nfYLQq4aiUhQo//nvI
XkbyzAar3mpY2mRgIVkkbcBgo+VY53EqL02ZbZLawkuI47ZsDnPbAss0AFWSmDF2jwH/WKEET3Ku
PJVZKnfSCd7wxm6Yr1XRVWOk4eTil1Hmw0xfE/cnrl8TAdk0MAk1A3qtSmrddmPMl6kyMbJ1IIsg
0hnKZ6Vzn6Vo1U0V9wBv+wzn02R8UCDOsKdmU9rFtrYJT3GTHTfIRs4kBabDKY61Q9phrZM3xAx7
I3pd0jqImOSrjanPUg9B0iXOEJT3ZMs077ECUqAfSXzr4DYsw5/wJOLeq1MXHY92C9N6pzGaXzhE
wUBnNIGrwCSsiYN0qB56/WDGLGKzCNCVS0dNhWbE7V0n87Sj6Yfqa6qUTYWztbjpBDGJpMb9QcTn
Jau8LLPILpljrOOHtEfiTqJQXYaeGWKSAZR27jMTq3zquZUOfzPcIphpexPqBTNbwqrH/Mbk654G
HX4B+8XKlkOInSf/xxoBW2seTOZ6mmv56qx8KMFCmTHZAAJpER1dfoKWL+UjdAItc96rN8XMDkrf
/6ZzC99o+Erx9VFNwzKKRmQNYw5OONVTazX00zc0wZs79k+ST7nO5wzxBsbPRSFPQS/mhRsBDCfP
zW1jNxNfQpq9oIhrL8U0BZeoLl8dg+xu1fCI++aqz+vnDBIWKUfdv14HwEAgHUdEESDVS/WXKQp/
ML49RJT+QgN5MIb4HeeI2lvl9KwliJiYrDnPrqlfk0r9kv1IW6CzHCon2Xt6LXEvy7mFX56aPnC1
4wQHO+CnrpoeSbTZVHTuZea7JvaDeLxYUdLiDRE/up5eSbeJ/TkeWW4F95zuZdPyxa6lUVYYPEJ4
K6nxqkkO30liXgXsqfruRMSDuaim9SIgHIe/mUxoQh1Vt8dgxAFRt9pflWJqCzMd9cogn2xs9cwt
bSwdiiXWQ6m66NOrZ4WJ9TIVumoQ2taQJnlUTPMjjCffSYNrX2TbcC4PXaPsIo3Tt9BeHEpKtdB9
bbSfsPXbG1UFZGOlaMWNe6MzvieIa2XI+q9UIJGH2iOE8YqfPgIqjW/UVMQhaoqXlqJ3letwIzDs
6VK+KUkKvSedXnUlfs0bw9oUvcVVDpswht6Qqv0Rsyh00w4do+0XS8p4aocX00Fd5NrAbVmYlgo7
QTMXDMVtHB/paSDSNp7kyWqGAwubHRzr0k/y+S0usYfDusf6Zm+GUKzRG24dZ7jLjNFjUKE/Nj8d
WV8xlHl64l6VkaHRiCAEhnqQjh8oUk5V2TKBQczLSFKPbJLbmgehCOesa26mSkOK6RITumKftHFm
6ahtR+Kzm4UrxRHHPORVMnLH+XIvjQ5cgqLu6sbaSYNtAzMK7rO64hvu82cnDG9DjNSk0Zxj2WZf
UczguCWGqWcEEM1/7EL+GTUBy7LfQHZ+G0yyrkjgQXZqPpf6/DyNrMoAbhBBYaUnEXDiEInrWrpK
/RW8EUp209WJoXR6sfL8MWTRWXbh58JW0uV4ahh/krCxD8u52up9vw00RgE1295C8VqCw/RYfaq0
8I+5KzyucW8qxr5FOooXNN/IUa9WbUdJkVPoRL1gFKg8parjaSQG6Akj1bDCvoD+rOKOJeq2aZx9
wrY2F+MBrNWuidoNEBXEgR11KpsEZEwnIWACZNZr7bCA0FKMTUsrU9HI5ZN9mbSU9iv2WwgDZAeS
umGxqi32waQeiObYOlUGZh16kgvTkQUQmx8lvc9asC0qsBjDdx0TUid36BK8scL3xw1I+uAqc7I1
6Iehof5FkcgM44zc3CcjaV862sUyuxcAUPtxyG9EO29MKs2wz7e9Kq5Z/RsjMRtMlOD4c/yFMRwF
xc2Zsgun006L++OogN1gJSNK+9GnYteUz/b8bmIYUfoXRRFbUgj+OWIJKLTvUrtCLX4KdagEQ3KU
bPtkgsOStgAh/nqe7Futp15k5RD2SIi0kD7MqIQSpzrY04T8t1y77mlBWZEUvcH7s+lsDAfUgoUb
+5qwKQ7JgKh77ngDKZ91CuMvbRnVifqgYyBDiNO6X8VEaFEHc40FRBTpnj1RZPFCFvAOE5e9mcvn
YWBi3OeQXontXum+KayIG+YGDKJ5pkkhV4xDFwTnwtFJ+AKPwk3aW5WvaFgcgt+8d7djZmxrXfhE
Ne3IsfAKG8e2oTE4wqvuMgtPmd4t/VHJTUnNz4/2p1flZybQYvWTgwz3rNjkieATBBoVzOkuDJhP
pxMvd/VH/bhv1FctL3aEVaxaCwFE5NVZemogvCvpZ1o8qlZdi8n40MfThBszxPxkJu4mRflPGNK6
kJTRNcNI9EVcL1vwdbhqXmKo4QWa2Vgh3571S9diTUgAh5Q6vSCjY5CMlQawK2v6u4bASlFhoGfj
wZ0iHBTjWhU5nVuDmADRMxQnRz85+YfDVJ3QH6aghQd+Icxu6pz5Cq2dviDLlsSQTDIrKanTICGW
8DFGKt2i1baL3KaRHOL4KCboK923NbyqzHt763kZN/UO6Y1EwoWmeyJXY6crYj270bGh9i+xkoTk
fAX9d60eU2luWuR75vxNFOU6VNQfjeD6VTIzNmTDVgdslztQI1a+mdTwS02ju2pKr4iTUzzX53yG
mDdy3zfBvnBzzwlxe8d/yK4SWd2sofkWIelR0qUiSFjn4lVhPEVMxNFxyDXGs4VXcO9Uuj+g3hvt
ZwPkEBAD4jlsZOnjNkC15ZLzg5R+a/MW2ynsoeqzj95yh9AcZiwqwl4NTkS0VC7TghVgFD5Qphp4
9EDjoAQ4CUM5hBGm74GjdZr+cYxtuMVPeKFPCmvqfr6E+rureEK+QT1l3QfDVgm3Y2s/6mT8LCyb
yMoK07X+UCfrjxPyAEoZioNyljlUJbZWWn5T5Z+FZiWknYGUicd60Te47dnFvGBPzwrVVrn8rGW5
K6bAQwbqZeYLOUtrea9FSNjWOWcgbvFydRWQWyhyCOk09XUUxSNolC+1qzFT44NBT8lf2uMVVdS3
ApKF7F0gH3xZgHN2o9b8SaF9Q9KYkpH1VMRAldQGDgsma0lKZNN8aPFNM5PJxMVecmIRKkv0YTUD
yFbgSOG8zhVkVW22m+dl6zMeC5D1kw4NhO14h0s70fOzgvTMQSg11A02pGZDliXaYZXEWlgz0PT/
EsNFGV4fHPYhPOkdj2BOsnSPyYlEGx71RzrjDeanjVl0yzpenEAPMmx4LZlw49wj35scyxqkQ+YP
EApc47XN7pjhpTxTHzqolsWxCndxd0rQ/AKxmN1dSqeDDpbs93o6VwjvwsTrlB3jy7bbc1lLWB0X
C/6K+67Vr9b8ng8I69DvzsZ7rv+arEecg2Ve7VL1mJhwfsXZumMeivdL6leokLOA3AXk61PFd2dt
sZKyKARHAjxb5Xa3YQFkvH7IAFDVUNK1SzrXuG04FXV8hOZXPr1nTFDaX9g0c+IzC1CvaX/SB3JK
PN6lBUXffhtw2oFisr6b6Aut6RWWAOEDz7MJ5AqSbXYMDCxt1Jt+zsYutiJfho9xoAyJzjYQLxPq
97Ojf40JKoeN6j4h99u19j/UDphwNShpudvvQ202PTt7d4rXjguTyCkvBknGFs3ECjD6YXjUc78X
BwboJH97ZVLREPoGfMDBmYiReqH6WhsRsjmBPoY19z/R3Kz4rxxvtQnqEiAboLinul8Z+arO4JCu
qvZHYGtv36zct5UzpWE+fzvZoqWEvwQxZCCE7iQLhpfVCwn3SX5DJZAIrCzyISuEyV5h/sQxfdHJ
BOtC2hvyvdSP36CgOA5Mp0UyVB8h6zfmnqSZzNkYw1arP+hgFWiOQQ1lEbQH0dBN+YCyYJd3WyRA
tOld9pBMwSEg0MpRqgESg/LuFZgcxz9b9cZrRV9l108ZtBz1uXA+F0G7bZ+nhh3we4YiVJGeVm57
55Jpj24JnHyF7zJj6EGIM8szHMYq/1SWqIzJi9nyaxC4sU2ENAqwshVs+34WO+d8CPeWuA75tlQx
s4TGlVEqd806AOK9auDEuNd+hNRM1CEmT1K6Yiorv7D+jQYhhiHUtvIQManI+Ecd8yHBUifpzLWr
h+RPs6O4qeM7AqGu3ffRM8EevFoY85qvQm4GzJSD39f42uBhAF0fLlb5immf67JEvYyRImTNT/4u
amzeno6x/Xv1VhDSY3KyftPoYKF6mlCYBCjwdHLecbQyeXlp0ytPio2rxtUvDJ6TCgjaEomyzWh2
TOo2CcsPu2xJ/BBD9MjTmqOSv2l8ujS6peVvD/iAakNczQpSPFKWKN9G2j6R+669yf84Oo/lxpEt
iH4RImAKbksDei+yRW4QkijBe4+vn4PZTbw30y2RQNU1mSf7Mx69Lb6uQqxYprRc4n6LiP8N7TMw
1xq4Ysj9zKH3uMA+INSrk+mx73YaX7pNAxBVk8MWT2dALgFyqgTwCiQ9mc8qxEe10H5AC0neFsqO
Mh576y61JEAsUBn5JwkVWAzhnBcH52xBElwDoWbdSRbhk4dquGhMwBT6hjIaH720dKdjDetznhzw
QiLFXOn4Ruxm0X5545uwlMD/Y31iSe1Sxl9BvCLec4+goPNQrRMmvVDUpycLxcCim869/GGjbysV
6kL1r1K9hT8gcEM34lHvyz2bhw98Bu3w0qR/HWqaTPxq4wY5Rxk4qblMSSYfrIVFFVZ5B6XZQImJ
UASSbavxgETWWfF2SnZLMETVoJuGnzDdl+oeGB4NwwHgYm7+DEzcTV5o/xZ3Dk5W/nbfOFn2w4sd
CRMmo9LuL+L9JyqsudkwUOW1wVK72SdIoii0bO2IkLoyuwnnAZkf7gOlEqrZ4TCYj4DAc4WT0Elb
kBNwRbap/hVXTzN3Wu8UhU9dcwKXphvO3A0TGR7EMvkaeDLFiv8rGxfESV5cnPbWxk9ZtiSLSGxD
f9/iwJPEukeyMCqfUBhqm2UuWCZScKwNqHezwWTNXE1WB0ea1K9EJqqYiNBIjY8UgmEt/8gYAqvd
oB8IVydVdBjenf9dk23A3Qm9ILNXgzpHfOZ3VOd4NYkxmBzpL2biRjzHOJzRK1FKcv7pJwu7BZkp
NP63NtgVzZp4QBHSFTHKYGJFhKDJ8TfGZ8Za7bhvxMKf1so/YV0zTp2Pz75AY7bm5fTaeaItGVvB
VEVobXgsy5EHNtIp8R5J/pn7zJbZ2LTJeMTaXlQ4a5kbckDb3stXv2X7I40BHEy30S5iV2rfbe1j
hFJpLifgk+TDxwycOLmW46fHYsqU2r0a+AsvvEz5Q0HGddN+V7Rm3iKKN0N4MLy1Fa/A8Ttt84md
FtX0M4Y+L78D7Ssp0HTQqVXevzp/4lHGXAJBPU6Z7qL9WfbeRq1WvfcpV/8kNdhaqjzH/cdjZ7P0
77V7hJSzFPwWLR9I9uG/WZJX17DvtlaL33OYVe0+yb4pgRa6/jVGn4LlKgKj5Cf03QXjEgCfpxK8
oQoavIA1Am3d1U+9oTpsEw0I4shF6w8fyo3ST563p9c+9bZd9mO/qGNcYj7jE6TeOhYE0Er1+JFy
cOHLBLDIqUyUUoECi/1gR+KaSQGhLj2w/hl6TpMmqkzRKOoA2o+Qvka0K3G27q6xoZ5YXWTSKdUd
SUGBpd2NYJiZ4sDWQvs05Z+Q5zDGkZdqQIVQ4AJivvvWEmvszJK+TWRAIGDU8MNI1lW0aeKzHd6F
e8JPhDojBgGk3I1qYdU71OY2a6GW45JDkR2/jHhp6XHyBhCYSt1J7WvTALvR/hS+GoY6gEN3anWT
kTum+g2AI5rb1djbs6LrxazW//jw/PAkyD0SxpJIASqqJ39vsG8ImUQAZLtHN7m49l3WLrW+UZRj
Z5zL/F/SwfV1vORTjIcSOr5KgjnZIR7HIewF9Aw06Hm2l8A3lIQIEBcsczmv1WGRm/c0fyoUnZ4t
LywAlxIzRzbIKnnNSFFq7mBQWjPf3LY1ceTlJqz/pPar9y4ALRBYLUB6w+tv4O0sW32J4ifCLolH
i3TfOX/NEF9EsJTtfaD/Ew2pSESYB5RKZGyiTfurWAgDAONxQoNV8C2WG4lKOqvMYzQw0IWil82l
KbqqvcvShR2QnZ4moavLaHtaOlxSeGeBrB80S4Bcxgy0ChVKsF8ZAV/8akwgUOzmxm+l+7LZfvu6
tjLqnZX/MxihyEuy8QrMZTRgFIR49BjBCJCbYQ82UlqlWHIynDnYUUrE1+HJDYnWZg0NwQa4lFj5
3Boj8+Zb7X+q/+COCINtBYkXugptEyvkR16xl69/x+QGoqKOtyXyOOY9PkktIWz+HDfwewhXXX2w
jG+dS6k6d8M3S/W5P3yKYWO5y9imDOWeYI0qDY/AZ51DwznvJOAdjJUsiGMECq5NddP0OxmVfqjt
UCLY/V8K1QBxfUXcBKs0V5IPAckaTKsRki3odUDTDjbUkXXB7D9gs66gvUeT6ZVHCVHzIGMNG+aN
9kBRFvjrKaOiZ0adkdydTXueMqc3wObarQfFcY27pzwT+ld0FA0anC76S8rvEQuoYoKjASfCopdZ
ciMBM26ZNB1EflbAKPsG1QKPxcjcZFGr7x5QpJ6ArQlfHXOVQl0VnE6wlHXAvOE6LD6sBltYvlNy
bs2OCkZsTM6n7h8ugoForPEfYwH4qluePdaeqXbxmdgVa6N4GRD5bGa9YIWeioKBZfonACjRug63
gcyLkTIsyldl8RWFpDwdB+GMHZb29olHYZKX4WVdwg/2SISq6j2xF0y3+3kB/Muliq9T+KXvDK1+
E+4bJqClg1BjNvAYVIADo+iYuX8hdZ8SxY4pHDM/a2ijwGdzbBj8x/qy8zjbIWljBWSP/q8OQY/e
CVwdGiS12sNKnypNLZI9v/gwlT81P1c2NPh8NmVUZwXulnmFlFz95zLvwIrAlo+El+RikOli808s
dVP+mPzYgSGeIF1olEe8mpyhT3KmRZAtWF8GMnxJTA05h2UcDPMY7DiJCKW5Tq0H0fHMCw0++qC8
a/1PAmLS/EZTgAnrYj1hmhmeU8THcvz1CioBkuateZC+YkStef3wfK5vfgqafnvsqB+9hcQVvlD8
W9Uy38D04rTXnCegXBSIQBodQ+TW05EyBBDqFkb1JyqyvjaK+lnhKdZtVITVMTUX/RFr4nxScCqw
+CFoelz1wMMafddzNLq0CIwsvGQXgFgYu7cyEhy9kIZ9SL4RHQ7sS9j5XfAb+jyyf1n6kyNjIaNr
E4lfa3z5PzoKCVXaxNoLK5ejJyFBRquOr62cHut/SD4t6Srl+HtNbhQWyfUtbF8tgiJho/DCMn0Y
hhOJWaQo6/iSTJeMN0dG7gxfmWNFkf9Yn8TSwZW2hUQO4o02pGVTXY7HJsR1FpOFDtdX99dNka/s
kNBYSCQG3g66A0X5NYgC49/BpMb+GuXuycCehrHZGlaGhyfsoTGETk2xNDju+as4R8Gt2eMrxppV
5m/h71pl3zXuQqYqCeJFgDc58dsDceQyv1AU7SKQeuMByl7T7ez8LHs7l4WG+9CvqOfq7tOQmLfd
Y8h0+uCkPk0Xm9ovgSrKQh5nEEJVR7fiTQAdHAu/fWd4CZn3wAE8eIhcwaWqD/qRBnCCsbZc5qJz
mIdJO/FRZr38UozfMKcRZk0z19uHmb9L/UMLNxAE50azzXktVdCAN308goq3Qya8B4W1gCsoQ6av
WOPuvZntVxh8EbbhYw3WWkfPHGRnoIh45Vkkm/2ji2EUbGSfY32pWPPcdLrkoPdz9skVgz59wyU+
GnhOII4gBow4THk6hmxDv4oHcLAXTXXVrWFW9K+R+4lPT+agjg7AoisUshELWeNGi0fcSsRgXW0Z
q22JY3XgPKKem9k+IS0XxKlMdI1kNwZHV/rnZ0+pdZikiejmJxil0lcbs4K4yTJaxxXxBEAjTdSr
pXBccbbEsVWWkJmC+FINV9ZibYCnvP6NENi1GDCHydvEARm2AbEqaypxXT1G1X6of5U8Wpfc7uC9
FiOJotnXdABGCYb6gIFe8cgmezojTK2Yhp40tsnL9L9zJdoa+bfFiBV7GysoSonMPKc0LxjBCFVk
q84FhRyjdCRrXzTM+9ZJdwgbAsKJcyC7jWhGlMbNFwQGlGWbMPn9v2i7K9aHj29QML5eJBgzK85c
m6PJQEENhqvh4m4zevXwITTMTMeJOt/x9fg+rtqZPwVk/BADjrLoQNSvlqzt7FxJp5ZjmliVloNm
2KukBpMiYOkc91vVIDtuG+hbUjG7N/SeJv8dVcAy8PIAb6BrhBOOGgEVcPQY2Er473F4mwgDGorJ
pNirGqLUnnQmdp4Ny1ReWZ7KVZWdTTrMUH97zKrlEMvgY4jOUXXr0nWlIIlcu9oltVFCYBzPtJkU
QlPiFozQuoJyQAOULdoetSmhijXiBuxmJWbL38bD43rTvZafHhzB1OIx1ZAgXcmVTDiDd4C5EjB+
xwlmj+1BebBdinj5mu2EoEXFQueDQ9VAtctSIU0c8TvtKzQrcCaoZjuiBwKH8hEZmCTnItqxSOhA
lXM6N596dYBo748b0uxy6xE3W0DXKJgAVRV0ykkPSV2byWfcXzwX1pldZVPvwVANxGRpzbGV/kzt
GDwkF1cNVqcSaQzr0BCYQszaPK+4a44wughLWOJAo7GyKq672YRQtDTAh7Psg0RamHHBPFLY5Uwd
HjmnqAwIPYKNEm+tcs0yFYcmIpXpX6jUR57cMnly9uFwWNbS0+jJD1r5Fn0G0PiBh2ZcEAqWIjDg
noTwJnmIt38Lfen1O6/yUeP23DNLxSDrAwP4zY0sXEhwtb+Edsv71cCeAGOgYHCNZQn1FEpBmbCK
jPcCZdJsOITWB7El1BALkldFcUfBQ7hHFb8ybFEwhSpg/ZEzxnQggMpXmo2yW6NDODa0rEcvcur2
AiaEauZAlmzOC5Re2dNJvQ5wmzaEvbTiBP4m5/Xxh71vvkLtyxf/qvGnl652963ma+a4DYpsNpt2
A4BcmOxaOSPKl6Le/NplwDRnDcDAD/GtUxU7Q9dxYkCrOwm2ZHqwTXHzYvbRSQq28C6b6s1mBx7k
GwYYJK9CieF/+KG8kqdwAHTL2PlXUbCVR+3WoJBUlAnlXs4w2cxUZZfAtInfGaZc2aHUVtCPb82b
ifinE8Pa/5HbQ1EfMzaAbvGrYf9tGZDShMtskDWEwitPPDp3RtmaiDcf16rhdTKsH7gT4YgNuMtR
j1+4RLDvj8qua+5hgzOeLwBtH7SR+ll9ReU5SI59dErHb4HAQWPTlWNZ2foMV8ydXlwGG8Mot3HI
Tgi1S7ur0Kkw+tCwGZ5zcbUsSrNyrerbvFq6cERqtrnt2svPrf/dQgwuRgCXTbuEoLWyQLCn3VuP
1jg3WotUbnkfosmCCUaaFxMMmNhp8FET4hsnf6LfFfLej/m07GcxbOrAQlOPr/8k559Vli+BcKCi
ly1ujE3AO5d1a5Lcoauco3DVIxyJFRAXBIDyI9jxUQItSOcjNhYhyrRj8XVQMNDoJ/EOlQwF50Vu
t+1IgmKyS4jzcnPeuH3EhkLeJCNZOFxHvXrplDP9XB6dA5xcjNHnBh2UetTQI0RLM9KIj+rmkv2B
oRurFmS8jCqcO3lcShyJOeYOYgqpmHxAIUn9yDhlkGYmxZ/aLRGnqXTgA4d8U1VLkqdnNQ6gkHgf
4c9RUdfEbiX8bnQIBJ/n6IKjfxRNMntb9/9bfsn712hs+hSuC26xapr+56zJKv2S6ItatnZ+/5XA
fGihD2fUkg1Kvwp1973tP8B2ODYJL0KeR/oSYCrow7fcfuv6R2JeDJSrSN+ol5iNlf+AV2rFmRVJ
O/HR5uyjG5JJydsYjWBB2PsqiRhUoLeoXDiU/gFP0zoiLtgIki+33OvxLQY/xZi55PyjWnyiX8FO
HkCjwUZmEVdHPVStmXa3kKa5Lrw/A/el7eOI9hifHUirIVrFHL8rhhWxu1PaP/E2h5NiOIa6rBI8
DHwqv/BvB2CWcbQKUR0PF4o/jWGL+DDKfRXxtK+MljX+ySjXitbhml7WqboBRkLL6Xghpj5k3FkZ
rW04kdVYfqBLAlswBNqCG7EnDTCsuP7KAEctZ/kwD9OvOtxNhYifUK93yixVt134CtNVSBvI6UMC
ziAeBGrqk9pty49XUbbpYiOjhNuQw1lBAtCsff9JSJCuzW19z37Ibb+t+AzERjdBP4W3yDop+YPl
HWJZYZw6GYAXmjF6DL6CnZ2cy/aqZuTdOayP8lhbWu2ZAbdm7fiI3eBq6dcS4auP+XWst6Z8luRj
y62P+IfdjcW0To1+OgVDBWox1ONefug8qNoh4NXmZFTHiCG7Up2C5jAA+WoZNBBCJU9nEuGtDNGm
O3ZWBxvGzIZFNYPgA36dQhKZ/lT1nKEbIA/2HmX0TwGDGhk/LCrRjBFQuCH00MFSweKQ6CpycXeZ
BWvjUTcHPPewrFjCfObAtKFPzYTOV3uRtLNt4k1jBJWJs9Fe9PjiUSWo6k18Fvp97L4IOlJJp6SH
ya5+/DEtZl2smeItvJVbL/3sO1DcdaoDQc7/Ff3DT68diXlEHRo0kJu6uA0uT/gytwmn67Akz0Yf
cwNhvzTDLKklFMSooLqzy0A7XY4Ni0y0BfHGZfpqXSJlJw2HzuZAu1dCOBOcsgQMGVP0v0OLsYvi
xOlvLGuHWmfuxfgfRfw+1Kbsmm6pjAD7cVm6gtbZytBBZk5FeVgISJB/01hFHdbshbE9xXwOnB3x
2eyuobIY5HMgTrmyBxdGMReS48tyJdGQNBIPUc9D7Yky2tUWRQvk5zexnIShLyVNgzpcMNLJefSV
/B8ZnVBZN5W/T6mtfdAFZRXMhPth6EtrnFfoIKvg0+bUGYaLnr7xqOudMyJ3YzuKql7NT6z9i8xH
XP5IMiKHVi41EudzxbUxuXeOqfINowHvpddAIzq071EZZrYxbkVOOvnk/X3wv6wrSAgV9AcD3USK
WgLPNx54i0l28ESfwvMPrNNy7769k/mCuC18OBzhXz4dUbzlZfibZC8+VPbCqfeqGcNBV7EmLUEO
pDDZq79DxkaWmwj9qIa2U2bZfDfoRl2VbRcrBpxLTB62Jm+YYJp2gSJqDhxX+KGkL57MqF+RVGLi
NS7WtnGVGFiW6q4oVjIvXYVvNVPX+PgiDJAhoRnRNArdj+4vhQg4aYZEcy1bFxG6xgVq7EHi9mPw
7AFJaNpirXW0T3cz/9Eqg1SBt8x8o2cU0X3xtkG10MQfO4ci2VkpUgdEGrypOwZXdgja9YluhH4N
Vm7K3C8jLmJrsw7BmxapqLUZrpIfQ3y3fDX5RYAGK/apaRhOt+RwcRO2S3YP6sOv6p1tv5T4PtHN
YgXcrxXOh6Pvn3L6bSmxmZUV4JabZSmfgrJZ9Plvg2BAWWjmJoSDPKJkQFlIzPFcGh+h8Qj7M1QX
u3RSUDLVow4pH7OLXzOEjbaBAMKav2TWEym5HEZd72ssh6G+L81tngeslW5lRJquRsMi30x2x+FD
8z/wUlsyS/ZjJUULUz7lI/qpK9IAu8T1enZ1p5n6DPUMWZSKdy8HHz1Hk2XQf/RLkQ8rdoIWjLGM
rgjpLS3vv8B8qEzjBuCJpA0M3dIM/8ne0cZ2UxS/JckwfALMCdwdfAH+K8Pi4IFj2VB/MoTL5lDw
10F49fHJJe2nyX7GRe5iPCy0isiIsVNywUYUO9FL8i5qcRTFw+ov0eDk1qY7hsmBBgZESBc4I/dT
9peipcqiDX5GppxdslDHS1JTljdLGQcPOOVoy3orrtbqHd2ZZqxHY1VnV9EvE4Vmf9lrrAoqBs9I
LbP2K0GR4qU3glJxtV9S48SailFly4pjm/YAcRdef4GooPYb0Xx0zUsFVO5/qdHRjdcak2uvuHe6
zbR4nHNRLHVRbQxx7o0PGRCEbH9lEcaEa5RQTPRLfWB8jedlLkgPpVwr/waK29y6x/kxIvmh32j9
O3HXkzlFH4yFEqyH/tfGe5cgCOVvwG+jH9Me5BlnM9k6Kl7pyPtGeUEGQ28gMFpR/ko2wu/uqsVI
3kmdxP2jVZvU/0YJG5jXaGpvVgALXHHsKaz5gMPwr2y/0VdF6Waac3rJoQcwwtTIN528p//GY4pf
tI1PqfUhdxeXzzZByC+Q4y/RsrLdYcPTboikxQPjkl2rH2pWcyEz5RL6PUb4V01r6mN9aMmulcCB
+PE5QOkPXVVknxYk42QJ5s/qVijum/Bqejusf0H+LZk/OktsBIOs+gXHdRWsfHLog7kI16q4DSOF
Y41+4EMEWH6d5pkT36Cee3TENcoSebrZGpKRnM67FHC0Mcppby3CY4WalQE4+hEaxCa+Vf6hbThC
7IXs3phhCLMgRPWaoM7JsX85SbDG7dhX57Z2F3Z6HAwN6/4fWqhV1eWouKp5I+w1HPZFy6h/jK7W
JFOvXmLyS720YhrbkiAXMb52BXf4u2weuQUc2uLnp5VlWTMbKMA1CpiIKirhp6ll+UZwbb9PS4IG
GZY9vejZUXIUwVky2aIS+JgBDWTw6NM758qzvKoeS+FHdYtDNMnkR/CS0nNy+YnGkeR9078kKVtz
BVDMyxwq9YqmGcpI6f6qTJHMea0djZHne10aMCmc4TsY16pPiT++YKpI7O27/lsYdx+8EtEFZHjN
LPMkSXurf0yJKcMqaJeS7gxwuXGLiNuY7ZiRDmJd8YtoP0H304IsmXLA427XiWcSbpTh04U/UomD
pxD1faYRkvBJddiCUI5ZjwwhZXGajNjJX/Us0n5eogBjgaU2Nw11SM4jSNMVB8vROAjjOGjbyPxM
CHfO1mi6kStod2a0bgrJe4F7gyIWeNPMRFc+8l5aU+DqI2VLanLbj9Zy5Hk1UghY7KxgoEgm5gKm
Av+i8kOYDOG+xhgEhPunJXtZ3wmECViiW1SE/h1fmNY/VG2XxtSiPAIEONBMlyXc7oPOixEZjjV9
nW8t21fTPK7a4aSM/auGFUylcOmpcCIWi4N37YtbHukUsF9WclIyomynMesqarZITDAAJzCSG2/b
ay+lg2mYLIxvGWEznJV6OIUYGLP400+/Q/uiZ1vx6dVzG2YlE2QYbQI3LeMAJUHvjMhQ5fOksCx7
fwY2wTOucj2Rs9BpxVzQdMauuutaf9uCkws5a0mnURAkTur6ybNYe82ikdeD5khQzbJHht5yEBcd
X0CI6l9Nl0m6k3BoQW4Qc/VbVdcKbVzsniLkv6l0om9MUGpLE6zsp2gW7LyHlLoAER+rhpMNhqwj
85QEVULBP2Ewma/av8SjTBwY0E10XGCWyKBqusSxhnbujbtR3ivtu5CuRBIH6p6PFQV2M6xwfczK
L2naf7RoZxn8MdpseBAsbGt6sLCKn8RdGh0Vjvcr9ctOvBkex66jA3HQFHouOhxf+ckLe2YguWkY
QIjPSJ0XPnOFe8wVgfzcwUSgHEQKFOw+aGho8ocp/WvBLMTe1arOWMUYROrtB4ziyntEpsmAkwai
WfcoG5QOUgNOOM9eePzJyASnM3Ap4eZutS+zuqUNP3p8aKMDeLAO93jsbrXiD1enIX9bw0IQp4vL
S20cRSKJe3T5Jt99cwLX2LaPFjRtb3/0lGWS+grUfGXElwGzXY0q1+dHISxiHjHaUiYK3yRXZI9p
hzh6FrK3ysJ0Kav32l1PfChzKcbPgVlmhW6xoXrN9mnv2DoWj+SkwpUx16LcknzGCb4zo50vjuyN
8PF9F2SJjRprYqJeRuVMB2iIQ9YcOpKzk22ULyRj6eH/lXf4DUX2qhhkRtbd129W8wfYITfPfXZD
nshhUCR7ruQy5DVeDiXl87kp+G/YtEL4IfQW/uuiKtapvy94z6skWfjqVaAthzM4XUS5vx7qW1rf
0KsD6twXxab+4lrlHJK0V1ZfPJ+uZhYrUJgXaEMS89r2F4b41gi8/pqoB66o7mmoqPb+gaGaFzdW
zKw0WGEG3GEZmRmcNgQnYDmv14ieBKEs6rXNbsoria51087rfymbTplPlTSQp2JxtzZEH8rRUiG3
i+MYlX0Q3FAQZfy+jHLYj6PvtW46vdmU+VAh1I5wtKqoy2PIR6mt7bDf8WA/jb1sr9Li1CCbD7yb
22xcZZGau7iuz2DLFgETo8CDiQhXmCCwBh23ymJ4hV27EAykRmfS5Q+P0vSQWl/xM8sxZY8TlUsu
pLxZBvfWam+wUxeMZtKR7Vp4BIMLe85tf2E/VCXpKAG6QUK2tIM0XvQGwFhylZtLD3vT3enxdwT0
JO5/M/0c5dzRjJJKx0JAA5SXVNOShWh7jvynO3zWSNg5kD4D/7cUiEytHXC7nMhiu18Uub2SKP2k
JyWCNV2V2HyhpiYULjKLHUpBPPUZEhsMsWy8k/bD6zbxww/QxAoBpOyC+ojmWEIyiz6sh/uK2qbU
/w2wO1qUvbb926fbkS2G5b47+VNVh6UHId5onjTKQw5m00JeAiHKR4shGELFAedquJX0ZXs34JLi
5fa3uIQY2ubxgss9h2KH4ldhmm+Ru7vsxm/G9Xr7VlBU9ARwM2ndR8o2NfYF5WGv37toN0jrni9I
HaCDKWxAMn3DMTPq0SVKGYMrc949cPEav51f/+uI/KtrCloTEtRNaIecdVV5kcYDSKM5TTXGEk7B
1HcM8C0wlcj7duVly2cwiaXFMgRXXOUHHrmUvSFjn8z8TSizmCJAN6oMrpDuuzJPfXwUpHU1Yc7R
TYIOkGP1azDhoDB+r1HMJQc1n5lUXgNqWKQJxYoHXIRHXd549P6EU9KUQ1AoZsx8KuOl3IPwB123
JC9DfS57n1r5LMJfARBZJph2nBaAav3Ii60N0zX/ULmRMfjXO9Gf+ZKhKgj7ONFOOvb1RI7T8BeM
4BKmw+U71+B17lQEI8DM7bVRoedELLhuwWHBPZR3rk7YHmo0vCiooTjtmS9Mkgt0/5wvOe9B3CM9
aB9YVBZldIuM0TFa0kL6+q4a35jZnFHHkQQa1ptL4irQQYusng0SUP4eKRv/bqoKtv/8dczLg8RF
VJ19mogZyE86F1Y+z+BYtwSkk3zT6PJKqLek/AylcqPXD/zZZfB0U507C7WpeWnNZxPg4mQmpbW3
gXlsTBnduMpqRC6ghMem+iPdcFkhqlMpDFAJ9t6w1kKBFts/FySYl3z8NoND8KR+NZcAVeQIEwXl
WaS/omTTZOeyPHhYDwLoxFqY3mPs/zYGvEJxJPcco3/UkmVAAW7D2RmI645Vg7nSJG9m1CIePYh1
oi7nHVA5Mu8Xfq3OBGyVpiUK0SnYu8kkxqIjbaEhYQtzRvdvIF/N/7IhwrEqZGNb7WuCteLqlhAx
4XEqWrrTe07IzBYg8Kxj3YjjAWYSMTroVyz20GNosMdiMYT5ryMSF7An/cOaWKlNO5JS5S4twhQK
JhhhzRlGj4O3aS46dBSMWTTysOwiWg3iHRgGZYeK/gXd4uCUA6sSY8T5wsRlgbsyZcsnhgDVIi5/
rFOMUHs4CgY+WJvqR4VGCnydR+iAjWwZIu9K+38Ex6zH8NoH7FW5OCL0PxgMEFdjHVP1uapgzScT
TZjNB3zQEzKzrdBsBJgx+tbqW3FhHpRVNGNdEYabhBCUwXaqyZh/94bfxrpgsMJheXFLzkE2t/DJ
RHqxpafkfiXWHtbivB/urXuJlaconiXgPLqD8ZimRz98qeolJ8HS44UrufWGnhUkyxXKESgFA4ws
n/OHmWGhJly5//BNz0PlQ45von6N4adiHyrWaIP1kFHrsPIMWXXrhTv3wHzOVObUKuejz71FaCT7
Q0Yu42gdk75Y+Uy9guowefBzGRVX+RuF1m2YVLI+0YxJ8GPn1IwwClO6aogJs1I5yQTQWJcubmZd
N91goD1AdEb1ybfyHbmjtv8ZIpZXNXSHEhFNPn8CtUGbhOuYmWGLT4xMuHnCoFFF3Wdgv8h1DbjI
9IV2Dxlfv91yz6jZspekJXsFMN2soo2aCSZ9SyHWhDpwYSjIxX/akhVZVXuc2No+6woWt8VfDWjO
5KkAVcZFDVRdC0BYFcuiKddQvJcBQsW+pagJXKSZa708dKEguC26KeVPSLRjTCJRWf4rao8ooCtx
IXq97vqtm+anQER4dayZzHKq0Ghe22FJGjXjnFc2/ejTh1E1y8E2uAtSduGGjWJ1aqsAtwQMMNRt
rup8ETVQ2Lr9S7TwWOnKr4Saye/+F6jMG2aXkvWhGSfyC8DRcMHADNG1GuFpj5e6WcSoEZiaGjY2
Oodrz69x37H4CAFHqcEbZwRgTWomH336Rug7lc0BklRXXFzz02r3IuS47VaiinfFp0ptM7JIzjC+
1qY+96KX2f5v1iLPWwLdcyC3u0BC2FYaIGPSWqLQCajcOsmfuTQ9I3AAu8KU2N2SiAtinTBNMyz2
hSMxSILij7XmvlKm3vAijHPQ2eyMgeNB0utWNhqaNpkn4ifL3qMc4f4fYRA6JZvlKv9GzXiUwk8f
9bn0tCjpqM9Ky2nQ+KL/DDyERSxFN0rJY7bLa5BA2lauyU5SD7L3JbOvzlGpyHOGdOdc00+DnjxS
VnU0IiLdNuDvY+R4o0KYaLTXfTHlIsxlNIEWth0z+zHzwWn6PzAzEeaIEoEa4xj2+hNoXjtKYtXK
W8vQdlFqYrjqqNw1vuyJDgY4gJrMKiFW9lfF+CGmbUTeA9Me/0tVf2vobki3ZVW/BdyiMTrsu1uo
ThjWWa0xfNMJ9l17LO58vD8LXgJCfvwfczhTIKvSv9DCSMQIxEIVE7f3vID2IN+zKAQ2Rq0FK3dK
eGIC4Cb7pPuw1QhjHqU5QhR1kfE0VXwJSvBZWFwnRJ53KUJZC1qoE8bfiJ+95trmF1EA7+N3jucW
cgAscrPaxA6PVluwMWceudAUUPuLzv5EThCm2kJjI7ry3LslAQ1UFzLnt2S1DqztWchwC46Kz7KC
IyuyFikkKn8TKRtfN8AeP3oX8RmUTrZWrGPegme9wI+QmZWjY5EkpZO/aQDiz+Svj262QffZ8Wnd
UL+W/FPhroV8loddUm77vwRknzVI8wK5yNTLsmVTqjMZlqg/iL/aZyka9PM4Iulgr+YiqTnSNIXt
WsEw1DL46wOmBvUx6t5CL4ARYxzYmSpB0go/7U+Ws5eeuGUxFWvnlAy1RNKDiVuAkMQMZermzMM8
Fcvj0rTaVaRQT5ElnMAZRE1ZLQfw+i72gIkk0upr5G8J0kBPzjameg+Q7vdxtpj+lIRhSlbjYwpv
NZRAb1XUh6HZShbzpE1yT6V/zX8cnddu48gWRb+IQDEW+WplyZKsYDm8EE5dzDl//SwOcB8uMD3T
3TRZdcLea6vv2WPA/0oEXeaq8vcpzKwaNMx018I1Uk7F7sfkFbjg03GLqwzRTsI1r4h11OcVIFgt
E9CVgZVjRI5EFt8Fc+fRR62Ss/8YGUfHdLyZKk9TPC904ZnWo1ijhloH2O4TvAdE2n2NNAFN1+4a
L8GpzqxJZxgbJDu+KfI5bSaV5YvK2w2iy4RXQxGxd2CKO1qbOaMAgBzJVD0QnTOmpcBcZ+R3iDUB
X168S4aVk7wkpCiqZxoIgh5mITJGcUXAZ8e8HXcjQawumkxmmMPSZnDfANa8t8UG5osdbyA2YRsZ
WcAU29FYGya6jYeG0/1mlOfcWBR4ezJSZfwohttz4wptJ1QR3/w+XR19CLavSqwHFi3sgPG9oMzw
iIGuze8cF2nRnJ12V2W3Bk3A8FdTa1cll1H9RqDbE90i8QOJPSdo/HRM2Idq4rYguaPJjwmL/JoD
W8j/8aKj+TGJc12zpzA2hvKe6aaZ0FmcFVOwsaxwWVbTBr067gZz0FDIPAxaoDh6G6NunVcXlbBF
UruCnK2Y7Sy03lT4m8GmcjgrA9t+z1UyMNXB69pcBWtni9xiHqDBA7PI7mQznjIufi26fxOI2xpG
OI53YnJO3bBq7FuJyL9xH66oKL9fYvXchEdJHWhoHgX2c2CevebFlqxXxMHLHoNMliOdtFN8mDqU
VUHqNuZWnJBlDl4xUesZvDIkx9S8VOa/gLWEpj+KGWff7z0sj3b6ZbUpM7gMAfeR3GYysCOTToxf
UZOEVXylBcFtcBkol06uuCSktGHfDt/yeEuaEVMYhLzbMSr2TOl0/yVHD5Fgp9Lkr8chMdJMVvWt
atcmaGEcIMDMUdxAFgPheI/kuq3VMgviW06Wm/4yhMdg+kA0EHrzRL2xK/LJrKWSJJd67+14Ufap
pAqHI7+esi08FsxMpo1DD6nqrNDz8a2nhMu/Tcw4Wj48Zup4qRX5qvFKc5o16s0OEkHIFNzPKI7x
bqEy0w0kH7CsjX86eJqod3FvbvRiFwZs55Xai/Al6H9iVP9GYVBSRBvXZoOgvTUc5DqWVkfNXk6k
ADODms1HG51FQuG7xmm268LT5F/d6iaJhHAyVD+gQfMzAzPIySg8aWcbVtzfyprnSHDTkXj8hcYy
ISrJf3P6Y5chHUIQZHtAxVCqR9ZVe/c8Z+mpj4goz5JvxdIW6LSIaHMsbJuLkoVfxpYi2KZyLyHv
5rpxUBoLbJvGgm87urj6PQbZAEln3WgTYc/NOqkBd1U6M2QgkwjwJINZ3aw2ZVSxYvt1aYRw6T9J
RAv8rOMGDyoPvMJVgpmBOwnN7QrYjoNG1fmwQPiEw8539qX/NgwHq9T+2J/fsjpjFe3gs+cSIfpB
kI2qOAoIWNs6rs/5AgEsRwav8Zc28GuLXRD/6uFHywptkOOu7fdZ1dOEdmsCNzedwV6CWj7Ed9Ez
GCxInchTqNxtWn9GWoj5yVsm4UvhuRAHbYk0nQmV7nRb1/B289tbfNbMBoguR6tcMB2bXoVL4y06
YqvTt4ndsBF/tQhrCiw8KSoYK6PeQIqR+CjeCu/P7Y7R0LIlxMSmB6xwvBXizq+QMZyvB8+Nia5M
MeDzof9W3XFqRpQlQPmZiLcYK5RNhhlwGt/jpjKH+tA7/3er5AHSiynfWUr6wZZcLS2rENfjo6mH
elOiP3EMfOrcvB17Xsqu2KrfM7hJ+AOGnUs0mqFbYAlwdAz8MSbnKbGqTTE9HOa8lMvqPiGL8UgI
0g1Y15SIyBsj5vimgQuONy0x6z0CmKWsnW04wUSCblc2Er30PBt5DSdQ3YFcKZtIUfzfRresxM0e
ghUhhbTyj4HX32A62BEVRyBa4/xBYADWER6zmFD0iG1NmvX/MMExTqv9W+Cny2Jw1mOeYD+R41o5
5qeNozVhE+XetJyZbLLpsZqmHB4xintfwcfE6dMMzB9BHJsI/kOXT1vuaMeozlm7YlzxecyY4Ray
4Siqq3cNTVqFNbz197L95t5SiF9yDAxJRoKbFI+Q/RdgNFwVcjWRBI/W3CfLVrOKSzaZhEuXbzhr
07H5KR3o/kMOzSDHnkTOIKLIOPSXWvM1CkAblvms+Dozd1YPq13CQZPbKZ0hpgde2bLs10HDfJ5d
RcR13vHS5BUecbVrmKH3zVfavhAedCZZfEEs9pPE9O0hs7Kr8ZQ5jxmyILznBB1BP/mYdtuFmyB0
a2J4Tx4BExZSD+UFJ4fthix/+IWXNjd3YvrscgydzKeqdN2QTufl4ytGA9Y62UwzXoUIjXydkSVO
5LjyDm56ECDMnNLbtEl4Ljtmban26Vaj8dQBrZVfAetRhRczZYAVmQsTbK0WIarP8nWMKd3rtk72
3KGoGNKdGbVLl09ZTFuFbnvMjxrSEY/hnQHKOet/Cjr3EY2N3uH0BhDOZc7f3Vq1xhn+3nqqMPiS
xCAhPlcJ+Ov81sB69+fHO/BbxCjT7REBx9giHz8VCNKJMn+KPLGPREqSTLTIjHSfTExX0Iqin8rb
Vx7Djrw7OFdcJqgLTF1ttPSZ4BvGa7DMi3LCEjNTOdtlmOjPZRWcqxH3DzaZFlKn4zRbvWf6a2eU
vNULIZFbY7bzGsk1lcO2wCBiIWrMWdwazdXhevR0mt2O7r4MCiLHNJLq/6VjMj5VbXcOAxIx4ch5
wqOF28AtWnp1uqSz2GgmVRKdqM++iNqqa1mPBVSS9quPtdCvOUVDt1vqpflM/3+PA6b1LmSHYwud
miJq6SF+yNpiYdKmalgKUvJvxhZ6LVw3xwQL27hLzYTbjuEK8FIL49o0tZ1G59tygDzMftMa3ndP
k+rzLkeW/m9iN8bdwbbVWriGvWRnjvlmIbBw5ybtgRm/R3bxCGgydRa7TWows+jWDVYclJdPXfcn
YfhNJYVzUEKLYK6vnLPeR8sB2XeCUAeK83p2ZjPHW5uqZ/dJ/aBvmnTf5s7Kju6Ssb5GCmMy/toh
dF7zZyzRfXzZLjiaFuq1GR09VM2aTF4HZ/gYtSPCvsFA++gmpLtBkew2mSgepIoga+97nIyW+snH
+NApb9bHLrOiuDvy3uQ2ZJwaOHauIGHA+GkuXvUq3aM0c+Rbn15FJNaA51DB6m7cS9H0Fxuxt8+V
XXMPm2jt2keNxopAlBjedfraS3kIlbdNzRpZAKdaOp4DzfsdyxB6HtLkAUlMFeBcvLUeZs2cuhe4
E+HAho1c0pitVLe805ht2/uwkds+8tmko2wowceR9IB5F2V+g1MvpO2xfuG1LvKI1nUWNXA9wqK2
7IgO990w32OmU0b83UpG7ZH9R74s3ZMO2IZlp8LUF9bbeCRPrwmIZI3oH846733bAl/A3ZGrrwkx
r6/akQ1Nhb8cNFJQXI0My41mL1GM4OfPsh9m5UNJXmT6W3nujxfOEi5CW/R+abFMZFXAvtZb5QzX
RixsfY2iGgea02oEjZxbWfGz3mqofU0+HpMxRd5n12TO+/Qp18ja6/pHwVFZdpzBZ9aYgvVbYN7A
ypfec2FTuVSvHu6giO4lOJgtwhgCAXKL+fNHhD3cVD4RJPTBbL/DVrEOO3py3mrP+qIe1fPfWH5X
FlhV9ZLGiIF7rMCc13M0Rj6Cqm7BgxAGpDOpG+Qa1j3tfkTnC0SjDN1Vb5g3DT7GhIAKTveyY1ub
4ldzuJf9FKynH24nttnBvPzlxaj5mVVg/UQoXn1MAa0hIKv3CHutbUT0mFbK5ymM9jALCRabP27y
vUG/ntOa8A+fozJCU2/h2FMemDOuEk91a32W2CLKYc9u/tVm+4RjtPSq1ZS7H108pIyz5IbKjzC4
mCUr9E5i0BxY02hUPfsyBAwLGPxOElUQL6OBUXYIrjXbdf5F3stv0qd2YQMLnPeaiSyG+b0Lgahq
gJyLd4u+sDaWPWpvuyQ/O4Odc6vIIqmxGhYYkcqmg30pn4rse7JxtTLerU0PtxvJaEW9dvAuyBTC
vruPcCDqrIeGtFxXeKJFWu1GO6JlDVcai+3COCTjxVfNoSZSOa3E0cSeYeXJIrWPfpJuQ2LSofN9
ml2zT10TCEZLPOo+nrPo7GshDFaB6FIZ0Bhd+k9jqxgLjZsHIno6pwsfar6z0kbkhRzJwBHTM3YM
Y2vbq2xXdejnzXGTIpkkN2YVU+85SBoNN9wUNWStqvwcO/mWOCMirZ+cCaQOvFb6xiJqPtLcPEY2
62cOq8RrrkSWL0223m1lsPacTgDdnkIGFKWAhdDnp1kVHwPZyxk4gKy7QvwgCOfu2jTJDdvERl9y
mRIcbB4Mt12DFajyl8Fo59yR3zk/eaCercR1iNoXnZonmyRFXbOpPGdHIveTlZSvTdDTV7zh3QO/
mqwkVUtelivd6nYjxYnX+JDTHrPUTKMqdIlcNKjuOmxrcaF2vTMeLOFuii7blHPXA7OOcp6UGDIE
XL4OduQkFEdg1rNYvNNtoUoR6whhoejDe6geKtXPtocMmJleM5KydEnQApTUh+l49QVROXio8Lnu
PA3cGWfXyIEW4frLfONhYLNlPxG25H+yLzOIgyXgb53F+dr/nxlqryh6+dC7jVWgsPCJ0J3yc8Rg
y6pWLp9YoX216YvlRICj2VKRcdqHgEFwBo7iVNaMA6v03xBP64JmqdH9gxeEGzfJzn2V7UvgDC6P
W3FAFGCOsuodxSndQHPl4UdopCxEc107Xa38ubMoQdyQ3TVFlQaFzK2pFTPv1Cj/6Mv4LFt3mQz0
baQilphd2fZEcbUZSnMdkVqYGNHaQrTqxWJt6HKvQjBqtMGCgYDOTYIJXgrjCHA2r+8WhYT3GoXY
R30HCRFZDgVNT8Uf85dljmuEix4ffo1sixXiYijzc49TUwHkyXwSG9ga+harAYpiyXZj57A8KIoB
rSD+fdp1IQWRJfkmq/cuetYEk1UBM8vG7Q7kA9LxxodL40h4LNlbQIMaVjFXPaMi7qesiA8uyVSy
UkcKSRR1/inE7GJ12SoI2VdpaquPcls3xaqgLge2j1y3vja+9lrhvm3YCgwYoCdGJWPKWey3Kxb9
fccsRARw5vSVDz9FZD3fMFvZlck/IRZsIc1kG1jMVXp/X5B35DiQmvhDORZWsofTkOGA9JNnEOt8
I/juCnTkLmZU68cvP8kQ9KM3nYlDpsTSA8WQAZfy8i2V0Sb0pzfPId8q6Lk706XC6m2b3xWgsIBt
fi/uabaMBTo/+ISdVS76ieLQd14mW2NEQDSNDfwHBcesFZEjQ64MHJcJjNjr1y2DV79THw1pm3GK
rjGt+BSQOsOG8IF/VAgrkBtsrQkhe0Iphl/HipKD7Xi/pvUd51TVSrt5pnPs9WHTmwPmdH01UvoP
gXbXPIIpmubY+P/a8TcNlw2XY6Tm+kg/SE+DgfZZ26/R5K2U+OudP832r4L+Yp7X1+U/0+kXCpnE
kAjmsea+dOlzkmoFgm9p4jQRzAlS/qqGeTFgkw8pm2PayZgjAhuvxg4XqhuQvRZdXA2BmH0f1h+r
BKyJNKmatjRDdyfwMIRh3WVKXHsJnby/jGugFW4/vUvkTh2m0VYPjyNOmCIYNoHGYLO09rrZ7Iok
ONjsVYfq1apP7cDmRzAG9H0LRzZrVOwODqQhPFYnHHhbXWhIN7wLrEA425grKcVRNGxTq3tW7I7d
GM9CiHHWcDETZWSk+DuJ1kMXSEbbjH8pqVdVUn1N47CTTFbcrtw4E5o02XJd8LRHshUAIQBEfx67
8iHdZB+500UZzNBkuLOwgedQmDvBvHIKDx26aTESt+qAZHDiDSzmzTC8KXe8U/QxIRWr2INYayKF
sHI4EKGdoV9IcKC7ew/WjMD8rrBgtj75GXkFZnFgEKRQpbKcRZBsxDrg+/o6OqeWnjkhqVf42b8a
cvpTHpkXxZKvJbykZtKZTOUmK8RLjMSh9QxiUX9C9cqWfCM17BKQHeuyQv077x5gzXQONDnzUPGr
tRrrKDgx1pyHhpWLxRnRI/LtBygrgY6kPD7VRXjnoz+NU/Dm2jH3hOFki0F/6EzljfLBsGkrc+Cr
CKIKdlQpYi2t/M0J/SHQeQu8928sNjC41wEiv6D5oBOkelVPFPoYi5CZnvuAUtt0UMRkoIzw1OIy
SiDeR/KQ6z+l2lXcjbxzB3t07zqJ7BWA6HTgCcxxhnQJ/jQdOm/4bWIG9tjbYvJZAnIpdcUpCcJ3
pG5x7c+mCDc5m+Exx9k6sFjSn+ZInFpyG6HnC6LyNxvI73RoupI6WY/4DgRD6i6gHuH4cYHJ6c6/
nvGRNqqjDxehgnRQhPpN6DPFk5YaaJxt3ZDl4imNFwao+aalO0VLYKMPjsSvjeBLCYHVssTaAX/V
Ml8GUW3mKWxmOO2GzNvZjQW2TsG+uA/Nm8BbG8ID8se9XlLvCi77AnYLm83ngC+1LO0H6SCviDgv
foM3x0nnQzuEphc+0+i8yAgWHou/xlxKClWN4B5WZE+6YG5lMDLIGG76gbkRmn4cOI/DEUxkL/+F
2bzC5T9mY4GwWDsDy/hQzAQGhH2Vjb4d8s6orYc0v5Ye86Vg3EWsXz1MvGmU7ZXFZq6p2DWni4Z4
sBrHgeaUu1QnnQ+P6djTWwfyx8j6R8Vxk2oGBZeF/s2Uj6RE4Eh9ncdqZr2wACsPprpmcE4y1b0k
k7Vy6+BdAXV08+QwpPW1Y2MgxmSnVbxtcwZEiV7GjF/5z9xq+VVOwzGoJAOhYgFkf5X3fKoNsVPw
+IxhXPVs/43ZICTdNyugcR2KfQYookyQp5jeX5PYIZrVFtiOvBJDGOJp0/30UXHcEEeAoDycnq0Y
rB/PMFeC8K9sVfTescUrJqbuHlB4TyO+qRj8TwEkL1/zyezkoPAtNNOG+HoKdqbfuiPWwnw0FhWc
rvAfJLwQTo1ezqjEW1RdMJp5sbMr+hy9OiVhoidnkhxerP67SB59Nx1Ki/OxtJ89U3D3fM+BLjZQ
vsJa6gOWP9DOovEO0zDuZFECk/P0Vd8wVgqw7KvOIy8AnaJooBKlpwbKgpd42B4om8vyZmQIWrJw
I4jZq2OkES7z06Y9mNLhClGkmbQUajQNNopVv8vuxehsHYHg1wFAVNr7IH0IHynKnCRCHEIrvVsO
LqnsRzwE86KvwoLIRAoFlzLtdWwc+8l5qKrZ1qZ56kJ3Y7JztLNgoYtiX8phbVXNIW1yZEBIzBhZ
/iv99NCXvIfzJdjXeIeTtUWwlTmyEJHOui+qRx9/qfR7aoCblPkayDfHEFumrFubk9qnot+F8fTi
F8XKQ/fMFojJd7ywJmxfOJvN6dlkBua3csXFjL4phW1E1KX+2Xjkq3tLFzppKeTJqNmTxGLbIldJ
k2Poc5mojgzfX14KDD0k6EExHiZaKOiMJLxzB9snFYGphObeKXvXe7AUWcLkEENKXaLNYWw4xgZn
bH912fn35LMEYbgxyFvCLGHJuWuYXa6wprNzGhSsRFgABiTairzHXeYdQdI0XX7xEQ9y197Gul32
GXYCW7EbofStAAZN2ndKV2ogw7RU+ZwE7iaKnB/Vo9kQ9Va3Jg7ElRvd5h4kEvU7/RZrhIRlW4uS
5LNAGTcg9p5Evy/CConxn2pQ5Eu8mrMUoUH7ohfdORXYU3RxNqW7sasCJ9ewH2yw+3FAGgTbb03q
x8rzd74pV3ZXXzXdwTgHuYOJqhwVhrSTQzr45G5aHazdR6Z3q6TgMEWpmDAx7HQstflW1ShhKbnt
svpO+88KiXTmfdmMttt8unsT622ZbwiQI8k5ST5jbuQgHDHlDMEh6BnQRs234wS3gvX7MnFaLD4+
C3hL72cbUowBWtgP2Z3dIjsqL14M6U3OlnpMiW74LMpkn+IQ7tgAAUFgwsa31vecj85tJp1kcP7i
aJuX78kUHWRzsSDIhPF4xOyxKfE0eM5wTqIJSydOAETjptVj+q4X0UD5N4MFevejQDJgtv19HNOD
7I2bQdSWUMXDCpiRDc6qQQ/0NAp4gkBdnR41JIWlb6ez43+6BsEETCO96rJEy1j8aaXPsq9nThT9
6HVO+dfz0rWtDTYnGt5R2ZGIpJgL1aHLsMOqfKKo/E0UEqZEoqUEXpEX8UagRZnKUzlmF1Mn5wr1
SRalL54Bh0AeYxWCr6pTIvBijWLEei7CX5VJullEfQFbmtJO1kzw9gMOyS4H5FLqb0HKFHOsZ7Ux
EAyIt1acEoSBlH/4bS2m6dDqVsJv92J0mP4Um3hUGOIBgTfGsazxC3n50u+VgY6GKm3yjkHWXS0k
wBFHmyaak3KdSxGHJynGtRHb2z5ruT9bHBaSCJuznb9O/os2Us4M8ty4OtZ/XARpcYly8zAG9c7F
vTWhMa4N7UVzJVZJBsPEXZpde44hTlcBXH5v8najQtZoAraeZ87kL8QaFky6Ka1qjwqycjjTAoHk
QYzmok4P8SAWVffuJc1G2VyR0ON6WS0akhFDjiF+P5ZMiLiD5DAb0ctCQPY1NtTnM+Jb5+hSm7hN
d7ZmnzQu614p3nrizsFIhSlASXKC7IHOcNarc8lHJnpewWASrcQwUeAF9qJOZy052jkzYrzYYGbn
ANfVrhS/I8ERBnu1JBI7DwpKDLAY/gwJ3uauNcZtqfGfTA1MFujPbPgXvgTYOwagv/pLIF11yev2
HyK8bR3ar0EZ1kwX6MUw5aJP7VE4Qu1tjfzhztHeEWLNFhlVNPfBuJcarz9T+aG1wFxme5xdPNav
hD6tnt0uGnuNRLc+Da157nz/ruX1H0fJeazs0xjl/yyJKihDmynoFZ0JglTM3jQnJ75zPYNBj8Gw
sqVvTLkhQKmCtpUT97YbmnzQ7Xc+C7DrFPuj4TuHNi4A7Lo4F4MyeGWQvFS5wpsFLPiJO+2pLTAO
hZ+d/l6Nt7KYNp0fs6cjLLXPd3N8Ez3lk2kGaynHv0ZVnHqUqmVVEusJFV3PqI65TzpI6JDI0cDU
9IATaQZxlO70IrlX8s0weWMqigfTkgCV4SP5UJkkEpGhJqW2p3PVXLbhYeVeYw1QnhHtO86qEbaD
7NXBSsxTSugOmCYLNTt/8hAQX6fKj7EwHpZHJDbtvpbKXdJYIEhgV/q6vUldbcsAc0GNvbWhUkWu
2GgUwoz31r3R36PMmNd7OBgwdHHiakm9D6ORBYbDsClbNop9ZtLcahZ864AvP+v79chRqpAejLV1
qgHiNzL/apt+rzu02qm9nJLimMLNM1n+Zto/P7/HxOExnsWnjUnHyIj6nRD4EH1E88XAEDe/hdpT
a8A24ubMIhydRXRvyfKx85zA1mwfB/3WLb976vy2nhZdd3OobehWcJYjfGvia4F/C08qIJqHmw/v
+YQWqCf23L7R9X7kePpC3diYWJO1pGDaU8M9xt2j4EpyX2szUIEOqwufVYOULJqFH8seUKdvkQnm
NM+1Kq5x1N+cTL9qGdThyQRKAu5ROPch6b9s1W6LcetijywrbVm01IA2CRya/1HUzmJiN+sycBA9
Zk/GVNGoI0sY+Uk3OtOG5DfUXKKRZp+ACH8JI792I/7zVndf+6L7rOGWPQX1DEjXD7A4aZUUXKMp
M68IZ68yQhKvDTj6bEoUHb1aYTrgq1zcW+KzxCGd8ABT/LC5PsB8m/DglMVL7cR7nYQjQ/o/EOCf
WcTD/VVXD3NIa/HTzPpLacqX0iRyhVwjA1E1CpELF8PAJIuJlobyNUzPqZ1fdeZ60VhrTMr9jVXl
Bzsj8bOgPcyRRiMzsTXvszLRVgtx1xr96Jo42HrVEHIUbkw0MZNpnazM3agg2tQeUiLkOnZPpRUZ
dyD+kIxgkzGxOQ2CyWbmcDi0AbsPEVJDwLwx6uoWldZaF+5rXtLYNPGwrlpFjWihKiNvJbU/PRQB
eLv+QsoTIkguThs4mGhH3M8w19NIt6kVkLAojcB3H0C1mrOH2lDM6dvQRqiNaP/y5lWv1Yvldbee
JpSBJuhFAzDckCNjh5zGs9/UQJoaBnf0wucUIYiIA6aY9bPHj7rQ0ulp8AjFc1VOd5hs9KZZOdS0
daRdmFoQE9jBFsYKOPZveU3PjDG8o8EPjQ7IEmVfbHMoNlFAz9K/0Wv+0aHiE0JhVhYMx0qI+Sjk
mTwyo5fWo2RdkeC7TIb61+jYfRrkqJTTYkhQkqvh2WDXqcEv5uHQLKe7MRjWTuathGXjMZSrwHMJ
pwZWAWVWp11BJL2cIABorbF08P5IKK8WUhWHcVcbylvfJd0ydedoMLQqhfeem+ACKTucumb/VH1x
wzqLNHB3rV7SX+AUDwcvwr8+I6lpi2eQdq3ErUvQ7BbOCSceAbg+frIcMMa/uoWRlb1nTUHJZj5X
1nioC+dQ1NOpSJNL2sUbP4U7ZlTWLjTvASwgs0EI6zC4QIJusY1djJWBQEEazpbJyEsdmIt8njN6
xZGF919SgMGVYLfykHS4dGqPKDnR2KfRqQxAqGcEACSay54K4WvO2bmaausmOWcDP0dWWeAZxZKM
4S6NIFTlqKEjWR20qrl0eX0i7G5dUEoAjTLfiwS5RBG1bOi1eJFXLn5cB76Gscq7kj7VzG5Oz7S1
L85MxU74XTAK6I/KaAWaLI512dI75ZFDL5l+NaZTkHHhsq8V5d7Wurd8zL69qF9OmXNozPDKiJuZ
EngWUiaB+6o17vefzmNt35QEMtZ8hpi1+T8SIoIt83ejmPaqjf8ylRJoph1itOl24fAqhBerQ/rP
P2R5wUSqqf21LhkVpepgUxJFLrLEUmMBETB8r/ElckASM2JAdZvIC65jFk4CS5oKKGldSrEcV7Ze
+t9tmj2j799W5BgoEzmsEfyJuH8pDMC/uTZt9BgFszda98A1vjobfGaEnGukTAs6iUqRShrU+Fgx
jyFLSk6O9zS0TDozWDGZ3UZLV0y73uyJocZUZtcsGjz4xPh5fKxqZZOdDL84OkP6L5Yded/gY3NV
rGKjIdzPLtdZT8SYFu1Toom5bvI9dSquBqQfurvL6Gmc6iNBG1hP6lwJ+NYSEhbzLT0huT7xFpaM
7mUsNoT9UuBDe7ZI7C7r6s7qcGXA8CZgCVdSIF5SdomT1S41HXmQ7pwMQX2Zj1hKjHLHw0NEpq36
2RkVt/Wa8dKhn4yTHyKXoWCtsu5oCPOWhxz4aXYMYm+dZuJfrKHrKVEDuQ5B60atcIUXaw+aIZIb
vKI6uzVqlN5FRyTRqDLNMhCxJRcbYdnTyD40lSzamOYhQMR7P033QUIOrJWGEV+464nqekAopUfh
QUrWUTGbP6GXCIqHW1g1p8i76UayU6I7hKH1Q2bYKneiQyG4kEtxNBpW3yZhVhJ9HHBKVfiLwS0+
Ai+4l2pElWY/xx57+pGFOtG3aE4AFCAOt7L3VE73+VHlPfA3ka/5DLDHYu1hbRUzulRqwGir/lU+
oIVCy8+t1p0DTJaaxxURmUcbinPUTZso8OhgDEwvwb8uB7dtWKaJwW+gZkOLE+SnQbPvNXssrWVZ
YuAsHFzII2gonvIkYdbt0id1BnoECi3Qa8Zh1MXGbFEMjYTAWdwkQWNf2jHmmgKWMogrQb1PWWcv
2ZtvnYSkNurkp4y4zkxvAaZTxaAg71r9zfcQ6LNPJqbaw2uHWwnScOpUJ2Ez2Mgxu/k2/e1AnY7p
mjjFxl4GBWaUMUyfa4ERurFR5zUdRshsFsDWwX5y5WsaEWqHRXP2OCFS2dU4fCqhv5f6cG+dWbmS
+xvhTauu7z6lo/F7Bxspg1MCbxfdor6scHXB67lqLcv32rFumV9umwn+lq72TltfJp57bqNKSYFB
B1aAROPHtUFfhePNNl3qLiNjsZe8tgUjV8ejZOvPiVdzAmaXll7NAQxn+tmtVdFdOMF+bKfXdNJY
ROG/KeJbCjYht4BfsLpmC8NIGWydAHhP5Bx2TgAMWEd6tSOckAYXlgz6rO5qY/en61q7aqa651s3
sldmnxxtgqMND2ieaL1Plx5E45APWtuDAIdKc+h/aveNM+Nd99ub7jIgJiDE1m/W5CzCnC68164t
UKSR0tR2qouLg8nJjHdn9F4CRm4pweAlXQoKgJ1RXcDMYp+oVqb1GoNP4eqBU8W6CG2gMWqnaUBM
0fHGFKl8DVkeOVhTHKv8Q6L1FsgI3+ar3RsXXDp/JidxHt7YVp/KyN7ZA1z/8MNO+D6Rg+Q2N28J
Odjqn/UU/UuY1QfdHI4EGeIufbX0hA1niL4sdtrnSM4xL6jEVUieAOllnmDYbiECzcfv0mcDhLfV
hNaiYQpkA/wyjLxU0lkM+UOza1x3Cb00uLjS2HWGv1Pabw4fsGny7egARTfammIVCsRU89NtYLV1
7muZvw8xj0iNj7BDHc2UVAfEkiekKGMuHSwGW3lAzgjBTSO3eDvhqPNS6ETwQuIMEAao6HnXMH2E
EXIP3/mzdc7KDIBVDCqQUEHA6K6FG0x8VXTDPR73uB+Jnm6f8xjUeOMdMTye/N75NLkWit54d8vs
qYLj0LvR66hbJLb/9FX+KhWA676BlYkcmF2RnnUbDZ+TDJ/1qcOBhJXM9FBAxEnOzDTZ57rGiMqb
6WKrgmAsNyEQxCEcZoiOkQAZoVViqzktqEVWGSFhoYMPCWqiUoVLfY4q1Gi2G156VZ9shYRUb20S
klviOdnBs4NB1bIxwvoQ4q6V1s/0H2VnsmS3cmXZX5FpnLACHHC4e1plDeL2N/qGEcGYwKIh0fc9
vr4WngYpMmVMkwYyk/REEBeAu59z9l57Hbb4/i2+Dc5nH/Xkf6W6u13KtU2NwiCLpKEiwutU008Z
x88ZcfOiiDmPLe++0g3T9HkbQIZwGZPAmG6Zvbp4g7o6/mqrAqkkj9z08w2pG/sJuRrd/tOM9LqL
SU7gFbE7/QIq/tVqyMXCF1Yi78yl2ZgBpGrRsl/ks3+1DGhtu4I5fVccUE/Z22ZmdJIwiS4QcV80
blng3wAzneYx62EB8gZ2u2V9ZOGM9NAERzX3RzvuLo3NwiwsEqTzZbq1pgzcUctJLf+0tG9fFRUT
M3/EDFwW6EXTkPzAwbRkDlZYN+x2ee1s96HJ2lPV46AVHHCb9iemjYeoYsxKz52gJ4OWJ2sGYhhK
g5xlOGAJxTOViR/ejGFtVtZbgyKeI6CfX6wvh6bOQfGAbGECJlIMNDcdl/4By+TDUrTEBqorRCX4
D6L4tlmRYk7NBMweb7yhenB7Wu20BUA7dJfjBDlkzMWZ3YY6ZUZEPfrMGUaR3gAdUwAkQLcv+fJh
ldWtKPRDldCYr2v+zqj/7pO8uhJhcfQqAq5Ve+/J6GyRpy679LkFyTBiJcqJWkMaYL5LumENR/Z2
tAB+xdTJ2oMMnPk+VjOc92T7rVENDsw3t+N3T2roALNdnZYMEbqlSmT57nVs548mrN8NKvlR2Zgi
XDx1YLh8AF7Eafku+cFZTJHhZF9giLdL+lO3PFJLnwGUPUxj8U734I4giGOSsTkPySdMJHffKw+5
GWA/Zki0ttlPDIOKOJOnhM37YjTvHpBmCamgwaSlZPXle85rny5nOpH3cqoOYRc9VXrZGzGRqmrR
7woHjT0tPKeZzYnIwqkOooowkU2QdE+ybh9dmd/WJRBKTquoUgguRjmWLMSxYwqY0HsYts9UeG/J
EG7rTD4mDcrnmZPCDBYqSUeUdShTJ4fsPE32oYNFVIv6ScTmWyagU+vKPHm2+42Ihx8jrY6p1ZBT
oUWo6ATE48qfBzhmuj830j5NfPxhll+FVXPNaGqnbXyuyroZA73RDu5zuzsGMdy7hPWbgzWWVMpo
33vNPGAn3Uw4Got8FeQ0oCVGbjR3jh9DxEuwTbsQEIOKTHYrOKZldCns9HYWzktaEA/XOnviDyBS
rThEMK6uogvsIzOohubG9BhVwQfGTrId1a0DD3Gi/yPFGsRgN/e9KQ9s+fto8k+Nex6ldACNZN61
70BsK6I74qPnzUBWVVf0ezFlZGrR1USZ6sxo0CQK3HFqyJSYk/3sSgJo2t2U1Vduytib2ySlNbrr
M1iWgWvvMH+mRHjBuBTTWjkUjBIqq18rsAwIVn+7jGBgVoVA0fQvfi3f57F7cVH4zE5y1bRgi40f
IT6yOTmRjyypALdiht6XWst5aJwHmSynwiF5Z3ZQ27RpQ0ym/Bx6fdM1/dPkgGBtC/u7aN1XnVMH
1iskfERZ6pd4vkybsqRWKL6nuDy2xbJvSga2Is6PAWbCKQ+9/dj4yzaPom+dFjjeWOYFnIZg+pbM
2Te3JU+EWT2LkLZW2gyrVFv2Jxm5b2NCTQby9zbmVL53RrNfWIh8y+MUANGJvkS5K/EXXLRO+lGG
/udfXX6xvMYuubHhYv0Mjf9U2abdlRbWUmIwTzqbLonpu07j5V3bASKXRX/TOV71ronO5KseJsik
7HyYoCYoZ2WkXno9v1VLeE+P75CRGlmP/TGiVkNY2T9COgrAmAbbvigmWPQwj2xMy6VbPXh+/s3K
B3b0eXpzOpUd17T5oRltVFfjKWxYTEe91tYJ0o5uoqcFuZjJC63cPM0xKdoVmrmVXlcsm0oEu84b
n8o8wTyewIoYOuZOXoGhMMrdB87Ea85c9Zj7krktcqbWvYxH/TLMWByDNB3XaDXWts55bNqOBxjB
EqvC4tpP9Y2XjXLDgYKojmlkWDHjkwGtadtMaNVAFZGsJtjadR4iUzRXowYyzpU/R5fZbq39Z39g
PumMnF87Kv0Ly5TPOQwKM0IUaCd+BNuymr1DOqtJMwKRx+7LyrFjjzhgAPQAstF9/YFK5Cm2Z29r
1RMUR/FgDeNbkVRowBzqbS+MjuGY0kwqLpsI2UWMyn0hozC/7YP60/M4wqQC57cpx+vWkd95UT84
5bYMfmrQSPzVKCl4rJOecSBIIINVTPcPEsJT7PXqRiKFxz+VWWz/GTg0lQSoymKgTiJTEJx7e7DH
29yJOLtPQcTskDZ6nINLKYpDQbc3jtOfA6g5izyvnO+0UOQGAcq0KwZMCuKzJo/7OiyfSX7cSW3O
7fDR0L0IaNxip40D3pbkDYg906aEIeUbiJn7kGxuU1C/Liy9FtV737cMcQpekzDcFxUW5qy8tvv5
XZGAlqoKwHzPnO7WOPbN1I57uy9vrQT3CvqjkAfGn/No2u7OruUFpPyqnTft4NzP83DpqxHK9Dvk
rK29SjcYYi9CvXthfkV88KHCFD+QLTAivN1K0ibObeTkhxotHamj3UfT1j84FOPwc8lkGfCT7foY
VmUbtcV5qn3GowCZtOnrywk3593gIDDxWvBk9JQQQAAXbyp/PqsuSx5qv64wEJdosjLyS8O7dAGP
C86/q+jWEkrgEx7br/COiQWmw7XiU3BGtnmwiwAPcCl+5gszrxS2RwMZBcgVnqP5wUVyhlKL0So/
6dVENaNvqlVy/8bqY+eHHOBM8+qP276+6ZYbp1vlJxQR8pgQfp6iUtqA1RuSg8qsHSTTTTI8gvSP
mKQLpin1t0WdZPvq6lNdEruQlzvdFNugfC/B1SfWXgDQnkiCUuER2OTWSfNd0MIHMFuEwyNWYBJ+
enWnx/selUL7hiuTWQlTn4tqfMaUSgMy7vbw0ar+GqSVW4J4Py6M49bojJX9zzuE4PUo8AgwOo2K
R3dmgIpKdU1JuMmHA0U7nt8UVUgRvoTQsAMfPfbD1O50DwcNds8CaAGeT5nhmUXGGd9wYMyo9115
PVfvMd6qKDCUmz8t4JMECtAO+hHiJRqGfJOgr/Pd+JbWJp8sVT+rqWLOZ3h93TDZJA1jcottouPb
tbqbDNmfj+Mw5poxNgGQKKjZaPqC3XwfmG2RTthduQ204vJUG34P6NNvkXvurBcm9USCWcGle49x
dMv0mv472auM7jdCHXKIp14EFRhTYHgqQZrDwIlfZt8/Tg1CtAvxxuNxagKQ9a5EcEkJhxb+cqIz
7rGJMuKj0irj23X4X9fPFckBEZNppowlkb0l50PCMgC9M2s7ZcUu9lAncV6h8MbdwqYzrI3nTYHK
186fYTo7fAtElunmexSdeY377kDnhOQzOZynYY/m56JhghZdWJyViurH+tu2l1VxJZ0VplVW34vk
5HZ3LZSQHvtGTIdrU0+MR6qNKq6H7C5ypg0aLOdHQ0MX9IFwbwm5sPuPaUHzcdOO96m798RBhjYJ
ZQeKjAvnS1HE+zSFHXUsm/2AjidZpzxIlNMbVTzgczMABSlpI7ivBYEXLX/0S4qeoYvP65we8yry
2UI+193DXP+oUswk04+K1ANNYWHo9xAt1vAI0+rUJTdUZg22hMAgPAClD/qyKC48+i/UO8hO8stk
Hh8cOIxlbJ19igIcMmyDmBMuNX+j5bHOLguDlJSSAXhQzX3AJ1D4hf0XzPSL99BoGAfPLTZIa1eZ
k9Wfmu6zz26X9mFxL7F/IA/lqwg5vT0AeyJOIafnZtVbZ2YNDmCPLjATsydBAAWoDwaIdI8w/ijg
Fu+YG9romRPx2gdfjqO3i8PtVCL4Pi7dYQo5yQyosy/Gyr7ApEKVit79sAqzmHpkPnsDb18R01dG
vii2oqWX/wADwoVePrwHyaOvLnNH4Ff0jsWKzPAKXDD9TjO5bG+G5LuVZYdlhfI7/QVBHWhlRPuX
rXWN5aX6zq3rCg5Uba6b9fWjn+JvnfKna9/H5YM9fccjmeNYRYkAjO3Aok7IRxq9p/Wxdr/RF5Qs
JJPHuwQiIL3jP219hf+lROhIAYe1I722YwixzVUekL++tRkrVVTK/qD3pkWNsnNQmFrvcggec3Ho
JX8AFr/ZA3DNqQPXHYOni3i+mRlKUYbt2ggR3QAuvXrEb7utbRwYHkOkmKwpRYbjQU7fIZHsAQZs
NO63UHKA8akl7xp5X8a70BwSIAyLuHen00DXY1mT2tpvASrZbmnYP4++tQ49vrPxRul7pPf1BF+w
em695xKBl/WUpytNAo/DJtfVRR36lMEf0NDiYZ8A/vS7S589ZiWaESuL3sE9Qvggv0ZYOwEfTACJ
oHacYzAr8Pn1sStvYvES008QsGXS7IaxGAqTs7XAMrVvezbkqSfpytsO3Se4UK+7nKJrBthpiUpp
148I4GOGM5uONzS/j9Bdsz0K89VMV9H81brvIFNrtLklnZZ0usrKh3EUKGuPyeqEnc71DGwvupn6
5j6srqpx2ZDodkgTYPqwGIPrLn4Joy+Dp2FKvod8VixbA7AJu7rqxQHYwBB9Q8/j3SbyjpQbw50D
ATLl3sFfGPL7NO6L6/y0OcksW+O+UsJ6ULPFpT3dQpZEc5BP+znDI3M3oggcWY74xIi2nNMXEdIu
JPltulMFZ1p+kfRUU1aRKpK1EGxemnXDoPNLb/Qi5f0ugz1nvJMkaig6Vkh05pt6/ObQjpcfFgat
qCe39BEC/oXbrPCCDGBDZe7D9q6Y95ITewC4Dn6w+9oS38SAvBEoPRGRyzMul7y5alAAWgAAgZH2
3THDmpwvhmX9HDmXnfxsrDdlnQbiMBLy7aTH5GXnvLU4Y2zUje3Jib8cMDJ9fm+1z8pyqXgB10g2
D9wuzF4LvgqP4MyoO7Xkw1qWeUlnwjaAZSbLUflgo2nScnSOwq3jPSclHIJzo9vd6D5nlkBcdir8
1669q8gqsV8LJDYB5XlD+BqatIEonXnlQVxNiCBxyxeCBJcHGadbF7qlH5wtPl5YQRRqW5cNJutv
AoEmimYXS0u+F6Y5tAUge964+GGVVvB6itDFmHBcWVI9HEfagNjTqxFJM14HQMf5uaYmF9F34tXK
7KwAcibJQ2K+VQ4qLvubGNaWFd3byBC5cm+DeGCMDr/gyByJhfdN2hkwLRcV/3UTP035qzLPfcNY
6OgylNMsZHJk3x3fJJ30HPQ+1g6qnYpD5bWfVQiQ+i2hcPtONxvEiKwMUC3nq34emMZUhy5lGrq3
TXhq3Xk/07mlKqXUfy15D5vpCLL9sLT5YSxuPA/zsHujC3lsLSDg7rHzEO4Am0+OnnpdefsJ9Dr0
Y416ddJ4h3xx06KGxY27EKaoS2aW/aejbyQWGOTpNJxQzWPxZf/DIdUAPQCD1utHK3zvBI4tjJgm
hsAx4QBuABTivF7FUP74rOA4jZE6irJ+KJ3oLSAxR9eCl2c1mqFtQkfgIBnXmhAkZsFBWeKPFxdt
b66ZchJvMZ2t2nrsBhrlBjdHtvo1Yj8+wb04RCTPOTHKYiApEHm/o9il9Mvhg9oFeNsykKzdciuZ
bdjEwEdsPdmY7Rp/NaURfTX5dnVdNqWAThmgZzHpE/oQQLzAoHJbbGJljt0qLyqi6BHNMnNTtB5u
jAPWqMMMpwHfeXtpS6B008o9sBgYb+rAPchAHTIdEGgWJD/Qdz1UJS+Q7rLw1Mv6aa6Ruhm6wne9
bIOTiOACz6Eh0L6a8q0V99VL0tUYtmbo7IhbZ85apo8/JoPdBCEVgJbZXI1GnSa3WvmHCwZryRfg
enzRFfkRrVwiaPC9PIWFdadUmB6DvK/PvUK0NrcFQlJpX5e1/6IdZwJZxCs35hUtttB3WMXhl0Mc
aG80f92LdPRfiEpmyKhGb+9PMnhG5sBgwe1AqE7MZCEg0r9R5yWH6o9OkvPcMt0YC8NOXrlq/TXv
xtLrL20rrDfKI35KjdjofeHc0OSlnlquM7wOxm04bYzzZcxBL8sFZhl96xoaiRFHq41o8FMzWDxW
WIm7xH53XVyUPfsHwgEq1GpjN8Lf5jWDmpLpR+7xyYq4H2nkQxfpgf75hKeAGUjL+VxoMJ2z/NQW
OnVgmWyzHV7xtnYPk5DusQmb4xSv0UTJWUoFiMhMWCs87qfOh5vJTV9imid4ffVpodiZEejPTs0M
D2fYvFIP2WpbJuSlBjzZ9GuWQcqQqoLSaPs+ORbkEmCQ0phWZqDxQZT8RI1LKjAprr18ECRxWgkk
5rgDYVaQsjYjKJc9zZPye+zphwHtX4QFYdsOw6Gr1I9iST/DmvkIfzcmOhP0k9Z6nyLsfR5DgqKz
37tutYdbXyIJf0Su9a2U4FAMR3vXus7I/erRCrSiAXhXXidefOoinriV3+Q6Aq0RkUbJGre4p46D
febpZ8Q7SB9Ncc18SzBhx9HT5Scch/tBUZbr8JiAB44T/NQks3l+i6mzPbuqPbi2/ZyPaCWR/yA+
i7dJA9ixw0Cx+HhL/OKG4hginJ/c5w0J5mn3FLfUS62BsQJx0GopYMRbFlgdaBQHN3oXKJfEYEdB
KxCHQc+j/QMmzYRBQ7aFHD9sN/b89zBFlvrlDH3dM1sD/e/aJGNlNsGPI4YGSJ6ulaWMIopyKDh0
lX5ZpGIfNl7JTtJZ9QJmie2Z0WzkVhkDrtaAUqKZQdAKeYmK4yNevzCqLHEblVoCBe7yAHThxi0K
45Ev2ULWYD9VTYUWlrz5hnYWW1qZ0fxa8lWE3Qge2wXAu4bIY+yyjcdIc2E2/THHFDo/bZSXhDio
pRUESHnWEAyvAf/ftTVgnLBXD/WgclhdeZIxs0L7G/QcGqx8rvT3KPARMtAEU1F9S607wBEtdZuy
NiggVOuQp+dRedvUszoKfuCiFA0dMwl6Isvi0A6iqyTYV8qBAeXlmOZDkW1rlcuRo0fIQf+6dYn+
BtWmBrfatH5ISsUYGe8s0zHJ2YVGZhTbVrs5LDocdBGZxYhrC0rSFDlj9tYaWszzprCjkvZYinwp
+Agk84h8h5nOo5cfkzXMzpT3cdarbZhNQUsYkQyQ5wL7CAkLKKNgkTVCwWF0j2AnS+oBFVTka2yU
ZiqY8+Ih74Sp0BlAsNU8lT+XWjjizUVvBXJH83ZT3jcCWS6wuTqSJUmqsh2D5x78iX4KCx1WMCED
n/7a4k9JTtkVWJLDlZeVfv8Tan9JDEfbiwGedt7pFEhLUVTOY1c2DW1hO62z8VvaIVhCLcfgDZkd
Mv0vk4IVJd+zjTrxI3REPYEvHpK+f3HoPomDw3u1WKuysQbjpYe0EMkOMOhMTmPjpT2FvDfltv5Y
El/0CWcOp4RCm1tBYTvnLLB1/jMrRlt7W3tQnBI8XU8iZXQjGjq5Ni+5vwr9rYoQN89xCn2d9mOn
n9Dihwotabf42hyiOc2MS+Okk3C+padLA8DXuPN0O7LLoXsuOrazMXaDaZ/VkSCYfpw7T5L+kKuA
NvAY+sy3LiI56eC1G5IYy53umjn+ipVOMKO27K39p4+mEqsZq0d3mgdrXt2srWkcRmptyOlwpyIM
HdFI3D3jSYVjki6hGIa0RbDBvDQWx67AUD6elbBKcrTmKFHMk3vLj0Ew5vBYUgE/3jUuyTB2Kxxr
35uqnJ4lhg7MtImXpH63Q1Ja0m1Nh9ZnRut0AfMnMU9L2qAEL7JggDwUdgPC6Zb5DNJEv3KiHX+3
Rh9FvdRMWjrfci+lA0nwOCVhwFPWdYi2CiZPXzTUo3h+Sk6MXdcMQPUaZPiMhJQw83Ou27C1Lou2
T4pp11pjqNtr25VZ7m/7KGxanDqZuxJBgznzqvdB9+ESw3pqa++74C+NytWx7dymOQxdMPW2fGwh
PRB0Bd2gdyJuYvHYiiDIgLI6qVdl96at7FbuLJwB/U+Hxn6fPxY+w8bih9daIVLbJK3MAk/fjgva
CV0U6+zdC7zUuQ7TyKtp8ZayQBo21higwd84pYfLf7ZUbtYw39bvn4N0TMV8SJtRmAmlSB0hPObE
MNAuq/D7eSzKVuXfBqbxxNnO64IQRcEzfJrcoaSaxXbGTStUt4wRwzbkLcjjJKxfEQh5/MM12sDh
OkD4gvSsS/dQXtRTaEvSkSaPEeh9ZEdkWMyLKhjGDQJAMssnoiUzm/V0GfW0/hCO5ZdFrxG8o7DT
ww/hZZKYT0XQ7PQyt1NFSK/pZkF91C914/zkgw6Xa+6NVyFZwjS+B/BYeleudNaGAeAR9u7ETpb0
EGWx417JqWFHr1nBsRgmPqVQ3VFe7Wgt6uTa8vTaBGwaY10NDGSXE3TjDpAh/+f5ceni7IFHHCeX
sWnk8KEcMS0nu4wz4FyRg1cJyLkf3M/0FBRSiM4pju7S5wamSFeY/uCFmQ0wLbOobdWSx8AWqy7y
abVOia4f8JFZAA51WdgxfbClqYcjmkjTgaVN8AzhkmfG8dx2RYul1ELyaHb0Sr1o63XNom32EJxx
b2apaJzyCru0F4SL0JtmxLwkP5XM8xHzUxzGzSOS4Jwm4hxYBEeFItX169h6MQdpnpFFG6QJlxGr
ZBYECFjCIhxjRkZIFI75RLQ57vFy4d2hhblK61RXcpYhyU1mCVcIljIbzilgmsAhznWgOQbXOWwD
xvOZ7U/XytDGPvNRVD5ji6HBwMvpGkkfB6tZzp9WPRAAHxrruUG0hz4vSfpFXVpekXoMHtIiS6Am
mSlEzjxNM4x7cAyg23ZhHNQMRyvwP7zS885jeAfIMoTup7OFgrE0cxVHCEZ0aOCM1CRSlJPygpZQ
dc+C15o3cR+jDymHDBJRxlj0MDma0XcuWcX2LiFc6qBxclgfE/sADbiRqfmhKwgIvLKiEhe+m7NP
bHUYI97URQXDUsGvCK4s4zEyt23dR58Gg3jP5CUagkNthWK+RI81tN9IEUnxdTVpAVQPF+OERMoV
AYuHxc58N6e5B3XJIQOUvlWZFrjQKpGScx11Xy4v9LVo69L5ioq24ZDVSJHTt3Flb/fwmnSZ72vP
xgdmJQhMmMhRgV0vBuLAXTu02rmsRmtkveCdrU+FW9feZR0uQUWDI3S6+UcQNMwnY3eZ6cYUXcjA
WVt8UU3QtQgM085rSAjpOMZa3lIk36ImL7pvfKplshlbdm4QGU4/3rBiz8kZDUWA5HKS03LVdXzj
zqSqcNt2CscrDpX+qWg8oD6pTidBFo+GRTZpPyZ7kOEPkbh9VPLuWXBdZXUep5Hc15xRVHTFXLTv
8AqWgMsRLKLL8VMZj2dXcki8mKSnomu7qJnQjHQrh10zMNDfe4FtfyWpy8ylIavZu3OCIDX3Di1W
1rulBl2nqqwjrZ1IrGjX2Xmj3pdYpBg+CjUO9/RfM3PIPaUQsSrVsTY1qUbQVlpmzE7A23pvJ/lY
vE0qK5bFcXJLyWtYwkysRSNA3s9pypnNdOIz8pvhazBlxx4bucQBOPNgwLkUo3PDzSS3nvCimiQo
Fvmt1Y2MTGaFzI70tcZKkGaMKX30FOwQrcLFojPndeCHZzT7JAVFhuBegWDrQo0L7tjMVugAZ7qj
84XxS4lyo3Nr3GVlNeq1N+onN57KJ7mp4EGT4tn53Ufaeh5TPthQayyHzjP6QE5iDrrukaNZjMWd
BxGLCYmCnxrvYYkXBqyOg2rqNoW/ciuqIPmOVQSuitslIVD6Op8RcwgSZCSy8bfab+Z7FWj8Vk6b
hmcVKBrdIQsKajVk+bR43bokUClUBK7XJSTuAFvtR9mKNNtMoiz493mYv1DFK2bMqO7TfYIn77st
AvlunAnPPjNlonbTeoxxlYQsVBAJRP8Bj0zD0MgjtKQzPaTXmYnqA2DE+jPOKvJ1ZFVE2OmauERh
hr0Qtr6X9CB1EHuS1ev5ESGb6GTjo+t4IDktowSYSSAKjw1ITlLrOgx1AJGAza3Hdd4CS7peRmNS
w2K0mtGatzOrDH9wO+ZQcty0y49Fa0p6jKzj827qHZJJOnzsxXYMFVHCYWMLNiRLY17k4kW4Kzhg
motYGAljHh+FvcPaCV51jmJGMu2YkEXvA4PA5KjsYqCF13RPk4VaapfnCiQ1Bh9p7VnNfX2VDMYe
N4kMC3OKQtl9weofChK/sZnhOJwlVRHvlcVO7SFFtSIECzCqinOVawUfGq4uyLgx9aMHDi8eGJts
cEEDl4K05dCTMFoQOylSKtMIBCGmRM420qY9up+HzK6/gVYqun1HBZa+8kIW7S32oiLeGs9a5SvR
lDdHbY1W8+6XI/Gpem7H6K3pezyzDgzx+CsLYf3ty95BsgPqbBYFURmQutI7AzONd35BsutpjisD
JhYn9Wt9BLc6Z88G/VXKvlX5w1XH1Go8TYFdJp9snxkvyTJDqEH1NkTMSjkRWMHVEPuICC5GaryB
Y2EDNY2GDpK/gQbZSuV25uVu4sSOjihe5gkKbsspfvClqO51o5RLwoCZkLabukeXniKcmzYl3CPG
Mk0e2RyuFTRpXvSoPQaweuKvymkLDgh1bJEbEFUEfRkvRjqf5hrVf1csVKTJYGUP41BZaMrm0kGz
JvQkbwmXUNMB8ln+kA6+UA+e2yGOBXcdvnMgXJrdwFTDO2aD54ffQkihZNp0tl0x14nqgnVhmoIk
ACrmlWN8GBDWQYXsG/+lNRRKt3CWlgLyclTmN6haaYrGGCRPTTY5FZ+5omEuewlPd6jzNL2sx0Z1
hxhByni0pyKNEPyGOZa0cF24lr4swJktVDoWw5a0NJusccdgV7HJRS8KTaDBwuflzGZTy1T9N3Qo
Lef2EG8HI5ipmTvUpJ5y9nTiPFC5nstw8z+COMZsWaHdxLm1ZQVlsvtZq0evXemR/YZCkbOY5jbw
YqVYq5r1jC8RZkQZOoWuo5Pf1FS2jMTtcoIGTdNmSZ9rvuMe/VYWoZdD7WC8afP3v/2f//d/P6f/
DH+Ud2U2h2Xxt6LP77DpdO1//V3+/W/VP/7b09d//d3nw3B9F7qw76OOEq62+d8/3x/iIuQfdv6D
Ux4KN3eG7hAr96a3LIKTZ0IWk3Dq9v/mpaTQyuXDlw7vAWqZXy/VhFOVEP/pbgJ7jq2neFI4NxuO
NtXHCIh//vHny5lf70wLIX3fKE7gUivgv7/f2dQOqHttJhmNDw7eOeTWc3pZ0GhpKCRvws7MF6ie
rbd//7LKto2g5eOg+vR+vUvOm0XSSVSErfOEOKi+bGK8si3/QpJUoCfRzClFxIjVeKLa/fnizm+P
86+b5jfWnucKH0Pab1cPcoIF45Im8Zg3Ca1iX1bX2C2YX3lpeTVK13r3aWq+cuycrlHs2A/e3Fa3
vc/cNuWMslHB5FFD5Oaag27x8Oe/nv/LI9Gub7uOK3kU2jOuL+z1kf3Ty4anYIoiH2953sjkPXRj
F6FnYS9EGIgouk6CbCz/l19kveH/fr//cUmPcCUXzZOjffXbD4Iam6aHj8S6t9NG7uq5qj5bVqvp
4s+39i+uIxSLjc0z59H//nIjhmwk7TvspU7SAdO2nSfD8fz456v8+nj/uhvXxQVmOy61onH1rz8g
y7YdlC7x0kqT8/nhzF5f/chGR2ePIkI2/uPfuRyLgwTHZWzl2lJILip+vZylpHDBJ6NsHkkFD8GQ
oxJr+k1cjNG/9Wr8dSnOuK5ttM+r4Yrf7qwFfuKMVbRi55NpX834IFvZcfqfUggcqs+u/nxrv60O
662x9q0GRiUdJdVvr6Jp2gQPJdPjuI/aSzePkNlFYYX6rsS30kOtNxG6+AFT/z0mcHH358v/+iX8
43aZuSrj87W6xnN+/WUTWdPsq4QDnigCHhZZY3w7UMtfMSTKrpCtzp9/vuCvb85fF9Q2jxJcHFdT
tvr1gmEJvovKG7DxUNX7kpPI2U1NvBM6Wf7dLUVq6UvHM0rx5Um53vs/feWqijP61UnJ8aSN7vOS
cBsqBf/YRJ718ue7+h8/o2+D+2JqyIKihDC/vaBDNcYmxT60RfGFIF1F4I63He2qGgBdNsdHNU7I
S/980f/xU64XNazuWrhSGv3bs+uHgIEhGGDG1LXjX5o5BcOXhBqoGcr30L/88+X+1T26LCzCKBZO
4f725KrOH3AfE2eRobkgoslONBa9Ms9Xwyxtk1aSNVOiEfrzZf/VXXIyEA43aoQyv11WqJnuUjFw
yGwG4Cd9irA96QvJuDKLgu2fL7b+Yf+9SvN28pPiTGDtZKe2Wap/fWUif1yseiTJ0EtHcaATABFZ
Y1NVQUcklKxoG8hBjf/LVdc15feroq/nJqWttfDXn+CfXlSrHxV5EPyyKXO5W0HHGxkPwzbAHfZl
PgjzE3JCeGWpPvn48/3+qyv/84/72ydiSRnOQjDdjKhmCXw2GEDnjk77EozpfY7N8dTXKUeVsYuk
+l++z3/1Y2tXS1s4tqP5eH697XKOxpL2dbzNxwEw+qqcj/KELu8w+9dTJD/FAkb1zzf8+8HkryfM
ScxVnu0ZT8vfvlRaSNWYuC699UKcXVyp22Virlhhsdpg5UcEQev6shOWujOWGq88Os/0OiXzYUvj
mKd+ue9XvXSnCcX981/uX31hmnVKO2xmnIV/+0GgLsMiaWIw400D/Mr9/5ydR3PkSJqm/8pY3dEL
h0OazcwhFCOok5lMdYGlYEJrjV+/j7N6xhhgWMTWTl+mO7PKAy4/8QqZTncTpKJbo2vRW4x6JJTO
j3hi/SFKcQtbdJZdV19EJXBsrRLz1ArZM4Do1BE8Bwp4SIu6+9VWDjpafe6HwRqDFbP8DtYYStf5
X3Acr7yeOIMogowREhDi8IvoOA9GlEbaNkNRrEHfqzKze7DNtPb+8TCmetBt0+Gx1Y3Fh5ZGWKNT
SW0piFv9lkqSs++5US8cZLVAi4NsC64N0/NU8LB8cXx4d9CJO1RWowyvKFH7QBdCAx6FP/8+/0Hv
Dw80FeGAwzINSjByMW+9KMYRXSZeGXQ1WKdhpAsBdnLGXGAtqhxbp3XUDDC8N1pPIeLC2X2/VRne
YuVMgXMwWh7HZzeSekdEFiAzzMXRH2Qh8/G7rp5G4FWTJg3420Zy6aI8NSpfDcidZ8ghbjoedRBB
kAx0OlAIk0Z1h11mEX5DrX4O7tMuyuKrui8c4/78TC8GdQ0kxwzSGJ1Yjf/Yi5meDeBDOfC2lR3U
05U0R2MT+ajSa37XPSDs5124ok6Px06VrjTU4h5/JJbvhqCKBHME3gpAI5t+NKs99+j0F/S7IhjR
579wsW3//kI0d1UAqvqY6he9eX8ianUehgt4qScZmWmAGNXk9OUhmJzywgkRarbeHJF3Yy2ec60z
3KxtGQv2vnghYS5AzFN/KHtL31owG6+aYEw2I3Q71T8z8kMCPePCFAs1h+9+BVkgdTv2EWny8Re7
RWP2icRt2egSyHR++6eQKUTfEqUkKlG/apjQf3wdS4U8EPo+btBoTV2zu3CK1H598zN4jKRN3RRq
qusw+8vHaA4scBywTTdZD3hgTT10OAgYAsk/vv0oqDCXngl4DEiS2gBvFhj7WhLTpseJrJ2zz+DI
uh3VsuJCKrPYRuprXEmO5qqolJthcSekZalV8LZ4z1GWQu9c8wHZ+0gO0R+7MHGLoV53kXC4ag1E
3Hk+jOMPSqnwaJXaRX5t1YcgsdpbKjAAijBh/nD+cCwu2r83LGGZSYRCpLJ8oGyqUHmegZ4whG9+
15PA39d9B9rbcKdvRjwaHxIP5u6FFROLrfH3sC49dwQ8Sc+WF+wAPcgQIXh6FwsWO/R3IyKqK9Kc
kSSmuXFGWDNCbNAPwT++83Czh88wuiNWKmF/I9zm6fw0nJpx5lpI0+bqZd6PZ7yHCQXTLccuNgPi
VfRxeeNBov6i8z9fqFydugBBjvDdFu8bWnKLoabKoruG3pOpNe63tBkRoWpNR9KeRfAeUIsmPX93
/vNOrTIvKSGhZGhjGQjFIpyCYABBHFcJLexWpJiBN/oIOK9IiroFzW9WNJmyBqTPPx+at5QpdYRH
Rre4i0yZMg09+Dq/s6h6TtAgqI01s4X6Vekh2kPRFJU53fHtC6fo1Ec7OgUwl2KYQ6h9PNFhktsl
sTDIvlp0v2KChU+0xuQV5ipQe8zitwfc68s//lrqbgY4KsMgfHm9md9cRZmtp4XmgGsbsfWOb2o9
9bOrOkBJfo09R45lCpbXw5xjcfn/MTDVKtPwbCpIy9jBrKjFmwYDE6oY17Mcvxp18WQDO956Lgrv
HO+r8yOeeusYzLSliq9Vkn48v7mRavZEAQJuaeHhIuMHeLigs4TO4FTl4nGGa/knpEstAEUnsbkm
0OuyKzCc1PjP/5YTZ0qifMpxoh6i28szZZkjAhVWyPEVKF6sEkTnmnVKZNfSmzXFS57VvLfnxzxx
hVEkNMjZeduI8BdXhtZkGsS4jBZS1sFoSxKvK65CRyJbdn6gRRbDXWnqlkV8TwhjM0eLE1RHPQdr
inPM+grjFoL2Y+DTkDbJbBGPiP3vXlpaaNHi/XF+4PdfyMDEvyDaqE+6rjxeYANtIL2Z6MunnR5/
DIHxbjXEGX+eH+XEPuJOIuazWTheveXdm6BtHgWN0otFG/kqBRf6wXArTA9ixEv6tCmvnKjX9mVL
CQZAW46n2sVi2olPFQTCnvpgHSekxWKiUt6lZchvSLEsQ0HfEiEPfeK38sKuec1y3wRFajV51UlH
baCK0lxuVRcYSVB7QA+EPTSbmlbQrtR8xKxziuV9iKU7oCmlgp5sqhJMNIwGY+2MnjykBHW70Cnj
nU//DMCp+dmln/hImw280oAYqyes+LpDbSDIC2eLQkeGHMqYbuwOJybNcR7AFt3AYnmuWvOjVoK9
wwoMzQ4cLTUn+DPlFXgsB+pznmggoZJeGRl9ziIbC1gNMF6SC+CEiP/NUdBfl+rswzmgIzwmP+Ou
/BgXw0/h4DQGYgl5IcxaJXKS6Sif+zGEnm6j2dk+RjJ7aVJvl+QJPNnKWBvW3KyiWP/QhfVj0lhf
6ODGm1peeuTf3xLEbTQPDGmTwFLrO97PczuksnBQQB0S1Lg3utfNkHixo0OsLY1oL7ulNbsXTu/7
yIL15oqUdEV4ee1F2DiRZPpeCB5K+DlqxNUYVVvMQka8M5Mg/Hj+LL3/QpPoRef6Vz1G4tTjL8za
EduKlMe21CP/qmtDcVdLPb7Cvj2/wQGqP5wf79THOZ7JBei+lk0XN8RkIhCU9OgT6GLKt06pWyua
1sCOQLldeG5OD0VBzXF5y01r8WmldEGYuR6Bat/ipTJhGIl06Pgh7OAfnf8qceLGJWgwqOJT7yBe
WtwG4N7pYkvOKJyO9iaMcWaQmIDuUmXB5UXJeIV6AVpJ8/TVCeHOeLXXXlkqRNUtGEOzXZubUeJ4
iSmKfT2Y058oDJBC90r7QnR14t4yaAPwBmHaQVltsQDzoIPdsxLOYd30B7PIOghRdnxhW712oJaX
FvUz11KlAtdw1L57E9a0gd1A5iV+BLw/4dZbEBDc8ZdRBJ87wCKrWqvKHo8Up6mvknKGodfbdIYh
mUd41JcxfRj8IW39wttxar+T9lnqBebtWOZk3kyJpAJ/s2psd1wDdvO3Hiq4eJRRRek7M7w7vzNO
TTcMJdIEVWd711vvPD+KbWAg8MsQdFj3eRYBEwdb2P3zW4O2jmfTdVF5wjID9GBRgWqGTiYq/Kdw
f/+kAVPfDLFj7c5/0okpJP8izaTx6KnyyPHS9mPg6BpwRcjhff2i1QUOAw1AzLz3dcg9VfDp/Hgn
zrHjGSaFJvqsdARU1P5mK1H8HFNkPJGy1Qf5QMIuvnQtiMjQsccLQ51YLdoNCphgCC7818DjzVBJ
0CN4X4A3dnIPHejJ8nJt584mL+L5bzo5EMdQlSE8Ujv1528G8roYeFnLHHI4pmYTpjEcfmNqu+bC
fStUh2ZxEClC0IWTZKuus8ybYy+FsVnqHMR+jpI14EFq+nhstFsToNg2lEZ2Pw6Fs3HCONwn3fgq
wFx9mvu8vSoLS0N/I0KAxp8hGMWBTJ8SL+sgFFMXWnH5yse0KLPpQtCj1vTdr3aBS1hU3yjpLubH
SNGrmasBLYEY0w08DPKPMSDrTZUZ3gMsPeDmmm5cKvudGpVCKseV1Wdc43hVyBRsTBDQrwkn4Lro
2E1fm9b82oxoHpVG7K0DuAxfmozcRSuzJ/UcwwMZPep0KAABq0ReChzXxpfueK2icAzBvH5LGjtu
O7dwd4WFZFdgpXRBO4zAqyrHTrFyvsMVggcBDBydYYRKu3j4KvooRIIyuDZHYSkwlL3KJdq8qV5i
GZQKrKdCsbb08CbROvwr5Evp+biaundd7f2p3ETfdCCsbkojc2/wPvpa9oni01fInSOPEuiTtR51
I7vLoaRcNWZy7U1o0Bp6Haz12RLrqgH4eH7XnzjJ5JpUjihRkWQbi5PsYsbYzTYKEWCb/EM4sFth
uMbl5yqKEVU6P9iJmiZNHM9RKQKQI3OZjAQNGVLLlchVH3Lzgr1GFI+wZK+StAOqf9Eel1M4hEK2
AOpC5ns2gLusOyTMLpz391/OvQU3hNSX/oD5ekrfnPdxEkNSOKBWqUrGt4C1gbzCjN5ZySgvXM8n
nl7SPs4OGdhrar+ol1fgmhoN+3IqCv00rXBM+IlyHo5GdYc+asD/YpkU7wGsr2x/Gj+h/gyYDVu7
dSDm6tP5VXj/4WShFHVVORcMyTJ5Kc26qcMSIlDn2C1aN1WIkLdAuj5G38O2/3FrggohMRiPBZAV
qirHB7g05sS2I3TwVfr9vZVBt6d9iP2DmLEyhg2slIzOf+D7yI8PtImlKPQKmxfqeMjao/bZoRUC
e7WBZVdVKINNGayKmLwIA46p22Vswoe6Q97p/NDvrysVwJEhMLJ0+b/joU17cuc+wKE15mWMNyAd
u80Y9uHB13kO7lGAn8XnavCs5/PjSvF+ZMalC0TCAIAXUu/xyNjAAf2tNY6WBQUZXeOrSWvQOV3T
t+a/48FeZF/y8msm8TJrf0PdWo19uNECvJ4dVFWwowOxNE/rNHmgsLjSagMdhU3vIu8xrBq0N6T2
qUZuZJ5bfEfWVfAdLDSPgb7uAmTZ06dufnQLfVePSL7nyRZWBflrCuS0PEjEJtHlQD4fTckKHJHY
IRigR3uIG+vMvm/FiERThGmIdetiUB94txpy5R4kMGuTh8AMbDz4IJgrSwmE7tBgdBVzCM3TGiOI
0kb7ckQU3HfT26GLq+ssHL9pxP4BLu3eIY1qhZXiwv8ewJWp/RGjVbgdnfUFY5ih3TnhnoSHHES8
diZvE4h64sHtkMTxzc0MbwiT+nWBigiS1ub0yXfxV3gOIeZzXU7WZ1gXKO88mz2saHyvMqgHn1Ks
WmlLl8ZT14G/d64HjKOHSq6q+QFHGngTK0fcJ5iYFFD5xme8IIqwRk4JSDleYg7AkRA6tuv/mrES
lvYfvPhmeY831YzlbcjFkaAkwUMxl78s2jFJ+yPpKBZuPTTWswSQL/7wrY67e/6l9apr00OSJ0ke
KDKuBNJkc3LXY5LXZbsc/gu4W9PZUryBv3GdYNzrfWssd8XSovgD8hB/Xq1DCsbYG9K/7rQrM90l
nYBmels5aCLu0LQK/eZ+TK8GRBWS+k7ZLsZc78Dfi+AZ0VW8pcT8MOgfh+oGPQPd+1kgmJZcoc2I
vEt3HeL40PY3RvkhwIsQmWlRPI0mKlb9o99fBV67hbCHT8KjidR5ESK0p30zZpxMPxs1KnnJx2j4
gWkSPhoIWghkp4aXYH4u2lsDnDKYYBLO9tpOnjC4sdIPRrLrcY8vCSqaCAeL6vvIk1THP2tablWL
EUcU4URx6FEQwt4I2PtcIkrsQWCcETFXGO/70jw4abIOocei/0z9wUZWC2Wd9rvV3SPnn6GSEkGn
HKdvs/dS9ARMH1MAz0mSH1CvEf6Dm363EE0ucywD4Thblvac5wWKRuCb0YvmLbpGvnJfIsvZ2is/
xoimi3elfd17H0KUBHCagA6IYMVkQg/A6zDt9gimwrO3tnWnb1IKma39mOiIYGXuHahi/oh4Izd3
cc8q2VvPfzCKDYwCaLMo3/40/PERdvlW1HsKRQnEOBu1tPO31akXyCErov9GUYVuzfFdFWlRHboV
d9VUGdEupX2CfCqkrtjRyv35oVRUehy1ciFL7kTeOwoqy0xFTj0GhhFSR1k/oNiTR8NGeL174ZF7
Pwr9WcInIlVgWZaxeHG0GiptGtBhK4xoug20BIFgoHYX0G3vp02BpXUAn2STtEkXj0sDia/XC0qE
kY8Jb4fB077M4GZkfnMpGToRsfCcUCcg4QJ7474+N2+iI8tIJ73wfRpco/87j8dfPsu5JR188jTt
o+KUTW52J0cYx2konucC9Ra7vlAYef+Q8yMoSwkQZ7TAlwVdq5zjKBfsk4yE5lB7Y7x32hGt1zSv
f6B7ANGrjnvEXAd0Js7vG6GKLscbh7HpeSn4Pc/qMogYrThoMIskeR+tWzNMIZPItWk2d4UpcRx2
2mRrwxP+7fpWcBs2DS4SOO3OoFFXfVL1F6pZagMtfo2wpepbsyBUExYnRoeH6vhYTq7MDmuMsDOH
j3Ms7cdxxP29AQ134YSe2NA0GEFaUKYDLLQ8oW7kN+NcoLmIwCdc0XAavVsUcr1L7b0TW5pgiWaX
ipdU7+D4JjDk0NUQlBThNUUjcmzjD8J3Y4R4/PjCJ50IkADxQdGjCUNvYNlco45hWvU8Y06Qids5
hPyMylM5b8YIdSWMwPJb1A7aC6HoqXNE3YKGD1g+NpO3uBlkYRto0+hYDOHy7rnGh3CAqSQa+8ZR
XsRjhRTr/HOuKn9rFWh4EmpUKOFc2Mwnvx2wnqtTH6JxoZb7zWmerTob8oBvL+opuI66aj6MTo7N
3lhjZg5wlxexaa68KqlxyzMxddT95EmQzEG78gLiIttUzoOobMw9z2A1YZxgY8/2z9cImInBT1Qd
bipax78Tgz+bVjp6mzk1foSxx1H/BmLffNbdEWVkGMkYCmZ1GOoX1unEfudQAaxloSRXzmKZLArg
Qw9rFHhCmO+FX8N8rYPgQuXnxH0GAIXpRKSQYoa3WAYo2F6HMXvFnKbtc5iGxl1viQboLpJumGEP
OwhG4Q6v1EtYjUsjq3P4ZgMgFy9jO2BkqejUdTaG95WPQxjkY7mP4ZncQ9p09n7jdRdm9sTWQ+HW
cyzYAyrbXjxaVCWprLWScLQR7se8nM3HbByVtVYw3lROQ8oLRtrant/x70tsoLBVRZTDB5FqeXvH
c2nDSAvwUreyZ1Qf7jBd+tIB2tjUSJxbmvONSpazKU3z4fzAJ0octK8JBATJJ9nuEqhGNarQw46g
sbRLB1l55PPkSst8/dH0s+rJqkX7syhFjKyJj/sK4q55gkcSfg4Yj3uxd2H6312wMLuYCMRjECIz
0X85XvihF4j7aiHUutiqHwuw8cgz+qqbaCRX5z9dnZGjN4rYhzYZgZ3FpAMOPh6q06NGbx2vBqoh
Z2TgTJ2CRzzVeALFVs7FNs5heCHwer+7XGGR4YPNNSnZLkk+HaKkEcEDDLKoJaKuRp1LDJXgKWiv
dDShm008trhsnv/Sd6NSWqByIuCHQpQCMHr8pdQdcW0WmdI6pu6Kbo+NlhO0c83HyBMibrNCKudS
RPL+CB9/6mJQt/NCLarwt2lnX79xlZqdX9+7GuKSNMC6h7HpcEmTTnrhKJ14wlxVIAMyLHUbmMii
PYUqnRYXTovWfwJwVUaonnuiCq8RtscYDrLpdrDS6LvM+mkN084FiW22azk6zaYY2vzCz3k394SD
3KEGLxkoEc9aTEONXjLVNKiKKTJDG92v0m1b6SCIIZSCdPsUdHZ14fl89zhQqgSIAdsKUpDLXjte
bqcLkMGo8VKoocIG2y6146cuzfv0wgE6PQ4gQASQwIos+4DcDI6gJIxnA4Gn+IBwi4Y5NbKP1YUO
2Hu0Bl/kCM4NaBtgTssORADB17UHBO9j3W92zVTUOP/1ya/ClvFNYiOu2VkREqzThDGljdbwkCMo
ef4Qvb8p1Y8AYEU0JhWbZfHmerECYppMayWaAQUyOcDgzpEwnqFVZlRKEZ7tzTVnCreNWdkY2T29
jwHs8YXo+vR88DCbCmSmw8M6XmFCbqNxwRfBIbEl1ruzhgc84gNBG8pt0SN/huI93lph3O5p9Jmf
s5HCxYX5eJdxKBIu+YYifQr22eKlrMqum32Du8z3jc9WNca3TWk0T/VNV07DAZEyCcx47SRGvUWe
TSAqqXfrJJwyTP8udvhOTQn4FsVBAYkFsHRRsmbqtcYpbYS40WA2164cnpK8fzbjOYTZbruPQTlR
uOaKTD/wLcj+ihHFmf3rpPyfI85188rB/lWUUx1h3bf4r//9UL7kH9v65aW9+1H+p/pH//evHv+D
/30X/aqLpvjTLv/W0T/Ev//f429+tD+O/ss2p8cwfehe6unppenS9n/Y4epv/r/+4X+8vP5bPk3l
y3/99avochS/nl4CZCr++vcfKTq5yXb/X/K5+tf/+8/uf2T8Y2vEIV6Wf/3lR9P+11+abf+LG4Ky
CdwgwPckx3/9x/Dy+kcEWv8yCS4JYkGOg9ZmkBzoZ8g/Jpx/8SfwV9if9B5VJQQTj9c/sux/8Xc9
lhskHEmfbv/1Px/++PcL//eanKbJLx4q2wQQDMuQmgt2RgDXF4fJiQPDqgaHQtQU2l/Czi/dVZ7o
OUZ34EqyTRRaeOERgm7bHGukC2+z+re/iUJscij6GioUcAjmKcocH2VzjK04RXjs4AMnPyR+aGwr
KPMfRdg4l06suviPxwJtxrvI8whx592XNlYnqVG03SEbitC695E3fpx5tpBU9m07W+uTHX8qKBp1
17FfWNNeDyrktUo9S+rdm+3x70U4p02A6g2voie4vmyVPy3eqDYuINKPbUC50GwUpj387GTYAKCK
E1wIcdkoy6+Gjk4ji92mSIiLF9hDhACbrLxXApvAZnyMBaLBC1+YYbmJSlyk0eBwL5SClq8F6wqZ
2+WKFFBAPKiPx+uatKkdoVqBCycXMBVYJx//BL1LcC2mFqiKcMsIM6ApfoS+oZyjxVB87yygEDts
fqj/np/v15R5sfY4wL6ydy1Qh/rifmzstgUb240HByyBi31TFN3XrZajluXXWupsZA14WDlCZTd1
ij7KvXrdO4r2ZjJ9MKO2vXfHUNaYReLpg/rzYH4taWbn3ywS67XedxBbgtLt/Z8EfX7yGBkTqjWB
UUaPeMmKfFvZweiB+EC4ZYPtc4CZSmJ10caq4rDfGiWC4VldIL1TVzPGx6lS0tokfuWmyANDESWf
N+Fj9UOe0SUKBS2eGEWm32E3FekV4Pbwa1cYJuotmZf9sUokV/OESn+Wznv4eA+mMz3h1tCkKyKX
ZI+alxeu+rYPjIc4RMYSsR+S6QNiPibqyZS+RRbHs4JlIsHiKqPkB3Svim4XwWpC0mlO9WQrvcr/
BMsWsXDHqLN0g8eqbn48v3iLHczVyUNPOUQCiKXnLRcR7WTMeN92OLpqRkZvwyx7ZDdpUSGiFF7Z
WohNQQJ76h8N+rqBFYOee0Ix75a977aqotmr5/FgiVp+Bo0FjrDB7DmOYpQPnVFez2XlXtimy7uY
U2OR9AGEo/OsOJvHpwZxUqSRklY/FMiuZTu4Y6555bdR769TSdYd6JUEgSJmqmEoyZm/zn/z+8uY
oMqG/U3sDMBg2fydg3DG+Qifr17z++us78KPjRDRx3Fq/fX5oZZpippfywFBxohUkOApH3+qZpuJ
OdnmfDBKNzFWxuDZOCq5zfOUcg8fDBkX1xVXdkVYhTsTPNrcX4cTuK9VWZSug0hRmF8SGTk1/zCn
wBO9PkmvVeY3dReZUd0e0no+oHnUfpBT6e3HNKVoDqJOvnhtEKYrOZaDu4XC7L+cnxJT3YmLOwro
GXudyiq41SUdnhCSx0u35gNO0BJhlXbGSSz1QGIjvTGrarI25OFaloP/J2spAWIMp/lIxU9R/FwB
ecXXIuwQQm8tABhrE2k3jdK3MjAsK9/9JkfLfakyiYdA3AgsoTENJCb0jN7BS0vLkJJtI0wUty3q
JSgJI6sJfAjYMaZ4hT9fY3CEyipahwGw3cLm/xdO1WVo2mq+v+1qg8JwjuIorpI9au2Zkbu4H2t6
glLxFNn3Qzu09DdRYHlGCapS/gOwGC4coVMbS0FVyctIlAC7qVl+u4ZozCHy3XUHjxKHeyPxRAa4
7fCctwgmtlsKD56+kt7IBUrP3Uwwm2rSJlTiif0nLRcz3f/e+Hl+cdUru1xbHnvwalLy65aqGLQB
UaUMULwcGoS0wO5mzq7p91HpogA8Pmmth1er+IFacXFh5GVqoE4aRGwaUUA6eIzdxaUyhuWUJaHT
HzJHWHsrM6vfVE/xwc503SpAR/fInFHJtqz7tIyBSqkgSiA4aUp/f34WDHVVv5kGRZGnFYYQAmI5
Okj8xakv0wzaSupk+yqubsWUHlDDejJ9BRXTa5yOxuGGV7LZtIlHN9wqPzWxf4+8zabQuyuKSrTe
9ebQ4RzdOsgkG5hd5PF8GwQVDlPe9RToxTpqL10L3uJe+Ptn84yZUKpUV2Cxp0wsRtvUN7I9yr0H
NIJvaZN+RL8U7TfHiVZhqwHMQUpaq5FCBAa4jmhariuzuU4LmsBoRypvWuu6cRCXS1oEqsW4Gip9
RjMgcVeaVtyGYt4LK9h7Ke5ysX0jI+fn5MnnwJcIg1vm3rOy267UbhnwZrCH69iy9OsBLycbhOWA
0vp6wp4ehx6SwNFoYWZOnWpL2zvHTrFCzfZBZjxaNT5saZUW65LLF0N6HN9TQeBpyD+hL8z70uJG
cebA3KCzCKzMhecwuR8BW34AC/5BL3WImGPi3RrR+FBK/QtxZHVlDpTSjBjXwjlz/uBv8Fh2SGCH
aMSv5GTgWJkfcr99Aue4D40h2rdeU/HxaNYncQ+FyXVp6o/Dz9rzb8N6+lbhh5XOxTfZlBunQNO9
GW96mSPsBHjFz+4KGUKXRgGabjEuRN5DXVkfIl18dYz4yk2DCxt3UeshBFFsV4h8Jjgh1TQ+vlTQ
20LHhvTpULWj+x3BVD3bG3Vrjf80L0CpQQcBT6EHzLNcCrB4RiUR8E68Q51X43dmy16ZSRbgQWDq
xfOFw6hi3qPDyGCMRpVQpSLvGFzTjEAZalneAR3IOFl345TeD2N5XWvIVaJK+gvgDyp7PnIfz16n
7JWapP1ZQZjBmS0e8GROURv81Q+hFV+JEJkz8FPddRbo7fCkWYH3JNKMulBo2yAuZ6+Zn85/gbot
lh9ARQq6AFET87U4lk5sNpMV6lyduux/xnqoAHnxPHz1M/RCV+cHe3cHMFuUywlYKC2iNaS2yJt3
JRXRMHjSdA9gqZEYKjIA75gHDNo+y435F8qIEA4rLRY99lC4zJ0f/dSnKuY+RU2+lbjveHSarNGA
Bw4yk3aQ3MUW0np5VOBD5ltyulClf7/ZqWjRG2DDkzY6cnFJo5qvQUcwzIPAV/MbjItmXNVBi//L
+W96bdMdr59HQ4WXwKLMQUNgkQV7ykTVG3P74CQimbGeoVaA2P7k95s6Tu1xLarAJPZGIWWdSFhL
rtGkj4McHO3TGCMmuRojKUEQ+3WerbJRmdc1mVJS0ZO5uRAcv19/fizLTlkfCTJe0+MVwIuBKkGP
pRrOQM0VnTexzmMs0qJ60Ha9WfIC4HR6ZSSkuxfmaVG4cAAIUnOFKo4SlFp99aq+2Xp+H1vNYAT2
wXRbcEVdbMsfpQ4bEvuZMMGQFTFt8IEpHpF7EE4Y7sUEc7ReUfi+BEelJHV85tRvAQvM5kBnx3tl
mb/5Lbnss8wyO//guxTAN1kKpKxph9LZVnWZPishhsfzn//KKDnaJgwJx0pnRxIbv0vF/KnRvXj0
7MMssQy4FjNyrRpOkQk3Y70hlMI0rEH5+KrjGeSxTKcKkGEpa7mj1NnjP1kGdH/6qjOcnx7SQOKz
1vbad6seSoCMfTRhxKG3o/5TRI7Aobcs4nFvJv6MGXSZHGanwrhOJMi+2/acynttdIdki/UCaUiX
zvi+tUYnPjr4CqBuG3h69MFG/hhOVt3hc+RYrgaBR2Shvzb9RFjfG6PoEIYPi/BXTWY9bpLcSpQf
VtlUqDNP1kNEzRAXEy3CBU43iqm78nAGBp0qLCqqPEATWosX5nmxskrXjBuGrjqFRS64xQb3UTLG
OSfOrvMytX60OgNuMCu2igvb2Xj37rCenCGlYknpk110vJ0pqITmONU4Uw2lG65rJ5ofoTQKY0WW
Mvkrr3DDO7K+aZ/73fwF+b/mtzV2GAokZlN8SbUk2Y3pmL84INCfSVDsL3XYxk8OSdlHFwQUwpTZ
zL/H67PmE40C7yIy/jU9Xe5JDqM6kOqlXh5JHaFrRJ86tBESHShlO7nXjWknq3FoBljDXjb1a3Tb
k991WlkzHOmwNFaGYYANRee4tDf5JI17PO/z33EY29+0AeHjjRkgFb2WLcpd+Kr5aOKarlf9sIfe
fYhRsnbhoGgNFsioxSQb7lSEPilHDe5O07ssvtGcVtxnNRSPVaOFiFcXhYl9rky1JlqbyThd9VGb
gFc3OrlPdRctz7aYfBCGbekNa90ZgebKCsvQ0Qh7OO2BBsRHJ9jK17GsHXSoddE/IqJRUzDzZiSs
kOQ3VtRnjBfE6QJ8YQOv+maIbsr3seP5pKuNKqIaVuzj2QV4dBXEybzTuwYPwDE25XTFjlawKFqT
yV0CkSPA5kROXyCa6S+yzMRdbjWOh9NU5fwq6tCTq3xsm7uuQax9o/Es49yZ+F29b/psLtboxnaf
ULPt0FybXNJM3GfkFRWk+QaOQuZsZqufmoPZxdhwSnMqtnIYjQc9HrIR4/cYVe+hljUmol3IilKC
n/5o0vcwsyxbPgUVfeM3vyW7SUYTg9nOcYnM5z75o+wY5m1uxdXjhLrFC3rIZbVGSx9fHsg/Wb8d
ItGk26ZKFA03NbIvRdjXd7lmguZHoYF0Bh8QAKFmrIV3kHXHZFdIt0h3Qayl2kqgLUP4rufpR01Q
xUZ5AKWBlXSxgqTzA1wDq5K4CiHyDqiBa6LN0d7ve+9ad8rQXrtt0PyyZSnp8Wty+PrPLhD1TMGg
U/ErECr6z8fn2nabKaOWqx0IimzzMOIhFMCja6fgwk31TnLtdSQGoJYvaKwYxvFIKRwYqiW6T5tN
Q5Dd6r0UCDwnr8NxyBg9dKPSFCuiGWOR1eBilLrjwuvdlZ3047ClvELdFuMWb40+vcKE910AITkL
g0sqCe/iNuaELo6qX0LcgcRx/EtHPGzmoAMYDshE26HLYW2QJG52nZCXaCvLMim5PbBLqh5UGZD+
WzJoh8EpcamZg+uidEJnBdYi/iz6sS+u/CGG9x5bPfI2RqHnF1hfpwYG9ElDiguMhGKx7jCyZFQk
k3OIWK2DbWgCk9rYPiR2PX7RkSL8gOG1dji/2ZZlDaVtCg0XohFKo7r5XmjO1LrIj10s3YrEvJ4F
u6EMveh2KIFzGr2onFWBVdzKC+E8erDjuS8H7cJOXEZDyx+xCJWl8nCJnCo/uLUP7ymHYZdAMJu0
GTO1IfsTJGlebc9/+bu3h0GVfhi8LJeNBUPweE8BSbfmBC7WdZB22Rq98ngTa/MT0tM/Sb1uEgkD
pKvHuzJqbin99DTumr2l4XWniz+pPx8ax2lxUAIZXxXNfhYYi1HCexxUJo7qaLKtSxc73tL0aBDh
e5oo55nzH3F6+UCSomsHXvkdt6xCWqSswDMe+B2k8dE4UYvSwnb4wmA4cXZJHIh1G5PsrzFdMsKV
iKVF4TANtAuR/RI8rLaS0gEGNUNURWlq0RzybWyw2Ky4n6SINogUUf4wMVAzqUrjwfZh0bQucPtY
K5FI8Id+7/ih2Hkm3nNGmiE8mzXRhULAiY1FXkSjkr4s8cXy3uhHKxjSIvMO+ZA7wZoyGYCsyJ25
2WOLsExvPpxfkGXSp+YATrfqOaPwDYTgeFPZwhc+qWVKDc0svvd4sUDhsaxuvLR7T32ZQp4Bx3K5
FZdIBc136bcVIZGTG8z3NL+LZI2Z3CTW5Zzr97pVTcM2mkf3sxGF3nfQFaO79mYrwnhj9ADBJHg/
oeWvDfV1gSWYu5rtEsiHHepzspt1PYg+iySUzzqZ5M8qz+JpF/WRcRgcJ0fZykesAYqI3f3E+S+B
ABq69qUQV03W2+hQTaaCyfBOgaWkoXI8mRGaCSiUacl17HbNeqKwvCpdWpu0coy1N4YUDtzW5JbU
xdX5ZVy+N4ysNOhxjUMEWqkHHI+sZdrsZno+HmZMFpxbiLIOXT5shwjVEmAK6/PDnVjMt8N5i5Pj
uYOJ/YNoDgG+ZAe9dCwcaVtEC5DDdLcjIeyFxvKJbUrArVBIKEQq5Zjj75Oj71a+HUXXtW0Ovzqs
tfAPrmuvvrBNl20EdSfQCeI6cJhRxUs8HggeJpopfasdmkwPP+UIZ0G306vPaTWNv2bhwlDy44rt
JEj8RdSt0ywa/y9n57FbN9K16ysiwBymDDspS7YVJoQl28yZRRZ59eeh/8mnbcMbfYAedaPFTbJY
tda73rCzZoLepqlcvv7n58zngqMpOxTqauvs18AqM+uhMfLTODnKemorSBV+I2zz3ihiu7kioy3N
L2zRf75b7Ezo06BnMDT4Y25gTpqRZlonadMqdF69u0Rs5MqNibdwaC/C/I8Ql7Xx2zZfE0AFgNZz
17ItssJN1T47IXYlDISSbO9U+Psvg4Ow+D8+z99cOoBLSBEwFM9bUHxGkUy0DmDetG7hUUmmEUGo
1zPGOpylL2mlJ96FvveP57ldE4dyMAcVEsm5eZXqgOmCVIkjesHqjpHqlAaWgNi362xT3NWZ2QwX
HunfLglSB0MIERIq07NlQ/vBtLdJ1SN+/XOz6wu78e4JofEIt++h8wSe22Qv/360f+xA3Cbekwx1
ebq66p59oXgnlTURDArZbnP+tOpssZ7WKvduWV5qw//YDLZLgVdsVQRApX22+9hbRplECHu09FHd
69B3fqDhK1//fUO/F96n3Xy7DLMz1uaWJHKuwM5GVcXBusANaias7ztRgpkSOfFS97cModFnchR4
Pwed1KnQ8qCNB1Vu9xHpxDmiPN3ctXlFsNLS4hUU4apLyMEsjJimGJQuSsdkZcYy5BBPjJzwt8o2
a+XCQthe9B+3AMGeTpexPm/l827W6DqJtbYJ5GIVS1hRBQT9IEhYKjH1NRgnYc9d9hwaysVm7a/r
ge6HqoI6nR3l86XLsU1ItQYwTNWpO2G4W4SpbL27EgfoC1/Yn4Ucb4rWE9Yyvs/Q2c46kZFRdUzn
vh5XTEEMjB9EfUrWVLzOaj69zrKPHx1ncE62V9p3qz53j6ax2s+TusLSMYb5w8296f3fy+ds8guD
hN+0EUVBTKG4nZ/I1IfqlBcQHSxXqIcJBt6pGNTikOYoYc3ePpT5sOLjhEOIJcZLeo7/8zw/f/Wb
8zc5Fxxjf3Sgeto5rVlmxtFb3cn8RUhnqvuiy1HToiQzf+ajRnpu0kqnYlS3iDFIjZGouMLUWBv1
1MnukC6z9QtbR4xPCPkl22WNi2kNYsNoj2XOt46FW3aTORU0Ig/1Mnwmc3Hu8MWIwV1X0mEDxXZG
RnqkH+pBTJjozy6f459q300f2UxgbrjEhfKsaHXZA4Ap1k1ltc5Hr4ihDBwlyaYdoF59qoSp6D4T
y15GLduP4TvubN8N5IN+9dpUvWcq21o7OAdztgMbr1CyTCZIeRyr68u0Ghnxd6W1K53lVHWSONnm
TiNfcZd0gi2qXqIK3VT9Isk51Q+9pxHUMYsBUeXomTd1O8qHFUfYn8SnD9+rQogebqhX/tAHzSsP
qQLWtYtVp/pq43RmIQ5LzR/Q+6DkAtk1K1p+e86iuVbUb33l9qYP4pY8OwNUGBi5npHs4fh22LKq
wyII8IoJ3RqUQiHz1Jt5T806OeKpRnmr3lruvNB52upIPFrbOa+1lFJ5wRkJarRpN5sHcmf3+7Z0
8T8rFL/P+uIE7uNw1uGAoeOJ7IxfjFbDemDAKdkg0LyvnvpMzeB5eMRqXXflMoKMkOSYI+ssYO6Z
vY7Dcsawiq6xAs2isp32pTYs6ZVik6QSAjokmBvbyxCH1bggxU/dciojMlMT6GOaTHr+lh6rO7AB
bHZxHlyvBtyZv3MOag9CZMbzbKzJdOHQ/wOnYIeDVcXgAmkmDhlnx4UlHeY3qi6OMV5wN/Wam+E4
GIafkpt7KMcpixqQxktarj8rSS7LVmSyM/3uB84OxHxZGcAqvX0U0hPYAM0SeXhXAdHAp3XL09gk
5NhlsaHN0bx42UmzxaIH6lxgj5e248QimePCvPA0fk9qzjYG7hZGxnakQcM6exwG43oUsZ11zJRc
fzIULw/rqnid1Np5sypU5mNWdAdlsDDrdxXcAnvxkwkoAZPmaHxLNatnCqZPF4aPfylZtmE7YVob
MZhJxOfjwu0qdxlxJj4SBiyjlQsH0JSGh5G4tq9qXs4XVNp/ux6EDlptxh8UE2fDiNpmxONg7HIE
dzYIQ1z1x75d6rvYsB4RankX+rO/PXVAPgu2s8Y18V36fH/d4nnDLBLrqCjKMFxRLTHnJM/YWQLZ
Qz1jV4t19Wc1SPcATyD/8OJaQpNgELQ8KK4htW/WjDjwUJoDX+Ni19pFFez5vJEji59GyYj4FqHt
OUunskEtpWEycGuM7FDGGnyvtNSemIz3exrX9F64hbLrGF8EHRHpoZYxCvj3sfmX2o7fwJQZIAg+
13lyhcDrLS1kDuOi6lKs7Qbhvi5TfnmU87cLMdXftCTAiLQen1/IUNZajdOUcyQrHRgBiHwJS9Mu
o7W3+2BICIXqF9fdE8o9XgP3jQEUnSpyGw3EQsbvSclDgdLsPvz7AfxmW37+Pj16LxwEKJ6Yy52X
nfgHYIgqjQm6ExKfuxldoOZ3kyq9G0Awc7x1KNaI50F0n53ivgeSioVsVgDmzRwXIjtc8m2LacO2
TaQkpN6qs4dppGOIulL1nue06wEC8alwo2JRUlA+IPCWVshaLDJ/1IE47wPIizockG+5CuS9eZZf
FU4Q+HLCjPUL7f2fxeJGBd3cffG+pSI92ysLC/ax2Srz0bKy9Qs8inYnLae/V0ahXyiJfwuWzp4v
FDb2GGQ8W1d9VphqCkQ8SzTqcfFcpryWoq1KqHRk/AZxX+hfNUiLH2MfQy3Qdek82JZwBKW9zNF+
CnP4Vesq4uoMJMHeYS/b9KGUaTdEduLiZzvEqZOGnmL/2JQPr1I1Ri3qhbEwmxva+EdZ9ooVyVjC
tVPqlRRr0oNFF8W1UCEsruXyCOlpuVX6pX3v0z750FluPzssyeJIY5NmaicymeP02MLc3HgybzJe
3Q8nrtZnrIsYtXkp0awBM+xiOhTKQBAep8FjYa0L0cSeMJ6LXq9+Of3UqjuZYywd5MywiF9dRmv0
k5KxZugYdXnrJYm+ubSo41tbezOxugPuKa5a3uedeKZgcXeT5663GRWt9mq7uf0Uk7Y9RVatQJRw
oFI/2FmBQ9HKnsbDadv2rvcSxnX6SNrI1WCb4L9x31h88Blp3Y1DoB1Dx7G9FBjxBwnR2lJh4Dpa
TA8g1Jx/8V3SInA2ZXGK2Vn6MG6N+luPhqIJVFkbsd8VQ+X4oB5q/D5q6v0y9+bNlKriyZRKlQdD
m82OXzVJ95Thw008iTF3x4quvjhZvVV8G0tP/eIKgVFXglnoLuGvfLTYjhj7LWd1vrBV/lnXcD/b
57LJLEFqzrqeSinSojL07KTUbbGv9VaJFrXKcS8rXmRlQ1fXx+LCsfnHh4pmhavCZN3QMYQVn3fN
LUNddWPXgo/UEBwN/wJHDc0l71WUmPj9eyv8Y4tGnw3aZyKyZNYDQ+7zxSynxley7mnAraw/lVWd
AMY1Us8voJl/uSn01QCnoDRQrc+FwimZwbJtOjBwpTBuExKTKOBtcQ/xS/n/uNRmp7MJgLYZ5vZO
/4dG05f1qGDgS1eYY21GiqMawglNb2CyXkL2/1gePD1oArTErA4U9mdPT81HCSTjxkd70OVO6+In
o+iLb7L3sKrux2JnzMulEuIPvIFrbv6w1kbB3gagn2+v7YFux7G1jjFh6EQst3BtjlqdyeesliAQ
JPZJiEzVYNs7eEb4Wf97xfztTaIroHgBIMLH4Ky2VZwVdUbXLkezxSO3TPMqwJNGHiY9c8J/X+p3
fuOnc4R7QcMHBxGMdKNGnd2rTOC8T9l6zNaR6FFvRn8TCK1aXy3FArmcvLboKLKXIj21BeRwf3IX
b/Qp8I0PPi/XCrYxBoZUYqjKk7O5nQbDrCteaDVaY/k6liv6QXE6jWBhDbsiX9MK4REj7lXVSU2W
6SnBmOKrbiZYX1JKjQ9kg65maCiW25Kfbv9XI36HL9E2MGeBTs64CMDl8z17WdpQnDjWsZZG50aA
4Oa7JrT2ktHHH9W5SQ2IWwAzuc3B9pzM35SGOWCnLo6G4jJPwHrmu9d2+bfByfPDlDf904WXue2V
n18mKsTN65rJFFjJ+Y0ppAm1hbOkp84q01vce3BQ04mV9BoPabHUyysRd+Zz2nlxVFpddsost9zN
YrZfe76HYFGa4mvVEzKk1Y19IP8Dly9uYJejIYvsftYzn4i65WOtPDWy87TrdgK+8oXi8c/vDweA
rXTflNrA22ffPGMnm/5fYlNmqvHNMLsT8oKu3/XrIk6l6eAnpy/fUJR1/3lf4/ltfj2Ashvcd3Zh
YuvRcFllcwRcsQ8YSY4nL9Et3+LJfv33uzpbG/DGVM5vCxXBxsLi3Pu8BjNdhXjALOi0Yk25pYev
GIV3Nrp0dGE5zvnZJZuls13l/67osvK3Rh7XkLNWochhZHWkh58aR1bERWbC+qrXSun6zjANl/h4
5yPy35f7rQbymHOhID67nNc7Vb+asXcAmlbbcFbbKQldr5y/YWab2f5SZtbLqNXLo0YA6eIvTb6u
PiHIlRb9+1H/7cYh7AGfMJghpHf7av7ntBo12bYY5XqHRZTeY7Jq/c9sWNfrNZ+XC1E95w3y/901
SnY2Fe4be6HP15pFWoGUivLUxM6WBdQc8pJ8kaz2ukC3c9BBDs5jWZtvBK08YSghrgZTtr5TGFPn
m41aXEGMc/f/fgJ/W2wsag5SZtdgW2frukuHehSGlp1Ykc0zM8+fVs166+yYUYq3LLt/X+7s+90e
ggkAgjkdzQE2FtsL+Z8H3qXdqi2pnpw8vcGZsKlJbD9CfbNIFBiGPCilzLLQGOMEPchiXLK2uHT5
s0+LHi8R6tLXJxK0lZ3SrQYjR5A9bzGGyBv76eA2fRziQXSB1fOXx8yUBRYTzsIbR/TsMXtK1uhL
ryhHZGPNztK6KtITpfoxi2y6sSWY2b+f8zmTbHvQm+MOCkQ2EVDBs0KFNxcPeMdVp75rrBsjIV4H
uyxvTaJRE9Z7ZY9bhnFbj+2hWJFGEsOhJc/elFd3KSTp1M8h0+28KSXzKFVimMkJSSnFhV31L48F
mfSGGVFkbP98Xg75rC4JVlOMDvVx2sk+r0O9cLOXOY5bxKjDdOF7/+v1GDZT3iNG5Wv5fL1qKZ0C
EVx5QDw8EqxnN9ZzLMZau9HdzJkPyKmVSyPZv6w5e1v2ZCuDdTCx+HxNbY1J8ctN5cihkoReKpyj
mzUlBfKsh7mezT/yuWsQrS2XpqR/2d2YqPO1bcNgZpdni25Oh6TllEmPCZj2oyldJ1QGY3mxiZa+
sN7+dimIgAYSuC3E6NzZLVvpYrC/Sk9TTffSz3WNbYs25CPemvklA8q/LW5Of64HJxNTlHMDs7hp
ccBxp+wkpuI7oHiCREFdwg2ZvHGMJcG4dFkCs7fKkNF0H5T4v5Dwge+cpjb3WrYUwQhHwLet9ZIZ
w1lLt313n37a2duGtOy6XVvnJ+SlnQGKaDWEEbHNXoCTz5qf39fhJ+Ljhu0DgR1n75aF1tVKMRSn
VsgXZ16Fn/dLts9NJ953KW0xIZX2hbPifAy5XXRzo0TlyNOHoHh2c9JMpb5INTsKBxhzv3RUqmHp
ZVMTZkrj1ofUG6cXxVT6fSZVQvhEbTpjsNRjQrnpShC7BsfnjzKnFrmwlfytqmAIvK1zUC9a3bPz
VRSswNbylAPqqeFWSxyMDj0s9xchq/uZSp5sWR1v58RMI8THQEKoDS7sL78Zdf9TZm9PaKPvMlbn
Y0DTclZQQB9QTTnr8cHV80EEzMcLDYUDXH58EtKx35eO20KQUmLVDeNKn/bW3JNjRhTDbTPNWOhm
5ZxulYjcVUlZ4MIzuvO8d7W0WsJRrZovTmdoz0O+2LDsZTyE4HvWvAddL74riZ7W4VwN/XssqBMD
WajNlbRrAhlUY5L4uJPZHDNy80grwq0HcO7f585vz4L/eQAICreh8GbrBOAJ5fBsh6VzTdMZdvMR
bznjpz4lzrc1HawlRDBSpb4U2fgTzd0mz04S582cOsKgqNddsSNYaLoqWo/41mni0w+EPQ63Gam9
uZ9N1viWNp2q3yIuGYZDNtZq6rtaZZd+ioyIcaWxuB/USgg7m7lR33EaXO7AysYlypNJDLAZyiz3
O9zYjsLDLdUjruHZbGPdDJF0p//NZ4EHwSqEzQXjELIRO/DnbR+8mRybysDhEnwV+7d5OSVKWe5r
y8mjmggFf07U7MJHcHa+bRfd2hOE9kAvGOeeXXQuRe2Baqt05b0RJNAEEMoW5a4SpRIuWqpewJrP
tv3f1+ODo28wOdsAhD/fpGnlljZOLjepOJo/JdqEL+3Sh7Va6bt/r6ztp39eWExMMFHmGOUw49j6
fKmkN0Sqjo56rDK1sHZpjovJLqGK1EPshOIneIPxW+bY6Btq18rTfWmSu3Th+Z7vgL9vGF97tpjt
R/xBUZ6tqlYWxVSPUqjFHMlamw5Gt2hwsjutxbhAZYfAFz5DUpLZXt7vakbRdWTj/VyEuBK4jzmJ
o4SZra68//cTOjt6tt+2VXrszS5foXnezCR0C2bd2dqxS2rYAHjqWkuwLJP78u/rABme1TS/L2UZ
fN2gxxxA53stQso1h6uvH/GeLAAC5g6zddGXc4Tk5evkNMXeHOs5jOPKeMim1Q6YxWfRqHsYp7Wr
DtY5ar6sk37XxptAB71QtNRC7rGjmyK56ubd6hXlXnPzR7QupFCsGWAPzBZ35xqdty+oHW+0WjNh
eBtj2MMY+C5F7J2s0Yl9RSj6QSTtcEMesbqf6MeeiRix9q2YIQJVzA0eVkP9hpqNKEmnFLtxst8L
gUAYkbTn4+xn+nViGFlA028eFerTh6Wc0l2u9us9ThlwqjWp7xZtmh4Sc14OBuquq0WfxUnmZfcw
GcZL3MyMk/q8cw9Vp9d3rlbWIcleaDdGY+mCXk/66y7WuzZEPNdFtNpMoqpGeVdRMO+IQ4Gsnth2
OAtT/zqu6kzgPAoR2O0EJViCm9f7RX3VkzH50PQiplfcrHKzpZesSsd4SI1VLkHFRPS4LA4RUHaN
/69cHGdHcQxDSp/nLwQAejwTLWlvhEEkri8n1UOMOa0OXFDdeUM3Z35ZM9zY43iNd4jG4tVvY+FG
KbmEm6xwjRrTqR8yQyqnDjOT98npvKtE0ZodfpHy0ayy8kYQVBA3KXp6lIF3VVnJg1fl3qPBLATK
GOQJL7axTMnihqzGodh09p1R4yte9Ts0wnw/tVk98b6Xk+J5L3WxTD8dqWt3pNwOaTAU7djtHGtF
SDWW2o+KQdX77HhQXaX1s5/tLSbX/FbXyfiLCaF1y7ekfkudXkQalh43CeFnrU/ohPjQlPk0aar5
i9a4+4ZMc47DDq3Z3rLW+VvNzPprbJgYBqAa86vOvLetOJvCZSgLYi5K+N2+Ilf7Vp08p/Cryv61
xESXohBsMXhxIbDMNSlSian9sIbFQTqWY5SPoOmV0tmLeq9YImwnMTWH7hw6eQ3s03rkY5RG9rSW
mQlGo98pNoOQClr5HNTx4HyftfELzeCS+dgbbOgwsjKK0ZThKrZC4UwbNvtyyH8mk96Sd2HayDap
UrqkXK7mhLT2cZGWvxE6A6lI79XuF6p5gsHNsMZLi6n8mKlfGBWzMBFqtCgwnAkcugBA3q0FQmZz
9ri3Irb8uluWYxf3z6zvdFfHUJOWIg+aqVf32JLUJ91J9K+5mQCklU5+tNv61R1lDPBkXFsKKgVV
xSA28ZxbCBpf84UXxODipE1Vcr20/E6qpe65wgLEr/XmOx0jQQVtyxenumiEVa01Ubo19t6oSvF1
riXxRQxfkdLH7bDu0fT039Ixi6+bvLcUKEl6Z4WLNVyblas8ax3PCoCvDybsDt8HFf2s3uXxQSHq
MZgl3kW+Xg5MwirRpDu90VpSDrLvsdfmL64VYwdfK3Zv+5mTLC9enBgI6hDQlQE0pjLK3am4wazb
DqYBf7ogX50qqGprvkdmhDiPjNuy9/kzhUT575ZX2UJ+AitwDkVB2VCX8xDoi9G9ur2Dc9CoT2E1
kOtaekn+YDSjfZDmbBE3MG063aa4Eh51J5uLd3I9AiN1uqCPdJ4/JPqeg9Hirl7hv/nWWyp0mQkZ
vts48/dJ1Qio6kmpy0Asd0Ii1Ux7Hn4lUaL5U081FeDW5e0mKtK7MiHKwxV9HQ49RpXUgDKYshoq
sLb2RKVZomwSX6R5spvNRrvX2ji3fcVqu1sDGuytIkwrButCvYNhU094y2Th3NF+m9X4jcdV3bTS
Ft+VGc3jopaFnwvm0l5CwovA4eZoF3MRwPuWOwgY7nc8zeYT/iuvldYkzwuErHDCfAO/0STuTgUh
OSF7WwHP3ZgpGzKp7V1vJfNXKeT1kjvlPcMsFY+KSidbRGPqAkCCKsbKrln4EAU5xQofNiarQKlv
Db2+MevklKRKHTBkruBcS/xBymkOoEVDaUh4KLDuriUeuqGTGPDFkPAl+ez5DI2bAMtiGWS5Fu9y
tvtIXYj0kHpSbG6f8DPmtveTojP3mLe1d7SF9uAnSx2HiTXOwVAmZaCJTgvhQ/R7xmCM4WHh+az6
+ZYV2R2twiDBTkh+WpoNLnJMzbmpuhmjEmtN9yJfa2b2OKlwNN0LgyicgmCyvV6XMmydJvuFtNO5
xt6ou54xRAuHxKSddh6I+8MOY+XS0L9ExKyd7Beobm9qta4IodPqtkg6782AmBdKhDI8L/3bCCQJ
K3iAvcsOjWmRHHaj4E0s46aWLjESViauhGp7bfU3dXF+2amCrNXpf9hja/hSm5xgjueTdEmaCYj+
q997x0SCaravnT2hZYeJE8aa90rwUhJMivdhxVaBCNsyHmy9YG9OVGs3GdVOT9zmMCxec9U4yq+K
M5zwu/EXCRTDFRXCHOle2uw7DRGeUqZvnNLxmy5cYwjk3E88xKZ8z+d1IIbItaKU6WFIzcM0bLLw
+h/dIVLckQ3ds9vIm4oHCNmkBREmFHQGaLc73mMfMwRdZn3JOyuOllI/xVVeE6Ekpyl01Eq7haf4
WOEJEcSVmew6L3euRpMsKS1TkyvZLl/smpNnQfXrgx3wbI3YDFBPVvD+bRhHclQfdGlgJKMh2Y8n
HCLR5Cv+usykzbnmo6VPj3XbPectshA15j9lMZQBcyW9CL+4q2VuwAApZlloOMzdQbBLyC8V42me
0VW5fOUhRyK3aSkv+A8sUe2VD7TMdrRkah+mWrkETtloEbz0KkRUfi3V9lpzYHdmLYkiVbUdNf3D
2q3DFfivF42WzU/JpfGukTEYDBr2XH1ufV96bAsaYaGAFiTEDS2HS63maZRCADmyyaq7olU/EnZ3
P3Hsq87TNkXgL4yjM7/nhL2qhfUC25eVpuU/lbH+6dl0iVqDwr3J9Omh15qjPtfThhXFgdMYX1B/
ax9qV2ionvIuMunaA+GZPNmyPTCm1iL2rwV/5tX2E1rtQwvuGxrNti8I51s7VSYnJh2rjV7Xt5zK
DQmmJoDJFsYx94rngQi/m8Ft3mxmrXs9nbtdqst30uoobxoS7ovKzHgnBDCJKeHfYSmyExwo25NI
QzrRV4GgZk8r0hyWWv5sGfH7bKLpk6Ym+yEzRWQX3a6rgeDx9+g5sNcb2+lIcWpM0zfG9amKkQS6
ED9AMEivLgc7ALkuoEnWt8AGX2aEJ77oFC0oFYKVKn3Yrzq2SqvXZGHmYRqZu9mReJJtPXRL0DHI
pdQXu3JmKqdnbhkRLev56RxnV4rKpaHY9leZZTaBNnrNHmaaGWRCeW+NjKQAe0ruyRyZgi3bjWvq
EH1ogvm7ShyWq3hqidf19Y3CW3f8jZWAo6bw9AAJ1ImARomLYgu5pZmNq7SflCidOZ8apX3Na/YQ
BtqTv0r2T4tu4HtCM3TKGQNzYzGNQAtj1Ugag9XABwU6pr+5MAyOfCFxMHb51yrupltTFMVH5zrJ
l35NH1Svfa44nINeuFct45WATI3E1wSWyWhq753R1gIopjjMrW0cZOb4OA7YGfQzlu2dRpgl1M2r
WTY3sxRtaM+MFcJEIZNzHTuLhsej6LYb08eHOo2mRoowcRX3yXRKJaBsdhjPzrk/VIUZiol2PK+y
4RbGHDc6ZMlRWN5PO8HYAE8sIpscPegxMgoxP+lv7bHs3piUYe+hxRCpWrmcelmR3Navv6q2qnyn
ajdz6Lzro7zrKljcNUeMV5PcXMtJe+oVjLoLKWB2V1bSBbUuSG9KiiIHqtIHX2IlFM7tAgvAJllw
7FvP3NWzkeHBADuA11AUJbFXzi+jQDZQDFwjLhJxnVTOi6Sl6zOruSnXClsNFVL9VPOXSY8U3HCd
BW4pzNvCLOvdovRXZmbKyKJJO1j4UAS4cDXXtGLoKdOUbADavGOXlTtnnR5SZeLTKoQOB2yMd81g
fdRe+9jhduYvtfXstl1165jKj5WcdCzDYUphZnlYhvmtysXwZYnNG2xRVh++DxRvxR6soCkUfRcj
KbudKwsXQoxWQ0ONTxkMmese+/4gLccHVxd21ICmhfCHOfXrTCfOFPcVzVzXk2OOT4qyfi206laX
9GSVU+RPw9DRz4ylKgPbi7VrN+vLB3OFz7M22nPf9vulFPP3zpmtm1JN0qstigZfilixQ2fAhGzA
D83XPH5ak6zFYSJ+xh8XnG+atW0C0dnd3i51N7Id3p45GUugGqW273VLuUOlJzE5pP7iZTd71x2f
cVlRfaJxnZ0yUjmvA5l4vBQsl8tKudYb70qnOKR2SthzCuqpZFWyQ+OqIuqkZl4Jp73Ba7+60+mv
+1QvvtSK0d9NZofVInqowEhjVBvxQFFEySed5luFp1k4usabB7ESMwxN3GaNGRlow76WczIFgx3P
YVkkWYCWg+ITxrE4xWVWhpmaupRdRAPksvMCN63ErYMScLcq8RczbruIljjdnH9E5DW5d1Qaiy09
9cROM2hgWlfGe0akb22eesHc8iiHTLrR1BK6txJEvB+Xlv9hyJNgLFYvSBGb6HPxqxJK1PT2FIIS
DyFs14YevBe0JMZE15ZrlGQOnQYYaxjrhFhMUz5GUs5QxlOT+IxFrKGqTP1RLxUlSuycjLcu3tGU
XPcTh43D4M8vVpnu1MZ+y7u8CRJwNc5b6PbeYJdBiZItBJNoQvbjX0ojVN+zvCwgpfKhElV6MNnG
4KbeOZhwXtc2ropJYV11RfarWJWS5WZ0t2ret+FS22Po2OuJ89vxNcWeA4iac2QZnQgSkCA4O44R
Ul2gFRbeo57kH4LAwVAdVgaOXvyuNDqe9vibhTolTwKdasdV1agze6ZzI3ZHWm1BWJMNGHEJkEtg
DQxKxqW6LRN/GnO+TVsvd+ssYazQ27k2GAphf9YxKfFDLoYR2Fysuj/i8XvXOcQrGda4h9l563Rd
uev1pfXdXrsSaHp8YxieUzO/rtPsG7uxe00g0upTEXA6jOKhXftn3CKIKdVT7BBmblM0BmnQrUqV
Wt9B62WL7XGpkbH3GBdoX2QiXytZiGCZDeobJVsCXYmLU5GoytGoYnruWmxWa4YVxKlHSKFtodco
kufZ5riEx/k+9YsTYm8hfGprb8ePfRjAtvapqTx0SZ/ukb93Pq4987HImvgRj1QCMadZO1JR04bW
lvlVWbZIxbx/kBzHJNBgjtfBhX4YJ5ahwNgZnKrC/hS08GpwFaokcRqYLO8I37KDQqR9oOhrFeSD
mlKvVMpwIweCtwuFCMWhNNZrx+wI5NS9t3RJsJtZG6wfxTj4BvmxgWIBM8yZta17u95Ps/JYe8mT
XBhwVGziXykz7hWl/pC5e22q7Pgssi+CIKio6Nx3N4lp2O30tVbrd+Y/ZSBqtQtL2SzbFtucNGkn
PnNWxQfVulEtmnO7ycWpbye+mQE3iaRtvgrByTSqcojWRKaHuanUJ8NQ2iDZhiu6ppBoIFJvR3wn
wGmLxtudOVU1JgojqkK/itsbOXvJvtSXBvh+xJpyXp/LUSIenpzhYOvAQRYa22BxDJ1zE9ItBWEb
4AQ17aGYEImd6k+mWd4ui2mHxiK/12n96rmjR8Sn/qZtct2lNN6xItN9bHhmPGCUKqAzBwwrWtAD
S3pghNNw7FJ9uEkyhS6h0KOk9L7jnDb55VId0EQ+GFWSHaaVYWhvyR+T3byMfZFxrI0PU7uBj/Mo
QiJV7EetWpRdBmF6b/fkwhMX1ETWZMWB2g/3mDQQw9U38mSbkxXFy3iMBcZERKTdl2Xm+RN2D9HK
+n2yl/KlYKqDS2f7Q58hiAJdNA9Ll053IqtfMP4oAtUlexX40k8gxGAVNJ3cgiKxTgeckrT/R9mZ
9cZtdFv0FxHgPLz23C1ZlmRJlv1C2I7D4jyzivz136Lvw3WzG2oECYIAGao51XDO3msbwd5LjCcz
JN+EXXO70uvyoe+MX+04/yi7oTVERZvvL/magAjtYzNaxTycdRu7b2jS7yKneGUJ+YcK14Omsamo
wY0cOOkQwmp4UFgHpz96yos2AJnsE+SLlCqG8TX1jW9+jW+t6ltmXTevtFVW5f5eFY18jbw2/sxS
g+kuK5K1am2YfU6Vb0FSEffTy+Cx6ezkpPmCZzjBNdaTZNcXo3l0p7AiUGSK7y27f5CemrZ6V7h/
ILFmonUbreCADXx7k0Zava7yZIf/19iooPiZINjbSJe9XGiwNdSHMWY3mDw3onVXad02G/CC95rd
2b9IdaYc0xlib5eq2Q15SqJtIA0OBo2F0ruFpWKoL35Ry9MoyA21Yv9n6jFHj6W2L4Oc43X1OZny
N5IIQYK4dfXAKeW+K+PfwZhEK2Fpkv15W2+TpGr3mj2le9mXI/+t/tTF479KsKtA7MXOgPr6ykp7
dag7rCbSsccNWvhuM+T1sJeO91JklNMmd3puZMMrjjP9ECjyfwMgT5wsS7axlK43ahTRNuyTzyRm
fbeI3ODgRoaUAk8DoIAjagBdbhtMRcHBaHqMwuBJusP0qddi+55EkvrIlXIL9MheN74R8h2Fn7W6
MrattN4DFROSWJhE+/bWd5WJZs+2FyaHQ9huibX4AEN92uZJh4nTF+8THKVDXCfqefSI9KIk0z8K
m/SfHlvUEXPoeE+wxPhgRiDsRsiJa8cHghunXrwLtPCN6ecHeDNzje//1YmdeN9O9Su4a+DJ3BmA
Z4UHxhi2GAXbpHwZxzbeaI2S97Yr87UnO/oQOdxSy9WoRkzvmqGmh8mFeQs4HBtj7/5gX/LFKOuQ
XbYebV0pxy18KG2TczpbFTqFgTwZ2s8ELpIXn5LEl4fSOMWmp1hWh72VusFs0Gs2buv5M87/UZXA
NeJK3uNbqDeNqqjUWg9gY7MdvDO108BqtityR6e9HSfia9oPVNQcv/M/ealSIMcYBW2LySMYR/UF
HJp512lRdSiKJlw3aSdeyojKFSfY7Eseh/5XPXb1befHal3qTXGYsGetXdctjqKhN0xCHI4NsEif
myxkyUEUyWXUAMmsFlUPj4/qm1G5DVVRK/nMOuiwvRq8vZL6cIgaGlPbEtL/b8zLxSfTnew3ilw6
/46sP5WB+tfw4uZBoIarjbH6Og4m1e6pEh6c8o4Fi5pUT6j3pMz4OQzq3/QJ9bXwJIDm2Nc2tqVZ
G7tKMqJugySKV7IrW3VKWvi9SiBI9+mJ/Yr0yn7H7lbvIjeM3icKNe6qEQNd7yHU258xzgzba6st
x0FxZ+aivauw5awDaIG8TF74tSRNzVtbhZqe0GVod43E4RcOUWCsDNqAh1xF7MV7lX3viJ84RdQQ
yL4ehxeZlO2DwI6wzUoAMaj1xCFsQn/Dcb7cRLJuP9txNXyL7SzDN6v6k5kV4SFIRLOF4k1oedqn
J2aZiaxpQOhRrv1rYBVeaVmobXTgNvvQtjgo5s5Q7aKSPY2stHRLd1/bdSqgUCjq+D519P5FpqKj
fiGiO8HO+dhLK7tXLFV5oJlbp9asu1nHtk0n9h9hRJ8lg2q5pwhlrbJshAIfCeDLRunikUZhRfxu
ReBdzko8s+XIN49PxeBYKzM00hcypnoqUDZ8Zirq3zxFhTjs22MegN2WTZPNjmdmfa3+LfoWrow9
aDDpNIoOVmGs49B9MUoo3VZOiZzN6T92pTOBZC5+5p6NvNtE1kYzK5KxNc/cp25rwKEm4Lzw4uwU
KATyKEDcDahqXqUY76MRah3SZWEeMu7sZgIgdKzdaTrqVOvXtlVQG0cJsnEjjylLGbwiQWWtx7yL
HwxyN9ZBbst11xvuMabL8pZjzZkrf9RFtCpEGOGX6bbjP9zro1FzlAvi/aTXySGypM4rzk/AmWa+
RaZGxDr1Nc4/3Xzjg+LRhmO4NrQsWaFLYVKGukbUk/+L3RDBkQ59Ln+uLYvcbh9Nc9AP0WBzEkh1
dRcMU3JnwAZ/mSQUP60u6l1izru70JleCyq8CLTi6KBwIt7jqq/WQrPEDb3AFWkC5pCZ3sauAYjG
QmQsZBqlGE/1Y1Zb8MLTOnFpFFHyxz5gafYNXfpSfTR3xAkAcdEW4rHBYj7/nL+ErXqV4suwB+PY
1vFw4mNBgCIK6hhhWK802ruPLMnelk0semeOTV3T3IocWkjC5p/gIX2aoVomSTBLuZ8qMVW4mH2P
yor0naS0f8BnOj3YKkBLY2Pdq8fuVqbrFVkGepIZrEpRaNZwnl+3O/gdyUMJVETPGj4Vjdkc00H0
5LVOHd2KqvHzn3YYAROJcpEoSAx5FR1uCBJmsdtCGzKjvWCLAwHBtrVQXZVdGDitCaOvbhKGLscJ
1GRpechafXiQu8BhoaVh4H6hn1xo655NqwsMLgzCzX/9KbOdC+mXTlfUQmS6+ClBzevsVUZwnHJJ
8T/1yauVLbrPphQne0jpkKTBDwKr871FXe2rCVflhgbrQgQ0/wSkKXjf/2i6F9LAsU1KaY4mPyEe
gnc8sM8uMoX32gub9VTg7Pz4ki9eO992MFW7JKwAVLrQtzq1slzVArVNzLq69zuroXTjmi+aReEl
ANj8HMbjdAtQeKFAYVTy1PGyzREQKKzO37vCbOGym1F2UkHU33UFFpU4Csu9Fnnlg95IuUqNQGyj
Mb5F0Lp2vXzfaCbYJfGQFyOPQim22Y11mAI33ynOqDRTI3fHgfZZ1ELu2kSp/X+/x7hO+Kg9ajHY
ps+v1m96afiyy9mphd0/rU2UGY3JfgugSx0mQQ+jCMb6+PGgl3Ma9xhJJV82uecBg5+PmkSAXchy
mg54Yo072eL/Xcc6r9YGbYI2rt2SHh/+lAbuSJrCzx2doowftVDrb+gqLzzjFCeRtjHNzBUj5POL
z6oZQsftYpmeoKSRyOySTXVHB5t+TdTb3s6GUL5Lae095NKlOhRQQjBfHQg93dqs2+jYjlO8jQq6
Cyx17BQdWzXrDgA8mRJpadK8SYZ0Y+ZEQtmu0a1t4Vc/jVxRgYudLD1QFfd25dS2r4bq3fucSexW
dJr1R+1+No1xkYED3CWYnbz0jc7vN8RNy6llLk565us0Bw2lNlHGzaS2xFkTcAx1MHdqKEcQouyC
OxrIH8gImttlodSoW/slhWsV2v/6REeotamAyNLrtr9luhPeORWNV5QMJRoUazS+RygTH/uCgwjM
Zl9uh4Zdue1X/R13O23Wsersf4OBGJMVJWJYM35WjnMnxe3fLBlbj7I3ULo6lXYSFJafWtbGZ9+e
2OikpedlHHRICgGV0+z6ln7zajIy57Ft6uKOmB9jrRRAuc1kecFPPqn+1WcDTKWwYnTKJiL73WHE
QBbGgbGuCeMYhWWF265DS9JR49H3pdGoNRkW1k8FKlitNN9mtcWni0CI7CC5papQUhNKpiCY+STV
3Ijy5qAQLe9oYkEloTeb+PKbn4fJuDKRN/zjgtUhjgUZY7ZqnTTm7Edy1FRkzkZ4rnid+jC8Gzpq
lu4o5KYMsJ8ZOIQpUYZApY2g8b/0Mmr/idsEoaKq8+6lbMPxqWtGp94oRwtoDZsAozi0QhjEqIA3
Iy8RE28Iukt+j33TcHqtQm8j6i56LNIm/+b3VrAzzV5bK3pQ+laknbVJQlu+SEoSFJAHL64hwU6x
u/c9jeOg4iRcroEV529h1g8IwFCOvvkVWskSHcixd6v6BWOCOHoNjCArqML3XFZ0UEa6IomdDSj3
NB+KAKVJ2ZneyRlC/7Gsamvv0lY5aTGa6oiWbbHTBp8uyQAP7YdZdCp/ioNyqDZBX6TdToq4eUFz
gPysDEOodHDfSWHs44bgXgFfNqVcqOJ97pXhvd/TmduMIx2nmo/uqSD3gLD6oiu3ZP2R50xcDMkz
XubnXznEc0Iq2dVm20x32/uCxiinLEhZwdFzIg5iQzJBk3Yqu0ON5gSfyQWpDq7Kaau4UeivLCEH
KqG62tdxmn0HktA8a1Mv79nnZacCTdyebw9Mu6WmZyoKw70ljIg0GtRrMRoPRc9Xs50u2TuxFE+B
LEZ7jUwZ+afvN068QnjlHiPc8e2m1bycNnhs3IEEcrxH4PdVu60c3dyOA8l092xnO1p+idueLAuk
b1/a1XdhT+KehWg4DLz5X5Fj+OPK7ULhr/xKdA924RlPQY6Fa+00kf7JaZryewSVPXuGEFGhCGoS
G1Ha5OavsqVzSbZ7AFyhp23JaR73p43bzVhHrkUpLIvIRoIRK/MNqXCl81KZfi+pHAyOt3HoPokv
YV+Fxzgn+5gQWCH/bQjo2hiqlDZ+IuFlq0Lq05cpr62XMQADlHbgqCPU4Ku+AnyypvmT3HmV01ur
upTtrmkrw1nHmefQGx8N3BJoqNY+cUknI0cCN8QAGoUtJl7CriOR0M9e48rr6JI4piDgJ5QvsBii
Z0OP62mDLMk4aHPVeaXygjazQgeWcR79JorSRKvqu/mpFagV+xTHPf3WYXzJBC0KXqThRxH68WcG
Qjk9KkElI6SFch+GovkehWMZAZWLp9e8dmlxe7lEKOenbXMY8yi6azxjPNBTJLmDrOYxf+pJcRmo
GhQ2gBVlHAMd1ZfJwe3kG1p5F9h99Rqlg3VkI9eBBiGEqbWC7D3ElriNqS198RLHh9Tr+YjFTPcQ
GVKP91pfTAcReglcFM3YFVaJj7AqXPNHn1PSkhoRjr2HroikXkoX4I9Jp2Q7fB80XXwgjMP9NBR1
sXNkPXIoHLNN1alCEgZn2S/I+1HUicRMEnomGYiahLrAHelO4M3CjeXEKErafKWXXgQ0ixMBDQjQ
KifDy1NrXRX9cICk4fubEnuDsQ77HIWfNRhUQRPUKgctqSlDFVPK1xEDPK82dtO5d3EXtzuPbcxn
hejqkMkmfqAg5p06UYTvHMhZFHobUT1/jXUUw7r0SNJiXQZdEvsbP5YKPRiWibULZIQ0yEDXX2rl
2XdTpjkbgwjLT71uFHvDotwoBsPZtwiZnhq/y1+jUnb3XhfSdPYy97UjbeqzPpXukx2OgQEHyDN/
ZpbeH3SvQqM7aNmb5g6Ju5ZJyO4+p1ShsxVJ/JepbtQ+DzznoDgqP7MFj4q1Q7xIsoYKJW5sjC40
3/5s1zU5aBDWbcB7Od8ymBUvfhG0kB0KI/4eGQ7sTcU25xbu/XKc2bFKwwdsKq7cJXDTbBJrdFyC
3cI6aH86gSge0KJX//XMPgc/4p+xMXfD/PizC/zrEE3lPU3LXLlHJeJkK7yWai3i5U8R0r2Xjze3
F+dWGM3IYdhJIgFDOLKwE9Ds67S6LbJTQ2LDk+gM9RhE2vAaJkwUXfVd41td16VLh1iMt4K+L2oT
8+DwTGz8Sgja3cVuFmwFXZpmsg7a1Ok/nFkVSO5OvRvha94ADxmXp8HzsRZvSBVW06wmlwfPkd1b
RFdleNfzIBvZMgz9PamCwdcgdIZX1BjmVyspYBrWfR28d7FH+0lqiXUSVb6zupZM2QLkn7aq+7j2
b7gX5s3t35tfiBo+8ZSImjk0z2FE528ytZzYJZGS9cJtsk3aafYmq1trP6asd1mLwQdAl7pxdr3w
c8yjcnrFL0Y4KO/14mBVxzm0aZ/yXJQgrylRvxxMpXL20+P3emS8CQbIOtfk3NLs422WFC4Lj6Vp
j4OppzvDpIf88Zu5fGD8HI/zLJgRPmyKx4tTQFZOfhMaTnry2CiSQm/ph9Fjd6nVfX9vpq15Ywq5
Nh6VAg+1KFbJYOnYYgcY9BUVxoPVgyfGdw5nYKB36nXQFIxJv2XkWU4l8/XROHHAnyALt63Fgwat
SEWydQnvbeys5ng1g2VBcJbRjQu75NsyEn4o8tP40pi5FoUQijxDD6c2O3GwXvnTa+1b3V2jerG1
xwzLoih+9bhz7sfSJHXMwp0bw7qmX6WnX+3pCzrhOGO/WRxofW8A6UcruxD6CqDgLYLj5TPwsFbC
teD0Rw1xWcCKpiHXkHZFJ9oWCF4Kh9ZymyI9DkoYE6rM9B8fv2TzTT772gwGxLgFimBeOZZH+7hx
NTulbc/+vWvhOJkmq3Mtt0ZTGJuPh1pWanCFAW2H0Ioh0MIdu3gKRELZURJJcfKtkt5gGqqTX1kU
aHKDaGkQ7ho6OEG2KrieG0Nfu63WzLTArAVdack6d7No9l1Z0TEYHH3fWxN8/a4albXxpVMDdgqV
dmO+vTokllzypub3+6IOLM2Bbb/ojtkovsVm5+2KUjr4eyr72dO96UZEybXnSO4qnmNYPZBdFrN7
aGiajmRdO2hEpJyAYWp75aAZDAsO4R8/x4sJmudIKgf3cU5TYDE4n6AN0/enpJxBPi77qpjGQ6jM
4UhvKtiP8MXWiLGz9cdjXs4VjMnMZPL2eDPp6XxMEY+tC/ZHnMqIkYnJcjR4ueQxWTce27WXlG2U
DjTt/2al84FUDGM8arvsFNLU2GrxUN+V9dSspGEIuIjluG0Avq6I/SxvXOK1J/jXyMsdHGUAKbFc
gxqWSf+rUXVHolVpa68axK6bbNRrDxHuJNVhi/IpJfHz6zS6ru6bcWbLFE3CCYZFD/vQuGJjXm5H
IYa1MZfGoSN/7aUjcXBY/T4RiOg9d4xO5JrQ59JobElHcGYMRbf28/FWgOLVp2HjIUbuyAJtzx/Z
X/vAvGgKn4jV/JgUWrx3q5KZodVVUn8KvSAVR46N6Inrhqz4+7lqduNNv/YNU+WjrjzPkt4y5aIv
IqOALSUhNvDGvUeqct/IajPSTUHWRMVEQkDf4eM3/dprAHlqtguTH0757/ySHRFHSd3VwXFQGoYE
wHr0McKmfbAnI77h2r3yErDvJJ4Gj6jHt7W4vVQtEsNuwvCou5a2q0ah7aOk1J7IDZg24PwIx27C
WwzzKxdoQCqYb+jMX3UWgwo1WB1Q1uTUQO6780GPrDmKdz+RnbU3PqlLMrHhUTUzAxoxTFkYNs9v
Zmw0Nu67KTmV2KRIiXJeXUcOK0nu0qoZgnFrWEhsJ5Emn4hG7jctyqMV7qlsG+jdLUv8lQufS3hE
jprwXyCdnP8Yy0NyALq7O5Zkgr4Qd1a+ys4BB5I44/bjl+hPFNZiWWeppV7POgsfzps/rL8+HI+Y
OFb7JD2WVBmIsXVbFFCGzFqkjY1pV6skdeNspbs0gFeemNhW+q7ntytbOOa+EN2r3nRltwUOGrDh
jicqoVpNXt02rCeJJMHP0se0Mkdjj3h+orlsDJj0DNDhn/sgzRUeN8J89q7bTNONi/sToHN+cTPP
mBaIbnA8ADF4fnGi6KsJ6Id7rMdi1Tb3G6dF3kLfFR+Sb7h3FP3xGqXKX8lh9/GNvfpGsfg5WL9p
hdAOOR8bgXeY1f4QkU7tcTpo3G+E8ozbMQ3bEzOD2se5CjeqNRACT9zAOIW6KSyj2FisKzfe7yvT
I/g/l1f7D+R1iT8JQhXrhTnkp7pB1EGOUrunr602BcATpEMo3vUJw5YchluB4VdmDqgfzE4m3Rhs
n4v3i76mGk1iHI+gjipggFNuOyyKOqD6YXKoJJsiNzZpFVu34KaXczLIt5lmzUaHfZK/mD5M6esT
PZ34lKup34ZOb25bNDorjcbOzkvt9xsP/PKrZTwa2hzFyP2j9n7+wH1JAqFG8hJrZLXG7xy9tro5
s/pD4B00t6u3qGIPq0XEPuiOfEKC0lh5sy8sDC0WiyvOOct5u/Gr5r3y4hPg6MQxAWwgjIclPLox
MOFqnReduqzs+1eIO/UnbTJbipcSqBAvW14j86kJcVxzy4IfVWHMR0cjY+f78W+53JrNscG0Izk0
AhhartE9DotCc0p1TKUQ6apO8K2AVLHxhnw80JUnT0VgjtlgJ8/ysXgSgdQboTyVHLkzY7ptiboM
D0SnJ/6mU5WRb3Bbudr+40EvHj9Ei/nKGI4O7wWfka2u1eUxXRLi2wxI0kaLmU6LHgTQvt3HQ120
WWFCs/PEw8M2nnd72fZLbbNEshTnJzMu9H0mHWNGCKRrBZINK2eA0A7OyLsVagOJEXWJaVveUstc
m1xnIBZ/8L5zAl2ARVtHS0Mi9LJTEpT1s6R3/4Da3/7lBX22x1Mf07axRwjR5iBo5FgFe2lMvqN4
yEVJbf/je3I5w+HF5VjqIHPmhLqkLfL6+k5PNPKRLgOGYcudiMGB2rspUZjsK92V2wa6xR2mQ/PG
5HpRMONx0GYG1sbDoL3/B4v61xqKF3yQRco5pwEQ9N5L4dMdzkGUyxjy68rB9AZ6Oiv1fDUKIOWr
Jkvjhwp2+gGbjPiMNSgvtiZ9c++H62jwDEXVWCdL4RW5cZsu3lJ+qsUmHnohkwIqp/NJKqmQhGH1
d8nKiDljln75ZrZRcXSAjtw6/l353jlK04KaJVVULxefYenLIs6bzGJTLDUaFln2FMNFuHGevfYx
nM1wi4UWrndFpHA3Ah90+5M/jNYWsXCKmWsKdvUUep80iWlAOKm7Cy2hXnNexdeP374/coqLadYg
b4dyjAWhclGygMiIXzEQxrFRk8m5c6IVlqyStmCDUfL5TFjvK/nVQLo9rQsSbog5zrydgGSnA2rw
5dqkk4U4fwrGA3mHHajLgsSolTGWOTVYHTH31A9Og6o66x/BEQzv7dwARm5Y5werC6Y7Frz6q6Er
O/wUIdJt8Yy1zrYw8v7R78dw2kKYGmmsJQQAr3s6CwlHJKd8SKXRP/sY7QTlDZkDtKCZ8RJ73oQq
tibxEm+3NDHLlO07Ti/zJcPxvle6oC5DwjAS0FobpuChS61uOE1BP3QbEUKWxgRm4rHtFPI5Yp10
0lBRvaI9qMmaeM9iOauJA3rJs3AxDtZpYDdvvpdo7YEGjcKGOaQIqXt3KNYeQEJ9zTEvem4dqbK1
2eZwRpmUi9+tQcNyreOx+KdpIPFvEaOitw3sYRCr0WajsfaKuN56SIff2CNN7cYYR3BHYE/6B1al
GPNB7sabVvXDP04ZVIeOcKhPGlggf5Y/+M3BAvT/pSNnoFqpBiYcdhks4/sErtm9Own5mSJwo25N
9Nc+IfLm0LG4VPkAm59/rlIXAA6b1jwq5ZjT50xgs7wfMLEQ004q+LehQAF6aFriHhNX+g3WABxi
aI8To3loYCe0qD/ADuw1kwL+Tidb+8vHb/6VfS7RASaaX5PMdJoji/oAbjbsdXrDuqdZ5RushZ+j
iYrOUTWCd2SwwBWY/QMDSqyBUeS5SyYDcALVnwDAyi1p2ZVlgJI8Gz6ffhmV8MWc47VZheMppYEu
2vgTnnftDj4snjpQYsi/c2MwVyOH9RyXg9ncGv3KxgONGfUHHF0kJi6PyQ71hTpPdes4hH1P5Pgo
9GLNZ5vWW2ucbA3eAPPE4eMncGVKpwLlsPChp2OHvZjSoymIHZnSTg0wwey4NvGg6RXy5wof5fPH
Y127QJJY2UzTQGStW6z5GS62ki0HYYHoxNca5r+DUwg8/5JvzIwr/cam6s9RdzGvUlf5/wHnH/TX
0trLnDSmyhQnDY5OuA2FDO6zIqYdm8aCKPYB/VK8Ss2xjld5B1GBflM9fimKvMTXje0PO2kxaEc/
cUxE15Q35AZ9vkw3//HGoP9iM8aR3YPixon6/HdiraVXknhEueqaFqzsXuGo8OBY/WviC+m3hWmL
G7kDF686Q7K4zn1cgFoXfOm+ortjiSo6oXfJcON7UTGcck8rf1hNn4XrAH8tqRt0w15cqmLljZ3E
5bo7HyZZYahz8v7xlM4vuUgGG42X5eKx0KwDoKpy7Uzjg6ssDcWCBqEmhfgtoxFuoGwo/cGTunHX
r9wCKmC89vPxZlaunv8Eg1gtz610aAqecWdqEUnELoni6djDz+vHfvZlW0ATbx2nLz45Cm70tjnG
cM6wuAPn4zY6YWr60HjHCIHUq+caCv+mdBO4SLb3++M3a57iz74AxqL5G3CsgGFu2YudRYxynyUV
vDr52QOgQr0jGLFt867Hd9CbP2Uw9cxp6FOmW0/YvDI0czoXyRGahvdiZrHr1p5GtJpHqJHpqsyC
/DFzVLWpx9BQK7ie2ucgnabPXZ6hXsqAQ2zSpk9eyWUpHiMfi9qtX3TlgTOtzqw6JiAqY4tfpCni
yjzOc6fSkjhnirpPftuJbz9EppXdhXDy7lo9ZEtTVLp4GLw++4IWLccR5vZPBC3UhL5nTBKBPfYv
jW7I+DGNbLAnkG/eOY4Gt/bAV57eXAKisDYjbskBPX9ThlDWlZ0mySkfbKvay9YqniYVlZ/KNE+8
le9At9rqxuCqG5/GlYEZk14po8JZXFYjAn2aND2rxiPpGuNP24+KbaTXb1reiM2IcHcdwXa+sRW/
/CxcHcMMsyB0WZyri4v1M5lzLpbjMRO06Ha6TcAdhDPFNk9oPpylj7+M+X+3+DLQsrDW8uHTBF2W
Lm0xwJf2ZXQCWBatyVmF2wBzrl0RxFN+LQGxUWwZ810l2q94lG7d4curpbqH7JbvgvFpp50/2tzF
Amw7qTwmCk5SAjN+rzhfbdw8s288zCtDoXLgTyq0PnWcxSpIIbaxIqimR9VK8UAKWvLD1fFVoYAw
bwz1p59zflfpY+gEFzg8QGwp86Tw14pbdrAu7CijEt6k6MVs5A4b3HXaW8nB5mhEKtq2Ra4BEsRU
uQcOmxLRSC7dF700goekRXi+NdFuPrIxxKz2Xx85iQO0PJB88DdsDM5/HPCgdnKyQB07DeS8fhLE
4O3bcSip4saAstAlbuoYS5MOCeAGP3n+fy9uDB0wOgRUcw3LdRZby6oid6OOu4r4CHIrW5gRG6yu
6t5sKH+YYTTe2Pssx2OeQ7zLRpadLJPdMlA8nKbYrp3WOQax3rzaSpevrd2gVxy7Vs59/qG+xeRe
ThrzkHMfZN460+9b5kiIyYk732P33PlkxlLQnRFUGYVBhI8nl9LBuk3+szliRp3zDXHEYXmj/3L+
SBuZeh31EOOYaA1VSilKfeOyzyR8KkiKceXHrgmZxiB39cZ0tZw/cP+cjbx4mSCdV71elMZxSFpr
Z4pM3BFzHu/VULTPMgAe6tXC2wPjKOYaorjxpdkX7xPGqz+7dpo8tGDmj/7vD23SJ2REMj61fxyL
TeICtO8nMd5KALp8qgiCTZrwhoO2BSXN+UAp7IS6Q4N91EWVHYBwJVurwGrUUp763jiGuot9MCUf
f6nLKWu+uewb/gDeOcAuG2r+NK9vjbIIUraKTyCkg1ckNNlj0JnW+8dDXX4oDMUNZB5mRmCs8+tr
siluh6a1jm7jqSf+NWdN30ytMhVrxzhJ8hsf5vLBzZeGDoYMDOxL2C/mf/7Xg5sIEDezvNdheOlh
s2opARRg+UOtuDHQtRd0hoIzIWNZwi93PlDhIiaM60g/ajnbdztrx6eqGHE6jHbwhGk432YzBIT2
S3NwEq+78X1cuU6avnQG6avPgQCL4bWJzl/HbHyERwGgBESpwiOH3OGWM+vKC4oPDEkl2xSDkvJi
ySkoojDZtfbRSgJT7qK4qcqDWVberi1zJ9nGGnKzTQw7rVt//OpcuUQT/LFHa5vE0wtN5zTZfeJS
P+dR2kMGiybLf5mDnX/778PMe3hyB2bJnLc4KplR3TlRQ2obxyXA5j6A0/FQKV93blzP5afAbgjo
EYl+lKQvuj0kVHWuV5ru0W6cDo4PeA8YdwxKca0wAK2OvjKyzcdXd21Qit806BH8zq7O89fUpbkM
oLn0jtSo6rssGxrU8fhqOJIO6bOGEUS/MeLyw0AQSOWNhFrWYWrYS20xIDMTpWmU0khVLpX1yPns
Ou4vI+0oLY39tE2UP6ydfkp/jUMW31D+LK93Hp0TCKJ3Qt14nPNL9df3D/QsnvLWNw+O1lYrl67A
V6D0Lpz2uH/qJ9u7cdBffh5/xmO2MWfqIfqWxUIhM83O5Ci1Qz92fUwypE4EGqToe24tFoug9L+w
j7B2Hz/V5afxZ1Tmb95YAzz8EtReFu3kGV2annoEQL8guIybhvrnjXu5XCb+jMKHz6vqYD9dfvpW
qBv4ljxxsmpf/FJxx5ajUhX6IstTwcvHl3SlVomCcS6VIBgnusldTDSjPo41BCVxcjv9izDLlneH
BlVgjNCEW9jvrZbbXxK3D3+LhJ2eo2R0iD3AZK43UGf6+OdcuXZs1zDPaVqxn12eXzh44wkiW/xI
vQIIXDvYAt4l2OFpHbRmk//HuYFbPWfz0Z/0XPqTy9WktOkGDkap0XMKta/ErXSfCOWLXs3RwX6e
0yr8+PIuzuqL8RafidOHGharpjsiVcvXtKYTzGrjcARf0tAj98UhkIN8GkgX3Xw88pUPBuUfpgPO
CvOG1jr/QK2cCr0pPRhZsuWMDdz5N4mv6Z1haNHzQJTIIeevNy73yqzAoA6Hbt6tWbl6PqhPSgka
XJmfOmh7Rxx5/c5s+/joF6P45MK0uPUyX3b2iR2l5eTwEqF1XOZmYltNE9Cd0bGMhv7QWxDYZaKR
egpmd9d42sSiZtgbL6a+EdK2WquySG9EVlx7xqge6H0agBPYYZ5fNNlbXlpFMtwbNde+alhqQayO
xiQOHNzJR2thnqymVFopm2kFCujjJ33tptPExXHsutRZljVIDquATEqt4WDspTuac9Y28qruQL4s
QDA9/q+mlvkb4tFig2OnSe1vudTVkxqashcnE2H4lz4yNOhdAy/Tjanh8r7ynboerR+CAzmULV6m
jIKnpOgADtbLpmOop/lLXGT+3geut1JVPO3GwVHrglJZdmPoK319xuaMzTyJn4A1/fyZDq2GEcVE
XDCBY1kXpR3vgMx6r52dxZs+GLodbnKdxGPKqm1qtN8lCN7PiJb8G+ve5fw4/5D5TIpjfxZVnP8Q
6CB1QkopTiVCyPakKccgkI2vQPTMG6/xtZF4hdhvsXuZK0rnI5nwJCMnSvyDHhMutqq9SPsXk3oD
x3gY/Fvzvj/PP2eVBFhDCNL4bvgeTESr58Mx2StRj1l0olk3vQeUUMwVUjgGGh3wo6tMVPB5aaUp
BBMDeLGnMipK71FMTPAgWpoR21qIt2zj+r1DG9MJ++g02IX+S6Op9RSSLIK9r5xxm3ix4dvDvcRy
GRgkzq4026Ykj2+VxnyvJy9hEiliH2ynWAHWxsMkuij8SZZiVKwMesDvoTQnQY2nU8lGbxtoKERf
AFHr+46UdJrp+4Qe20s6NWm2sv/H2XnsaIp00faJkPBmCnw2vc/KCaosAwQusAE8/V301ZWqskqV
+q961INu8sNEnDhn771MQepmhQMPioQqAv2QkuYoMT1CEg9JDwt6GNiTzLGs21MKDkM0Lro3ONNR
RrttBr0w1O9LXj5WSe69J9qckjTDVjmTZ6PSSww39YNaSM2JXEVsBNnaGp2+tiVsG6v0WhL0U7f6
QL5b6jx2vZcdzMIaAZXXxG0lPlK4UNg+2hlK5fdy9ZYV1zmReWQL6nP3DIXWBUkDJXjXZLmbh6Sw
TJcetRlJAKJB5Cjd2nH3Hsv9ciM8dR+sxckeGnP4pAL765doUsoz0+Og+UeHwBvmxfKLUZxV0NwZ
cprmeDTTdIlyBODWXtOSGkm9WWj7VdeKB00QcxTOntbd6U11+++V9i+1E5KtTQNOCcWh8GO7orMS
xg1GFxxb0RKht6b6l0UEhKsavU3mQN6chrTK41KRh4ZPm4zm2c1uaBUapwHb2CcL/59tyi05hA4V
dSOlOOqb378hop3I6aA/c1auub24ZAXMOCYuAr9yIoOItghj2mPfVeMxLwiX41BvkIWq9agbtn+1
klOC+vEziuKfK4njE3+B8owGKlasD39W3aB7MAlxPVetZz/lVr+QRQrWmMyn7PDvJ/JnlcOliCrS
6dRtE/gPl5pgpUghmM4kmjfug7xPwdn42V6TfRCjVUPxyoHhkybonxsTTW9OsBSnbID0k36/7S7J
vx7BEeIs8b3DeqEbgf3gu1lCEdOmdDrOueuHsz93X/79a/92YdZMIGFsi5t/5fcL50syO0VnFGcx
1WMblUY7o7vQmnyPpr/9STq9uLVxoRNuVXvjy78v/renymlaZ6DCa8do4/eL4y7vHeIri5PIiAfc
F0ExIyJEk1McyHpOv/5/XG2LUdm2iU07+/vVmOtayhwhwrmz3r80RCpnL6Vb+A9d4yXG/f/HxZie
cCIilpQn+/vF5mml5dt43UkyGcNh5QqbF2dFkV0SNvRZkfz3G0m1iJcv4NTzoTKvSZtdbXdNMc2Y
083kCvNrgTpzD3pvffj3D/tzPg2FClfk/7uNH1V5Rp4j108KhiZLtU2fK3/XtKoLrYQ0/slK5zjv
N4SKm6HKHjKSc9tPS5jtjPP7Ts/f4HJjLWieHEe2+/FLq0DrR/rnOptNsxTqy1olNXTBGXHoJ0Xb
X+8r5hdsVvglgo8vqNXZrcxLOZ/geLkkUU7Ep+X+y1om3ScH9j8rbsb9/BTaS6xwfxiu0bVA4E0t
cTalxOZrmdBPIe0QP04MxUNRSiRqnzzIrRz6eBN/uaT9oVwKWuZU9Cmz87hM1a4X8J4mpz8tFgTk
vuvdUJCRTSb+5Ed2kChiIRGAqmx6+uTv2L67j38HAyD8iJtNhDje3x+mX4liajePkYvNwT/kRT2d
jLKpXgguse4m1cEMkF6XTmRPtKMZFQSa3vh2Zb8soJjJYe0Aa0Qu4dXHxFpTAewgJ2y4H12dkAlJ
oXmCJ0C6gZbV7WeD6L+9ib8s3B/Xzz6D2BvUYj5RqKNeI80TgZLV66vxSdXyt4Ua0w4tSMZWND0/
3KXFRGbrUqSdgTsEVC3khDNo94j+1oanvtfIgCyqPpYz58VPHtDfdkSU/jYKTCYqdHV/f0AFxutJ
+nV2wsBEO2NtDbffIZ2R8yVjSdgw3uKkZlQWGvQyzyv6+uQnLoFPa2W2zxuuUNwu7VroIYlIajwM
0m6AnrAmSugCTeBGesCU6vXff/YfT2YbtaFV31Kc+Js/8rRRWdTL4jji7IxKksDa5dLeLWMGD+rf
F/rjyfzfmV5Ay8Cz8ct/+I4ql7T3Zi7EqdPp6O89RxYBif2++YyWR/ZHy1a6ui5JHiZcGyjjJy/G
H0+Hy9skFzDrIhaCPubvT2ck6b8PyAQ+cSfNAw2aKZ78ROzNck5e55Vu39os9f2/f/MfCyOCGZNk
UkSBiIT/KBuCRmlZqbCDgk6qzkRRwEANMGBAYPosTPFvl6IkYkiPPoVj64ed1CbzcmnysTxZfNA3
jqh8JDFlffBl8Jmp5m+X4tdsTXB3o6Z++MY8XazoQtv0lMBo2S9EFlyIsWtuyFH3P1nv/+vz/rbq
IS7bBJUWrQhqoI8aqzzVR4IvBnGaJjD0IMPcFseSn9UzgdDz3JxXxwMhNDdtd8j0XJtjQHxNFjHD
WRAUd316btZyHMN2dezk7JuZ+532fN+z/I0BKIRsVc4nxeJf7g/Hed60rWTbGoG/v2quUsL32pzA
HaTBjxys50hqlbieNOYu//MLxvtl04FjS2QG8uGjkgJg36A16blSwH+yWfuGhbt4SqVmf/L9/LHz
0h1HXkgZSoeR3syHKxGXtgHpPP+0jhx5zmQPaQ+ESU1zNCpXEjJM9NO/f9sfG972rfI+bwuGxRb7
4Y1Ollrana8RC9mZ3s8WrmQJfYzjPdSJLzPH7v3S2+90Ia0wDyBj/Pvqfx7x/lsqeOPwQEIm0z88
xaBAegYZgaKGHuZJGwvUKO4mCLdkdWvzfkXaICcyfnJNVnGRIZQfiPC/XQEQ/HSGGSVgoEwIWRqG
5U96U39WlzwDBIDMgDiBYgL/cG+8xbXLDHLeGX679c3l5r2YfWL9rDptOJMmjgBTT71EHsnl10AW
UKx2u95zxbd/36W/vOp8oMyh2EC2tIRt0f+lwiTUy3UKu6D9UyblzkiW/NFEkw+NcXQ/eQEp0vmf
fVgLcILT5Nb/22GD7Y/55WKACQSOj7E8jwRbZWGfZPbBGdDvZ6PXPbTuSAC4MZh7h+L7yU5WLCUT
kWOHhmjX65nE4pi0DFCERHvtmF2lsU681c3cBc7VMLblBecTYt3XtX7jOCvOVuljoC6a8ohQIr3Q
c5KafGn9mGYPZwfO4IuugBTF5BjCHAFx4IHgyoAqqGI4ZkQ6Y249mbiT94VNrILJoJ7oKK/pN6m0
FSYcrLrQhecWVSs+HABcBRKyNghO/aRkqNrJOa/DbL8L2Rlh4Sb2oceuuCtp2exkQCR/TT84GjAd
7GdCsUWoKrEwWBLiOtPL4IDUXe7X3NSQJTMyvNUndzoVhgexb1my01ounjx0DX4xrSX3PaOIj1HP
p5dNnQ+XKNjXsO3MZD/pqtlX8IAvpwJFeasWg//YmM4cu382WvpjGrP+6En1I8tz8N202s55V+mX
QPmIldNH86DpHa0smVl8wbTtxp7vVaPbTZumzKKltTWoOsEcgjkUl9osiU4fqnVfIXCLPM/AMZm6
w0HL5vzY95Iwr8XXI+agdjSmM0Ffq+5ABFqhoRHmfuzx915bKrNDXdZ9lPWBFeuwEU700ZbsMIy6
cyfmNQdyRC0IKMrelQW2ttjegqpJpcu4wjRTFzvLqHObfQ8QunLdaPawXRCml7dXhb0oeBGecdSb
Ga2pPbnWLvfEcO1BDwEXVGG4MrpFHSZ2Uk4oqeOckenaB68KsrgzoS5o+gwPaYvc2hMB7L96qXCi
VQ6AbqsKkoChE0tNfs8691guFqOM5LL1NyG9fPJ1/WV5Jx2WhQ6rFG7V/5rGv3xbZtGiK6NjezI0
e4q6xvxWqEF71Va9j4EWJ59c7mMxuA1McHtjySU3CG/Jh5O4vbr0fWXingLid/eVq3WXMySJ2CAi
dMPRpVf50tBTm2jv/I91KKWRzqmcxYpjFEfJD4WglrYTH8vsnWS1jvdyqYs2dM0EiXGqrwQNVgOt
ta2FbIOgzHIV/XvF/LircXn6KgF7NuEn+PY+LmJb4GK2uGg+1maFFptgaiqdd2fRbqhYEJ54nb4X
/iTPTYJg+N8X/7hcf7z4h+W67RfST4SDqE8REgZzYeIShH6Spj7OtDP/x9/qWAz2/rMlbipyhES/
L9hapVudjmQI9PTkPcxKg4Ckl/3OFYN7R5CnuiCKOT8QUrSFYPrpJ1v4x5dsu/wmLtnUufTN/4tb
+uWd9useZhh2w9Nijy7CxSlNQIN4YBh9Pr43T29A0iW5RvC8g0+1+mSs8/Hy/91sanEMOdRO1LC/
//rEztLNpeCcRluYd/mMDTjWUdx1EJdI/d57c9M/wOjgwLcChE0/qRH+dnm8jyjS2KC5CR/qFz91
URO0wjkNJjGGsb5WJTsNh2YrIhPAviefpLLO65giXO6z2bz93181Mjs4/DCZ3Wwiv/96Tvh9D0DZ
OdnM/b+mrg5Iykmbzo/SQK7jJ496u5e/lgbbvebEv60qFvXBf/XSL486E8aSOv7snLpqLY/KcbNL
PHzQaVLdZpAyv8ji09SV7Qb+ec2AuQTyLQZp25L6yzV9kmTptScOGkOPemtuNU0wrqlImfj3rfzb
jyNfkIMrA7ttufz9QsCM0sQlZPjk9ARjyppw+NDMrPRGVQVokLk1HqElFK//vurfFir63SgKaMti
//iwUHUA0KoKED1ZVPkzSmdAHxXQF4epYWzgK2C4VeexahoK8rb+zFvDirwtxB/u72YV5nizRdtw
Bvj9ZwsiXRD9WtYJ+Xm/J6piPE6TnZPoXYlvAYoDcIX6WDhRObTLo2ak1R3GK4Jya8efQs9v15xN
Gdsb+NHkMKEXf+wXy6vDrPaKC2Q2m58F1nNoDZzGcy/TL1gc2tdRgNDdtUn5XEBuvNJ7EUReLgFs
uhPWctETksu2fVl2CrmBvojlWZuWYY5mSjS0mI0qJAeKENOn85QMeKyJYfNrOxJWW6idb2rDm3An
UwfW6fv7ZbS1GHHMu752yy3W2QYGVO3OEMnd2oTwx5S/Yt1EpxgOEyG9O2m0OcElIqjUHm08AQaM
Qyp5HBWxUNE0BaSdIqIH0NITVhwAJl5zCawvnS9weauEBA4X2yaBr0DUaIqfq9UU+U6WSzuGdaO5
L2tqEpvaGItzmc2OH0QW+YL8d5hgF+C0oyIud4YA1XfdtMSumc1XwVAkR2IbVbmvhA+BTGQqvQ4Q
+wzhPGS9OLRo25d9Goj12rAqDW6zKi7Xdp7dA1hhO43LMXHHvT32+ddhsNqHvF6q8wIV2cRekXEb
M8/pniakUJzepwAwS85Hh+IDa8DjBCoDEhktHVb3OYnqVQzfBO2XIezyoXqetXK4Xh2YKNVUlTde
USxt2PqV/t2Yi+ymmJzmq2f39h2zbpFfLqNnnpzGYrUeJ9jXXa1DZze2yjDroLit5bqGBS9RWCSt
trel0p8NE51sDsd45COdyx1RfdwHcxqGHa5eb+ckQZDsyCuv72deEWhQGDSdOB8NaAOmlfc9zvtW
87Efz9WbSYhilPSN2ElnNSPIqmBMWst+6VEhn1rOAzeN3W2wV1pM4Zx7daSmhi/UbleicWrX/5at
hX3rlZ5fHUoj8x6yLHWh8I3aq6Ov2gUbfwc+BroltXQlG2yzjVeruM6xZB8UYHjUHrqTf2PdqcyD
0y9ZcL1w0FvBaHZrtx9gAYEpsy1xymnv/uC9ohNt6MWNp8C6hlYpvNemaYo8HMRsv1p1henVBDIJ
oxBoFV/PVHLAlsmgR4TjKA1onEWUxQF3ev3spjlne12O+b7qOx9I3ZwiQIFJ6n1ttLa8zRc53dlL
ErwV1mR/I+xqAevYeuN3zU4A+mQmSqv96OiAZ+zeISYyALWtEJ/zknU/zNIeVvqxlB+h6u3qXPDe
vxgmqbGIP/NrLQmKO+HTNET04tb7WdeaL0UObKvXXe0uF27KKXRpgJkGSPhBq3cksY3Z3oC1u897
jntBTxUaUw6qew0jHRFZBhL/nlNIc6Nr+nqnaKd08Tos+XIkHWS9sGqALHE1JMUdKU95ZFpaTy65
7vS7vh8xbRVC6X1EDSuomY20eEH7DZ9HjJXZn2ffLV5LIbQ69O1+OfleRZ+dRtc52cQKgItYvNqh
AnU/szae07wGId+k1TnzCi8qFi07+DkICiurtCPAuJy1xeE0WhuIYLCElsfCsKtvRq+D4UpMEfxI
Z90OW70oRyCSZnCv55a3rya4YLjdnMJBWWhNLw3i+FPV+jCP6uFHNZRmbCD/eBcQqrKQs3VwojYl
ItxLXI6jerOXgf42c0YmlmiutOfVBIe8yfBDeqDjhT572dEw8uaZnm+5txJD3PlqbI++LNpY1vjR
AW26NitckGlqL/mwYiRcdhZxVieP3RdVXGbp8OIEqXeYrBGxEVihY2tlZHyyYl6SIV7GjZTOUdRj
d+L4JG2aDhvDHoWoeLB7LT1hm+x38DaPyE+yy6yckqPO/oz/tR7Ti4QmKktCbsPGdsVE2JFt9eEw
lvk1+hXzJtDa9q6ZJ3GR4x0PRV/IXdWhmFNjuu4QKTJO0ljhcnMy49GSRZwwSIksBxxkqA0aaZCs
0QqbW4clMnfcOso9IFZTkagHv1+Dh0TW1p1MEnHJ0kiAWm8VR6hN/Gs9J98Il5/3U5DoB0e56goU
cdWELYH9UTG368GoOudrsXSsSK2QKkIfK09stNOVlvU+sfhS3/VMvqJg1fM3oxy9x4wlDsm8ZQMa
znzzunJb0Oul4tdYo8OSt/BPJAJDu69sKH1VMHPAdof+utRXHpNBArePnOPIngwOTHfUYzrqxlk0
wn2DDxCYN8RtTN7Zy9r6+zL3+mFAo7RVlXp6T7RkcOiydj4tue0e9a69pvGaRRqIqUMrQNCESjer
nVkNWhwkrv+wAEcpI77aEuGvt7BZioxSJ4HW8kPPzPWsdJjPntfUe9Nc27e1DJitDcrQYujTfYwF
NHnyMKAPMa1pN9ipruVD4z/Al66aJPha5IPJZ2/4WPXMxowSRBWvIrVFNPJs7KhQVX5oiTE9pv6a
Xa9DRXTHUGqYyoyMbH7sV0U4L0vB/pfW2a7wiIqou9U9DriEXpa2GGMvy5uHAdXg82Kys3CeSBAl
jR22yyG3u0M3stB7i6e+rSb1McIi74csPT32myB/yPTCAWOd9SBJ2uZK6wvqisSpoQ14qjf3QPyC
W+p5YwwXa6hPaz94B7mUbaSWBFCS0gsETujNBLvUKh5Hpy81dJipe6dnfV/Eqz6tdlj7wrh0bBMI
GtHNItb8av6Z6w4GX84joW+JnwVHpdDI0/XJqDu2WmV6GtxKB0gYPb6I3RIwEQyP50lvYRJPa1sf
CKyBcmnM2gGgASLUbkZ9hm98fUe4p5OOTHdnnfGd+qLxsxC0Onjlxp/ucrfJnowxSXdtk9hhKrQn
6dW0sp1OdHtnrEBSqKL/GhTyS+EFgOHVau00by6+e8XgUaWVJPYxds3OhMKPoU6uVGSufjOcVkjg
e4WtKbgw+nV5MmuH+s9MaFkeMDz7YYM5PfJGU7tOF2vtI2JHfOjknQz7VNGp3XLsjLT1HqC38hwm
BCcvLFFGFrv5mMQ9wTJjRJOF3HSKCkL9F0H6r5YRwFnoLIEAEDTnfi1q87gA4OSPq4eO5JfA2gO7
7LMYvKFToSVDLbzr26xsT1gtNfqNEhd16djfMTjrx7lPwM87iGitBd/N4MggnEAK7mxrNXajzriV
MrdYIDeZ1Q1YkOpse2hxMqP0ob5VbUyRudJtcKscznfHDCwItCUcC63dmeRng91q+js8BPflMLyX
vkweuqW/rRBePuPawmhIcAUxImtei4PqEBaQHrPK3Qby3BtOV98KMgrl0qlvWTFbjLaZxxCCXTIC
ZwgPe5rEl3y3KmVfywqo37Ascohr4qpopPrpRHIB6bexIn8xakQhoF9JsoYjZlnWFVW+YDfNn/rZ
QmTXGDt9Ule91cCnzOrqglClOkTIV9yw5rP9NYV3sPQ2JZNSe0xleh906RU5tw8WsTA41pWIQH8X
7P/516lwjrYJcYymzD3pvOzLI7zQvFmgpHSQQdD4LBIaA7Pu4bqlYRv7sz7cLrb1MJtmTH1l7+oh
Pfp1/lT6xi3vnTikUw5AAcWXajyO29brKB07Hrzqju/+bi7sOQpy64dhqy+eoX31KaAiomP6y3Gy
eSxkGwNdtp+h4gVhW5XdPZUNeWy2mzRE3pjNTUIHOkKAmEe6xgi/EL44GOTNshDWPxMNQLwerG7c
gUO4QDP7xTLEjyHR64NMplfNcn9ykA3CIRA7MiFOJYsVPPu13FlNdqXgyx9n+qtaMzw7ypoOfT5/
LQsfMqKybu0pKMCoWmOZ4qxe21MFGWk3W7MBY2NlkfEBPY/WoQymY5MOYmek+RQv1fzNFsMjhdED
pdwtgJohmmGlr5OfHqdeXLir94WC7IJyQVIXYKROmLXFbq1psSEt52rmi91bVS5uFkyAgMKzPuwb
S0aFJHBiE7jOgwO6Mrv22/lBKCDyvlk+2Hr5zVnrrXGr8tgHIxHPI6c+GGsZm580Y4VOTc89OE5c
kTXBPQrXeJGjc231uPXzic8j4JFBQltiZ54BW+WkLajCfeVM+3XNxFvioCkyyvawMiC8VXgewmkW
6lioAtytvVyJEZpJJ2tA3WWz4ylB/1otOzRG6q68rbowcJtnPVmu69mEo+FQWYx29oA6RIsSaOah
q4z6jKTVjfXW0PcrJmigJI0LQRtW7Wjr+4Ex8dknkuIC6aNBsU4GTdU2F6mwfza2f57whF0MOSAK
mdV0vYfUPhdN0Lxj6EoenF5AqHDp29M7CXYIbt9qrf5RGSzAoBzhCfkEu09C7jwwVmEykNrMTyTa
Rk+C276vnw0fhHoKH96sfxqB2js672GfBKdRqm+tS0JqxoZ+Hk3/ZmhXwN5zxcSGBU0NJKNXFnV7
X8LwrYaBLHlTe/TXie2V1JQL0k3Ofa+ue7v+MhiMMwZzancJQURR4i3Fi6aS4rnLioKH5D+h6+RQ
mWSPqUq/FXb1tUdNGC0dl+Joelc5670ye7o3EzS/yjDDtW4vU+isu0ESx5ZY0oGqW8ooSPVtuKDz
J3pBEzN39CnE7bu2LcpjM/v3STtk1Dz9S75oyWHoV3nTriCiUtWU1wMJD6uxvlXlyv9PWT881Kpo
LRYwUT5kljqDtKjJJ83lnECTsjs0TW/vM0sHEeQWbjjoqx0tkG2RaauwtzBETYbzqnxPxWqASoWK
e32TqQ+nJSNXOZEchJmH75p8vVFFcykW74IiNLb64G5Yy462QvFd8r72iRIHexo7YOEYyKsu0fem
0Xc3hDU0N8wp0zAtG3EKpJyOHkcPkDH1cGO5ssICAB5aMO2GOWqM32umFBHAsySFrRyUO1fLMWII
4YTAbd66ioKV0XiEi/SwVuCYgjq/FdCgwqQT3+11NV6sxu+idvCssNckJJzAORBl9NJU+TtHrWGL
G9h1mnki4AcRO4x1EgbHsBuMu7nZHl6a3cmKcjYTrthrdl8eXGV9Fflwpw2dFaL0uCf4tPquFe13
qbilXZb6sTdIEXcBO7zrCbX18+6WpN6R3fmktWsZSk0cZMmLyVx5pzU2/5J+mbTksu3XAQ27A5BW
rvLYW8NCqJUxwc0emBFtThu3nOaQCSq8VmoTcjDOMmsP9Laf3cG9cbThtguq2POoEOjX/KybmTxA
W+XGMZ+mZ1/zLmDIMfZS5UXnBicGbteeTxJxtiTvErCGV/H2WgspK4Qoyp2W5o9LKW6nvgV/Mi3o
mvR5CEljPah6pHIc1UEM8grVe3NURvY88r7rLD9RasGKLnsNK0vrxCTSPTS+dls3DvRkSOSQ+oCZ
VI+F6Jmz847UdZGEC7whCenD16Z4RvmwBci+NUlxy6TnUEl58Nz5ucwTxmzTFWvXu5qMmAL9jEX8
jMP9ovXUS1GUExICIBV+Etv+ej/5UKyhQka2zW4M1idEuk9KrPIuKlU9F5a6KvUioOWTX0y2fZtn
2jfTaw04pf0BWysa4FZceWN6MBx5JhzzJy2tJurLQl1nXn9pZutPPVcMPC1K5iWRkGiKn1UPGbpv
Ho2SaDLTBkpEMoLAL8WQJNve245MPal5HGAl99W2iwuS4V5GE9ICcXs7K8/f6Bgfisy/y5tqJ1Pw
RKLgiKps+63JvA05lF4xyb1y25R9s5L3HW9TmJLEluT07nAdxO6kXZTkWYWg0LZOTrMPvPQdlDUV
pLPAd/NHiOq0aKyF8oCUi1CIAOxgNWMVLO/TgVWIgObLzJgVXdHgGi3v5vA7ezmgOGfgqFG9gq67
68vkakraZ3hnaWx3ze1C87LQkouizW7bxL3S1+nsKf9ZFsVj25fXa0J/x5mexsWQcaeLgzvS3IFm
/tK48jway0vTkmlrC/gWjQ2bKl+/r4tzFrOp+MSKr4OV3RVjsF+nrMaNkuwcH5Ud3RiaAye1+QHr
0X43UkavKunOw1Detab1nNA+0HXkkagLD6Uu7xucSiEG4xMNua+d5PSfZfoP9uBH1yiuslHS6rSy
2HA0tiXTfB6r7shK984Qvyd21B8jbTb3LKjgbNvkzVYuiDMfuzfdEVLoNOe72daP5ATsROI+ZZwD
fJEQ8+cz8q0TyZrC/DrqHanoWtnlZY+AM4WnOVrJBeR2jXDB+aY3/bdEr5oLtuP6i18kl0klY6Ng
Fm7SXjYUa7YXJFHve08IVq7XHLFxGyzqOWmo/ROfYsCZ0t3UTx7bEBVDmhTQqrLkwuCQxRaQDhdo
tJ/ySvOOqp4C9sjyMpAsN4B01c7r2nO6DK+FZj6kE4T0CtNOrWV8R8Q77DGTfKmmFHCjV1w6E36y
RZ1Mufa3jWAiP6f+XsvcmyE3ZezOAcoZXhNDH+Z9Z9NpCDS5Rzj64lIMufxVB1ciC3KHu6wNOB3l
xrKvRut10OoxRr9khkDRKLTAWEfKbLlXshtC00gFdp2uup9sd+cEVRmjzZz2mbKfbQDrIZmZVE+B
vEw8vYvUqHOE0OFTMdMnInlML3WCHxOO2ZGTt0PsevIHfRlAJLVz0VnzRTdNEHlAojlEtDfjOt+K
ulleOw/IBU3aNiItcdqRWQOtXU/2ykNgwPtnHUS31LfTqt0BhF3fss4HMgnF85g63txxllWaFVpB
mt3IpMHtosgyItdcPmjKym8ngLI5n3cZhOukA7DfSIxhplfOvhZVczVpHVQew1wfyToWUSXrYOcu
9hL5BEQ/WWNXx4sL9ZyRgVlGljQWhKrju8wKYPP2QLsqIL7cwEtv98l9yvKlQ7u6XZFQxm3v05ww
XbVe9emYPhqWWVFCL3sObXeoD6/Y6uaYZtqek8Y1CU3uzrWb+qDzEkepPe5WQkNjRycoahUefTfa
sjFZ3NNB9MmeduJ3uoAtu7OzRE2BWtNDLoK7ZJaPW08ustVK2K6puljm9XWAD4hKb/bCTepnJ8MF
x2w4SFK/g8xU7OSQXjSz8WXqk7tCJvRWVXE0RPYym7QMfCNhgCHosi9Suy5oLQI+d9+EI+/cubgR
5urssSaxTG/VkNSvaL8wYLA5m3Q09ZevRi1e8IIl8DzNWxJIbgbaHLHTGmdyJy6Zk5K866svUtIL
q0ftain4uKtNyFLa2avoYBkALdsVzXKp08kMCXiaeLfN10pzrxt72Fttcs1E9Zx0zj3p9pddPh5Z
G+YjIqz+0E1NcTEsDFJCq0mMCL2kE9mjv0ZzbtOkSU1cjOW0HKzC7+inGO9e2T10cCkM0dHc7oo6
ZkaNj0ZddZX2SKH8czGHpxqlrLF45OoPdYtj3bpx0nXvkGyNOeygd+raM0sHiQosTJqwlrZcc0Z9
IwCLkZmZtHdd7RaRYTbs0NZ9RVM7XtsquALWe2BGe2nTUYn1ztd3rQ5nr7f4sZKt2cyTnVW02E70
3ZKyIDMzO5WaS1ei8dAJqx9L5V0nlUVzfroYO1PRvl7a8zxWNiMfV7tIVc3ZjGLHiruuJ3S2qeR+
sPXmci11cdsiGOYDd9/GqdJfR2NDT6aWdZ8PE7M6iS9jzvP+urMZjEgjmV+ot9Zdro/8nxw5XC1d
XUUeYNdwXOxy15Awu9dpvMaZ5MGJwkLspDKIiBwrq4aw8XlOv9FQYm2fsvlAJvR9W3TU0sIQdLvT
lyxfWf1W7ZpdP4tUiWTKL3jrEr+/s+gj0a5ZxWFB31WFHQrUm3lU/VM6bkVypw3xRCOU50xjm/iY
PhIjpUKGgAz+YefGSYaAzJx5uUYJrwzp2K0yJ43yorH3+uRoX9ZuRRBrNLwndpce3NV1dqVR6mfH
noy976zidQCpeVVqoEbHnFe0tmmgtJ4Fe7KYjTAYnSaymGBcNZyGH8y2xSpFWb4zTA6wZCGXwa4f
W+frWqZi15X9GtP9fC6T4Sde8vfW6zI2iFKPc4LidqDgebYlG5XmlenBn0S6a1TucCh0831SFG+M
IhiFVxpn2s0jddR9FXDCsThObYHyzsKgbvZpqlmyfsjTotwlfeGxLWrPIN+76wqL5eP/4exMliNF
srZ9RZgBDg5sIeZBc0opbTClMsU8ODNc/f9EfZuqyLSU9b9oa+u27goFAfg579gT3fYo+yZ5stwh
CxBy6Bulj1BoGjriHA/56PeAjoFpF/O2lJLl+lIwYWXuZfstIz+cGbZEk2t3aW6736Mha3dDZKcP
owe23CeV2KqwGVZR6bx2XovmJAUZI65VrqKOiIC2dfobe6ImOs7NbI0miANsgLKdHP0jHLJ4kzW4
XZTEVkrTTwSxUT6bl1rrRe+rTUggCRvuIsINtPOxBUzP/IWg5tWQRQnlXG06nC38YmtkxKZfF0Js
J4P3dhSaRZBkXbGNZ+2XYowiHWFgw5M22D+5tXdxZLNByOi1IwX+toDlpmCNrQOPLJSaI85g4j3i
vvA7xSzLZhwofQWugWPTnhoKGleNOXs0PtjyudVki0kv7JITUVOVP2glY8x4rIz2EOdk4ytLbjrN
xlZX0DprtevOotPUoIyXRtju1inktmjLG6PkHy1hdWWars2+XOe8nTd0nCLOFA1oRuItK1evDmNd
RH6uD8clM8ug5HP1imvqjPVKDOIfjWbjd62gEHwYopXpLdySo2D86eBS5NR/h7UY6Kz1fizLsFKN
/bHI+Dkzq2ntyOGsy/TUhB1RvtVyQun/M2lFg71zOs4kwfhRfIk/FQlBV0W055TJaEli2YotgDEV
X5CW/FSJ8Gzb1Z6Q/AHgDaBTmyBFZspV49w6hnWXr3lj3NNNe2xswoxnG6CdoC5WAu6b+XLz1Mzq
rZHuM4tWBRHGE3O/1WxKU094qU/3YJrqA73TXaJH9jrpQgjBpvulDFhpLrvpej91VW9br93pcbLB
fv2D/cI6V2PNAlk8xMTdgz3EeoC2dp0l0VvS5Q+MF490biM0qHmLNjFBxwt/m57na4o2RkThzYnN
zvlujaHDO0Y6vEqYbRMn74LGcSa/GS1tn9Gvk46EI0ZVfW84JHx2JRrZ+qmsAf1Cb9c26Tm3YGxj
Xd30yOJ8C3Eo+rGXMLTXlj5sdcuLg4odI1icpiJoqPieGOKnTjSixnpvF7xiyeJCC6y7Z9GCTreO
9t2x0mcgjX2YJbSxyOoOzhEbd6re6Eu/we+4JkvisOjND2TY1qbpHcfnpbYVJBz7eVsKKPAK6UHs
6pta5Y4fOmIJCpPwH278c8RosbYuReS91Kjsbptj7lYvS2wNa8diIbnwE2VR3xWjRhcK1e5lS99w
3m7Srn8g0BxjawF0EhnPhGw+2nn6gIjrTqXFpzYByYRND/WcgO5n3Sl1mdK8hBYX21FFYOl1FpQW
Z0Fclu9DpPalWbo7mwh2ETrNunSNfF3I9k004h2VD/dkpqhoH0qcRynmtWw090oVp6HMIWUHwi0p
C/bj1u32RagHZuNWSFCpa28WS3DgZJTak2S+1MR9LCPHlBi7XTuwj0p7eu5450SjawQG666fS3Ui
kvNgxO1TbaRPmHUCmY77iEfQUN6mbjMSCCSsEv/rDc7CMyvtpRW8XA9TQ5PlXGU+m87BLar3Rhqn
TOSnuVnMQ0Qc4io0vD1WtpvJiO+TMtwx7W7yQbDfQxIR1E/GAUtuYMo6mMf8tk35D0yNvwZTA4Ya
WA8m6g9ck82tag4VqBLKuPUyX66PLW6TJLktwP95e5HmH9k7zS3fizw/sguAHQzjtm/q8yUxkZrm
8B786F2p4bYs3K2aGVK06QmI60c7Ge/OXNyqywaYpfEuNkzKAS7Yl+19W2j4Nkvz4JbOgVfrez2L
mA5756bvytuwlMZFc7Ssejd6iXoNQKS/SIvEsaMJzq/wQlK88ZGH7QtWLAYrQI0Iz5OfJ/055nvT
OtyhQDRhxbpJD2hP+t6gD6zc/pMwWk48rDw3szOHa4o9YIyRi4+0Say8Qt3HNkoVApfXi5Fts4jw
Zzk2dybqFjop61sPD/6tMzQvKnN46CSSAG/s9zEEi6e5d2JhH5sl6owoPOqIGMxo/KUnQ3WJaDl7
dM839bRzZLFr2koP5kTexyY105KRNvbiZ5Pi+kUbFyCz2F6PhZet+s5dDqVNDXbXgC2EQNqD8Z0s
hoHVYlZbKtnZ5Cmzf+IZsTeZqz00Uc/oPRfEw9MYPYn+o66izXi5qWtESPZcfvNa761MTLWmRZhs
vdZUAaCu3KCXp8q8rb/psv/U2/q5TbJNWPMWFKVznorxOY6cF6dKUWxIYP1Z0y7cRMx2zIXn4rEe
iyNZEcB4jn07LxGwvipfsfB6wWBlD2gy7sxQ/+k58w3e7DOWzSiwHPdZwzfgi4V3Z6khbLFHhbQk
/KZjf/Cjzn3UB0ZOs0QINEee990DTb1xWAbg6GmDzdMnu5Ynd1ImAF2TBF6GmiuBzOu6+VdrNycU
mb+UNHu/aIvnxB23GGIc07ftYYvj9qiriN8ShY6xzXrjXdrVm0yZi1oXwUIDiupLS6yiGtYoNMN+
lbMEWN24l4q/X0zVPhPzS6+Md4stGos7+otMZxVOjLeM/qVaWnUAXvMqBh6Iinwjv8a16WdaXq41
PY1XqjJGnwps/iSZHV0hD4bV7o0F3IbM/X1bqZ8iiu6cEp6x0frdlCkvmCyvWGeT+Su1gOXz4TIP
LCkwH0cgunAHiM466CreJJ3Gy86cfGjdx2S2CRVQr5adB24KpxZXlnGYJ6RDYQiriEqzRYbPBIIR
JIEHZ6iYq/Fd86obtr43o+o/TC367looslrPTQLNaOqNUrCwMqXwqnf6rZWUbzl5W0uCTMbrR3Y2
Cz1a2hW7wo2P0h5BsXtTbe3QPsiGG7UiJ41RYnpJ8tg+V+2y5cBvAlTy9J41/Rlw5jnv7U/pDQeZ
kX4SFZ+dgTZwzlIjYHRcqdTde/GiBx4rY9nZr32Sr8FJjEMupncbpmKdxs0OMdGZhwh4LIkfOgTW
fiT6PXvSOcI7587J8+RVnR+Ownd77b1bxm6VNyEoiNyFFUQIa2m3quS083SKa9uk8o2w3VScQwsu
6hwX7KqYo56hmtMcAOYkc+DvIUrf2C6OSIj2mlOey3ReVlULcyKBVfR+fppQQCReXhx0rVkn0kOW
ES95oPfCxqIgDdC+LF3Vanwgj6T22UWSLTD7hr3+g+Nm5xkk9hcK0CVqnJfIgocWcjo3tfWUGxh5
UltW8OTFQ80b+IBMhMMCMtOvOvCFwmIt0mCMgUP0sxk75a1I9fu5Hdodo9TOytPH0Ywe8lbMB513
x35S85bz/rOOeGiaRKwXVasNJ84tAdiIB7zpEkPwQizpK+dv6TfTsBWzeJsIEB+S/KFs6IQfCQXf
5OSCe4P7uIg8OVRZydPESarr+rhOmPICg0kvzbIHmgk+OSPXbp0/68li+HPnvFM+s9VKklqIqfZW
1TQeU/4xfsdhN9IHs+KY/mFWeh305LsQBQvUDLGLCWV5g44v1hTSwk9PEL7YbW7oZgEDGIrPKhnC
lcFPjuzMA3Rx45XOes+O/gCGAuBGpyvSafZPjh4A1gQ8bXpRjSy3uVVeEnX5o2f2enSs2Jdgzlcp
h2yhT3ejTO61NEQhJUdiVIptVOjoNhpoMK15KeuGl2YY3hB0pvk6IIw/2MNnXev7DFjK7cXdYsZn
K+0N2pFLrEcT+Jcxwzja4WsxOdVOL5GWYMC+ydAq+tQaflaLeAjLQh5oT7LQA0uOuxbmjpQBxePJ
d4rREc/KPEWi3BtNdJyX+M10e5v3kQO6pYS6cN7fwtDB+qOZw0lNKGlC3nTCiDQkdlO5Qi8EhhuC
IVnehBbVpQQNMjpz011dY36aAQ+BX7zVZI3rcbHnLUU788FQWhhgAzx6Sn9IZvjEjJd62Se7aHZf
eOQO9pRfJkp5Z9btB203N8oydhxd3s6Z7NVUIw0Zp/YmzY0FboOXiV45W8fE2wLRtykt6zYVWGQv
g5KWcf802UWRApDfyzko827VOP0ABGi/mmEa+prskBdWWBuLKQKxma0t7yQilKcSDKCtwAo07nnR
x1vsD2CAc7Q2p+ZAN/fa6Psn6KYtM+sqmi/h3XV/m2SOAg7PvXNca8u9qZZ7ZUdaoKtwi3HgriYH
OaXuwa8K+VEXYbfL0JP78Rh/85a4D3IAoEShh43lUzmINVVA8V4sOhW/cbvvSq9i7Zo/ljBm23JW
hC6+OUCefhr1D7EFhWGi0RhbKsTrJveT1ForB67KM0DmDP7J1qlS/WOvssOcaLsu0W5Lw7htlpGh
aPhpLoVcZ9llIxRvJHswAIdEhDMVcmgz5/QbuglQ/+QgQz0vpq6c7iAX7nNccxwGdJFlkt+TP6xm
+g3YFW7MQnp+Wc+HqjI+G8OkTMe5dEDHW8PM3rxuvCkH6AHuEeVX3N4J3U/IT7xdnAFWJVA0YnKY
YYXHlnAhDHl10EXbZNmKnIj+SO0CA4Q0czTX5q02axORJP02EhCHRORuZGGKFePGdnDj91BPzwb9
RSZ7BepE72fjgidWI0oL6NptzOYU1EBt3whcnYNOmdsOGKIvDHjZJfoR1tWptNQYSK9DshY6W9bo
jW5ki9+hUUaXf0Jrba/Re/HflEREmM3Ji6LxPRrGZjddAr200DL2s+3IwGqrdT86n2VT32a6Ontl
tutt/VAQDgqtbr2adKFtprGqN634p5ikBK1sVX0ritKB66/f4BXXYeHe17YRHehhesw46c7mpH0i
fHs0vfbeyJITHm7E8HltPGhTceeO3TOiT+5AjznRkhOvu1l/r0RzN4gyXYMBEAUVbufaOIYZV1G2
c3qsRfwNHeCAtXPI14NZjDD52kqr3eREHKLhQ8qWqIOjX4WV01SX6xbKY8qK864Bshh1d60WJpoo
b345Q4pxqFvYukIr+dHRKLkJbVXtMCmfCgAkBHJITYq5DBgyA+Qfd3Y9YaFzlrWmYR2lmMpTqmKs
sCXvTQ7WUjDy1FG1BSRu/HRUr+lSQAt0oJeajopwRq0Na55tDeq5EYp3pw4LcaCy9gLgeOTQJ24c
9J33hDoeL2dmtKtIv8S+yXoJUqMwdlnK5u2FjPZoZ/xRc58qK3k3u2qjUv4v1TB8sytUD2GBW5cZ
KEHfgRHMzCu4Vde6HYVxoxNsjOJAX13gOm6VTThPzqHtmnrHNkS3JjdXhGsPLQKx7Y5e3JYa53Zv
jg8mYfnIbKZ5m3fG1iG8zrfNsr/oSr5lrf5QtuyUSxeKwBpgOCGRSGOLkV5o4qRcevMSjXHQWOpf
U5I9DKX2yxtR9FYZbgQX9nNDdce6FsZnjQImi8fXUe9+jE3+DWsQ5V9ouEgqQ3Rm/OgFLG5keh+o
80ivo4cpJsvQ07iwRj2/DcUiUJ2W3iZxL5k2ngNzji7xoEJ+1oG11w+N+nWxGtampPqZ2O4TGbXf
YWG4+WATh57ROZ54ldv6/EZc2n6gM9iv4/rdrDwIpLqPfi6oGnx7sj5BwOqdPat3NRDIsTSvVqJ+
JsI+9F51bk25s7Lk6EbmA4uFuV2A0C7n5A4DDPv/XH9DvMHSE4pvFsFfjKWjfgq7eBt57oG0OJ8t
rdonQnsQIlx1nT74swco6Q7VRzhnPwTXtKgspEXDuJGa/uD2codbbT9Aw/sFySCBapyd4aWo+rRV
28MqIan8mbZeF6RlSjA3g63s03qVTOmPJCtMqgHc4pTjU/FbK4MhFdR+WbnileKy74ZaMUChodXQ
Gly0hDlO20HVN0nIOom3bOMNE5tKEd7mZPD72InXo4ZCYUZUFgw19HKd/xwB3paweqRpE3GG294a
LAbeFL0mqjp0xNv48L/7BanoLZUFL6A/gSaZ3+op7YOpQ54xkA8XhEN71PthaywG0EozoVqbJEUp
YseNSqKe16zS0nzvQnloNPfWYzv35ezsZl7ikLjyAs+7JNqGddBaRurbSh2bGleliRjaAJtfpXV6
oEi5Y2hCcGSb9tnKdRZyByEFru/3GoLRiouzsLUzs/e0Ty3gYMCNbTnDCPRWxOFBKnGzBmglOgMn
A57nITmwGY4fZjKNW3L/oqfOi/AK2yQjDJ750LTTzZhMDYNlOHkDr0rOC82tjb0awIyXrsnOk9aM
d01jeFkQJ3wvEsvnw0QcSqDywtnUknxGdPchpCtuGe4Lvf6ZNhZVhUahAieMzQ8ikJxzroriARge
lVIRPebAEDu2GgKZXLPZkoAercgyiveh7aXbhjrWBy9LshOatM5bjS0gJpbfFNbC6MtmPVVCX0dk
WM2+3vMyX5Ckp2QY4ksY+3QVN6BcEVTn3naa8Ru4aLwaIlO8EMqcHnK7QpTZINWLTVO9UlFd7Me+
G/ZtwiqhzLYjEaq011Me2kdjGNOFDxkqZJtFpdBkt9mRlvHJDtwyzz4aK2LfyiNIzjqt3pesKcha
Fbi9mq7dxnarPqoQvba/GL1pBYkI4Xud+C7LsQMmZmcFWFPSY67QbbNgSbxkgnM74OFF9RhfsDOD
9RsqylkrhpdNF07WWc32D6/U0sCNgVPykoTCidT4G7T74GStfHOtstssHrG2XDICFzsRZST4WF1g
FRGga0Uc7G42xA/bK62DpsbiqI+q475qpzYYrbFgV7z4FNqqK7cNlSkBbwXIdCGrE1CAs66BufeA
kg2jejxAFyJrBEKcHnMImbXFebgSGMp2QEfFNi2STAeAFRA3S4uvo1XdnYtkgVnaU5uCCKOHDFfL
JsvsKGA1bIHUhwtb0yc/5aIQO4yD1nF6xLyabEi2VWShzwN+sh7GpW2Palqa+zIRbkDCj83NWUU3
2gKRk4VxBHIUXywkeY6oxM7RAVdVdzOn4XLjDNPPKdXzkyMq96KyYOaL8wXW0QbWNK3mbrSj8dbK
CKpJVViUPhj5xYMdsWBpCSrqfwirQx2yNvrUlvTdWlsMl7hSVP/4uyrehsP0Q8trQIgMdNMisAIe
rp83YlwWYiaIg3sd7BQleF8imtZcaGA9T5tfWiabbwISchP32aNTw0E0ibWcllqFjzPfYVWTvvRV
DvdvyZ1Yc6nGpQkZMzB1yNc2ztpijsljJcktyxYF+tyHW6KuXAbcSVTtLSKH4TRTIHJDWk6/423W
PjHVec9m2lTnkR3A+MKW/gcXPKZo3bEQyBPqKK6sycTZa9RtppT1VtNyVJmykjUJ9NbeSrrlKxP6
n76/ABNybce4tIZdpwHVEuVHW5XuPiXrgF/aiuLvbaSQUuXOUNlvSxKr+97Rxp+IN1zo4Ba+phxS
97HLopolfqZQ8osrcJ32wG/CY0/8gG4TZin0qwSnUmPvtNueQAxTBxWmFve+7owyQWXbMkbgeSFf
5e924t/s6CCa/2dfZg3SCev+r5s30TLTHnrOEFDKsNlGM46EY0yh4xmF+UXFYZfVezt7EfvU7HwV
PvabV9txMMLSWs1vIBEAXZnh89xTZm8SUwx6i1by8lwBHuhmYn/h1f7t3rp8TVenLFWnHIJd6b9f
k3WK72571obEQCw3VRd/AxPJPtnK9f/1R+Sj+PVswn1cOiGuEybRkBFg4c7RwTZjEIzICBLPqk65
QvCULVCxf/8Bf7tn+DjL0LGDExFAB9XVJexNFB0NlrSD0EUK1h7H3/MFnSHAEiJDP57a5IsAqD9d
S3JeiTukNcEgtvO/19JujTAa9Sk5KGEj7o4FGtLEoX/QwQv4xe1p/+nrSRMHmHt5KXDk/vfDypzd
X9kEQ8u6EyC/fZb9dLOE4buXunFBmkTMfNCiD/NbLAhmIFFB4jwKZ/sjT+XMmlawcKGcs52nrHPx
FZVz0lNA3ESAbe0wjJXvdPTIAE222pHiRAOvW+b0iLyNZf4eNxOMRWq2WNJD+kbBTDk2snUcDXMR
oHpHj2ZQkoVCmKiOeq26arydioGWbrIIxm/LtOAikJL8IgsaFdhVRDYLiEgrjpIlZNBsaAyCfuZL
8N+wSoSbPo6L9yhMgLOrISz3rUdfqR8nWYWJ03OHbSFF0a2SsTSroDfsJAncRY2Sb6U3d848Fg8Y
JQwsNqJVX2Vv/hZ8wFNLaJJjImYhl+Y6qsUJe96NE57RYaFOJuxnLEgtoYq6zNpNnthq3drW599v
8z/cdDy3ZElYLhYo/TrRKp2FW5kTNOIQFzq0bt3Z1oEYmVr3RdIX2ervH/en246DgXYeAmktzoj/
3naFkdU69AAvpsYLN4TTjLtwFq9GmuQrIqz7r6L9//B5ruAwlS4JOJcvefV5ZRxRTL4kB0+FYt+F
ZnMuLQ01eD57j6Utnv7nr0d3FI0Ulwv6+9VE5jdMY1dYm6gZ+hPpBfamQMUaVLNqj5bXOF/lBV6u
139CIygtIMcSZIvUF0p6rkIjDE0ntx3r4cErzf42o5kGo2wp5hs6XLFhFoMZkASIcgkrTqDIcUB2
QQR7MbbF//y+9CxihvgTKCygF+nqjO2HCPck5rJDZEE8rC7qh3KbCHYQVivVPzfIKB//frV/v3f5
SKJHTUdaFLtcDzaKOhfkZUl6mAah4eF1YQ1oJNa9HzZ5DV+l/v7+dFK0eSk50S8BN+513mnKcl2R
aEoWAWK8DdkX9l07JGJT1mHzjs+i24DJzeu/f8U/fijBvxaHkMFzc/X7enFWlEVHZoUZZmm2AlmR
W/IQXhICQTbW0Bgv0LXDF4fDb1EoJG8TJ8IQZxnEOdpXh3rGlc6py0kOvdvAVqZFGDQiRhWjd8na
rM12L7XI/YUiBcGEYWdfJPmQ4vnbXc0iTKy7ib+dv0Jcnb0UUdBiHw+wZwwT554pCfg28zSQtcby
08UaDkk2ps8Fhs6TkdFBshIaQSVo1qb8fYo6azsY43Dv2pwAgWnhEWXPwChObtylnbrVHsxCi4gP
yKqX2p4v+gXNKHYpR8inQOP4hE1tBK+1bIaMFCcT/8hfo5DGFiJxCaSY2ve2SIwNuI36wf3pwLVO
DmyqJaIgg37xY3z6d3alOOKcyTpAClQr4WRS89uuJc9k8Er9iHRt2Zpx9F4vjXG08Pow/6JvXBql
bt3R6o4D4rEbMct2Z7uxcgPiCRilZ6OMHlmo5W3eFjWGHVXth86pnqmFaFbNNLXfZTmnbw0ZfB+J
PjtBiMH1nGJB3+Fbo5DdiuthRWWXs7GLMt1ZqBVP44R2pRhxULZl6FBpvYzwxaaxct0Fq5BVyF02
1PVpSemJCwphxBByLMSwdXWGui3Lf4Va1zzqOWrpVeoYMUowUyIvnVvdQvCvQ9ASuZtW37SEaiRq
xYwTcm3z1zy2Vruiu9CR6wnSZSuaEXyyUlZ2cPvCfqst1RuYfOZli6oiC3jRio3qW7HVCH66hxpO
72e3Rv0cSo0ZQEstIHsz2ZpJvVD/q8InT8/71Vjb+jlvSo3jzY0mciSUap69yhHIh6zOex+1avgu
55qqr4JEmbytp586sb2Rb2Aq34f5P17UvMcnMGDSiCt0ACTorCPO9c/Myatdk2NFGOMifbQrEx/p
AD3LoqHR0V1HznK2sml+rCZ7vBmtBusj6ZWvEAbGEZ2m+qdtgtU4ddGcTUN015oZwYc1QVABan+s
gAqDtAiKlDhlKhVG0vjCbF0a0GKdmbXaFvyrEIF0p/6Sw7N0RypvuJedIYfybQpQOXdp0ftryaD/
iLBq5n6XlB7WGFUGFD0MGEdkvgMCRztDGMMulBj1VwbE9/em1fpTQn5CkFl6ujFkbK47iKR94drM
bKqWswwITOnadR+lNaZyCoEdI5dPPbEltxro8z7LlbvvB7V8NKUpV4M2USBrdhHwvlz023DAHVhM
3kIIDgZrHUxPQKljY4W/XghIwtbtWVkDG9YDdmqjtaKX2D5WpTeeC+ICf1Qz0mEzi8t1mXgz214F
T3HR7DLkJfhjFlPDyhqhD0cSYqJndXqvQxNBOg+hKImDrbyYX9oWfQJ2XSQYvWTqj5An3YD+KCCl
ObHhcLWc7l1N9d4HOs34nKmu3IC/udwufbYvatvaQaKPN0lmTy+43UzU6bb+uuBw7Hmpotry4q77
wI8ICwZKMO8cQTwFdTUOss0sn/B3AuDi/MVWlIURIRSEIXHLTJ+mAbP8xfn9p5NGSpPotH/mwd/6
0ZaodZZoSg9JV2UvIQDNqfEmIiy6tl6MmziWZBDnVpJ0Xxxx5vUMYxusj5xwbOk0TJvXyVvJknVz
rRTl2YlpxqvMM8R8p5SlhydpdyZCdD1cyImcEsG6gvnXW1eFVUI1kUIFmj2LB1IiGXeidIJ00ecL
KeSqVrUb4SRzetJrs99W0qPr1XB747UrcKDcuiwq5v7vx/VlnPz3OHb5Kh5SGgzAjqBM4mqrSrwm
W8hyKvaAc/YGhxG3Ha+i/oC/3Q73cSGWU9vW8U1vzMUX1/F61P3nsy2Obo5tk4jcq0OTsnMEQ7WZ
HkrUn5s8dOVFcBSSWDKYO9XLfvv373o9ff3zeUzUhnA8MI7r0eQSiWLnFjH6prWYdBin9V2seSk0
Rp6+/P2jfgOV/vksbJR0AegmPRNXawOKSa0IZajt0cOnB0qlshV01o3CJwxOKtUDvEP2jh5s2rTE
2N5omKaemI70reY07hdRf9fjEX8M5eBAW8TEGa57XUXe9z3ESutxMpUaURE5SkFW1FlfZ3N08UVT
TDCxG2zSFDx1UFb4BRDyh5vM0x1acU2GUPrgriZtXndqQa4eHzAneQGSDbHzlvq4zA+Qp0DsZorC
QKVfDNt/uL0QsJi21CVLqqFf/QSiz7yp7Tu1R/eCGHeahHEm3RFRUd5w3kiCZ//+o//xAw3AM4vP
5He/+sCR0DS9aKgdlaAiZ2tu2y0pZO4Oj3bm63L4qs31Tz8rSyI6Q1sHEDEu9/u/8g29SYjCawaA
y95LV2pEb60Pk30Hi+Rh5u2rQAE5b5zpcvJKrfofN+PLXfXvj78auo3CzqusTeY9Zq745yzAUPJ6
rtD5pu4NwFvxxZD/h8f3P593uRz/+rqOsfQawRPZ3psx5w0jkbDrOA3jNsg48Krz33/MP34aSzEt
oBb149cTfQm/atRNH+4y00VelpgUqW4rrHwfJNOF6otr6Vwegav3MA8GoLcLV879erU2ZXkRcx/D
iPGwVMUqiV0IbodQrg/E5y4Suba8ZL054zFO0ugBSmnet5Ex30OYOZewmOW2zuIaW0NmGm/MlanY
QYfgkrQcDTaskJQ2WBOJQDSK3hcxqpJRJelHNFiLjRZcy6G1EPOR9aOJpUdL0akVFKV9LgUyGtDN
+oYDFymwLbv4pIrl3aXnK/OLVGnIP1q17aTZ7PFOhuswiklzXdp6B5W3LAFAN3YcUTR01Q9mGJDY
wlu3TqL1QooPfVDsTsdF2eozJ/5QEbZo8MRMHkZ0P50saH+EpiehT7j0Btywds207iWeh2hhLvrV
VKRoNch9cBBIDMUNFgb3dTZLbevhGzpCcWovwiE6a5O2sThTEBi/Ro4G0CdwIKB9Ej3G0r/fP396
GZiGR3fHBdm2r2OEWaswyumjtu9JAPm5jDWOBfyN8b6mS/W5Dk35ZSD+9RJ6eSDZ9/Eb8O88Klfn
aYJmWqZioHyrKOS9MxThRmmoSwZ7JpdaEhqn5aPDDDrV87t02CViRrUvvrdxuVOv72RJMSOQisO9
fI1xNNrokHVWI8WqdGe3WLI+TRgcAyMq38TgDP5Ixuc21e1nfDIoeucFNLXKRkR1EZ44F4v533+J
6yeZKY32BaycvCZJtDYvj96/3hs643heF7G3F6SF/sKWii5KheWpGK3Xv3/SP4HF//7u/3wUgBIc
nuT761evxE5LhE7+AR0MVWK3Pk61EClL32COrKp6fMhkkdKR0JG8hvAjjj5Kcyk/4W5VfJMiUbwE
vgz4TBLY5G9egbLPh8Y3yVj0LIVUGqrhsYpr91i5k7vL8zb9AtG/vmsvEy1nCfwBF0z+NtlCAVvh
YLRcq2E0bqVeYDTv+2nbqzANTKLhv7hb/vDbuKZDUZ3jcYz9xr0teFB1Uovcffx/Grdl6reABiRx
8Nh8/P3X+VNe7T9ZudABJC7DF/73RlB45JlGJ3dPnU/6gLiDCvIubbH4x4D4lBCQ40fexgosOT4y
r8C3mjwuX/wV18/H5RKDJMNq8seQnnt9O1pWzmiie/vSMjMyal3j2yCxK8kmkjsB3BPIOa82clLj
3XJRCbiXaH4Q/GiHcqc88q//j3BmJPtwoIKDDszu+sLEdJwR4untXabu7ygZ3VuqyHhf8UTuOJnU
upvMr0pq/vmiVw8Lo/9lNGOGsX478txYEvoyA08CA5SWPxm9u5Ho7V9Euiz3bVL0v3BmdqRc5io5
6guxK+son8UptabmlsA90exGNSWnSHn6fQIJm/hZJeSD16XGmx1H0XucOZbEB27oTzFZtcUGqzOF
n2VCrcn9NGcg7E1tZ/n/I+08liM3um77RBkBb6blq+hds8kJoi28SwAJ8/T/AidfE2SwQvdO1CEp
JBSARJpz9l57M/RAQ579bMRfnYdxJtchQ3NaESOClmMMx+iVzpK68iwfpJSu1baPdNXoj5Fmytcq
wza21tBzEeSgGaNzVSUydjeAOt1gZ8VufUXLCjqV4Zg3ScYQXFXBSLeq8rpKrbrIT7RTQxKCWle5
rd12adjej2AJsrWDYCEnHQJQ7F1joVw49SqxrDVuGayrFBYlZaChjq8DEcjfnTkVzsZp5dkK62cf
DyHSsLstzr4fu4thq3f4+Ah70ZkLDv4QI/okGAgb5YS4j04g4Bo9u5IjNUYV+GIbsOU/sydbzk5s
xlgz54/XBupNXtT7D3gImi6fubZHrBo5gJuhR9qHChSpCMrRcqzO7Mo+mZ24XbK3NEoMlLPnBfef
lQOsImOkR1c09xnBC9rFbM1JiDU6hbDrxZmp4bPlY26N+BxauD9SVN5fj/JkDdE2D4595HQXBkX2
P4asIsi0eE9oMAbethM2c0VnpQ6Pvja1fM1urZmhG850W5l1ibI1AhdwaO3cUOuwd7Pvthip8Yaj
coKVJiKFwWR0233PsDnXclie9JjcfJ4V22Y0n1BzF0egQsrczI3Wp5yAkx0SuBt+T+lSoj2vi75e
E/trwf2QpfOKEAVQyteT66eX911kBOgXKNEsjggeZRmC3DGoGDJGKK2z+sZ5FHLY67VtlgHjQNyQ
bcPOss5ceV7Z309mnsbhmo3P3JfkzP/+1dEqiihFev6x1UnkpusSYdiwvLK57BsK67tGYDAAYGsi
dfr6nj+9sk3ngbAM3fgQO+gPU83jVMFRYvC54F2X+3qqMFNLs9s6gbLuWhPz8tcXXX6JFpsbmgcs
2Pxhf2j86jR9uyJvgiPyB9x1kXK9O6KVadtFXg6ssfjPUQ1spph8Zu0Ga7S9eLyg29LWQtoNhSRQ
P4QqnV8gYaEVQXHQIDCqaMJS1vuvBhVP78zNfpwGKPZR6POoIxPIvTybVYCshiRhDFtknOEo6MN7
7C/+yS3j4Mz+68MA9jRmGqYACouUxbT5uf8z4wDqQYlVTWSay6G8qwDorWsUP3jSsv7HwK3hzMKh
09nJucCXDzfJA+bIgDPPZZ6H6f/+ylaGBTxO3PSUjbp3WbRq2iWok/aGDLLd14PnQ3HMmq9F8cBn
0Z/n88VdFiXfqBclLkwzz4I2O1hlCtRVEbxXhRJBa+c3tdo4bkkU5RAmCm8L081uUD44rVhes6VI
zzz5t2rJuy94/lFoWbS5TkaWw2Lvzh4hxoVoALQvcvx/k2OshWVsadulyDMn1Q1YktZDcz9SPUvJ
qcyGyz7ISrAGuYu5E6d5inOvLdZfP60Pnxq/yzMNh/oosxql2vcvpuhwWoZNCrjVH6ODVmf9yXOL
Zpshnj52OJbPzGRvOqHFg0CuxMUoeug654D3F8yg60I3RH3HgRLo5+SWDg0OzG7wTkEBuIesFTVo
I5x0a1fSIVnzAmvrmJdSkfUeh8VD6A0NnlqBMTVoQuvM9/jxiSAQ1ua29pzaSL/3/Q/EZmI6ZGjH
J9NvsIvaUaYVO5BR6g/FE8AFboCN4sxb+PhhzgGHumtwotf5Y7E0O+5EU6QM4pMk2XA/MGz3kmoy
WQt1ArZ38O6jmE1PmPfy79fvf76b969jvrLHd2LOMs3l3cbSZMj3GZnINOMg7xQFxKdowPj19XU+
TgDc2ZycTXfNov+7WLoVQuAmIJnxFMEYOwVDhx/AmfAXQ4jqzsSEf/IGPdQfXIl1ZD6Zv3+DdeEP
OsJmKhUjuBp2zMZpSpCdOmaTQFnrvV9f39uyUsrszW6CY9dcXqMCMN/7P9OqT/gknkpqEkbUym7j
BZBrto41ZxWmXpvcsnJ3D94YyGeT0IO7IRz6M3f8cf/szTGuiNdQvtBe9xcrGB8aWDAgQietGuqK
OIfByVdD3tIqVLE23YsejPMmQLTRzfBWaMJVXabyGJEKbZ/7MZ+MKQi5rGiuYfgegon3z0MEDF0Y
CCkeHdt/II5QAUcWnadxFsnKyzroOJwwIym4gwppNVW+ACE2JVH8OUFixSdFBQg/fjR5zxGoae34
9Qv7bDC6qPzoFRiuhrxs8QNFpY2WMblHcLhkA7Mfvld10+y6Ni92X1/qs7Hoons2ECYxMrTFJr9D
TgYPII9PIq3c1diYGGhwn63cmP6zHtT56evrfdivzcUVtCLkj7L8oZp8f2vjYIg8G8uEES/jrVe6
42maMO0Krcsp/JT8hijU9l9f9ENVjoX93Rtf7Iz1zk79xCjiUyowfSnCSa4HbSw3slXdplWYyGvD
8C67CO4T0DpvY8ehXKfAgnZg5zPcAOey3j/OqJzgKH8gqbPITVqut5he26rVJJhAuM7Roai97FVG
nffXdBqHdA70eD/0PjV+2KCEz7VO3k4C72dVrs7WdZ6ETCahxQwUucNgZRy2Tk5h638S0w5OepIQ
9dzL0sazEkukFJTKI8B9ApxX7XbOReDn0U/Da8afudlNJ0eBaF7bCD85eYkQ4BKcgmJDjz4CA8/B
/XemJvXQZx2WRGIUuj+eyelup3P8es4RBfhrrek1feWaEnCx0DuoCU2F1Rx1KeeHr4fAcg6kOkx7
wbbZWJpsMp35ffwzB1L8QV4CwfSonPKNaxVggU1jaDQ0x6B8peTZlekm63WPskpulGdWbW9eIv99
5G8/gEc+z8Es3PpigQH56WnE6tCuorx5VUY1FhE66VZ5HVt6/pDDPKR3Twc63IoiDnTITlb2bNOt
vDdDI6J1ocoRvoRnNDfRyJwAFsehrToo+TeGkIDooKuhjeGUW4WVZj3RVCEf1L9Qhl2vMULmOwAs
1w3YMLyYVm8/p2GB+WnUqeRcEq1RuX96Eh4MQkQFnvnKHNIfY8leZtMp9EBbv/f5TjMfoA4nvJ6W
gQHM9FvnZMaj5DRa4MVsXW/Tq66elV291V8NWVL8GTJGD5AsN3pJn5Ip3MGqNHYpdPFNDNd+7/Ex
2KsKcNJDND8P2wQiPUWOAzZNb8N0mwp9/JkYqWVvS4iu3jqwJIERdWWCzWQXh8UvIEvoOkgms9rn
ZiKjXRGEYbuN+8qzNqI3gC5OVa4xPEVZ4/g3ohkzWfXym9n3w7gxCyP7UZTzsy19dV3i27m1a1KW
iC4IsQIrDVfXBMv9XOThcj6chwXbGtPzGRh8iIsvsQV/WZkp82HedETANMLv7nV4qOGp1rTuBREh
DIC88PrszIBcTvxcGK+By4uZz+v0Td5/EG1OOo5RBGgDrRr770oVsLlWWoTHei+U3Q5Yxxq3OrOy
LZfe+aquju6UXrhNf2ixna+GiIjWiQZtA+AOP3CCqQQ5GoDXM7f3NoEuvjegLrOlhY/dYAP0/v4i
OD80qDr/QG+/2JVYjFACRWNTrKFL+2jg7AluzxB75rdmEPVtM4CDXePRKL29cnPrrzCb9BakYW0x
TGnfHIo+18a1kbQpWSgWnLavZ6hPRoIDxYSjHCBvmyrS+x9s5S24qkZ4RyNRUKGkDUTQNFE1ug2e
5kDG+J+E2n190eUyNL8PtLGctzn1Yc5cTItRym3b8ZDSVJxJjGx4x1WfFCPFW8T+U9zLCzmhcmpa
rz78f116KcuIXUt1STqlR6fT92VhmlviTfAMZn6wqXQo9mZYDz/pXW2/vu5yc/V2y6TI0ixE9EMn
5P1zbsumc8auzE5QOry7MgDdxVt3t+MwggT4+lof9r3zxXiZHKvR53LcXzxfBU8QG2DtH+zU624B
IR6d2nf2w8S6V2ekR/DtEUcy/q7C9BZDmX3mB3z2lf9vUKFAWdxskIzs/CBhybIP9iGMNpIhsl2R
9z0GeOAkX9/vZ8+WepiPswj3lrVMVLUKZKEDcZMnYpfCbRSb5i7x8F4mYhJnRu6HPd3bo0VRY2Av
wre3rEv1dBpjmJPB0U47UvBGMBKGwDylAnNm3Fr+dixASmceu5iaOs5jrQaxQ/cttn2jsSRORbr/
+vY/e9rspkil1LEwOMvKDhTFobQsTDpVn6vHOIYS2qo4ICWmquFPO/7L19f77HH/O5su3q4xENtT
UnI+mWjroax1ITLgWLQEZbSFk5tnvpzPJm/KMSbV7blzp80/5589lDtGDrD9IjpBBoYWwgHSFFcy
ph185pDwyWYNA4hFiV+jDUBR+f2FCFfqUssjPj4FXpGtOLfD0czNv6Gq3F/ABwPIF3SHAogbB+B1
5yKYjc/eI41Zuh8cD6GbLQ5FsGvIP+LwfiDew2rnWJT8ypEpeJpgGPKChAs9vdck3cuLGL81YRHN
OBfIci11t4EV+v16UOOuCTpiMgizcl/Nrij7dZRjq175NSnD67ro/Hztl7nmXBiwY0mksk3ZbdOm
s51TObVFzEY86R5L1qBHD5CyceYLelvil0sk7QI0Yh6lXdwS7x8z3J5JNbUrDoWqR869WjU9ES1Q
X46FydlMJloBKclChuJLP7lkC0vWYlZlnNnptcQbpyJnZE/ckH5NpECbAQ4O2/owZQXcUx9S7xOs
gdhftxGRkiWoN3+nEzJ0jNuRkpqfd5c1K/GVoONFzkRtd9OWk0eF+9nxkvTgTp66aMCWXOpIJdtb
SBP+hdYmSYlsghbMmdE9fywfnga1LcpA2E75hN8/DVuVlDD8MjxFZZSjJKpN4kDz2pYh77sYXzSY
L0+klRm/rMa0+zNTx8fVHxkv1DoEqUhr/WUBWrVlgl9SEfDnuzVZIL0DfMwjPdYaUWebepvtiy46
tx377KoGJjJ2AKhVGAfv75m7KckQL8RRamWE3h9jKwpcHWUkeKWIWWybzO3W/zprUf/530WXC7/D
JxOQVhKfgrnO45eIrG0ddKBeJd3d15f6+E7nS+EMJTueksOblPmfGWuoauyBhd0da5Gq4hRFse0f
cljurwk9EwJrOZPdJaVh/oiosJ95pR9nES7OJsP06RnPxcX3D1dIRRegVe4xTDKHHVTcPrp2yn2G
drTlR9dnZs3PXibmVn/2IroaGsz31yP/hIbCFIzHstCcQ18l445danxRdpp/0+LGXxPpYz5//YQ/
rgn4lemIO1T2KKbpixHkCR9UWm7nR4+4EXbHhrA5r3hacM4TPs/57z/P2WmrIw7ktOIZ5uLuyFce
2Fo4+dH3xzDftJxA74OOwAgW/ME7dyz77GoUxeZ5AF8VTf/3z3Ig6iknOQb9Yx7Xz+CDMnpPYvDv
rSGC9/j1M/xslKIP5rhi02Szl8ochevHQQmVngYcQq+xI40/bpmZK4Ci4TojkeRYt6QQ45Y96/7/
7PX9c2lvsdKa5sCsZId0OzoyglKjqbeejXEN6Fq9RpnlgaeI1CaruelG15vtJO16k9jkNdmRcO9K
iPI7o/OiM5Pxp8//f49kWSa02rCB45qVJ7r7mEqwszdPejRMZMAGmiz+87aV49YsWtbRyNECXJwV
S1uYRuPHhL+qctr6KuvWLqffJ2POdPj6XX/2kTLXopfFIsi0u1hlpIqbCAK1OCYafCh6WoKHCx99
EiB/bJZAsmz69FzFe/6/Lj8eDnmornA5UAhbXNXtxlKgwMOqrmXupfKvhrCLCI3GxauRf7XtYEBr
YjPHi7NljVX//zDle3y4aOuM+ebnqfKfeXgyUQZKOYgD9y+3yKz8CzvOqb/CtjozC342cjjXzVPR
W4NscSkilyZqVoF7iCC8gePOi0mty0raclMqgcbwv75PFw7DnP+ObtmhqvH+zlpg0Y2FKOaUggQ7
KgxKHCSV8yIwTOMp9NL9kDXu/uuLfpww3l3UX+xPhWcqIxtsMmyT1v7dRkn1OKhGJ8YFTFmw4SyE
0b/rYk70uSOt6IyL+eP2nMtzuDM5CiBeXOpMEKzpvUELhQpRepmUqJ2rGDp+PJjG5Yzzu8iptz1W
gQns1iWI9Oub//iC56vzwDmH+HNf+P0THzhAW3qvx8fRzKuXZMi6ebZsQtJJYuv262t9aIujk6SV
QxnJnv3atF3fX0y2RYTiS8ZYT/Nsa0F63DWNCahMCzZFFOSXQeUa13HsvAa5/20UGoVODwBv7Otq
G44S+GNNAF0vUnlm0fj0Mfzzy+Z//88nVbZOk7mmhSk2IbpxFSWT+JX4sb0Js/rP10/h45z17iEs
S9el0wZhHoyCQGvPr67ijM3Upp2mkJAhAibkFsaU+bch6e/h6wsvdlDICUEIkVmp8w5o4SwBC04c
VjFSqukgx0BL6U5MCkS+V935FMUo21uW+I9ql7dLMjfTJ0VrwJZmcSYi+NvJoEXywlEUthB20Zhl
MCqurTjztl/f3uIVvl0LrQFtGAAL1IcWgytsiblXATUhj5asQ4KQcut7JZvuuVSd4ZyZGJe1KOZf
TtKscOB+KDD6yzaw01R5yRoaotxxiMWy0/63WXU4SWEt3QWi6bbm1PY7o1DunZGW5HOmyjuzELzt
B/9Zid5+BLtM3uVct2Fn/H7YaiSh152cwmMiZGdsdUK2ivUID2LADjiaFxkFYrkmdr0tDqLtUVfW
OD9J0OjG/jUKstjb+WNOKMBkxEVJ7272hUoOqfjMw5z/NCw7L1mNNG6j1//2uubnx96aDSjjfC4e
vv/pEaxgoXEoPTjDhDHEH5Ot5jUeUH9yPf77pTiJaux3+YZdazEyMku1Ef98PMi0bAghN6erAOTS
LsA3fWZYLL+x+a7YE7DtNKl1MBzf35UVDWnE5OYftBhMIal+06VS5HINiRHcl21+7lS0HPTz9TwM
Gog5Zs37UiMZmGpKbMKMTl4sjQvY+JDGsjm/B5nk4b8/RUra1LVRmvN9Lb7lySsA5LdzRb0n9qBW
E1o9o+3UpT/QTT/zyt4mo8XI1mEd0U3BY0nJdzE87Ky1K1kFRA/VMso2JPyY8Uq3KrI5tT4xH0DD
6uQrQnd/UpEFnR6GsEeqI0D84D7rmv5RjJN7OcSUDI8FMDTIFakI/8ahcOA5Zg3AHwA3HiruiuJA
THOAtGQR5E/It8FEummY/aaBln3DDpZcp00mfzWJY6eziaj1VkE8jT281Sj8+fVj/mQE/XvjS0k/
vZKUTLzAOQAY8k7+RNpH0yfWs9aK8aAI+DwzbeqfXRBvqcNeFj4aVpv3Q7bB4NqE0IgOWL5IIWqV
Mewn5oAb0VZQsRGXpNsA4DJRivRBnUqG12k97P2WRAGqBYTx5ml8F/YAH4GFAuYNQcDYZwbfZ9Mt
Ey1LGMpN9tzLPkMM9LhsAi8/9a6u7gB6yT1xPO7aaGS2M5quh1hABkncookdLM++a+FKnhmUi43i
PNtyygCXDJaDrfeyJIBTsPQNDEcHaN3pH3sY5d2UVm20MuC8NBtXGM33vivZJ+NlrMwzk/0n72n+
zmeeGagblEfv3xOtV9iFkZ2ewlSN+moi6hiYqJ90z71q+l8WKfJ/vh6Ki8kF5dbbhVAhU8hj6lyc
c7LeFFFhZsbRaahNv7aBB3G819PgOGnR+PD1xZbbImRi5jxrOsxkVMOdRUUiE23jFOShHY2ZfDqf
rFZ5TnJ3iUxwjWcBmjI6iuPXF1280VmbhhAYgSIksLlrvNj9asSk5HogxFGgF91pUd2taSAXt7In
CGZkpG0pKw9royc09esrYwLhff0zw71dG2ksKVx0qlmUFkuFGqEi0mgPjjWb/2BnE1DqXnBmtePb
GhHftwpk7EwU7jg/Q1i2HKDibVfs9TAvyGHtRjMB4h4GeI74sItNOmYSzeug999G25e/lSGZO2Jq
IY9dD2BgNUAC+6sNlX00ndqKVr4Z+mBWK8076SOOcYtSSbGJVNwnm74UvbbqXY1AIGFlgM36EfDv
ZgKVchUroRqSG/PpT11G+qVtVGhuWREIjLYmMsYIA5AuHFsVacmF3hjJVZMYw4+89eENjvqAKqMr
K8jHulNAF++SyANr1ujgbYyxcG7bztFvasb2KrMrRaCrKCKSMzjuknVUjhOJRLjTX9puamFM6loB
ly5KaLvXnj68MIHUAUBizSEbApbGZupr/cEJNW22LKTM9gC8nfxnGHZBtmFrYjzazliXm8xznZum
7CeYz9406IdxRDTAtnngsjb9xD3Rz2wwhZnbDXbhrgKGGsQEmDTRyEQY5l5AzI+yvqdZQtgqvSPv
MoB8m+9wCsJqV0VRfMtk71nHJCKnZwXbwfvhZ6G486A3kLfW2EO8KRRe3IybhldVgmvcxnqjE5iu
NxHtGwOE50plJMg8xcgd7JVMmRh2GvPxi0NayJlxOm+OPgxT+rqahv99rhUupp0mBdYYa9GJfUjy
MoWO82gzRtqVpQfun6gJbRA/GkkSQSaiBC+SsJ5ZLcKL3rKNU9/2ANFTmZypwSwmw/njsectL0sl
EkjC5d7/qgYFxmQlwOJgsIuNRrmPrPYhoMpG25iAg6A8s7F7O5YtngPzoMEF0dIzUyymijlj2W0T
l/nJoJ2wMaVWj1uVeeKVZHIDE3MnclIE+8pZlQW1NnYQeSG2Vj0N17ounfjcur18MbwSao20RmcZ
FqXVxYshgTAoEIoRXa8Dll+xeALshdpAoLYKdVNueG3kdWnuLfl9hrrQR8jsG29yiWgzBlOSimH6
4ucY2Mm3M2NmfhaLZzXrEvFgssNnKl88qzYrSCy13IieRN8+8RfzQXd7UhWbMHN+R3wXYufrg7pR
ZSR/5BObMx6k+M3+NfpN+rj+18lS68UMcG2fmXdxA7616Rc/D0U6RW/k3igJlsXvDFZ9pDtYFI3W
6btNrbvZfohNshb9NCGCIwJysdbQFO+LPNU2nRi174M5GBsvsQCIB5yRRDyDgpVbwFnS9UMztyY1
L80AYVnxU5kQBOTa7PYdQk+uQ76ESxV78qGd6mre09V3TZHBQZ1mekYQ0OdfRYIscWLECS+qsq78
DfE7ZeLDvdqEgtwnJcxtUGfBGjw7bCE4Ui/wGcIblD9sNZhMqm4T5VY+xwLG1p6en4IMKQMM9QiT
SHup4v6h6PXguioAhEDeT4Mfyk/S66aGAMAkPOMsVFBVGAchvIw79jTRxVhZ0VVck4kokV9cIbfT
Dx2o45PXehZhvWGDtSQGV1yMUux1IyaAoOn8/WB72SPFvD9JFKQXcYCBSyPNHPMpXq4LIHnTAxHV
PeHKZQgOndwDxnM1/22xc4mT38W1Fu18qmPXiUMDlN7og5jICOzQIuMWjN0/Jnqn44yc+ZX6nGwL
+Nkb3xoCPOmoFwpFKJ/AW/QbHLb1bSxc+455wvwBX228IrvJuWtcu9pmQgO+H0fZHB9S/uYzqsQh
QWl+yAyhHrpAJBfYd4dfjeYqrMwx8PR6kuVfq27EjWaU+iNeonEl29y7jBBEPBAcRYpa5oGxz9o/
UH/dTRd6Yg2lVbEmOv4+KAm6L2ryLwtKfxcWe8pLZVTkEg+5zCG6V/42agkkmKGCO5aE7uDnML+B
ipbrfoJ7AoiIxM+iGx6CIqxuMpGb15aZiOfICqZ1U4BYy6JSL/ZBjLi0Qc/wqDS9exbDnMJZpfXt
lGXRTpKIBnmbyLOBpLFT4XeP5AyGR8vtCVIkGrPeIG6J1jLtZ+9pntwBZLc33UDJahgmb0MwEIOm
6eS1MrRhZxZBcku5RBcPacVZZS0pMN6ko9S3pZQZwSl9sHGDBES3X5PtEfvOfcRmIVz1aT6uYmll
R8un/xQ5ebpF45g86RBXbseGnp8LOpOcZBWRQKiXhMojVryw9Tj+xtak+A2xrFw7Q0NlOkqID4W/
tk5i0nAqCribtJUk7nl66O4jMiSeClKAnkKXmA07iNLrkMd7Syqr/kI8KAm+BpWBAgRZvqr8Ylr3
NSHtPsWltUQFs4HRBra/T+dgHneChUfMse+yVdIRtR2nAkxXkgPsy93G19bu0PflFdxpCX7Sfmaj
rq21HpidK2DYN/kthwWyQEOhrzJheIfA6+fU9Y6jpt9UhyEQgKQN0vSct7psaT8ETfSaakQblOSH
AUifvJ1dlTuU0Q8VxvpVXVcW4W5NsFW5UJdT0IUHadjpZhqNEKRr4Z3o8fLUM70ttsx8/itbM+s6
NpNW2+Sq7e59+HsvKqgj82gljXc/uoV4imNb/ErNcoi3iBLMx4HqLOmfWmRc5ySxMnxHfC9rHRLl
dqR4fuwGUE1rR8+h3/vlFNUAr+Mugyc2EFw8StmGO6+N+ob0WifMVjwuCfpMxL/7omog9o0/8lF0
R03aIOkTHhpIeLkFfVldRbkTgbnj1+i3WjLWD54/FP1VWRhWeDlwhtZ+T0PtU/giF8S8SszSxmIM
cU0zkmMX+tTE+CF25Wz7zA1v/FrXbmyNKvRKa6Pxh1W5/po8W7FmnjPVqnV84gFCi2DtpKmdVWpb
You1jUBWs420qzDzbH9b9L3Nfs0nLDsZJOHqRuj+8qOqe8TpPAAn7bLH3qrsP61UzR0BnIDbvbrk
92ZkrXgSevwEWn8lqd7dRjKzH0vXqXaEOQwPsaHXu9avum0WeeVJ+XMKoGbWP6Q+FnIVW4XYkF6X
/Mp6IkJwN2A/a/vsWBHoFK8KbJ3Gypmtn4QoC3sP5TBehWMGudpxkozFcFQklblkqEx5pl16YUSG
XkLJ4MZB2zIhhu7KlyRtnWMviuakpCNP9sSPBRqYHrykbpCdGO1jVFkqRw9HqKtF0A4nxqImSynM
vwcJMGNG9YDG2GBXcJMaY/MUdOLaQxTUrYj4DIla0RP2yprEHz61mf9TUO9PZ801xYjecPaO5rk3
OEX91zyszBNHAxv1Nl9fkoYk34laVCerD2mXaHV9n6V+duW1RXplE7V8qELTfE5E3H/TB2QGzHtd
AMXEbKh9hNpUHmeJzreEAPgjOmpMrw0xN0FoFLcT6xfSbNacIYnFhSxd90Stb3giXC44DKPrPSE2
muHmakgPCdB/b1dOHaEANr62mZApPJqFUcxevxN7W2bjvS50wm66oDuSphUdEuJOWBLC8rGKPBsO
ZdnvbFsGdCGIm4/9RmwBpycnw8E8FgXMFUMjqnGb21a0N/qAzsXEbmoHCnHO1ul0GALwGT0Cx1N/
IxFN3Jj6KO6ixuoJgrXb8Qcwr1pDTu7AhWBw6N8jN7GOkHMK4piLkMTxgAwGl2BUqNJpVhHHI+Xl
xFkQjG6eH0xktNtCaVd6H4aXRDgaN5L0zBlRomAF1hywwjKY1ZHOMctJvuBhoHUKykcTMj8AA8N5
ivPRPKik1p4jYkh2EtoVbZGsvG9aoz94VVnetxQknytLYJkv8uBKKT7TqkPjj+9brvW8JZ5ZChs7
hEsiYDiE92GW/Qr7dLoxXc+99wLmrGbsrV1vqfTBrir5fZz08WrGBW1kWtsPiVFOe3zBpMsUqfaz
xKbH1BhXR+hX7UHTR/MoQO6NmyB1Sdg1a3POtCuMnQ/+Z901/txzeMskTrwruwu8lTCj+Vvq/YsO
i8GK4EdArKWKrxB9FY9pl/31C4INCfP1D4jEyU8M02IzoS571AaCHMbMbbdGisgFGZdGuirZcrVH
bjLK6QopQxBtOdcD5i7ifJ1qfbNCDp7/8clT2g55V2Godqxda7Y4bwmX/hGwtVnpJNhuO343CaJA
S5rJLp/HzknBydUWedO2HE5e04d7eE1s8HporTfRnKlUGyw4NXu7rfJN58IsjT9p6vYHigRgNSrb
3lvEUF84mtRfMSKZbN40kl6gHdTUEzQOrZqOFqIeG75xvc9EVayKvnUc4mXIFkasnwavbvsozD+e
hYJNZda2hGO4QTYIaxTjUIJQkYYVU29Vwgdrsz7fGCm8TUg3HLt6tHP3ytEJSAlzf2dTOVn1Ipy2
bZU3CAlr+zLwlAuI0nV/qcTNrjTZtutcGuFtqIKACooNAcMeCu2o5V29SUuZXvbCcdcT+5rrsh3k
bnAa90KR30O2luXKPxZLInuIsShuiRSefk0m+kLGrfPkDVmJhR6G/pRiekxx7hCfZ9TxC2eh5DIj
vu9HZ+pEJ9lF/TO1mRBXYY+YetMWBirMGuuEDalWjyG0aoSJj9J2+JFpYI0Hg6XxkkMA66oV0G9c
dQTkgtvLDYdZdAivGkdhckh1j7SL1AhPBmiSF7iq03fDyOy5nKF9E2GuZgSp+at2Bq4FccjaaWT0
JnCVCIDySxKJRtG3ZHwZbX5lB6275d+wcNGofA1BxB79LgiPmQPgBVJIcam7iXHjjgIoH56kw1jY
1ouIW35UmDovo+Tt79q4jm/BnWcPThB0N56ccKIIwzxIVA1XddPrJ3C37YUnBmaxzjBx34Siuk4m
Of00u5oyr2xqyASZcPdh1A/tqu4GshBxKdxhcSYYOh64B00OHmkpPrG6q7Zv5O1kgrxBQa1dYa0y
tHU36v0rZD0SYirHVo9ekSAW9EZtHatKuw3p5HEgEWJD9Eqx1hmwt1XblI/YaMWeaCvjBdeXtlZk
qA0QWYNxm0JxvOqQVkIJLtu1UxvWjyiUzS/HVO1zRhgd0bSW6I94QXBdD6l8Nf0YhEthV4bBbTCv
C1HR6ijHcQT02+MwNYOq3ia97K8HBjEp1zVA2iksLqcel1GmZf293fb+PaDWfifdLH7OVakobDnY
mmARK8BnSd3twM9H10bgFXc4EVtgwYbP1ELKvP6tTQZ921RELBrVSPJqMJXWTLRV2LIt5Lm7gOdH
aFQo4kMX1XJjuBRNJ+Vl7DMDVz2ECVOrI/rxNsLgsyO3OPS3hluZG90KKA7RlhHMOhpIOLYIhNiy
onwjQsk/FNJlSIim2FtdQwJanPc3kUc4AfW1jsZPFM7OJp0Ux1g3yM0DPVLPRB0iFImJJ+Rel8iM
Dr3lmAjm6j6jetgmhDdQqM7XEVEIE3FWRvJ38iwcXyIfp18kdeDRmFGbcjVmDafSrGXo63VEKXTK
m0M/a2rBA7vuqnZUfEmWEgk2bqBuShPZaOu343OohemzcGqS5zVUXSvDqEDtTsRfhpRiLtu8GZlB
cmNbE/a0KbvBuSH3r0awGBu/08gYNs5gSDjAZX4xDrr/GMVNdoQ+2G6MaIKnXmUsHHaekLzoWzeA
7KNtbo6/qToO9iotCO/Rc0f7qRvjcBs2IA1o1/Rb2FjBQc/6iX2sq5HFxFCX69Lt/V8VygprLiKQ
iW557KsmApiysdjJjARKLbP+j6PzWo4UycLwExFB4rkFype8aUk3REutwScuIYGn36/2dqNndrqA
zHN+e9+NJOAQVFVBaSw/k9moOO2lzZFrWv0vvRDZxR0lFMtoNOYHlXDywDHrXPg7DFx3iJ+3jVan
NG/X742uxLshtHmD0qk5jwR470rDdXZDOnyHqaLXfsntH2CQ4dDLzEgEw1UiptVLfKstk/SGaIwY
neNxC54WNvKDhoS8tCtjcBtK+03MxrcIhwx+ve9eJXrxd2OwgteZBO4ffMQunlP2o4y/bCycfIqy
psj/lFkObtnM1KepcLxkkBuUPJnrtvPZZhNBz3ART7op+Ox7P3JnkGwd8NetoSJOpfLLr1HbN9/r
nL0LHQ5f/uhPz/CKsKK1h5hSuqOOZFurN4dyYz9ZKFDHrmmYV2M23KfCNJyvdgKHtsOeJtwV2xUj
uTPdOSldiVTikd7f+DTWQ+fWsdMyCoibv6/WFTmcjV+XO4J4/Z1N8Ck1Ybb+4QBe96Xqrctmbc4r
gZPGHqfMwsa5jtYTCXX8QfD9e/K+CGJnR0mo5Zp2eHfWa7vYOj9qiFaOb6v4MHPqRwnTSq9NysKf
NuKdur0qai2aJZE4ohCY548aimw3eKANNI19dtJ9MWkXho8br5RAZfCx+k8A5hSHs0N9ylSJpHIN
L1mqmqhFWueitSwf2eu4XCrxVVsTadcZBYnOZJ5Jpr8fN/lEOdpPM4EwM4b565BGwSCeydB80KZN
86qisWzrF/zmWZXyD1puQnBGn/h+Tjg1L3aTdgGBMuNB4EyFxqFPl+yJO3sN0eJjvthpj0D7NRTw
PgD8UV9yFje2QbrOtD0ULqLmsAy+Aua8Y4dsf7+kw3AIt3qP7+6lbpuSk5BqLVv5nEnbQLtb8GKL
/q0o7fcymwXlxUUazwvP2S3HY1oGn5TQ/Zd3WEuqppLcGOh8uV9es5DfWstfgp9tuo+nC0TrsVuW
r867JQs4WxX5WVnt/Mx9U4Mz0Xc4qagwifDWWz7uyZv5gYuwwRDmn26o7jFC4kNUsPTEth+aEucj
Hyc9srr6oFdwjpdO1jv0sGVUcRAd+imfktXuPte2fmPCRUve8y8IdBjjezwt1DhmeXotAvM/L1tS
7BfF7Ryu3oeW9HOGyfUwCYMRUQh90Hn5ryo6VjpNJKM1+yoiT/JBUW8WLbXpJdXkEitOu2BUTSQB
+t0axG4tT31jYjFd5u95zO56L6dxdKiCYzFyVvkz+eO5Y/uRKMYW3UH44QcGnWm96Z2GlsCZyJ/c
4Vvqaj3ikxYf41p1v/gh5XfYdNOx8PjMI18qx46xk89vre+0oI9Gtb/p4IKoZR15KtJCPOSVbHep
ruF82m68BJa+ddXWMFTh5NmXrdjsh6HUinLrOlCHGUk3Wf2BmZRBnv4uopnjOd3Mq5uXLLadxNeN
Io4yATMUifbK/l9Hm/fOa4lHD9deX+QWbph+vWJ8XTNfHTs2sms+qXbnoqB9mY2imkkBrxV1k4Qq
Y7TFVQ7IqzB7U+d33qzJ+vJqe74sq+F88OLDHhq+N8VClOKkPYIiHLPHnkKb9UF3akhEyOMyQ0UY
ZN97r6TSrPdFM4cA28F6P81cfKWZ07sBPLubaPR7mrICRra3w2c/WAme07RPmaTNvpE9h+9A5Vyw
8yzeIcI2DCyp5fzLSoptR8MYkmCd8lMwF1YstuC8mKlODFkZjFjiiVHou1DVHUV+xzb1qxM+ZPaJ
9GJLGLhplKCUBvuCtD97ygW4xkMPv4F4thXhJX7ulpGtnf98I/idndK7Oi5Yk+tYU6zW6RPaDhNb
4H0UrgZ/kIRQVJy3cdPqg41lO4INgWVUzluWGy7SJ/lnXehZ2LygPtlp9Yn/aNnTZC3utkaskeVr
ZqS8FJSQFNd1ovRX0qVoOn1+8IP5JonwyLmQzUMa1Cwcqvv0lf8vDyh47LTzZvb509AwkBo5QH0x
QtOkx9nfjuXonlzVn3NawpH+8heu9HNAfykmANrChY2vqZQv87h9+kK9qMJ+MBUBg4NR3CknvNNz
9oR3iFjq1ntsOPRi3cg5CWmINDmRwxz9F+XO9F1SyjxP/6gj+CAlAJjY6D120+GVwLVPxboSjHm+
XykLSUIa3JK8GnwSX5kSgxZuw1D9sJ/CyXrerFowpPW/Pb3vMd1d+LJK83mjDfnguO27NTDXtmLd
535t7XO+ZRpxOvs2nVRmesfi6d8breFcA5aLT6uW6eM0YBLehtCPnHBynrKp93Yh8QpgNYFH3bZ6
dZp82EtsenfGuBWA5vI5taiNd9tZRcoM99w2X0qlf9qa5a1HIR7NbfbADP1orYKRaFsOtQ/qWFG4
EBflrVzVBd0bhyngpxjZKHCMLf8Kf3DucrzmbyxvQbxuhXmCdHF3En/va+ut7UW1k3GpQ+W+gFeR
Cb7qbI1qb4CGMOjPel7L7m/gF3S/QpIe7P49aD7YczX5xQaRckDpuovTvD6bRUnGXZ19FHN/6qcV
4GQpIKxdJBdp+EsjAdkOAWAHMh5x2Kz1TLk8gbC991463ZuhizKGpFz/WIEMTw3CJ3KuWG9zu7s0
ZDxFHjxQbJJkHDUFsQFUIBs4xu084s9ytDb3GvYtGXvjJiZnth63fWV7d7XHLGaQspWQzlYf6so8
D5SprC2KILe3Psh57o6raU/7llaSyK2Y/6qRDE5Zl99KSXMvPA2ZpIO7zUUnRkX2npB2M1IOPelz
qo/1bDF7N93LuG2/UrVftXtTII0oPkSw3sQ9VHh3GskLlT+7StL3WlG2ToWJke+7UU38ftl7utYP
JFIAHAb6ubk1UCq+dUTP2aX3isssaH7Hol/xAmd/ASKzt3CQcm8wHZ415O1VLRBOSw5GXOYkwGWG
/JR6sC9Uhyxx69W/KEmyg2gYcnPXqijcrJ7E4J7I3V8PFut8ZI7hwZ1UfRmwgUWZN0z7ipcndh39
UmWEOYwa/djamaRMZ5O76/VN1a6GfxS89W+rn6u9a3TZAY39eTIoQUP0BPNHeWJcg7oxVptPVbF9
6KV6par66g1QM36tuWUNblM8EqBCbX9cx/Qr9NSVBfkosvp3JI4S6NR7XSl9SLa8IILklhJLAvg7
YcZZrDJLoKVb7ul/nq5hO9qfPBRKJ+r8L9IREuPM/GVcXe+ELalMlhbUXxhbkdyM5RnVmzFw7MoZ
qO8YEZyIqsu7UGXUdxT6VbgGnOQsH/KaX4VASYvbXvwagh76JSw29o01OHAcV1G26TVigbxuQ53t
0lQ8NM7Ah+z9m0fLu/raBKBa63fgxyfHVH6iDevH6Ayy0pAwRebsUDRO4ba/GTW0qiS2kfVgv2X+
f8vY/1ojEHWQQdUKaxkfoIC/KrcxSLco772ByHlVZDMTCwUSzoSEduQmYU3svUTI3EyMwriz/FtW
Mtt3XK7ihaWWfJWyOjNwbPh4IBSo4b1aiAMS9BhLUmTsFlZPlx+CQzPJxPiGN7TdddPt8C+myKfc
OrIo1F78+g1mooiXlBwZj3KVVE1AlvNs7Tqxkr2uuNGa1hV7oTe+ZlsXsdLT/VT1H2TGtbHRdV+p
C4wj8rrY69p6qwf+ES7raefU3V1XNUSiePB1Ac74nXKtcOdX21drGO/9Df7O3e1hnYbl0I70YGd9
/1Ih3TkEHnPkZC1lXK2KLJ2NE0Sl63+zIsSGdINo7ouTuyhOdFiVq+9UH8hEJePlhEBwWoYYKjNn
UhRf7OTPLPR/zaJwdtPUB+R68ytBGPDf2dyWzaH4Nh11K97lmwvsH9tRLyQaoBRCVBBBKZ4nB8MA
2aT8L2u6pzyFdKW85z+z3c6F60Jm2K3DEEpqyuyhkxOFncdKcsqS9vrA5FWCZDI6Ocrpd7nZY6Dp
rXrHYoZdVrd7GrlzqpbyFyY8orExXJSVOSc4BHdYbp6R9ZaJSa8G3UntC0R4cyyC9l84+RpEMi3h
Um4rB2Fnke7GTzqLXnOj+hx9DIMeeBaYkL0cXZvNgUrGC9b3JllE/Yu73d+HFWasNgg/wsUzY17E
29Wdv3eZ8+Cb7XgojI60SF7XCBpoQBBU1rH0W8i9UtKCvmZ6J6aU9a9h3KGiHeoqT/dNtp1TFRJf
Kj0RFaXbnQP8wbsa2Jir2ct3XJVQ5xULITrLQ2VuaxQW5rNT12JvGtlbT/0N0C/cTT/bTP6hft0y
I439rHgzgvp3wTISu1tbxobLTuOs3V1tLSCyQj9tkvOjNqtHD8VBDMnHtiRnJzIz1pd2yB3Ko6yU
4uTiwVnNJK/TLCZuWURuw/xjeLxtowDxocKWcE70XWdnhcmUZFIkenY+J8ta9tntsJmQoCbO6u8s
Q6cX/EVZPKuQqaCpNBnHSDeGnM0j762D14u/fbjST9DTjYmKomjqY+UP3g61WnVt/ZHwZUGw+lzd
NliHi60e54di9d+JXWIrKuTjiLCBd7T/yhwbQqImXabcT0X9VMh8PNii6A9A1L/d4r4Hg+r27OTZ
vrDX/Zo2Lr0h1DkXhIPH6H0luViQc4TcPzEa7wn7ufYdbXro/r8Nv9ktznSPK3bleRo7TuCD2QUv
jrsS7wW5HFnddC7m6lkG1T/f6clEohdqa+tPNdbvRQoqnnU8/lCuT9l8S+JePqzGhwjOuGMn3f74
9pjHml8SeYJLejgWgV1lbWPChQt259ZO7JfVR4qBhFWc7yl1RyiPmSHFpZUE9XTHgci0fBQwdEmN
fTiyUG1EW1DYyYa6Ipk7l9OuXYfIhuSNJFlyUV53L7rYptgxaCQTdErQUK6x8dcc7/aaRbPHQ0v7
SkVo0u96wd1jlv2zHaQAymILd0qQtl7WZpdQXgeHzYmTKvW+LhXBa2X2mhUDr+vNQsSwdVK4KBK9
gq07WwjJgdrRTMWr3tIqosuex1u995JVwWzYa9aC4vKWfy0tct9taRlx3gZZPBCSAYu8ySRbxiae
ReDHdY06s8289LAFeRMHVpHvGfgH7qfiZYOmCxbCpKjeUtEwuM+dYG0cRP8PEK9MWt/ydl5v1Mk6
q42pJvjPJ8Qp0n1bxBX0fY93FjLPgWrhN37YOlSA8yb/LBsEB3K1/xzl/iVu69lFrxGltnPZWrj4
W7QyhwlHBIL1MJnBxDxe3qhcZRlvQ4UMMp2J7LJmpljyNvczmbt8u+65sZcUxsaDGKN/JW6RJkb9
4n9mI1nym62fBq87SXP8IE5iSWqTRKxqLqEfiuw1cFgze/FI4xrgk+Dnh51S0WiCruSANonlpm6k
SogWmmy6uJSePDpV5iSydJGY9w8g+kPkW1MYt0zaBaUaxw5tT+Lk7p8ehiyalOAGHfsCbcb4HyU5
bIImZgDfQn/olcNrlpn33DvLd87i1XESi56S+7bw30G3iYKdxNX3GUWXceu5ofhXwmzMHC4zJLgc
7zY5k4nhI1nK+kz8DCILow3YZfBnnx61le6tQiC7mBYoWvstrYyL09mvW+f9+GsGoh1kaDGGE0nK
creE/XUqV7jxYbsgW6cBseVZ15v1LTrgvMoxMwaDIn+YCcjihjfPTm+srHTEJqYGiC5g0dHW2aW4
uf+WGWmHnobhXnUjA5Zvgbg4/rITBpHYRn3D9fs6j+1+1pB7wTeNtk1CrCLgOCIp5HJyH1Ix/Gw3
+oT6QwAR1Ts9r5T6BpKmPK50fpj6DRmwjrZcvmWDzTS+/E6o3i+tqz77Duey15hLgmmoiUXpvBLx
6kYhWfWoXP76hJrn9FRWlNaPbMvKArYJDKJHyI3bS7N4NvLtzkekBN+FYm5CHVHa28mbbSJp7b/8
Ki91xZjoTeaXsY7cOmq+J3JuRIKztJG5ZTVkdsUdkq9M0Gk+AGd2HIRLX/aPZBzXu7qoebcnhopH
F3XaC2/ssO+cMryU9sStqpWpYOT5lCEgEf7Z45RfqS3kYB71eIQJKkvOtuGNkbN7v405J5dIjetC
s8PjSqztnyHP+72VSnHPuA78NvX9z1JNzmFB/vlBCCTSX1vIS9eE89ma8NdbQ139mN6ToTzASDOU
/WMWNi6LDJ1tuzqc+ovqVu+P66bZU7rUfAZVYCG+QlX35bdBd6mqFfZ1ojwzYgxqYr3o4cHaPPMP
TqRm51tb9WCVnn+CsxRPYDIVsEjQF9+triWte8o59mte3rX4e/Zk0M6P/VpN92CI/gXEBFf64vSA
xl5moL8GIv8qG2s8d9K5tWBOXtIEZJ26KYtvZDJl/KmMaTmtzo2Xp3jMuro9j3oay+xcNWJ7GBx3
/I/uVO+Z3ENWmYqAsHtlWOm7m1Yr0Nnku+SThO5txQjS9grOPP81KfaaWTlF96mKsT+7qFW/ag+F
HqHK2Wluze2RFur61Zs2M+nHIj/2ziKTRhjTg22qFRF6j7aFAPm8ifgZKaSbDeMZDkP+beqZX3x1
u/WoMBgdNZ6P+1o1vGBzpR/Cocw+tTmW7y4VP2dyEjBwjUX1O3r4QoHhs4zIGYlWnc5Ug5VlTQPr
OvSGejBhX+hYFsZDIHOXzkvpfQ+jvT7YgVy9SMw2EQtSwnUu+fJky60+5lLODPZwIo0pvLtm0tbz
JD33BQmWDS42KmQm03bPKQQv6FhZAumoTh4+x5PuHPu8pTWs+BbO3afsXF6LECgCsKPAljWkpTwb
7HnvcvPSsyQb9cUcjfkP3QYOE7FtQUIM6gDzJV76WUBjLwXUniFb75MrNd8TT6Sfh3nTPFP0Wftt
dgqmpCCESKmLvyFUK3OKqy4C1M5YtLmnANU6IB3pTmEXNICupfts2f+Pwm26N/aO+peH2R3pMR+f
LOYCpPNbPSycEVl/JVzHeVxDX5177TUvaPIKgDXCi3AlqLxNiMzp9zz4grbVm9qoVXP+IkHhd605
rXzK3dSvB17j9JQysx2Brv0nMQ/hj5HOEjN1neKY6ci94Y/MD1YhsrOo6+FzXM32EhZNwXbmF7u5
xfJUtw77PbTntPel174EBDMr9NWuem7XYLtMtWf8rW1r/S64qM+dX4mTDHDiFZUDwuE7JW6tsLzM
ll3t/XIrd2xd/q9ZNfquK1y6+apRPA8FyoGE6nMkGpZaPieTftAq9/yrYw35owTOvqAjszkli9IB
U9DBd+Y11plDkBnNv0k2BtOun5dAot1MU3tv0/P5Rd5ve1ktkd3ZC0N/x7T0t6oce5dlHc9dpOXL
VPb6fe2r8Z2c+O7BtrIy5DII5J/QXs3vCgRiiFSfc9eay3bOxlF9iKDPDiBZKlnX6bvsRv2xeiI9
GrpUGXxxZb/bShWnYUI0mYIi51FWj+llEC6zktV4xcEkkImAWGfktBga1lVzLZzEzbG7RxXNewdz
nLO7bujbnw1dpAtdUGBTsTJ7PTSOLjXoXTocxkmHZ7G4Wxk5PKkEJTwEBW6X5Vi2QZBYtrfEJB1l
CbNDfe9uVvuH/dxIvHC23lTmlrucreVjqheQvLRY/0oEcJ/rjBpYLzXWkW1pd0pL6x/DFOBTmYma
Nc+S19BujCcL9d2HR5nMeaFLY4ml4XLu+KnxmM5WvtvmLNtT4jcfbd8WJ8B88xjSMXtPwas6Msj2
d2UYZhT23votUER8NaXdP3VtOf01esroUmWb560pl0RaYGvNms5Jv9lrYgLKHSffLK4BzEMMhuTc
TY0a7gu1iNOWOiGn4TBdiluxctMTfd/pUR860TX7yafuyWdb27cyyK4B10QyBFXAoxF2vQPJYlTz
Onc+14FJz8QwyrtgDmwnmscgPJbZ6O58s/J+HCLocClZ3aPnO8Od76T1o1312cWHq2b0r2t+96lL
P9hC7AM2q3DfBKskAHfJZkwarOeH0TEsSoKc9dmk2Zb8MWwKQ+yBBT+6Y1Wdl7qBE+ZgeFYolOGn
baUPiwG1B2c/Q3TXMofUDJeXsXONu3ys5jslGpW4GGC7GLx5hCbWw1eY39qUg3Gg/MZvfZRz0uRI
swKxXuvNKO98qOZdB9p6SHU2PKp1CUZGLyZWMIJH39cfC3vNo5BhePAaCS8wG8G72TjWH/S/3jUj
He5iB7ks2YTk+p0WXn/h7xsmGlqA2lUnMPhgZPDSzohVvdILVTwzhxzyQepLKib9t+0XxdBqtm83
AcYLoi3gjLlC1hSmjQXisA4HxgSP66IN7qsOYRs60eyKrRnXqx78DpuoaXE7lohmXNMOdw3FcCdj
NFD01sGyM1x9634aKN7exqId47S23W8nL9XdGgbd8xoY8tySUNHCmEpnn7UoWMqqDWm2Eqp9nnj8
UQfoDBgpECkAeSyJuVjNScy1eLp9rG/LVsm7xkW1h3KWetoAg929Ho3tQhtCdrchP3/xtgHHlLul
2U/rjSZKDbtz/hNVZ7KQ9jOR0e0srN1SEppl0Ap9bRvnRkRWGwNgBoj1t8z9G/nTGFeC5Zcnr5TV
L87J8VIYZhf1RPseSlJ4Eq6PHt0BpFHskDZOsc1aEpqCeOw4qNyjXVo7HDpcDo9BazV4MAayuoNq
6faGOTY/4aLKv/jG4DmtsXX/611zQjFHkRWwi8oYMSo9V/8FxdI+b760L6OzLlfiaKYDvMT05Jdu
wKSm/FndkyQSfPqpolF+5dKGOivBsun/OCmaq/Y+apEqMa2pfnO6PiUwranWU9GL9bz4g/VhuSY7
nmnU57wPebv7fmOjl4So/iNfndqADSfLn4p+DQD5CZ064Fg+n5XnL1NMNXkj42ZecnE32mZpJ4yg
2bqvBixwp3HsijKyqrIAznPIh7NQYP3zdddxFmhrVJF5k93GY1Pf+AozkMXFymQ4ngXRc8uFUnHp
fKfWuqI2dSpeqKTyCLvd9/Db+eO22suztwgaqf0cvPFZhpaR7VAB4f7ARzFs+64c11ftzYuT1AiS
4Ys6ZXu7YENHw0IauJglBo3PF6whmMiPnRfKjaXfZ6fMDEqA59JXCulJX3moJ0Lib9sBeoubIDPs
N8dVzbczVlQ4Zm4423erTwL3HmRc2wmPfdVXvlUS+ICO09eFj8E5KnzFdlRtxZAn01S2C3IKtWZ3
E+gxiJJe0vQ4ATjJ3Yy8ckqyxkuHS9n725fm3KOpx674JJGdoVHMJ631te06MwWkM7plhzKADc6f
QosnTUfnYye8Jd+tioX6wDKOW1MVG3VyZdsiPkVaQh4go2su3rrZbJ09pZvEOgd1JbsL6hp3Q74j
q+bikVq0YRSQqJ6C2sKmCCg5kaAyss5dnMpyZDwMXRlcdIiwfj9SxY3OY7SC+ljOc5c+jDog8UE1
ppkniEzAx3TONnZGHy+KI7G+ZbormPXsHWZ5gBNcQcCzhT0hN2Rzo3ddz2OV7WSFC+zNnMbhOUXV
7YOI6QEClhHi3gz5Yf8z19wXdJGbQNnR2iP43lVaDJT6zi33kOtmrM8CVehySEvPG6J626DIUa8M
5tloLZIUyfKG3pApGNQqiNrbI4yQqGLl2GaHNR0LG7DSh1jzcjv/agoPyWxhpJh7mJzKcFf3Ls4m
E2FhDcaP+ga/L5HVMVmgthGbZc01pzwXlf621p5mmShHsS/zqvkcsgGJVIpivZLxWJRd+xbMc1Xi
pOoBIFm+g8nmv4JmwJ7Rtmax85kFSbThkPM/7Fz3H2OtR1RAFjaY283UCdQsI+xU6rfyKjNtvU9d
Q/TqVhqtT+u9avIDkY79iFpE+uZxgMKab3cow3EBGMqB247rf9oyhpLzvNYmPhT1RRDZSlyz1aLW
E8Jr+ydzwlO0awOnFPcWiiZnOS03EYiOLX/tWWvQQxIKiQjVVfZmxtIsHenFrt/xCkVNvsgWlCuf
s2Rqm9Y6+AthAQDeXtDFtmPZf9LBmvJ93dFhw52hBn46T3liF4Yd5hY3LUFUQ0MM21Gh77iQhd7k
+8lbbPmiN3M1jxgAqwAQJJ28S45mf0q8Lu2g91iZMalGzFGVYUSODjcT88w4+gX6w2yad7oMSVGT
a0vaWD5qY/1AXpx6p2CRAbJhK2jdFCNSAcVO9tnsv7ebhFdydSrZNtDupYknwbqJb+789N+W1+y0
dpOiADPHqSa6nYHPPiMbXnBdjhNbAUVAK4xKjwH60mxFEA7xVKqh8OIVcWJZYNdLs4BvX8huhzqD
1R0PlhMi0O0FAgGD4JZ/ZkVn5BLqIHKKdgtPdPO1BnG8vt7eFry1ALdLN7Q7zMx1/qw2MYhTYKfA
HmgEC29fbqnxYWzt8h+/mdV/oMQ1cSDYWU0XRINA20OfM2/2E/reLqczIB+Burwy93aWs0wl/1c5
ld3CoKLgUo8bWFdYm6PDA2xhkn4rb1VrPPtD3t6vLcEjn8olGCca6Vkp9lWbteMO/bF9AxcBeCK/
xHt6yL1Z6B970yNu7pGVFoxOhZi/zlhE9Xw1zKqYUa2lqB7MtBSJZRp0iViBzQAQC2Jdg++Vx/ca
Low/pz7XbYgIj9BGPNCpHfxLKauLAoY984u8Of/NLJXSJzS2hbnLiAeRBzVO8i/2G7rTUy+vgJMM
4TXEXYSmcxa6M+CTK3bZXc/Pa0R+7bjll8KjSl6n2trwkeEKnpMqOLBNwwjEHHWN10M1jSSgmb8U
G1l1ohdXu3GOIru/LmApAu0GObWRP8CzICWkQu9oW43tXzQsf3AxNcG2Z8iqXB50VrcPhW/kw4Fs
wG3jTkY3jmtSMnC3LVrAfW/rxUN+djPshaGkqDssUvdft3lw4kIXk7PfqlD8N20w/9cNgqpKmG6W
/rOzs9Y94LdvV9Yu7XyjyO2qBBVk2R4tjpPus1lGlyw3bUlLvjW1cOYksPrNvIfyHCDo6zDMr+FW
ev3VrlKMWbXwq+mlGULPeAGZ5oAdSMT8LgYm770AySmfwHvQ/asAIjnqR1KKYlstbMHsSRgi7XF0
7vshXH6yQDq1xtwgBWiVJmxAJ0QmC4e4g65QtC7PY33G4blMiTs567orvdvGkm0Z+HieG3K+h2sa
U7DyFqVyXxq2e7ZtS9dPdemPXsx+3P5oIpxgSgwECbsSBOsWkYuIKJ5r9kHe0sXz74gSnuu9tjf6
acN+8APk+5WoLgH+WOpEfWOyOTiQM8T4dK0ioUlrmk5IxRljoJQxlO20qNstaSbghlZ3XEVD3YQm
YmAE2sCloQldUU2i3M2jM5ckvW03eR32AqYjM+Ol6ZEDkRa8dqq4OKVVoQUkG6l6zIWbrk/EFvNq
Evk/I0Ephu+hlb4V43dhVRoQwtvxTMJmlmhVd/OnXbf5SBnDLJddaophTNDN0e8407XY7Vq3XJcv
YwzSLJkFM/RubCqnJya/7RETdPg0opqQP8SxbtX9l6+e8z7VwBcJ/LDXnK1l8IKk8u1l3oUGEU9R
27hY3oBOOU7R5ZjVCYTdnWNM1Z6bhMbmVv9qIEzj1xuzsvhGbzKU/FEgGv2EZJw1fgUbhX9tu7HY
7ubex5LDhzPaT7VbwBaE3QYqOuAtqPa12vLfwLIwPRUzbVMHWa/gbKhFHMjIudXDt+qzYUaSkmbr
zlluHOHNE9WdqIeCLfbnVL7agRafI4Fs/rHO7C7dm/+X/evQCP940xTMSckIAzmOO+a7hJRCL+NK
tdzhb0xFLNFw14k3MAkd5sbMIIQamSJOkkxvSKcamMiFiHzYn8400jf2J7+jDC01P7DSKOtrJTM1
3LH7V8TKiLEx/sfReSw3bm1R9ItQhRymiMxJpNIEJakl5Jzx9V707L2yq90SiYt7dlhnR60fs4j0
uviS52W7JXTf3QWd6DzN/emlY4vi91Roxj9eyd2Lqeqk2eoiGViyRF1qOwOMID8Bf8Ytk6Xl4aN/
UdMP0aX3AYzR6xCzc9SV5GzFAWKhWmRXqhb9havMwaZbDbc/uVynTZsrxFfBWVxk9o68pkxlfmVw
BuCaPxM72UDL0RZopWW2KoKD2hNJE5JtlfUhAI1JoadRzjNbTg1SBfQWKGUkLj8htiXujCrayaAA
4LBMbq5bFmUYo8e36GlqsDuPW7DEm3AeeNWFpn7MjJ7xfWQXtsVfshRCF3It4YWC/Te2rjXRpRrT
ArkJBCvl9iWfv5VSsR5o5WZ5pvhB7G21ZCQIUVL7nUZHZQ0GtRT/KaoVvfamMf+rWmKlO9pCypmN
YrpvxnLHxWypF3eRlfnVGCcpaPqG/bocyvgu80zbeNKjUPAk0HPalqSHvBEGdnUiWw3CZQXwfSOg
nLto4qJM90PSvbIidLZaAv63mJuJj7vb+jkQxi1afbYrtLz9l4VW5anqJPgdjtoX/8uZcwtzwk8b
NgljBNHpP8u8/BGw9ut81AxSHmThnvmNdrn2uW4zeLmL8EWHxF7KiibRK+f1JtIPBenS+KxhLRaM
FfkkH+Jx3onLcYyqU7iEmy6T8CfSlzVK/IRnSm67d41EsGa96kMdtJJoEepInGTddyzIgbvBiqeF
z/yfpmZbVC+/a2oIlkzQ5CTa3mf7zEfWZ4e6IbGVn+eEyFhnEmBgl1GlBNgG76l2UQVMwYT8uN5s
8Wt+qhC+O3mJ3xowYxbFH+aQv2S69ZqGmd+b87aZ3luFK122eOYgnLtcfmGlpx+16+uaZ1e+56xc
XNw+nxOavrkHyPRtJLrZ1rRJ1kue01qqDV/oUGjHBhJd/zLEglfEqVMIv6ZVYvCEdBBYV442KiwW
CTPIHklHR6s760xaWQ3eIQ53cqPeemt+5br9s3CPVHrV5TW1rbTcTyWTiMtXSZlgrOJLP39lXFnS
RLKJfoXKw+p1snpKcRhF6L8he6OMzIHejejT+PHw6BB+DeFYVaWdSAzlE/RZB9oTue8RfIG+Xazi
VjbyaE/95IgrnEVFpiFSFW5LkA+V0MZtsYfIcNqxODAwp1yfn6sdIh5QH0BOoV5aVbG79ERpzSVz
yjaNhHnDABHyVUFiIgrhsNUa6+2qjO+SRG48A7sy5Y6FH2JoKG35hgM+0GlQUIsv5sIzjerbUmP+
r2VLMNfMdKWt7avha4Wo1bgrw7d+QLISaaGBT3GS6EUneESOcbVmHg0isoajTZOfL5tQTdy+EC7y
lH53HWthgSJurefv4ZkGH0kZtAMQizJbSfPSbiLVORkvYvyuDRQNnoyCMvmcW22XlMaeMNelVKdb
bZ1n7bOSd9X8bwJKoYg4LStZV3bniVswEGPDDWCXdCMUBAptVE751JfBVhKyCQSv5+wEZv1iDiuq
k0H4AU3goLZ7SvNh9MliUrAD2YPTFMHWdCuFFxh7vd2uh3/ApxTt+34rfce8wTqrAUBR/43pfkVN
UKAWkF4TSr+xgig5ZPeF1XXkYBX5qmOpCu2vkH0J4YeiB214jkW/5p9rXFjJyCznGjvOeskjKgbU
S3I71W0xtSUkBNGrQ5f4WDXv6zzA8lmVbYN1VnyvspMKB1b3qPqm7ViR48nStsnBN12qpLQX3izR
jTeEpJwr68jKWD38XUnrGc6QIMZ+VFIQskwyfa2WV62+LPPrujpDxnx/wt+xCB41np56kubP2gbk
CIGat7w+V/krJk3bHcrOofnqJZ+wP7B8o8XhM0jUfcOxr6l/pnFJIvIMouQm2L1JDXrjqJUCI56H
+wZkIfPGhU5fV3ua6kaImJSTS3iclc8BqGibLCFSCPgk75LTIEu8opOPZf6hHCjWu/WslsFyTWS+
6ldVJpSnql5jxbAUJvohHKujz9TSEhsrHVNIPrVjV/T/8ElZtUayJWEHdi3e4gizJVRFih7ZMSet
Vjf8pFDRLyUX0ahqg5Z/2Woa1kaGt7g1IKmFHjSQEykhSfisVlq/EdiePt9Uyg/6HzrQzKBevydI
5NBXXDWhf780oT0BJeAk+q5n6S1OuQ/l0aEV/tWG7q3JqWPZASAEVxb0gJCtY4R4Qo2jVLk/pySs
VFbRC2FCHnz0RFTmnOdZqrWgaUpfEqN/dTJSuRddRs6NuMK8MvA9Yx3MR7iN55y2p7Q3zB/a6C7p
WzsLDQ9v0edae5vG+qBJqd9VslOUbVAN0qWXiGbE+lZM5FeQEM+LOEvEc3fg3Yrwg8vHb74PqQh2
zrz0brISb5bI1ERB1hFQE5EA5WUr8SgSqnA4rZx4PPSEyVDCKKq/Jchys8h9NLVclZsib1dfIhqs
WSx9UAd/xjxdhx/QC1td/G2m37i9JEXk1DlXl42YzYQjwkXiHcvLIcOTX3O+sy0JitaB9agYfhuz
bus6E/uKvKwaZYmI5wzJRBNzzbwoyzovd+bxho3owlIX1KKWSPBwCbLJ5zyO2k0Erav5hIze/YlK
jw9SpxHs0zpcy/ZUGms974Uxp5+kNfQKSBGmqpj/DIzWzZYUnRh5dI07JYgjIyr/dCBVRGhL+sCs
VGO+AILCx1kIJPAjdsz5tUlizmJjjm00IsEbpfEnWaF/twg/ED7vK2XSSRp5w2su366XRDX9dFiP
oDePjOmjY+Aes7YVeaapvqRBvsOU2JQTiSJrNR6lNbFQtPfLps6BjkoQYVhk/LyOcUkubIYc0SnW
hhvTky48FezCEhozREdmPBh7giMzVUmTSmdmKRsWAR3ySGx+BKvlGAnVf2wqjuxuTg6VbN4wUPdp
2Z0TPXqdTYsIFQmvWqYoF1Pids2ubpzBZPyZ6JlHo0gdSrhHwrBr5/4q0MjRyBszS4pUO2WvE/X3
HnKju5JedAzlmUCa2Y+3tIpTrephViQGZIU0mah0n2aSfWpsxCM/SX230qVtYVaEWUrpoJn9dyuT
KawhxQzLsDOKJ1JuZB1rFRWxY8lKty0tgD1lLV4kc30MSfzIZfVdwyqmtkY41jSbAxWqjC1Lzxpx
GLHMU/gduoqJ0zyKHG7YDBKZO6V4TQxSVaqkyeSA2i2WKZ8/gTiozwG6xEupqC75AUg5BCzbxeS5
RB/YkXhgCq7jUyFgeqjtOYlJ2Wgi8TnjxL1+UzXyZsDjspO6vYRS/ymmz03aIfG3Q6wrGy6wn3E1
+FiidCyGnwiwmSIYnjGYb8BrbKQ1Ckk3RIFPkvGMWsAiVBoABuEltmUMVfLOU+xMlOTkFPCNFfqR
sbqq2duUjGjXz2eEQla0LP02yi1ehJ9WPm7GJURv0W6Ek5yVJtjT9evB7TBriWiTg5jwIcx7Wacb
OSeVs/Ah0A5gptddU+8QBy+pJp7V9gfx+6A2/A2mOABB5BnlctKr8AtAGLX6WHXxtpxK1n4lvpe4
vbWdhlvcHHL6tWvEW3HZ6sZ7SkhMLKnAEDXkI+itdHV1g3sIPb82LDwETrdf/gp5cmoijyRWbpxx
T0/dobTtQXEL6GYcp/CdMqxvZrKj6bOfTveRHnJjjLuMHxT0KXVTtxQ2qnHJstZnWa5TsdNAJe2n
w0wkIMAuJ102AX35+Ppe0/tGVDtlFyDaOUt1M8fvjp4/IUNhJRNWvkeSb8iZgxcBycmPiIWQ4SiH
46K/19zhAH85crWPrPcSInscbYqudWaukKOUOWbB0dEFcflMVn9o4aZ5dp3DC3Ky8+yRKvp7OI6E
QXdqQkY+P+qCuKtobgmteoEHRTJqa2VLoE7z+0reLRTWcynpLjdPzeKKVawvFdJyOr1pRnsa0AOK
InUoy3o6pftoVGlsjpvGSPcLnevnz9l/PAPKYRnfFn2593wTCvaGpxJ/SKHdWWsCNua5B7UMDIGl
CI20q4zQLRC3xRr2TXrP5X8FJXAJW5CVn6IMo/G7aj8TlI3lIZSnSHdzZkbT9BoKYhPmo1Cx/4x2
qZ6aT2PGnZqC8yH3atqr8XBv6wMAuKMFhXOerjLCycB4O9UnWd7GVfJFOfItlQFM5srVqKpdltYn
JvsRItXS8LjGxwzoNbuY0LzeMdWN7jWpNov5YwwbqxtQ9a1fHbpVGJ9nidZfN9GwVx2lJvvOxa5b
z3WF8cm+IQ1ORFETqyQtURb7eDR3g/SmcIMmeuXNAhuxROy/7BSTgsIKs/TBa0WnXzdWfaBjhMFa
UsqJ3cK66Mq2ky5J/xGtpyht3GaBYhNpAEtX49bW0DaJhYnybSTZR16f/rcn6Mxzp0jx6OZAH+nd
zqq3YfjdJA8DVTIvdv2Ec6B+TThHHZR2bSZ7kO00s7C5/MF5G/Krvv6bqo92vZY1swUv+4F3Brn5
tzQ7yIQs5hcY1eDN3DH1MQvFJojll9jYR8iZPdfh1xIVGZ49sPPqRl5llgYELrYTe6CNTHZlld6T
8yBBZTt0xV5jtUDG7IU+CS6aCmkOis6t3yfjyD8yKUhRDI3789rtrGyLlxaL+5T4XHQwqJwl6blI
L2XLbyP+p85vffKXvnaTM1GblFmiQFruXen+4cT32p5Z3jd1ZdfzdpkIIV677Cqo3ji9FhFUkABy
wiJ9jz2VdY+IFAukfWI1RXKudXkL/MVU2t1Ma0Z9K/hslp9SOeok0xuUxSCMNilJcfNjWndVRNMe
Ft6R51cUAkHnY+NjJpLxaORXGaO7wwukIe3JKW/sQNUuchYs6IarA3XF4mKpv1XyXmVvLi8dlVO/
/mD13wE9jEznpQp3RfIF79UW20AQN0b/aWanonglxWWT8s9ZsblAjc4vc0vlUFy8JX6E9Wc6/aJC
iNWAnHacOUDAmHLe0rwbdSGouW7W9UUcPEnaxc/cv7L6yOdOnP2FROSSYK5/6yWY062svmpcgZNR
gma28N/7KxGYtexS5tuGVch69hWR4egItOLu7K1ZIIt8lEIvb/d0i7hLPvEtMGdbAp/Tl7TILtNK
a1HD2asG1w7hnHRbpQgou+vWV4eLleSHcthoy6fGdFWNR4HA2dKfk1pzyMZ5k3UrKhhZtNgTcU/G
FfBADho6Xc6Gcc2Hf13d+6KRBQZ31iU+kdlyWB2J4uySebBl7ZArb51l8IddepipGcVdFqE46oLU
Ox3jedc0R/GuTn9Ew9m0LHxYocedpZlPgOz6fHV6iuQtloLcin5OHWwu+kdNzFpN343ouQGVkFXk
dbnqKhqFLOZmfhP2rKTuAMOL9exeWf5JI79hWMLZuMmV+qgUd91YAgEo0tSotEp/zTkLZFj9JjkQ
s4g9vAHXqJkjKaUI7UFWt8TlbXFGVwLCKBHvLATuWfFXLK64I4B0YfwjNORJhfJL6aOSsBe1IjC1
iD5JjdZUeUu0HpKy9aclbDndhL+UD1pkl/VafkSqeVeST1qrNiGrvdUPfh/jtC90PEpjw+a9lAYJ
TSGacbGrLOrGlMptIvHNrlQ3yw8SuhnsjD59E6z3sBBsNq1suuddiYjV2k6/2VA4w9T78by8LEoO
tYMSBP2Mbat3zsIgSsXNrZqb3picyMwukbwnF8bpQvJBfCF95c4EfJmikIAabzG/WhLSDN3Yf/zF
iOTS+GVQgsSh06TNSFmElK+qLeW/XUyXXjFCn9Z0oI2FH0q3PGGTbt5jkoKdpX1IJgfzlVd6I+/U
lrdcofPrr/w8so6lEqjxyZK2PfwzvCX+rDPx6hmRzNJc7D+nLHPbVDv7WZETi5zJfGfIob2mwWht
IqNxqQtdBfMqieuXSiahI6ptncP4FilQvWbKrc026XZAOLh6f07JezE9qsoXJx4syCXyyZp+FaLd
ZjTb2kCNQsAVC+/S8i4hI6xDthOb6lEBHFln68M0UrAWv632F2mTTT8X0HWQCZavqvFG0dtNlqVn
M2JQYJvsAu5hZqZrODwH5gZVm90onTwKHDZSokvtjHvnm/xMvo/IIbS8xnixO+LHzX6qvrLibUHQ
LcSzIG+iZ/a+OkdIOU+kBYQfux0EQlHLNjXDS83D+Wych1ClxZqLCH3Jvhxck2qVAQ47JfzEprSg
1Vl4jFyicJaajZfQWeq4LPY/OMtbZTbvkaHZmnUe1Zwyam+bLALWQ/BheF7i8ggRwirunAu3mDLL
giIJ3Qa5uMoMB2fUVYbBz1l8ykTh1KLqgIsq+Ra1FlUeOdlb03Jq2SOuclIoKVnYL7PoyZtw+TAp
fJeoAkLqr+IVr8cRiku13GdYenoouMrIMiVl2UZIy5QmEUH1IFkuvYBi9JGq/Oc6frvxm9Qe6m4N
Vh3WdTbbiiA7hijvCxinOFgbaX615pvJ1aXrwYNnO0YqFzQOtD1pU+HBNiFDd0OzbwvjaFMa47Fq
37puQ2mQ9LGzSpxQzAvic7REDhxihyXKnsEYCRnILklljclGg7xk0GxAE6uU71r+KNStBZ1wij7N
6dAmWw4MrF4wIzP/+nP8Jz6KFQZEJNedOJ+55htcwatOuIiSvKn4z2S0pgpaTRATdbvsuz1bcI5y
aVwjNhzUsv6IE01GjGBftBg/W2Byf53LHsx/4isx4rhB7R/mjWGDyL7QJicHaLJDhZMNZsWismCa
8cxQ5NRGaj/NA7OWsf7GfbRZhuiFHvEHUVgKKILxHj2LOUQeYJSsYTAvOqDKSQ0ErdjNFYKoVKiB
hnrGNjsvXrWbKsqhY1rRB+sLe4AGvIu0IT61T/a2XqC3spYdGtiyk559z7WhUchGaFWgJEt1mudw
6EUNFJUygqCAOZUhrrCrkr0Xooi/IMh6Cu7PPNex1W0oM/K9J+PtGW37WWVPUb5bUYYmv0rFPwn5
bJDmezqXm+eAHS7iLp2jS1enVzGCqdFT7oLzV9JmCDesaUmgoBH2sEijjEg+RFZVDHz9mqbJVU2B
E4Gh9bRmwP7Hbxnb7EJpKvUllG7WoIOYV6xLkaMoy2Z9DVNarV2h4Arp7JTK6XVncv4qVyRwCguR
XFasctvF42uMYOap5QzEcyVBpS0VukHFc9XmHNzD2hReLXSbKJLvXUfko1HMR5lkbjxbt0Savoay
ZME00b0oTM9V9mzWcS3oxe6iNRzg2KY7ePLfpTmAKOK+W0l0t3l0ZeDLvcrQZtUfZqr8aT3wyHT4
BnQGIySR/5p8PWttZfE5MgvlzY/EtNoKyBWABnl9y98aslHVTo91wW0pZPk7Qu5ylnh6kK30xdWk
0TG+1WFxInDzm6qGuhvxpsiBabyh1NnpZRzjhG4geeH0t4bILFLTJ1N9qxPxX1gll9WwtrNs7GB0
ncj7UdPK/oEjO1MRI6nbX7mht4jKNVzzCS2PzBVxNVEl2TeySEdL900JXTx74hhIa+oOkZ/EDqH9
WoMYjPP6xoLpb/VpBucLAgnSSNFs4nbO/E6oX2YJWUBsNIRZED3dMOxq5N1pRaDODMrDwhwy/ILs
ozvanwArTEE8rfu1qE9GquBuPvMCfZKxB4mofGt2D2PlSIoVQuaztlvAH3qSBWAWvs9bump+PJle
XRsniF9bWbBeCfRtdYEvioVDkfIVpRHvwcHlkpPU72mbvnURqr0gdR9JPG+AXp7WieOqlp5eifau
l2wwGDJKE8zO+kFbZPC+sgdk/I8lvYdxpnhPBMPLM4hqkhYFxMITe2RhsZ2l5R9c1K1RWwFB8L8y
VS+1OtzJajC8R/NVqqjIwXpj9Kd3F3cU4a3yOJAyHVT5vBAto2Qm7Xi475FserCfR1tlaHaERH5k
PYRRWMGRQ/4KKbSbv5JOfY2W8i6o4aOtu27XpMNeXdePsG937BwOzEL22d2Q2PH6VPrDQE7Mz1E1
a7tcAJi0ULCsmuq8pvnj2O7BhXhtkf6AfT3EE2kmLLQU8qUl11/UuzGaVPGvQU5zUlB4tpyT1tP0
2EIiExjIoL7ZgAzfMLI5xbrpYCT1K2b0b5oKX0Y53LoFkmDfms2b0KkZN1aeDCXq/DWW3stW2hEE
0I5mNtCYIXfhdHr14O/plJKC2J8gKAyh5BZKeQea+Fj0Zh+vwqNr1gd++YV0feWGyxrMM5HJkgyl
HVXzW152F8lYucxwMEt68tszqdgmRosSzdtaAp/JwjpyYRPSA2AVGo5Jck1SVrIQbMX2S9/JFNFz
7eUbTikoqe4CdeQwTfJjkXVfz8FwA8yujWivp+N31nGthiqN9z082ll3B24pINSJGM/iXlLlxDZY
cxkD0IZIBtvf4K8vCFwyy81c9XDJuWURCvdSy9rLo7DVdeFfw9ZV/m1++H7kb7EwSMSVzfbFfaFM
up2YSE3ozIanj+rNSsfSJdeCqjN3d/VJyw4povBWqK+SMW+ULr5WSc2gQzNvGeXVEazx2I3ayyAT
uGhHGNbkWxKnVIV9FxG+LVR8UD3e082idiJ8rxFf+Ua2LpNlyrSgG1q7dHRp2b1DHnrvWZc5SLxY
JsxOoTMI9xfTbojRYzJto0WZS7Sjxm1iSx1/EXcB/0pzuL/IRf025M+TqVd3fbWcCcyT/LcCVeVB
DjN+EoNIBsXye4gMj+Vl/bQjeQ85+zJ7rjZz/VVEyV0wjR07Wo/6TL24kHoTmYuPsBiV32IZP3hP
IWgjUeLQ9L5iMMNHhjfW7beEiNFHJfWKYrtgnFaauCU/+qL06WKXSbU3m3rxV+EHGh1aA0QICfMF
GQ4hmCL4vO3KdIOdEVLATuerzHTeqcZhoFSf8uoVNMGN9G7bCsXG1KHdNiEyHvSiRHVoKoGLpzZf
1ruQFqGWKD9z06V+GC/uUzUEzsoqOAbXASE+ARCtDD8ksH2hjkMYU/mChGqdkqa86ovFXdn4FaoH
XXM74vacrKFXG4ZPpcBJINPN+U9I2HdlqhRGmS9c44u5QJL6jwywmyRtMGcYJSXPT1TSudFYQ5cc
iVCdaC28WVgpZgRCrjGPicaSH7iJDQZy+qgFBZmPoFPQq1AClSG66euzOjQEvCknRyfHa4iFK3Er
jhBXIpwUG24kcaubFGvbuW33bembDVtJ0tUHQuzCWUVjwTqT7+DteWl+CMY/iI1ubymXdFVeFAF1
V5f9aNUDY2gcCJXfhim5RpPvarXACuwu5UB1qnFBs+V8a3gDcSLnETA1Q3soxd9aGXavfKCqX83p
VS6BFKxMJQPHILIsSXi/1zuOuaYhK614sZm/pZMPWhCc6oK+zgs6RTLtZltOEfIxraGVsL6PisAl
5VyYMEIIwaSIFPnYcU+JXWPBcJT/pPWvBo6Ggk6WZtG/ZvGkp4NTDu9VBSdHf6wpXN5PQfGFEqez
qA9TM9spSbemrIKQDE/EY5/KBTozGbXpZRikvdgyB3MFANfvCCLKY9IQDu6OAKBRQzQ/NNrjyNjN
GqyTpCbkKkqukE25s8r4LS8i4oWKQboyX7+WfCGYmZxXlchvZL2CjflOUKzFod1D5n7JWc+bRN11
VORdL/OSxXAVy1NvRpjcibOkuKa9oR4EqrwlkMgU8MCgbgBH6qbuyrwT8oGWquVWEVKlWrBRYf4s
5k/2DXkpluSs/wsNfxg47eIsqAm6D6SU0gRkCsvkEmBeXWVuuhAdldROMUfbxCSqXZ8NytCZoO/J
ekIU6YJh4NTkQ6umwi+myh2JAPLO3Nb8oH2UXY0oPoUzITEpdZNx/NcPcGepyLuJoV2iXHHVTg2A
tuxoegL6vgKNJgkGiN9aWXlQBlUybGm+eKWIxrBM5qOaxeNcqiQSzTPP6TYyE5lpMLwS3X/KVU6V
XxJofVaeXnpr+opQG8L0ZhI/wGIh4fXLJ6gzEA35kR7ZaUqMh7rc6/QlK75D9bOkVNCjH02oPHFJ
HGgCdzGiCBbSMct4XqThi7unz2y7F+djnL0urPQosMLtKa83YdnuFB0sa3Nuzdclv8lQleviIo6K
u0Q6E28WSBgsGUGE2NQ3WqVdNRwJ5sl8PFrtD68TN40twnfKIUl/ovmtHfr7UItXq31eJEOojo92
TPaZdMktwmmiUX6h8Z+BTC9xvDFXDU9eJEsrLDuu6TeAbHgjFDGMPHP1sPbpuXDh+aKdrE3fItYj
bw2vUcpPtqOgFMcbgswBAxWUqviWGtUmUxApV53BNyMA3oPgNgXsM1LM1OufbCVi2gTVE0nrnXwA
xmlwuHjlIvFK4Nsili9J8Vuuw2acSmQWtEZ9vq69zF6un3TiSFcnNwe3MrcBseTf0civCwmAmp3R
dIAiRN84Em1lnjZ9zGWDNMWI9yKJbwbaBCFVW6j/UjPZUs0ZFdHD+kKx6zzkFKJISEnsGyEoDzpq
cHBL6V4BbycNrh8gaBKZhYqzTfOOBbu7Pv6y+j1UKd5KeFKI3fm0M9PSk/HG2uLVgKUnW5JnqOQm
pJR1VwGgFAzPmCslTfeRkJDKbBHy5QdpxqvNKXFJpgHzvwS6A7ComMl31BhWOpEMgHDSB949f9Bb
KsjMwcY+rR4pSzI6S4XyME9vpsHPPjKM4j5sQEXd87TdDX3ohibVo0SUHRg/PjtWVSfJ4EtBOgJ0
tREYbdR0V2uqr3QvS/aS0gkT8muMxx9+6e05Na96V/vp+GuV2kEUEX3Vh9q+mxLxz2BSNy0zLhw3
D6gjyiE1HxM22KLzi9A/eVKVJHyVw8WlqLZdrR8qgfwyjebDEjLXaqtdnUMEyrieVwVaFo2Ie8mS
VKeqxHE3F0A1y2Y4rax4s7W+2YbV8xhY3CQDHCE3/2QNq9J4mfK/djr2Mm08KuugXevvcCnsuMfD
iPe94g382Kzy+UEcLgHAfsrEUTLegFbHWi0IXXSVnNmYSR+TIRL20CPpQmzF3OV6AjKCZixxVTDo
2hREZaD3XhaT0C2lXZtUnMxcUc7z+0icbd2s82aafuGb2aXq5dF+ru8MVCgLnfE9Zq6EtcJeUeOE
DWmiuaaO1h169XMsg1jylsVvr0xHNkRZe1K/uuZbUJwcC3HkGOIYrp0i8im659DvhaDL7tp8gtmK
ETjcLbRKTX0xlS351iWi/+Ck4S5tj62C6n0dJn8at7r2Lc87E1tr9GvpqzcHvoO6Y6IKw8KJpFOV
nkFcjvg1UblPTBqfUWCNHzUpLAwy2g+tTPnX71vYK8KfvrhW+QEKZi0CGM2zehHSgyEA5HTDHklQ
kv2SgWXcLfWWjTC8oXxRCWDqT6bPfCK1YBou5I0AaOWI41jlwgVkSQ3XjBx0j22nsf7ns8JWo2kU
yNNXLZ3YWHKaa1cYHYUnMW2vafFQCbsYRFN2UoM4v5WKO08VRi6iYcsT9cAZa+t5G8lHpNxwPaic
C4NXpGcowGASkuEsPheiSE69fIW0FOoz30NHYAAVPmL5oM/ftNGgGOGmzE/kkyfrf32DJM/hgjTZ
akHNSg3kol5snpnabVkTUOMHG+5k5mxVbvZ6L2zBeXhLPp3zTLrGwosItDvRH1b3JnM8AssHXCJ7
qOtU/2uhAo4n+mPxZymfrerL81stvUd85U2LEAC9eGiQe629FJqnQkaWgooIxXprYMkqm2n2JXmH
cjPqWaAlvEdGFDzlxtv6Rn/cWnkED0X+KbHoh+OyvyEHyfOemxOjdSedGkwAFO9iIw4B6EOdQvwW
ohFfWm8miWqB2bHDmuLHrmpJglBxctJ6q/HL7o86ThQfDpSXZ2c7WFhXAaABZ6GFFISlkV7N2YfL
G1vAwPCJd4l8MuID3NraIlnqR6C4MmfpaG5vjPKwtEe5AibyLBKzyRFO6Sv+oWYEUDbsYcAHcufU
X4ZjvdgZdcP03qtHLfmY5BeT57vaqp2HNz9lPzoQWU60BWDwxOfgpP2d6IBUep1q5+pRl17j/s/4
Ukjr0141daD7/+gfx6QOs3tR+alyRPi1G0wtxUP5xS2UI48WRN9tDI6Wm4LhTVlFw9fyZRbfZCdr
+eHQ5LowsXYdVyv5lcx7jKHZ3milJ9ld/pxENy++O/mWVoFmHp78CY6nESEEnWZjyvsx5dDeEZgm
0e3+75OCQsBKIjHvavPBCC8wVfCVea9y3rPyYCdG9E/3jeKVf1y2aXsq3b42uLqy1iDIgUzS7G6D
OtkyIEntPioIls4HCbEiDxGzdi1IB5J2iyekP13NqpbAMr0oCYrmZvQnGYA7OUsY25EzPBn+FD0G
Anr/cXQeS44jSRD9IphBJYC8UoBaVbHkBdalkNBafv08zml3bHa7u9hEItLD/bl3K7OdPbxNANT0
j8zBtbgmKKGIDRSIOViVGAV47RLxDPZW9lTNR8Nbtg+f24mTPZkPufteeDeKAA1tX/Xr2d6mgt8R
F+xxbG480hlOWOPS5ayW1qXjC+SlcjnlJ4gbneEzDUGeFlQVa5DOoPafVMRcDS2Tqwsu/DMXUWu6
WgMqF8usRQ2zCTttz2C6FGwtWjZvC+G9adVOD/1m3Abd1jE3gUVXGeU6C5KY8Pm9pQK2hasXM3Nz
r23sqkAydgEdd5BMxn3croVH1g0RdAOWgq4fQLvMc/QcbofHU8RdlIAb/iHOjhzt5A+D2iNUsqyr
2UdWmnHzQYmpj4Ezrpm9cKO8h/ZpaumL+tNh2zLYUDK+spHiuI8vwvY9t86mfPJc3na7YDzpMP+G
zmftvoSJG/NZgNEmp2BsNDMhRJJk59Z+aeFYz/DtdGUdAXBv23k+QMhbiniXttsGVmyA275lA5no
YpUa1jk2u39O022DgpoV2HaWPtHgla2RCE9FS1MZwebjUHpPTEaPI6f8sTNg4Y5R7l1l1BsQGCz8
PT4ePZxfmpZbvTSGv67Q/AGC00JYTbkcHjj0oFaP0MXAcEamzFP9Jh2B8FkT3tRiN2FJkY/l5Ahm
yRM/HsNYzJQ5xTm3uVMvI9+FK1RfmsqjTaCEyHZz2orbEtw8cEXx+KO6a5XRb5MBLTsq7e0hcIze
yn7ACWgc8uN0DzFc057lhMYJ3TvhFam9SOtgRO/2Ay8KUGnpYpiodpj4dWtJvpiX7tErT7r9Y6mT
W//Y2ktecSnPVy0vmekvHH/H/AsnBGUZs7bA4olRpODz5b7DiLsfh2W9nNdIou8PWMawwusFhB7a
VDD6AX6vcBvdqShndYbHWf9CRuHrRMWFiJ6x7gb5TT34jZf5NWrZEfsm9RMeFhrMaz7zTQD8hw8s
X7fYyr6JWwlKcU9YaKErF4ty7Xzk0xJB3yH686cfoi8XvzPmwBcPoQi2KYqJe6iRIl/7G987fjlc
VfUnVZjWeGP4RDnIYQpQFVEdH+OACwxjBVXXd4pd2B64UrCXiMjWH0Lw1eFWw4B0GMMtw5CBuLex
uP7EO4WVBBpe6Xe/HAp4L2jY61YMHAKEbrWjZnh6GL/BMOin+Bm/HSAXRszpKfvDwuair4Jt46Fv
kLKA7GMtWsZ37Sc46flqcvxhX3IX1J4ZZEysHsf4yP1o5mXf4GZZAJ2CVRkvwvP4SbXNBraHx48E
MmwXGugoFFdey/Hc1byFydBvva/xI33FU+sssV3/a3CZ5Yt4M+wj7BnVIv/MsE2DzkSZqBbOadql
Lx0/s/tvUCfqC7mysHee5m0acRxucxw5bFaoQDmTJFO79AoTCgpoi1v+Pf416yOZhyjfWQVhWDbg
/kTQXa4qY5WaW2NPoaTYUvkXv0YaF6YN61v0J1Fcx428wso3GZe/CJP0BL1fDM9vMc+iolrcsZBn
nsbOZyEOlg1pbVWBiAGruIsobr4kd2fF5yXf5Nb8Iylc/RFPmGfIrPv2gi8al9BAhvXKgIDj1njO
PwPGlHjN5LDLv0Ju1T/qGX8DNcXiFP7giIHVzD/348rDUcde8YpbY9Kv/YZdl10ugosE0PY9nl1O
W/iIeKO8BWUN3E4t663et85yZhh3D5g3KOYQAHCMxXQngtCLa3zAb2hgtUNaUDsgw9gMCaLjLBrA
KIMKOPLlbQRMs7tbrr3otY7IwR1Uepu7cwav7bX+4j9C/E31qxiXjNTlqzlsmitwiMw38XQ7m6E5
9OzYl4l9KVhFLalPCxGCGYuLBWy+4cnG87Zp/ewst2yscQXzgGjaglQbxqCDs243CkY8MJd1A6dg
WLjvzZf7y1aRjffz/03QPqdaBvIfhw2cSAPj+jauXvobmEij8BHG6NRQyVpyHj+xZI+mi/xO5b/k
Kekvj/robEFFCqkXCMxLlKM/3vCMVfmalW/u7pkcqk8EaPmVGssM4TzcE05FklzM72SetPCvivxy
2mt+9To+rot4/hf2YRw3YX/tBEb0pdpmqR81p4ZfLdw5Z/aHk4zwPhwKzKW74ifS8KUtE1ymd97Q
3j2654fsx3yvv8ACEgswvx0iDDjUXwbDVzzqOwTkhowFrD1WCDR9zg4X5WWWmitycQvqsYb4ILL3
KvmK7IlTS/iUUcNcbwHTcniSa4u8P92EjSTOnsW+zGE7yEPRNGvsu94Epnl8RYviyD3nyrcQmSC4
y+6n5GU44KOnJKZ2Px8ATz3/IinEbLchlQtf7bUM2AMi36JoL5zkGCfUBcYoaO3OzcmzX93ozoKw
zE85RZUjX/ZvqzlbJX9DVnFOae2qs40Ijpr3zH9xm1+99hYRx3KU/bNz8IY4XVrJdMmljYfb4Hqy
QgTIzb1R+9y/aDD5qHWdsg5RrL1SvEkQy23pfdnjX6p+cmwomvUsbCgB2T9BBV68sY2z1t5ny4+y
nca68tFZgfpj7wNRnmAAMNd8d1u8KAQZODlx03F16BMk4ewxfVWvdgdkJP/F7gjE6p7jUG4Ba3JC
5Em4Ij6JYfQwYexjfwLxMBYHrXlKEKzsT/ByrUMaZqAaNfwW3Mdphdyo2liTK5+yg0dmb8YNNXGp
6uVr2oCK9trX0llFl5QPhvsPzM47BcSs2R+zqPL79kXh1xpIPaSI3zB/Gmurj9uxJv6F70IzuEJu
NA37NnAziyaQ6cxOquZly7+28RmmI8cbFz332ud7e96QFqeyRd/m3F/hxGFJT+mqre9xP5/HB6u/
Kd+VkR7pO+254ZiieK61eA1ecqnbmH9h/RnsjC0bhV9m69T5TENjBetx2cN8nht+1Sj2PeNmj8dW
114bk3F2iE6RaS4D+wDBge1AswXRwq0+OwQm33gQozsi8auxn4nUQvfVYcEMMfB3j+eNfsMAuxtv
v+7YonTSA8osmZ4Sx97PrfZUNTXeO84gsiSrKoixvetlx//X+bB1srQlQx2reAdY4UJZrB6ZXbB5
bcjX6/B95k8oKy21kmLX9yZo/1mcLVDbCieX21bPMVe9QtOXE6QGuwfJ2lLiAucTkhUiFn4oACM6
YSDFLg/Pec1BbDqXbvqyecVoMf46AHSujmOPcKtOMMylXKxD/0U6ZQZi1WF1DObukL2LEMwlXyzD
+OlqflvNdnBDDz+Nx1QTa8xTrXwL4w8HXnNfRttycE6a7BikSaXH814OdrpWUrsXUXOnYewVNP0y
JJdLkIWnjx1qofGGDeBHqJaoWGuQ+0+JHmM2zyudRC1UHu8Hmz2y5sOtGBmnuogIefAE6s2G6ol9
KKu1gPo+J9ahpQBC17Dd8cDWrcAGNKHA5T8eb5DIQ+z1An/ooqUXs4nnPp/M6gqNwQYaVN1BL+xq
+oI4YjMiDRKESj/vPc3be3O8163xxTaB8gX2qQ2anbTSreOWWzmasCWN85g3qxl+fKa7JM2wy5CD
IFz7jsVwBQCSmYIBoKxe52DyxwQaNWttC9Mp2xdI10zNwd61nh0aByGmJF7LdU4emzb7DvtTmryl
sgaW+hRmWHLK5AhID8I/4jZNCCx5zeFc2IxZkc0yDYdhFNkaR2g4boQFDb6zLEgHNhchpeKLKJWx
S6jTWExm/5oF7SpFbJb6eOs7son1yGRGkcgIpBSs4NyBheBXlZdHu5SJDd/zXjPzl1PAb0J3lSiW
rTRBJG/EZ4BT53ury7Zs5BeQKt8iLDwWTVJJwbVmOofTrTJvcajBTcRGODsdz7LBnpKcOI2jZ+wV
jH1lAWX/LBEc44rCAEIHXSe4QVP2xdNSUn8zNpQIexCTFlmF8524PA29NOktjCbcuH39FozZXjem
Q/nIDogQ2XmQJhktxyNblb90ufymEmoXpckmTT8dft5GGBuLRzXNkV8cXyP9NKTGdphoomp1LD85
lp/uIai1xrGMaMsUo8O52pTfkaFJ4rfzxgojsYTi8Zkh02xI1Jp+nQw7N7OfoIM03CH2dnkAViC4
I3owJQZiehpCVxv2BG60g8w6koIz9vH+p4mdW2NRp91264ZZUjPtVVA32DK8taKcY+GZnEzdTG1S
0FX7gPuWF7knI9J2aWOf7DY6BWF2Gvi83dcgbE+s65C/cUzxU7JUubTgbqETv8JafBGwKrrsL8/G
JTUyvN28BbmNoAke4OwlgJN1WDbfEQSwJUj230INflnhGMH9vsfWevXgB9IHcTeg59UwY1w4hwa2
5MrEaD43S92w1lXnnCeUYMzmzBXY4UiOcXsHKOD8C/KA8DVeGvENs6UeuHqzexEIklrmYrGVh1Lc
uQJSn8Gj2RJMXho9Gc5eUHpgs1V0cgR+2vywD9MjeBmmbGOCrW4GmjkydQxN5j+qxlaNk216Rz0P
YGIwTLw6WbyjvvwH7DN/MbTS8vel9ajYDXpbPnbv4Nm3vTc/1ZjlUxe7MBlYGg0vJnvQGr25oeFo
UsVzbpD2BVOkwdqGua+V4zffj31qcPPKwbA1N60ZWibn5KJp8FRZwXgg0QrywZOC547yzUbU47SY
xjslkOsOf2hQbCYzQro2fYormM4thi/JIaMRDCA3JoczuJJN5WmbhOzP2AYLkMNlndD1ZBNyY7pT
rxGpRFEcuujD6VibZh+SBCQVb9n4T/fO4/ClZUcK0XmUjG1K7gZO8CbnLo1db1t6yBxsV3A7Lm2W
XV5f+Kp39rH9Bv1qUvQGmgXRFD5qnE9cCUNc8mCqFirUuK5zRFA3jkGOwYlXYeSRaCebEPCu8cSb
g7zAi22fFvWW196qKq8iK1eECFf5MGGnCwjDY91O9IOD1pOAbUjM5CvucKOXnX0Dg/p4EtYDTEVH
yM2krFUo2oWVePDbyuiJJluAr4TvFwVTF/BwfEBwB0bidSXzuJGRuI3qo0XYDJLWWbjNSlXlWecz
iSWGe45CFiALicBI+hCbSPLk0HwloDaPMr8VWDCEfNhP4mU+j36kR4fHABn8JBB72G8MXd7RqsEF
QyQzNIFfAr/bWFp7hrhDZdKiZs7rXj20d5O1Pe/chGUT71JnOmFLXg8syJJpopYRcyWFaA4NbErf
px0qq+FK4A2z7zTDDl/CJsGsqMgjDoXpM6aT5plYZvTN72ObyIJlVclT5HJ0sejJHbbTRfqcTtrB
MopTW8m3pIpfKS3ZjX27qo34UiKZ9/FwclAChQ7zpgNFSm47mdMX1/C++ohh3WtfPAg2JheLIaKp
wVIHzy1vYZk9Ufa3c1FQnXjYp0Gyy0feVqpdJmYrVhlWBXpQNnHAAehVzOONt8OIsm/acpWwPuNP
4QskEcYuGrtfofQe4ijFEd5vI3pldc6XKe92iiUu2YojjAFwWu7VMYcPUWDvlv1wYmnxMJAFSfDh
aCVG4iQ9OL3J0ifM9pQyM2Il3WsWY8sm6ljRzPBooYH1h3f+I3yI7GXzWzLeSQS2/5cg03LM1LZX
wTJsjR1QAyiZSHoJIF08GE5s7ucHz2KG+u1+Nw1/pwn0Ai5TYftPx9qfdD9zyNM78wXBVkEAb5If
NTfIR6v8VLGDL3CKQnpW9+aR+pvBVsLZwd7jZzNpQ0rzcHotHqt5c0T+R0umColfFl3IKTcdVXjB
MP5rupLimHijWjr6+ATtVu00W3pLr29WJqpAlOGkkhWTo332HmaFKz685VSVH0GAEOfBySRsGFm7
rHFWdvmbGF8ZGo9B5sRkOumUuvYhZj0h1RprEONhIfDVklF3+4xKIGpCMFJ+xQ8x27ZqwmXteQhI
Z7JodAcKFszq1GJbJ0srDlEbnR1Rc0fmH2w4Habi8ezD2g+RNhfVZKOum18Z8KNf8/8SIsFmzxr6
r7KH35qzT0hFDhotCjdQ7i5khW9elzG/p++eNt4x/U7QByklSEouAeX4BMoUJlNsvnTKvnmSL4M9
vFaadU2E87CX8Mwx8GjBFygtzP2Q4YckAMrWawG0S0AjZa1emY3Y44YYKkT7MtQUKjvK3dFy99EI
d7yNZvCYYhhnCiJzg25zc1Hd72g51UqZSG/hUFPv2MlPfhICcLVETc36qyOdHJWS3TCFO2h1dY+J
Fdk7CC2gK6F3qR2HDVGyTRtq2OJm23ThjjU25OiHHUcjNLuMguSvMqN1mxh7mIGLtrhZ1awoEsGF
5z1KCgu7MVdW0VQnewxfHTOCeT+iu9cNFHuvbDFnYAcCrdrTLMcXJmYnDhiI9rQa98lYRm+9hwIC
BgdNIOWDNxvzIsiNrzNndraNjlkocXE2xprdf6Yle8FItjA+cvNjzqeLrbzPONDCLafBDqjSzWzR
3JpQa7fhjPorH6GvEoNWbzA8SiPiatAXzjWxEUnCsUdrbw5jgcVUzDfdJVwFWJlWqx1dJCs+Hd1X
mbPS7fkCD+pN6sTDgTgyvUI6dSVmlt5ymw3zx6nXk3+BRxAkIz6a1u0NNKncDGa5NuuMnUObvfUO
4wAVFJjLKZ3VWkWw2LyK0mRXwKrD8+Q/LqCAFcP8Y6iogWo6/YuNvVo6dvyc5t4JyRz7mOSstbbJ
4CJFEoUEk39NxfACx/Ze9+yy2o4dfTadSlhPDEP19+iyhOpdA1YnNRzTNO5cJViFhViN02Y3Koic
pTe+S3CQEDxYXLNYIfjP4lB/ncv403R4s/GXGJ3gea+SCCErVc4rcXs/tetbLueaCrUOGxUeuDFL
Xhru21Xj7sIMi6wZsuGy0xCeCc41lrw/biv8WhsOtAst7TY+GBoyElFEV3iftcFU5zyED5FvI6el
myh/nRMxXTKJ1Xzkw+wGlCZpRUjAdvDJX196Guza25flzA7JzFGeUyNY5RTWoSaFFac/H9xosTYJ
bQrfQR4ggDmEmAcDrwtX4KAoqEvjz2rnGGED9ZyEBgnbidkyeDQtyuIfs/1Bd8dvp2x8aTt7npmn
mZfY2rDlmdblYRnZMP7gCeyMBxfYi8O3OWVxaDXpS6Lrh55UAM0gBws7T1+l6M/a2S7bU9YHhzRu
/KBEDjBaIEG89GeqscbMn2JvT7ibZEOIASe3vWMxpe/G4D65erqPhYNWqlI/MVC5PcAltBGsgQS8
NW3nQKjn2+Ig1uRCPQdGhnBIotQLg3etZI9lzNUuYRkrbebfSBMfbYbA1lkeKU4bg2a87nS8dugZ
qLFtMu09s/0MRvO90koDRJNxCUbn/wLOpyQj7hd2LuJoQ/eLjaKed8SDrEc+LFLcrBxeI0WTP3zT
BLgaP8HeaIYUmJYhcKHumk2kcYipQDLDVlaOf0NnnJUOi7+YNpZMae3r8i9Ag0xRATIzQO3Zhyqh
kbM1XDT15gMFIFuAmOieY0v2j1Jw/SwMhl3FdGGAH16LNv2zzYArYig+c6YfglDjVvT2LW+Hck3f
1D7X3TPkv+9hiLKlloTNNsnGr5Y+1IUigKxrZu17svq2BfeELvsdu5YLJCytpYqc3whU45rJjtRZ
mnxkuF/hoLaK/FJj7MepSnCCyi++6e8SSNiynJtgI2wglxrPzKyTk2iArS3EFBDENqkCFyZ1a7K8
jVnw3CbMnkZ5eHDNdHym8xwv06YgGQxttJYvkRmfBzta1+Z0qrDhrG3r8dagH2FZsyOW+KtH0+MM
HqxiMUfyAzQvSGJVvdPe8YTpVBHtAgKpV/uu6A+dl21UUoAntKY3p8rgrlQaHjQj98uQZ5UZ50kw
Go6dmLbNQ7TBQVauWnprOj27ckSd51hdoFAjfTsAuYmpDMPdIf9RCRYGrnFJeVKzYjpzEK2k28Ny
RN+gvmVV8Wrx3G4f2kLsS1kUXxBevaOOC0/jKx+O0abV2bTV8gOUNRJJto6khdzLCMkCgvzD3m7C
vVf869ORkraR/ca7qk+F/s+UN6UKDCsFLgj8Q9O/IXqVub5otWob6NfO/Zyxlg/tLlX6ztSPeoYa
APERnemhnOM4biPuWdD8Odj9VBUwymBWSLr6UmsxU5boiXug7VA2T9w+QDkjjIqp33DqrPLGvklp
wpeRh77SaaRAxK/2UaX7WvjIS2jZj2rslQ7WJhvVofJuuau9ZY1YEQbYR9CK9Cw6RHzICjeaThS2
Y20U9ji9soiKO9LB/doK0SrtdheQLu+o8NB0Y6bHGDafMa0CrJAzl/U2GVcydc+BAEPqDfbJ5PF5
3Nsjsn0teaPB0u9wFn9jmBXgCtCLnI6hlH8T4tMjlkBEklaDZdVXv8Ci2UXW6cqK5Qt+1YMmyucG
qVs1rZ8QoO57zKcO35rJ3ttDu9dFeKxNiy04H2hfC1heiI6RCduB3L+jphvQT9zNX5piy1gkLLMg
aFSvXTvdSsPAz4I42UuaGqcUTk0UspDBWsaQxdyS5fbODoNnGjJJ1Hbce1x2UhXZtzg+loHxHNTY
+owUJ2Q+mH9URN+VAaIiyilMmB2P9X+2d9N82uv0UoAyYdVEFAAus3aEL40AxVq0Rnz2aSU8jgC7
uNxUC7tFlZ6AWFwHsN5MeNo6zNnQtRFRZlVayB/GV2p7G6dQwKqCI3rdP5Nyq9rJ4FrIlQ1hTxk4
yarsAgLwaikHysSgr7WhfbZ7Be6QqHRb0ojahX9xbAR+Se2SaTp04LF9DFLMokEfPmlFSFFuqCzq
m2eUmBTUUcBURz3oHgkaXwJlvBatK8uyYDKvbMCEtaBkshMoDDhu0t6hyzS1D82M5ZBq511UJj+x
E/ma0SPlp0+9431SuPE0kGm4pYj6lVAnANITnVidC4vcOmSBRuZEi8SBEtpyPRojXy6HpH9VIJB4
dvc1KBvFmY6t2my/ZWwdy5FLDt1nFv4rQp3ECLCYJCQwTE2/D17e7mubS7LHeUhT0oxPlF+VK6z3
b6gQCFI3xB4zhJi4EiwtqQT1rrTp1HWtQXPVfJtLeaJfnP8lZaJMGKgM0nGfewC75NLdgywoZddp
31m14/BjjiGZjqjFDWRQgZYXH9MUfBsZSwkwo3e9KyFXacwiYvAadvtcrTK9O1p0V3dhc5Ga2Kcx
zbRxtQ9dwrMpn2VKolT0j9HNxXNSxwCalDu9OFZZYvSW7AZHhW7cVobfRfjdpq6HcGJpJOmZAD8m
G2HeSFjH6vXwOQYwJ6Qz8e5yzWzjKJ6HpqONuA9Z1ttDtNEmcQLXAf52OJtYx6mOQy7qDqZuXSI5
/3mzC56rNo+h3juoegU+JlODOxM1n7YjtnbOCt2JmCQiS07QWfg5hJtjk1WTZI+IcRHRl1vF4wNs
Zl5bk4YTFe7SBHR6McTdx2hFRwdCPfN2h3u3F/wjzXDs9xhCRple4VH6IVjXKAowxUCo0bmPAl23
z/VsP3O1oYRdy/+66QEkduZVrbOWd4f0mknjFwsy4ilA00Vv98mO7/QeevghYWdmMsLwB36m0Ib2
gvDF6ZPrEFOz0fP3Zjyyb7pZPWOq/QxT/XssnWerdF+HANqU3uDAlwhhjfE5G+yobLYWnMxs1VyJ
Tc2Mh29Q/hdbC49ChjclNHzifAZ93kcLLRbHpAkY/UxyfyXac6Xia6ICLjkOO7RBtE/MR9cSo+wq
4CoTRHKAHoWEmYVGuyy77MMK3fcAWl/qFgq0hBjx43OnUkCyFqE7/U4d0bm6lD7lA7gxvEajYrPb
SNWhasRzuAqs9m64DlvlCQucrLS3lDJSeg6MU6t3rFWscGs4IeCfgWFy0mDmYnrvDcA7XodGNCS4
gRP6BfkTjYvKwGPWWdEHXQ1/FCtlkC5BaU/2O3U4MwsIO/SlAZzNFuBwPYOsirKrY2OpL71sNgN2
QcM19kYGYkZ33B9ZY5VoiPWuXS2oSShAtqkkJh3do/WCYl21dWr9gwFpXpZu/9YgzHjq4fjpvD2/
xUEUuFAVWgvthNwXYrtDgiv+RalHmymlBfCDEQ41YVGy3j4RwnzXHaAAbkvHhbwr0zG2oFTxqhjD
JmNa4io7l6tZgMSecSO4noq2TalvC4pqjn0V6uT78wpjqnuxsuqTstG/GfQlTYIa91e4yRurn8TB
62P4DFyF0qH4nYe55YVQPsNFEpt56NIj3da0/g08KITrWJL1wasskLyNwKhWxjSb/3o3l7goRlCF
KnwcwjPMxADMVuThHHAz9BqpOPRA4hO65CXs6AReLbP1bZl/9n2sk/Z0wGEVENAFz922zQReV6md
K0rXjvFkfVGd8w9uIMajpDsFs3jO0nldFs6dOrJPIexpH3aI4UMMgcLQ+35vCzmsZ9GSiZo9aiVI
c3WauyFooPGVVVutIKxho5pgORBybaUwAgT56KPUe3xzDtzDSa8JVjnftYt7dGqNf6ahEHE4pp1E
giQP+39dYaOwmiDWwjZ/Ktl+Wsi5C1S1nvPGBGspWpcILWXPbY51z5rhoRng+FINwkYkyT2Punsf
0n5TkrVGnqK0URE0tobiyPLkmDGQmyAkdLu+E+9tCUFQn8bGK/f1LCSWoa6Zmo8kDa80E31Slvut
ldVvBBlgKUqi7HrnwXeye8h4EUwhezBe+5L6QXoCCNkG2bOmbBxnUBA0jZuplm6NOr/oJZbZzDxF
KcwST13YV14ovbiiRN66nvUE0CbH1S/5RAZ/Fpci5pxsql2tD/exbdcjiyOy8OW2i8x3IUi8zpxB
Rqdxh2swI1brHNggutXKMYhbCappCwUwwsr282jdaZ3w9qMV/AJgWIIa344Sq19qFjuWCmvLcv+S
sWN/6CIhhJ8z5Y4s8pjpJ7HtrZBvt8W9WxgpqxNcXKAFKNnrWPQaNBiRfA8eAAoLgC0uLW3bct1g
+3R2B/tiD+4pVWxiLRwUegtJQ8+afKtZRGIx9a+ohTrU5ncRThvdkBe4ENesTW5g3di9uX4EDSnP
vW++gF9mVvlAIbGgMqqMIbAinG9OOR61rj4p8+HJDxn8hdrYvKFajxFeOaRDKc0e8+yZqu83fps1
fbIro0ZQa0P8q4NckXT5HaW2HtkUKW4AeYCLkc7ArLYeCfJjo2lfXGvWqCEcotZ0jxDm9Tyh37Ms
/8xpfjKb+gfgOY1C2jMZXyKB0gVlz2u6D8RfGWifdS23Dxk4wDBa1xU/V7HJbGs3kFIfPEznQoHJ
Ku1mvpbVBJcrdbBIZY5+GDm+awKA64maNwwFmF48JL9uBubkTfqXRd9G39uu74WC1M6oLXulIYTy
m4sCjU7q3L9LwrEPYuKCMvKDOUZXb2YRExcmEQcNmMm4S3h0eHD7bGWlc3yKZiAnfCBs+ASZSacV
L3XuXRr+emZqNSSnsAZHWIc5UvdYEwlI7EeQf0NJoIVip4syE3tbjiQcWgL7oKcrBck7YdvvPnro
dPxSA01xpvAbSpn0h9WD7Bl2+V+u64Cq7Nf0kaiPWHfCCTsDsjsjUVm4Recn4WifQ9vAGTbGP1OJ
40T/WE6RTRN7L6Htsu1J9btqNMz5JZ9tW+EybOAWKnP8Kvrc2KSUpYGMayfsf5J28RodYOhYPtme
DvtBdy52JzDZqmRvK3K8mSZuVqz2NuMrvxDe/wKrOwLoVG8CjdwoXM0Jt2Q/Q8yZHHPvoNdQJPKm
9817WdM9myQ/kiZVack3vl/o7hZfwQbFoX7YDRyX+BRxK6xvBbYC3RmeKJJ8GroW46szf4D+OadZ
wgvABHrb0ufkOfLWgUPiiiFq5OgR1oLWfPVmeU6n+iJMF0+JPX7C0vics2qlRfNTy9XPiUwq/xie
SpiJUqvBoEAKGMnog6SwT3kIzFCfTBfI4bB2Z3lNjNbaOmX8B7J/U6Tmmq/PX6ZFJ2eIP2fuwWtR
iYM0jSdNmK9OwGANk9tc2w4e3NLhSEKCUe3Aq5aArDW5DzDpbOF6hLDW894DfBi/hEPIOmN8UmC9
oiB8HoYQ/5LxhPDUIqqN8mSa+tOM2K+TD+D774Ai36Wkk7a2nSTrLJinfdaFX4Xsr4kc2I+7sNaa
SlyH2m2X7I/BokH57TQVk5Qb9zRJUR/g/hlWS3NYBZuycSlcw2w61p/1BPfa4apRGQgEljfhtWq7
7LntUZsMT36H/Fh+SEPEWrdbriaetS8zyUYULrTf6KTxVIBbIGuSnbSLjZEU32HGBQRtGjW7Ly2/
nBN10qeBvXaFVtYVjx9K67lIPGAfoi/BjJh7ZM675ZRvuZJkWUT+oaw09LlNAhdFfupcrGkwUtNb
FeMR6lKN94BpTsswQ/FEvmo8OlQ979wXkpUk3l995pFzJsIwXR7hjG1gtZYq+dQdSeV8aparqEDs
y6Ph7ukN6Fldd2mQ9SAVJ4oloxa+i0bcK03/mRq+rsAQsallI8DIR0Mq83TublIV+llxNl1qKYiq
0KNOqO0N3PWR9QDtL9x8ZMGs6B2iqdqR3J/WrZouTVLsDXZSthXjiKXwIMqcY9vWd4doduO9Sqv7
N83aJcSU3o+Wj73kKuZpk4qEH6kgpz3Hn300Y4ktNo2bnx8dI4Ogmq5OuKFRwL5Bj9iGiGSmOf4P
6LwMxfzSM4LzB+EGQx4TNKvh3LOp8vtYfVqcAJDM71zlSu6bje7T/boKqwZCg7HsWhS9p2xmYUUv
lLR5uTTmehqx7Bjtr0f4xtJvIwJ3Efw83jRNCLWTOA2OACCBdAGtjewnhgouXbjB9UdePidtfsi1
hjzCB5jYZWA4pEix146/uAT/4+g8lhs3oij6RahqoBG3zJmUqERtUKOEnNFIX+8DL7yxxxqKJLpf
uPfcSx/+DRLh7Fiu3AwfbkaEt1Mc8WuePePcokmlj9LYv+uMf0YuIi10ToXCf/8G8hMbE9OjVWxv
OnVps9/SSo9h9oaeWEc2yUgVljEfnERtDC+PZkzg3APhNRrkWWvJewxsWVOs+nrGRrb3pbOO9RGM
jblzq4VFyXfzonXTUdhWiHnkrmzeaqvZRr5g2EuFjrNgwJMq1M1LjwaSjtSxGE/QVw/p61Aweq/M
S876o8jkaaL5z6AmtICgoFIvKxt+Hs8HB/9+pIuksqKKpu+Ejy8q0OACDqquthbz/KJGOqluPs6Y
4UhuGj8I9Ji7D409QKY5mOoaWPdRp9idQVY14Cpt/tUQsZeHEpjglFyoBOAnYI9+K5SDnYhjw/hq
lI8fTZ04MJAfkLwjp7Vvm1u/0pdyVvuwVaC8ITRjx2ibdbSD/Rw65sThDowsgDtN5taywuzmk4+p
FF4L7deZ1rWOfX3rdvfEO0xSQpH7STy6lzLke0KpOdyJVuZ3LhZ0NqsEsQjBVxTTjzkULIfCYTQ6
jTd4H64slLGZ/6+f3iA1HGHELuwKJ5FZPgo7+qzRP3VpsDeJy50I8cE8kfHxXJkQbUjL3hAfDvf6
a3AgChDmHKMTcOxDm1/95ur07Ja5zl0Om5j33Ei3kbg5LC/oJof2pR/PpKjgLbj7GUJu6qV26vcl
h5GTfXLgrQzLPdoFUP1xq7R3EmRWSX3R6A4bxPMi/3YCjMQMQWN4xGbRHidBD2T900r6ADvdeATP
Da52nkwmBtAHigeERuXeWyYYCWVTNX6R4rRJC2w65p9gzG+jguiIIOpmjw9UUFoxLmNEjxl7bhDs
tsUVipjYtx864NUM2pjkC+go5p6kEsbhEWLd/wIJ8kLg+X/bbnEpBMo3A4R3NlvVF4xyNnEbf7R1
iSGq+0ycZpk6jMXFpo5OFhYY6Jy6bLZuxFebcDsDVJ6lsGYMJg6y/jCNP4N6k86hlGg5AvvcCx8f
OoQrG0ZyjaaVQzhpgk1nqh1iJg4gfKr2Nzk+tzaDRMHnpNk/2fDCjBwh6t00aBinp6xDkGw+oKkz
UOtXfaeek4aTABg8Dw2juw+Dw6mK+TWKbMsuSPUXFz6J7vzW0tnVIsGopnB7YOWvUXUXbKvadiWQ
aUwd/QzC/KhCydZzaJi0NSZZ34SP6MwpfE7G4qQLcx2EzSLWhy0tyJ68Kcaz40px7bGko5zB7JoS
FN++h6yF++FviBFxNOEbO38qQw3O1LwJfE2yvWPee+LCnKA6sDlGUGGt4zxYsaboET6ZYb5GKk3A
AY00U1cLF2qlXYsafUXsPHVc0m5xjpq7AzK5dG9t2W9JO1gELrWYBtK6YN+MN9Aef1Q/QknEi6FH
r2Jelk4hnZLPaJoNp/9Qvb5k5PhUu+7SENUmMb3N5AQHsEXEigM/LLU96S3PqaNwl3t7CEFrn4cz
kbQy1kdkZGehzfR6XPwNlorm2+LvTx0UseLD9+pdWzHn4PCLg1/UvzsJ6Swxmn3rvNZAjZOaSV7/
QizyInM5wt91nVsq31VMcs0a4+mNrNvGuRtMcjIwM72+8BBEBNYevJ0fn5Lu6CfnVB4JrFTmPi22
CW4D89pmP338EMYtwKvglcfeOlcdlvyTcJiTZ/AkQI5GT4P/W0Z3K/gZGtLH61Uuv6T5CUTGCzDq
oMRBNuSMX6OB80D+S9u9rIgcvMXxYzQweL5K6xSia5Ej38SD62Iw57Bzhj+HbPMJ3dJaFRdVMTNA
WXwMzBfMBDI5lO5OR9Ho3qfhnQVS5OMZ4KMuYW+B8IZ2+twGH6r9gKm0CKq76rsX6V4K/5d7rWZ2
Oo67gCsDLwoRl+CrJnbmjXfJyWofv2ipov4da7jMNIiHW7REY/VS+j8zjrfETRMT5ZTsq3GVYFfs
u3qtgmFTaS6SxfyiKObVuC3J1ykbTL8hJeT4WfZvhi6ALDxHzWoorHUV70hC4T8TOWjv8vyrGVdd
f23UpulunkXRTCHcH9gjLaCazA7wAlGrGZaLsHll87uyvGE3MkbkHFNzvbsEx6OzSgehlq1HHWcc
trajF+OwfEr9X50sGkJTerE3213toioBd7CqrHNnQpu4ac7NcDeKHOlyx1dNtEDrwBew7SDJ0Utf
Te3bSf8J9Pr+ugUH01wywA9two1EH18xC076ixAvKSaFxH3RgN3reM6NAvcWoGdR3T39rS6SXUnO
jcg+TJJCkqtOMTLuqDGYVy6i4BRBqq/To4XSdWq3UfJt6Ds1/IYOVNCMn0RWhx7KR4cpJotJ1K04
TaoyWhUeIyGrrPZ9hasUhuHRytlcJR2bbMQagJDqYlX2CfE22OmSwNtT8LKcy8EoO+o+BMwufGHT
6cxYv4hOD4HbJkDXELWCLRtxK221SePohvBnHeXutnWvRofQGdeS3vWstmcWBmUaWUmU1HzETiX5
nPEOs9vC+RD7n6HjbUuG/GNN7cxYCaE4IdQxen0AIy3GPLqkg1bidG4soOUY7oV77RnguNYdsSyT
re/Anp5it2droK8DX7BRQ/Ee2rsoSg+C9slzzNs0hudu6LBEomCmU1oZ7rc1PcjoA84THCBSv2TY
L3R93NqN2JJQvusQUdIRodjvwFV00aYK3GUDjzjoRpJbs6Xw2XpmRwGC2I2OBt2glk8rKORLziZy
aBqUPGshLPQGNmmh4aafiicv/EciGn/pb9WLi4vCAzeiz5RN0pYveA3wf8YjAOcPiJlLYZgbkwmf
wPYc6c1HQpHmqndr8rA6TVe0Ta9lrJ+A9CwMVfwTAp2m5RFcjFFY67Vw1SS8bWZff4SC76+hVqgh
2GE+Bp7w2qg29GwvHkRFxq6ranAIAmkaBI3+NjUNIsmnZcYAJZJbHxhvmr1RQpHW2C2qpN5lg70k
I5up/WtmlBs/h36Ay8SAMobfmWgIKk/ZXHu/ujSFfbEQ5wnuKBv/JAPi5za6xxr/6HS19Suf4Xp+
LNz2b4KEoYXjM9C0g1GW64l7yi+crWVUO/bpA/s3+S5j+0im7KoSHwHv2+gyMYvrgzn+ERVNfOCy
zNonxVMSWMavwFFGDg2UcXZW4DtXbozPiV0F7oC10se9rV8UdvGigHFo+lvbYtjOikLHHylopbUC
6VMbnUpcYhnFPx9ThI8DFT6T1iTmSCv7+zxyN2N6V1OieU0XjduuCdBk/Od3BIxXLHSDba2M9wED
lWBK3WHVDME71S6lhNIeOoQh3F0HO4gp6rD6B8FrigPJ97TVHEDBVbXjDVxGnX1xIeiaIRyAjmQ3
k56XHD3yVUnGPpLJu6gJJ7Rr+1JD0x8uusUDyvSxZ2fq/1kJpuTp1WGogeh7EzIXyaDUO/50jyD9
Fa3ascvF/fdscqCQTLaqCd7I/JqhyPPYqZ3R0Cy32QdcHVY3lEwwScdmW9LzJyRDIe1dqOgbiZbn
1xf0fWjoTuyxqxaTKDW6C5KdM2M9F/V131C4vY2+B7rjOMsTmWAuhyDhM8ax6JONwxc6d8VaxpRA
8qOMIuixrP4iC8N5vU+zdgsHnE28eBelu45LbVsh3yDPdJn3wUZikiU409h5BcIYYSCxdsH2+5gI
K+ciK2jiI2rusPbPkW2eQiQqzAW54rhUvADpzqPFlAZCUJISJeDUrUpZHAsvfSYg99aN7o41KIpz
n+lH+ZQ2CfyVmnktYwqxMAzizlzWkRMD5Mj8Qw3G5TEYzFn64icNCR9/qpg22hziXpmS1EtFlTTo
JJ1nJE4brzDhQuXbAN5Q4AYcHzjAwR8Mp9D8G9Sxx/k7YOlLrxarDKb2LAMIbwp3MnxtNGJ3engL
0bk1X5LybqJbxB7ceLuavb+L/adGW9MjKxUfZf4bylkfpM6ZzcixaM5ZYV9HNyI7a+1z0cZ1cLJH
MDQNgW7p1eDVuKnYkrawlhgVW5FcxsBcu+5hVH8GkyRn/MxN5EO6fM47EEa2u03I1MQVnswA5mA8
SHM8Z5EGZjnm15xT0YIf7opnHcEgXFETTVyXUFo4IaLpCrX6Na+PXfhU+u6qZuFYDdSwhavFjNUx
AyY/WRY9gLmtQzAsFvsx5NGfhpa89UXwlHjWFlL1HjE9V7LzMBQjxCxa2qk8ux22nPYL7xXRo9Bv
9RVrvGOclGuUEwe77FmRH+3m4AsyN6f2uYrA1TOnEWofsCgrBDNke8D+SPRDUVdPdj/SvpDUArcp
Y9AcEZtttFjp9Ccf6EZexie/gBQY+Q9f+lddgIBx/dVQy70r8k3WTs8w5rBpxRsMoNsB2oxN++Th
DCEkplWKWgX/aYqlLLi7Ql+3zceAod8AHuXzJEdI2KfwVdku7Tj8DiKqyetbp+U/B/BYTwcQOFdF
dZkSPYhpqWje2ax0pHtZ7z1BKj4rzYFbv2Lk6qePQl3t9L3hjTMdWnR348afvfeRwUrXkTpqSw9K
Z9lcULl1rCZLBzul9ZIYr8Rjg0z/KBMNWND7SGHUKN4pC36YxnjQWxaIhMd/XgTo6qseD54yluzf
sXeyfPgcmmsE6dApfkVyC5oAD9uTiYEkPQf+U6XfSJGGRULcC3Z/zFyILpaT9h67V995bgyMYDqz
O2WuSp+FinPVeTLrDn2Z/o88xxU5mEQA016yrgrJMCNvCI2DBbASOSK2d4U+0ecV99M7fIPlYPcL
HFxluxscoqzMv6B7pcvrGJ2DOwRRixHI/SPBpXPXiUPdIx82Qj9N/AbYIXjuqOmfWoIqgwMGzYVG
py0nc0vFxQCRtUzuozHljbHdA9sy2P+UdnHgk5xBRA6a1zc1JwhhzkyOjfbtkwMcoAMmPQquYPSd
l0+WdmuSc4Dypx72kyiw2QEHBHE+0jAlFssyi9ARGj8Gb3J4dueIi6pf6SwfyXuQ7oFgj8hGpXYA
gWjOmJl4OQ7dRqnT0N2C0SUinIMJjjr2xWWLTCyY6zUyP3LHXrUNxhy0hZ7zloezCPjZRnwwzpmc
XYimnDEzNFa1k+4KL1pWs+5imabWaugnDa2P1mQoZwLrCGs3/jfv1P8c4KRMAJxuRsMa+SWcDDgx
rGGct4p41WAVTzNk1qBwO7cKIyv33dDuwjaPnhsLbDCihfBPDxyXGX3eRz+5E40gvlMcQwzF4mCr
ImfnKflrwafJhpna091V8JTiMS/tL3NeLJI/ZjMnKzqxD9Jv4QI6H+oTRw4LMJ81OIr3oNmTAo3/
Re0n7vXcHLGzGnC5aSqSb5M1j4GN0KPl0fkkslIdBQu3XB7MhFMqN2+JDUfAAj6Uv0aDh3e/IPdv
2GR8ZpmYjS7uWsPuDRIEbeJAaPfEMgauJ9ZQH767zYq4kXwU1EUdX3mt+2zQw6fxvy6pt4l57qx3
1yRCNIKkIW+W0a60cZcmA2bR9tzmv0rgwc//hOJBJmgV7CtiEcZwynp2yPKQ2Jx7c84i19mrpkht
TSR5Hc8lR6VH4QWBIUxjrrh80Q8/mInHkJ2R55yd/NUjjKdgUDKRIKLxvR9NXNbvqQuslJQbX54F
Lj81/ZjM2St3LtT55YvnFP9CgZ62CAjpy/EcgVjv03XLFmJi1Z69c/EVTXNsmx42eHgMrGlBgYxV
60cxuyKUmKuXM5gqPyutN5Xax5Ht/2guSVvAyvHk0H1b5nuTWU916S5H50maL0ONwgQfS8/K3EZv
JXi/w3NJTRpxdvgmoBLgsWP/Y9u/evkWt79Uiilb3Z4EtVIQwc0WKORuK+c+6aHkX+9oJ8kafiju
dhWubfASksB3H8WiU/+zsZqU2JNZqZTZvaPF8jVvRXqJnzubER1Am1ZMms9W/J0EANNmEsh4cuqn
TPsu2SQE1jajEm+pMbAK2iDLMDs5kjSqZC2Kp47ztaRAbKlG1QNl+AFd88vUXUvtxh7unct+wQaP
KhRYAYS/lteQvoWZQOw1R0ei5fTERzz63DgMa8W9iT5xwCwmEwQQIANf0j/MkQQwNsu117C7iAgP
9BmB7VR/Bi2esss13oV3MU0P3w/UWupY8lXyaVpHMW2yC4mycC8WIxkDpIY3Vrcx7nEy9jiIekb2
cl5TL8qBySKFwOzeioM3QDZr0D8uA5Exuyo8tV5+y1ycQabnMdmdqjpAvZ6GEvqfG3InoiNJ9c8a
sA8JcE+5/1IS8u6y5dL5GRiE6iHdukQ24lZhur1XFh9utmlboAQDQxHCdMf+D/gy8+B/oVR/fVtv
NM3YWwELiJERCRbVGsssFs6lXv7OorrC+3TKN40bhav8MJgniS0NgvkiM/e98fDSRxrC8nWdZhmo
9oR3lp3IqZ0+OuO3dmmU5veBRTGl4DIbAYgVzzU3dg1LICY1NmXP3kifP1bMH/06dYxrMaUnq0Xn
2HfrJpColt4so35PmeuUk7OdkDYJUHwB8cj6GL+zMmPTMKxx6m6sYrhOBF9aVEVO/KYP08npHoOY
vv0a4EMj4I/9Js6jVp+gyo9G8KUFPLHhkTWkVj5j+YER8Bpw4yXNsK4BTBR4vgr0lHZhnwf5ltZo
TovngDGE5vn7OKvWJlLghj2IiMxNA5M/pu4su90w9g/BI2EJlxyqn8CT6xQclSm+MmZZXtpQb4ar
MjhI+Td/0/X2oaJ2ZY7FerAQ8SPCMDS1qvp0F3cWHx5rqM5E5BIwzfqczBOPCIEnZ1XuKjzHyHKO
A7OiGhtpQxZGPIEniL4mlhEZ2JjYDS5O2y6qGEC09WIyYArmRXArWxJMHFAeNY1d0+SfUaXB2GN3
RWCIVdM3qsbGSyy31TxEsAsCe8IeKzI25zz+8RpwbIN+NWLtA8LvTovY/9leeBtl3CFVb1ZN9+Oo
eJ34W0JK6Oeg9MNwrGp9N/vGQNd7lBnxxGSeB7EzhwtumaWgpcrMcesawcYJ0VmOILzj/D03po1r
fmbjXSBnKf1yq7ufjJD3HQuWor0I8DApPX7Ge4IfU+uuOJHZ/e8l6QpGiDsjT960CcNfppNATcWp
se6iQR7Tl9Z71iMyw1ikh+2jLn4KXNdD2e/75ugU2KhSujnYWGzSy10NqSgsJLNbHFUmAArdII3G
3k9Q/bIMITk27ax0v4smxsfevshKDpsEcRUBWRO3QOE96Q1KIXeWOjMxkG3zfwVCUZ90W6tKL17o
n2KZbZwUqhldIQoA/PC9BHM1JuybHS3knRzOUnHC6pUBtWaqfkVh3LwKg3vnCI3WtzrZFsKtPOOy
DQGsDQi4yMhFtItRvXofzeLYdZPBiY0VT4lEksOZg2dyIP3U3WAsojC4+kmxjpyS/L/wEgiPgXP0
02I2cot5m0bGtS6Kl6jPDlEJAjZzuOfFRTqDg61R/CUTJpeKfZFRx0fEMthBAx+usf/SAZvh5HBA
FoR/wkQH4nU498zpQJAmmXjeuYiRc2joYpsh4ISXI0KXlhiY2j/aZfI9ulBDDC/G99r8JBqG04Js
ANsovixbfTY2d6g7EmmVVgr2NM1bx5I59BgNQrck+Q1NPIF8t7TGHpfjv0BoscrC4mjD4lwNKWA5
ByaBnxP0WuQ39gFc05VmXLEDs7zg/qXtNneaxhLEz4hyjYdbkPVMFXMNDFpF129lzKlLAII6CSK1
do0bqktJDbjhHtZWuR69lDpr1sZor+1AeA9hUg2yOJPwucSxEdllZ9OU7+OUjYSRD8dqGDetcva9
VNgNhsMoxJ+oh+8pMq425vXMdo8m9PWU4YTul4+s9j9qRZi5co9ScseYosU6rF+TenhEtbybSEgR
NoHTqEV4zBNrq9Bd+lV0NkX5gkr8yCvddx5h03z/8xmrxshkJMbbtv+lAeaCzlq7fYmNp4koySEz
oV/D2caFhRCMRyZNfnNJBY+9jVV2jt0zGNpTPzIdLb1kp3cEYMaj9eZpQcV42NiUAJUmNYCM1FYp
ik0i9oxjW2cfURwD1iFOgueQmO1icEi2808eWHWL3ljmI87f3Cm3Al6a5zU75aIS75BKIzpHFXQg
0sXD3ppR9GdvOrPOVI8k3hL31uhcGyb7Ji33wlVA/roMKPiysYVOhYhLdx0yY5saUmbJPlMo/32w
03UR3Ssear9pwYSl3Qeyhld9FDs98a5QnzeldDeVgB4YzYx34shml4HoHzJnvjXz2DDPVYL/D8iI
cL11HrTg/pJV+X//FnN12HAFIxPwXxqtzEJ8TKxKiQ/hhrYGpBhdgzLdc/vg7M8UgdRIDwjfCAh1
uTNQsGajeYxCpLmsggkNLNftjObn1ltETfCXS6ptNDZraXrnUJQ/xThg+veoc8CygKHo8lvUszt0
586myr1f00i/Q8QK2H8/grTYF2F+RopN9ixTQ6iy392YDevJUVeDJAipLlXrbZ3YxcxvrhqV03/o
CB0RZVZ2x16YnCwTh9ImL2zymH16LrK8TGxWLLY94EuQ4wamOAbfh3U/B3Yyk6fey4WxziQSH4l9
KNIkxF7/o5zcnO9csq5CHbDYuPE98GrCfm0c7y0T09HgMxxCupqkgaDXwXvwxq9MeRtcr8Cd3M1E
DLrKn8gVFJMH0tA+iJ6dCWpRLrX5IiaHvIFwUN5SzBLudA+NbBNy21t9Bzjw2yFqobIwu6NBUZo4
VR4me+sa6M4zdNiDF053kw1/myr8DGhc6I2UdEhxqZdYwpZBpJ/mDQeGpYjUNeiAqvCotKZV17wF
Dt2Azvd41F/dGGVPuB1Yf2kmJpPkVfQeUJ2c9L+OH52sRowujMN3ZfxlVj4blAGkvr8DsLHRvGgb
hK+lYPBvAXOfBI8s87yJ3A0LXXkE8+tlFgrMCZbxLomZQCK+qYiWjYkCay9pfZrRO3R4GwNWSz4m
EDp3kUEE7G+uyd3sH7ED5IWGuEKXRE6AWIBCZJZMBnMAaRRg1L5WjHkaRGPz1j7cMNsdgEuPQLoK
/8tr8MpLdlrdL0HVSKoWAiLRBIO+YWPicVl2PWGT2r/eZIbKJjFsrGtvzuYQAtDWqLJjc18b75mK
NqQUodFHvZn+NNUra5UkOZr1wejEwUowvLHtzpJHRDSZDx/LccANgkqRASx7n/o7q7dRivvBI1mL
bWY+fYcPDUVRfStnRnKSBavS0rdlcRwsrrRD12xGh66mecH7pwjOxeie6ufQ2siBPCkHGC2UZ/3O
hBOdMnCcbcj0FJ2DR6wy08Dmw1C7lm7LlN+QDTz30HX5tW8+NSQMdTmttAx8sr1p+K0bpF8jWT/u
IA968tdiiainbUyDXkHIZcewVOWjga5b15BYLBxAfWrsjUBg87u31rjKmM/4OLVL1IkBxlY8+Ou+
TA9FEmubmqpiw/vSrkbhGcs2JsOpw1W9kKYLOdl33tDsJ7CprOJhVcAtGswFGzPpv50cutwwWuDy
coQIQeTuLZNJTDxAysyNUECjsfjR0ZsbR1+R6N9IeDb5IJNj3Tprgym7Xsh9mnjFcgjJFKkJScWF
nrM5sNzhqZyAzLsohRZda5CSqXFQ+r4ixRPaRT/2GKpjNLM6eIsght/ZqBeScKutO3H6+BnVppxz
dUcD/lfE2MRqE5vYoTjc9ROn0qgUA+Li1Hb+sA4jhDM5yju4/M6KW4FzqPjSqgEHA83AIIiinthF
ovIJrQPwmGWAvFNOaDBZo0NxWOci+kG4dwp95rZAnhlYLRA7z3LGQ86YetDACyWoPHzPQilG0ZXp
h7KtJra39lR0a0v66OiyFKMDBT6d24EJCrF2wm8id+W6ydRtdD1mTK23hveLJ4chBpb++FaAoFnr
jhaPB4s5KpEWZUo4yeAO/ZvtKS6JACGw9Z0keNy3QF9tjVVYafpHXjD2a4wglyyuvliejtzH+HgG
t4Fc6mjORgywrMeiflZm14KFI8X2UHbai24TPw89r5WfZZwbL0OB27DMZfSbpZbxjyIxu4VD122R
UpLupkBApiFIy6Zh6CCRRIUxb5KSikGNzeQqx522MWISmD17+IsmZq+lMZ/wveVyAUvyw3RugS6O
+xOMl2OGj/lq57iSTZ17JMLBA+WRJS7K0Yk7IWHzkAYeL4mlbtsJC62Abq8NSD0XkUfflm/YizKR
cz5LRqePWwUmfNq8eyllXWIDzEb9VgAOU9m/PNHkMk8z2E1e326H3DCPyseD5jq0GUYUsnJteIA/
zWnA7Sg1BywtcrWxj+x9EePlkjqfgtvLaTkMdvsM4rD4V5kyOPmOPecB6GTdJEW4x51Rc2PECHYj
v4IvL7o3XYZPXieflaG2YvYIh8hoHYeMeQeXKZ3wyzTkV42kMNJS9SPUo1eYxMvWbA8pc5W8B+Bp
9NV9cvXT5CQmniGMm9EQ/pjYVKGTuLzpKoWI0L2nScWAR9NIQ/GPJTGZDQT0piBqk5tuNdbeRxMP
u0Fjtz/7zilgJhjg8SXS/W07zki9kuHwFHqwUsH/Zsawz0G0BXX8aGeE39CvWt29VxLKfjM+8vlu
6mdAcDyLKEIKJBlyhFBBLeJSn62c/cKe0qsede++RkCViqNDZwj2/mQekiLg0KaTUJCRuKK6Ij/U
eMoXshxgZBCR4BrDxtALDO0SV3FJoapwwzWFeK98SUUb0unLdjp1VtWtWotpUi7GQ8JLGRzrZPj5
obGDL1bsI0vU7Ba0WBrLAlJPTSnc55lARWvuJmKJ00y7W35KsKNGHGEP7rLIYU1P5ToszRdP6/Zj
PL6yfdn63Bu16axaG94FY+Ej9ogv6WQ7ZRP/Z6ffTSKJ7OPyTyL7RKohQhYqeNPedw0Z23VJqiT1
n2xeIKvsk7Q6wulg3MfOVROI38OkfcoMfd8zbrMiFi0uAGpkLVPnnNs4Zeic/tptxtRg2g1Du+Uo
xwGUPJmVtm6rfqeq9J73bgngHNu3l3gTi3CUsikz1IzJ5tLznJdWmu3Cw4THIi9kkzdzRsieMKye
usvqus1ksfO1BLVEHFn1PhjicwAXmNoaNDPReCwK+L2ZqjmrHIxAko8n5O64qrjqAwBAYDeuXkNJ
AHYHqKpAqxP5EBp4/uFAwbtTtr1P+AMr0XrrEm6NiTLWLYGdiST+jFX1Fbfjveu9ad17OY1PNBco
AOrXEihW4lN3tMKsDtgxmBt7jE88jcQagleJtmWOZyZ2fuAA+3QGgikq5muUHzRIiSF5Lw3/s83s
+FCVWrYfS4+9d8BU3nRM8p98MlohojHdVu91yytCX8eNNPbpioH/t1Kutqpt09mTtYXFLq1nMBLT
a5GQD8RRhXMdQyH70M5CRO16Ch6qayfQYsQw5ya9DFF/dmQ9LK0Cy3pXhhYVYsk6bN6YMKhlCPhZ
24STWjYTAG7j1Go37WA/jzohsV7lb9yuNpjE22R7O7eJvOykssiEohc2UmhNBvGTVGxRYOyj0b1a
3bAjufegJnGos+wUenm86Kfx6Ebp72Cqaem0WBf41xgWCKRmUbpjj/hUIbVkO9p/TD3rlFqcLUkD
UZRqH1tYbwidBdiXgi4k3qy2HM6jYF+lyAmVM35p9vjUjMMJWVeIlIbBb8P0jaUxFtMu7B+6kVwt
ALE1v+WtCqz4YkEOLcNyR8Oz1z2YpEks56x2w2V1VOKhscxXODesextMuSLTCWOjL2766JtKCo9m
iVomC5+ZfFqsMmghpgh7Z8092/Ysj/rUatYTvRpTeYa2cYiMzLeQe8Y1Z1Ffo6rqrZd4zN6UbIFC
cyDXuncgBfA36fyPpsHQ6Df8jXH8m+vpA5vUpW7041RRbkVVhpxyrMnwM9oMzce4LmpF15DOo5k9
EYzPDmfLLGqCWwBRdAtn0J739z/8bR9W5t5ly5wL3JglvF/JtpSU56UK0d5a3sUYqGz1lg+ohRa1
KBx9O3bFNRqafSK0I+hScfCG8deUFm40uUpTSaRfI9Z9E29rB8vvqKXbZh7QaymhW+wMIMj9YjmC
X2G8JOD1WyvcIyxejW2AAjH+Y36LDtx5CROynjXSR9GznJtg+NQHRbOih0+GhZzRJkZCgXc0MLJE
QS4Rb7S7zijwL2IzhPdJr8nbw3MctNCQbWdvdNoWAOc/AmcfCVpwqGQAsn2qXzlQ2jpJdplQsjmG
9SWM5r2YofUVK9txCh4kWG2ntNwM2H1Zw4KDnQJCq8mSZN9EktVni9hmcsTeU0DBzbbbZsGAGXUK
eam0Li1dUkwzZVOCKVYONWXQjgk92GgPBXLud5eYsaHfikNeo6+pKkCrCJ38WzaNFVPd2N7pfspe
xQ0EGE6fwJxZeYf4jb0Bz+jSrsSrQzhmxp7KBuXX5cm2y+CUVJZ5tR3LWgde8CuoIFnnbNt2ziAO
T5lZ7wYLlxHi5sCz7/MkzJrE7xjoL7lG11D92lFI36eeyyG9iQGQj+6i+uZd2gjU12JKH1bkbXMU
0bNtrBmJaglJeIkAIf+GmmB/7QB4QzbVV/uCTZVnk88xUTul7iZH6V1iTDNHznmRv3T0nVOOWSxq
8fomb3bsv0y25cPQ8C48QmQjkWePMNoMxTVllcGqW16rTDDwYHqTMrmN6uafpsHBGcN1TyfQp9mj
cBDvSwh8fN9uqbIO1WDCJcgYJTGXTkegDjZCj7z8p40NBjVUu6rxDkUsSWzxw1NYsPkyk00SUx6z
UGcvgiqTDtX8zb1n10JxWr5oCm03/LkOo7FufnZpf6/C8Z5rwzODEL4UhfViVe6mNo3/KDqvpcbZ
LYg+kaqUw62t4JwDcKPCMCjnrKef5bvzn5oZwEhf6N29+mHE3CgF4jYDe3Pd6Ta5TEfoCUC1fnuX
O+3WkCLy1ekd6Qc5oDiMX35MVj9FpNBL1W2TAK5h4cILxHEtpSQmaf8zm2mNZw9nfbNOTZU0FfVE
BdtTmVh7IW02JeCQWus3ITzQKus2oHx3I3e4Ebtoi0OAIBT/quWMZvcqsTFNEfZFxkO0j3Hpxa9h
SqyugbWaNQQ/o9T3VseiB6XBThnQiRJs1VyWVrpAb0khrQMf90Nl2prpX3RKRp0pIqmQaqWt47EZ
JG0nxZyEJ/aaKJtXKu9DS1X5mBoPOQSRPJM9oGoXjLNN/I2WDyy+WP30oPokgr1k0/V6rYFvYTlG
8C9Onn7Bb5wGmU77hvDFG5Q5PvkEKWAZlpH7iR2gXthDSZzFCvqn1rTnnqGsSIwlh2NaFCPgX24R
jCc2HbMSk4amIRp4xuB8BSIxnkJr10PMZGUQf8gsu0FFpMQKWKbyVV8Wjiwh542nCMOej/w3Q52d
oYHUwrsBSfesmoBGHdD8hbmlpuaOMcZoRmS1DPEfiiPX1onZoDYIm0gGiz4m0T9iyc9Kz1W63GXB
6ZL0s8mEwCmS6OHH8AlG0DQaUwSkxwHjgqFYFxE8F9NnQjYVtTwhBbxWPnwPeR6eMoMJelyxP0x0
ChL3xnkMJWCsZ3r1rO/KqAGtjU4+T58ZjKe3AOQzp+T7RCAQFpVf7cNYXAupfOnLabKHqcAxzWlH
Mdi3C2gPi7ASqgskQLCCzEGmGON/+DX1CXVcGRMGQKi2kjRgJQRsvUJByM2P0ePCHHWqVIWzpPkn
UCVeHsMLJBK2gI9oLESQ61lCQYow5uOuj+CaFlgw06jOV2CF15YF4dlSKGLFlyyIZcudhw4AsiBk
tb2s09cSwZdlTe3RmKc4oPrkWPPcuZLA3LCPuZZLaRdtuIv/ZSGWGr/LA68ZEhAWQYWZ00h/4r4/
WylzYzNhQFEp5Nkhj+nY93sYcylg59nvOTFmCaX2vbYuMX/ZBSTPhc6ztZAVLA0EoiqmCaXJcYPJ
DggOtRkIqXA0bjhMv48UuB7D5qYm7YpTrkLoSynXmbgXuLxmj7baB4o3o/kN0AWM7F5SzFtxCyne
Am+H8eJdr3KY0AM5U76JuB1xhSn+qxB/YJH6SYvG8lOHW0DRC1gXHYnP5p0oZs/WLpCmQVGdrOas
4KWjHt02SQG20ish1D+MF7k5hxDlEXxKfW00G0ir/fSkBbssj5RGcwedSKqmX+Pg0jIAEpFqpVBj
Dyw93T+WInb6j0R20vCnF/YYZipzIQKqMctDUN+F9P2/VsJwp71ak+jlgo9QESt6gmImtEk4YmeQ
hkmDkJ8lLO1UxKALrbs6Flfmm5hmxBTrvC1Qz0lpANy4gAM/PjhHCU+xggCCmgDRBPwREYDpPG3J
LiWs5/ep8tRpndEEAv5SW1ENGaRexQC5dnvd4ZPv1lqBS9up6t0QruJf/mJL/e/kzRS3AfYo71hB
AJfBs7aklVYC8XFbYxuLmwC0gLEadhG5H0Lm8hIkMgf3d8BzgYzQhDaVMxx0e+vDh4WqgScg0Vqv
oKQBFWQEFeaf70I7gTBMvB9qlMMbx8sYodr61eOb1uFMP+gtofXoANhXRSJkGkkpbXpVjwrth5xM
8UlBnGJ1tZjc20SM0xPoa9rVuugEVdeYX820kZhQyW6Kr0q2acwlY8aPb9Sc53aUuhhQcuTxotO6
nqCRcQVqrOMUvSTVY8jR5Quld0KYUW+dXd/H9Vf7UK9SeAzFMzyl4YQ2O95poOE1Z4OpVwJpioht
axdiPmSQmDkzOcjRnUuXMpRM+yBXzXwiQS2oM8eMnsTy02RXzfv2pBCFATBaPRPWjP5fol+BQCzb
Ul9aSo0NjGEeX/TWVV9ZfpH0owhfp4p+RqBVRbn3Y5Ze24gwNnF8dPLRngUEu6U2OTpuJ0bKxCmj
Cxzkp17s1Z8BTj++eqBTaHkIvkDGJ66Ez9xYSAj1qEhPppBwVkhqi55Y/kwPsnZsCVmGEZQ5pT2/
oRV2e2uftWUrkEYRB3+7vc42Viwx0Gk81+u8XzFlg9gr9ja/PQpaYGgwXFKwbLq8jeJfQzMGYbvR
bgwCuVRUugCtCQTPFAHgSRaI3nGSX/Y1u4/Dvb7JXQFHsz3+WB8FcRkuz+rehIDLRw+a4dc48o70
/97v4UOBDoA10cNjLVmL7uJjcoKnSJRuCUlIaQGxLYD0WKannCj8mWEj+dgV+HW6erzOvgAM6Vj5
MYpAyL4mrypZ6//yJylAMzvGh/fOzjqIaYl/kgZ06EB/Dcz0JQwsMCb5XxjR+gFKw1Zu/LJw5jWt
XT5winfNhvwgw9UrZAS0rMFgY+Zx3gwY/x4C7iUwQB21qU6LORMXkoEDFz0deNWifVlYwPA38Yoc
SQAK1MVh4h6cmAagAekei+Y2/KbnUodaZdiU6XHOVic3vQqoFk84lcAaarzugo2KqY7LKnBRd9Fe
/TtT8BZti7GKU8P6Poe+He1qMr3ilgdeaL6jcMM1uQYXAGJ5x0y5cFTiHvQwFZvKZ3f+ms4jM6KI
PkrnXRMGFVMkMvJ+PDgqicIqjHHbk2jger7FLMXBJaYIgVNTvgJPFgN1nhdYZL+szyB03xV8zRIP
X4yMjiHuQq8aTpvpTgQRy/67wSlzesvOHJ64+aYWvNs8ZeidZKzcVraHYaWLLuARnTLdnGDNE31E
eQr3tuBH2ACf1oB1pHbKTxfv6CFLd90htRB8PbE5NsNOTs7a5JU/A/1M0a4ADswQptjItOTpuIsx
WS3SXf/+ynK5EzdxCWQZvOzCpBXp/XgIw40STKYDvPTBdnypudP5gKZYKgmPYVdbCDtMbJhr+9jO
f3J5q34Bwk4g1+quxNMTQqCwcbdGr2q25w/+dXjyI9FWwLU/6DWAbOo79sRGWxdM9chyvITIhgs4
/2blRqsAYB6woaEe8BUTHpbpffjmSI+IuNOblbpLhGXJ0f2ZfxC8YxaGvVtlR2KrqXYcNt7JpmYd
9ke15elQqB1VvbGvlmr1iuiA0DFUAhwzHfNs3HhRNOVAecZiIpKiDl+G8FtglWaehc8n20Fcz1Qi
hu9GHswnZL1jzUFaM07dH+5dILy4i9T0b5DXEiCH2v9Ly8DTurOAt/p9/DqUXNhq4iXkDZ9ZtTI+
K8VwRNYlHbFm0VO3Lu6V6ibxCovcvU5KeTKfCi5uRraSI4bsebj9IGIykpJ4Z+zs3aODLOl1g+cf
AYK8S1KLVRvTrIbpCJ8sj/6ZeSKgCCfiEvTZwCnTd9m4EbJNpTllupu4LGq40nimvyVyw8aGzyf+
UtN/5N5IrMHcXia8Y32Fpv8rEZTiChSpK55RgabxUj0FBjhrlivxolExDntZWY+SE3ZM5TdIOYco
WkVo+4r6LbFcav1Jj7dTdBDYudrp1SjNgrlPayrISe8uPYeqVsN3lIT65G2+HzaatC+uivJTwdgS
lhpzHzLC2UL6QGzMHuKdE4TO60mFzz74SwjpCbyuGx6G8g8sVxns1V8ksRxBsAUxhHK7EMmYcNpC
pbqr2OR+KdWtBlcNN4is1BqSxH6Pg7ivT8xHFiXyfmbXl+Fp/QkAQZtjYLnG1T80GYO+XfQsGjcX
CCEvopNlHgJlAfGKjA0PAbmeNt9hHS1bL6/O8xpyYqKu5fmYvIkud3KpYnvpwXc9En/dmDyRHthw
pSTm7ArbngZkfG2wKDIneKFtTWtCoTmH2Hs3udJD0rc6U4R4+75myauoeHS09VAX+hvNK17VnBzN
5NJOOvN4aVBR90m3YeJgavtc2hX1tvkkK8h0cwZtwZwhoOFrCT2ilR/F8CWaV3IfYbuZOPS2X/LH
7LM9JVfZ2pQaN6Jt3PGIXpnPTuGj7h/NB9+LxnQ92xbiX3bq1ffSXc9rTBBD7Whs5S6e9mRBthcF
lqHefA+0PaFhBP+W0Yd8KwieHjEpc0AyvglCKd+GfzEoYT1qVKcLz7LbQI2X67W8m0FtQHfx9+Qx
hd805Zv+1xguj8fAsUAgOclJMpA34rzP0NsU+aDywKnzZQTKWT7V6JzhFTMpItv0yV5hgW35EbLv
wjxG5r0+TC/AAUSAOGXxvfFdd+SXmEFOQMVorx9e/r9q1oGarlSmzem2atelUC+kh/m+VaAv73Lj
hxEgO0vor8Z4Z8o7Q92QR42KgrQAzTGbut9LLA5c9BOaJepjh58jd1GM0eCnN8NtKXcu9ToRj4z+
WVQfo755431iZwSNEWwghSjyjZhaym4EfxccSID+M97zcMm5CSRJ2dtvq4p8MxnVRo+gfXHps3Dv
waGY3BBwh/pLrl+WXIad7E5EZ+pk1X/31oETM8k5og4DMewZe+qCjgdsxRnmb4ukyBHkJMkXST0V
2lamQ4H8AFpF0PyUbYbNgOE01axz/xGS+JTj9RiAbyKVh/befhQoI9MxxqrYfTNxRn+tGae45M99
06ulTSyv8P8ScYoU+STV7aK0luWDNDnnZezAjEIopvoyjBeVUD3XrHajoa2IsH7EZK+97yCeolxz
zJbKryEfAIIR+En5PzmqyDuO4A3jnOK7CU9qtKU/SzImgJBcMLAWyMrDehjGssZJXLBJr6IrD1ZP
LptGJHYXuW1QCRdR/9UGL8aa8OD0g8VhcLauhnQbywMhOe2fASGEnNya1aqfE5bHnfrHYLbgDkgn
FVkyRuu8Sjp3xzbz0ksVu7g0CKMw52WjkSIv5w3HTT1eK5AyI7YiPi2M+O7IWiYgNQur3PyjE2SY
+QqnZHYMNrmfwjiTVpcJsLQ7ia5DilvlHTRawLQRymn5IGxPYyQ+PQ6H2l6aOJfJ35xtZcPjtGJO
bvCRC3+z6NIGV7O/gfe6cVqQ46MUH1SfnwDWHwLieByDH1g0sHcb6dFZF8vf6W/UFw9izH64b/qb
TBjcp83BL+5i+Cg4TxX53agSp5GkZUNpN02+xraaDrQ1Jfjapen1FsniiMYo2vJSLMM13cKokxdm
m0rNLWpLX6ACF8P/KEhsTU4k2orkQiPlXCjcqX4GB42gQ+J84JDGsM6bPvv4xgKlhtuBI28U8pR0
i8LfZ/5XEN8LFiDDTptDr6wDg+nZx8COy7NHMaPG0QzaTrUX1M30I9c0Y24TYTNy5hjQvmzwIOaV
S8TcHkb2SWwP2hWnT8QHLL5IO7es2fV5TFYFKbNA2qaWXWYwhO3oRnW0OT5FJGVR2sHq52geRBcU
lz74EKUDpZG9cqS/r5G45uZf6FTI117CFSdD1Nc78t5iusIevOjQYp3miYQkNxZZNZBCIHG7iC4N
DuLdUXxbTxhcqySiy/w5om0WNXKqEnIwBe497cdopYLin7Eaz+1fQ1191u9LaueSK+PtK56OQ1mf
RmFllDcp6+j1hZs/eMPANKkr3ST/rMNVzamltRRP6tvFQH/K294+NLUjzABOSkwdLPq5YiwrXpXK
qJZ51e7SFn9Wc4OLBw4BAvTMfkHvV7ZtMHxgqs/PYORzPzoqUr4KJMUu0SdN+r/IVVfnKR6/cWAl
6reBm+s9hBZLAddJutdbaAPvFLtCfrwmL/qr+aAJpvdh8qK320FS+YlPKrnZiCQyfRhQ1xOiTDNE
iCAnqCg9jLr7C4BnppQZSN/VCKMYoyn3gnkt9Nk65dhjMc61DkW3CgzSu5SzDrJdiqTgI/FPCGfe
Mv8nzTpPjw3HotpcLpNLOR1LhaIX36BCuMC/KoFNxSunPPUKMF833KaUFa6J65eedoyNpzPpZ555
rtpl1+EDrxlAiVX224flGtRpyuVbe8ZRgmUpTLk9VJEt6foX5PsHGDKuo8ljJGOB40b1mlJez6CH
ehOXfOizmgPGautdar4JC+GDKSbdvwP56klWPwHwn4TCd7uxxYzVjeJS6QpUEKS2qix/xG4+dh08
JMukmXgYFNllaCc/Olx3adwS/aADl2FAHv74kOx7fmNms7I4NvqcI4k5JYuEVo1UfsMG55Mw9LC2
CYPVmNFM0KR4KgLkerHddjzF2gtPzIJ1OOD0qf0M4T4TS167xCHpVrFLtuy8gPlrimg2ubYxSQ6R
DU/rfDEitgNqW0XvvMFObzfsXWBmHB8z+ySeQ8P2X4Ekgpe0yPswUbEN5NNmXaqe1R9p/JQkZEwI
IfNyoFZ4ar/jUXNmaB0ymCu7zr87JitESrVTLh6E4Wr0dx1ak3BMBS9PKEI9M7uv9GNobtPe6fBB
vclJKy4bZXGfp1MxQVFzoxjOaXNrfLh/Kss8TU7fNA1jWtrI5AjrTadvlOKScA8s9H5dSBYNaYxX
MTFQ4MsgRUhOEdcxyjFg4RAK+2iQtUeKFLYZY1btqGhbANy8xx2n4vcP5o1MmZSIMrfrZF3r7pLG
/SpXrzUy2ugplatP28b8btonQEKARJHAL3dLa1QkOrEpAu34B2OBA8Eq7BBw/w07jZgAVi7xx8L8
ba7FgoAEwLPBHUp37pcW/20pO1/rNka8piklwwKMTdCtvkdXujLCDBfiQf+q/gADXcoPZkC0FOn7
qvSEwVPPNM4iwKyhRP3pe3EzHvXNcNHEBff2rzhels7gkrcfN8UD9m26prPhOZ21a7mWduiIJ/Br
dvfJuYn3WP+kGPbDvxVbIivmsnql/wyMjfytwbSTLQVQr2TPeOcKyelZLAdP3NJW5RR/eIpszixY
K47Dw1CWMgfgJV6i5i9snJDDHTW/mQMsv/hDO0HXncmyLrFLfAGHVil5v0R7SaVdgl6Ubf/Skf1c
8yf+VvbkPZeDnV8ym5Y+x3ifFoudcG4dZd/Z0am8pF/DlnuiS5LEia/+LVkpW8xSm+5BIEo4miie
m2qPFnxXfytbmYgQsSnOl2THI2Ebl8o2F8hCu2kv7SJHWFKTC44Tc+Vi8lRajcdt/oowet7Ql80b
Exw6zBAkglf2AhPsQlE9Gb/1R84WsBb/0Q/D8qgtYTKsCYJdtRUa0jM+k5bECXpo7WBFJUG54exF
gtOg+GUx+Ve+TQ5K/jfH3m2GtFEuppN6hLTbuNqZ4x/VJdhAubINP8HN+GIKuoTXcA+vpt3kR8zA
m2wNlvAvuEWTO33Ibu3xkrnFXlyXDnVUWXlD3ESi9Y/VadgNLgUuHCl019oMv+MejRsQNeuC1+6L
z4iYBC7D7RA6wrTI2WkXultsmj3q0RKqRnmoTuRvTnA/k2qJsXJtbCnM1Jx6J1w5k/FrLZbJUsJt
uxB/+LS1t/zqX80Ptvlduzd/ysMMNgzz94KCddu6xweJCST6wcJnHuNo+8mVj8IXqoJGFzk9n2dE
SnSXdxR9V1PmBIsS5greBXvmo/IIyTrtTrFxZ4Y2adal5Xb3bDXni8rLn5WN3EiYutiJ+Oe4JRym
x8y5GlGUI7jdHKILLa8Oh8tH9aMjfrgoaE9z2f7MH5RoeIMTfup/03ezrPaMIph6lVvhIewDR/8a
j0gwzvQVOdEq/KkWpjfbmM5cjubSplrr23RfbCsyZAs+kA0kto1xKFbZo1+nNpuvx2GKn3RJH6zH
dQtpLn7xjh7CVWbH5zm2RRK/q4AtehfcJKfG27kMF8ManzrTdaYr/0Y+cCf97S7FRnRkBNLqe/4Y
d6DVGFp+mfaPeVQ8DJ+rtwvNmR3rrDxkV2E2gHvoSlQDkWNRcU1d4uhW19olXJtnXH7zB4NvkIAf
yodyDQ48ptUFTgIYdWUVeQB3IYcrrmJLW94NTKub+JCsa2dcaDYmAcxHbu7S42Inq+YcOaEd/nHi
YrbIJG8jeMEtu6UPvtBF3JgsTJoLqP00ec2KzqItkc8PY5evkTv27af1y2KOijgZS20hueUvArxd
X8d1ec2W5i1w4Kz4qOPb943tbq4NJ/57V+MtI8dyqPKm+HuZuYhF5Mc8XuF6URzqY3WJHN/mpMgp
GysjRojOHn6Gk+X0K8OBVvRbrMjNfZQ3Hiw05G4xniRkul26Tg6kx1ztBUhri5y48tcYpXDuL1A+
dYfCifd8dtVg26Z/iZTueiZ1xXMsEenfj7IjOHxODEKx+32kX/XilF81YYmJ1uOsQU8EEmF5IhU1
7MCKc/35JasUl6zSPM/s9JxUmRF9GfxxKDeho+bbcl1U7lu12sAe7/dG/6DUGoUXsd2/oXVEm3Eb
/Ss8ovpfwZ5QNzD8C4dn0xaPyPJctfiDn+mr3aprw1jUW+z2GLxsYy+ckYe5OFO0SFiB2cKSchGw
yQvtnzy4ssxgmzw6zq+zyOXlRa7biJyRz+PA2OMA9JUP/Tq70aryBKdEhuSwv9XX/hqob+BRWc22
gpm/WcGmmjcADppHIntsDsYH2yk3thE6DH4vzWZ21907XjTBwQQlq466ETegFqhgxLbFMtQdMnLm
ARrsut9qF561fBusJfxd7jsvAEqL+x1C0h8fJxCSAGrwHxU6Tv9PQC3uVwMysbRMPVTjt1/JxmJu
Ey54Vwo70NZePORLNrZF/7KWIKbT7+Jmdqy846M5GRsqjSIL68syuSiNU65rLsGYiJaZiblqrxtO
caddEDD3KmDJk2+9XayA/QNgrvZvCZDdg/GwumwbG3hMyMOLeOvIV4UmygUDOHde4VlO7sjKCKOc
lb3gm0URwfujOJSn8dp86bQs8lsyHZk/Q28Uos5eXtMySMoMA/srf0rb+DogGy+pCAEStJzW+Sb6
5Ird9UtYDtZf98ulEQgCNWrAuHAnIb/bbAwNtZEeF98ISw1khjXeIa9SVkC1x9hJPeq5JnIFFBzb
xqY+9we2DPTDNdDmL65LvKnjtTwRg1C/NYkh2ELmRNF9k4OYHFyodCM81E0QuDgbYiyapEUe4fuL
XigtztQNSFuur2hri/xYqItqP9yLJc65u68stEN+DI/6qblne2ZujBWzO/Mu7C9j5bGeIvOJp2hn
pDb3vkt7GZ1giXIFedtDt/nEvrKudriCCYh5oov/R7OnVXbKGTIvrTWPuAs3Cz+pS1tAPy5Lb/QS
0Raf3Zb47fQ+NC2ozuREcE833bq49WeuureO7XABu9BrH5LzZKe5zG65U44hcyNXYtmcVwNnx2XC
YzEzXJEXOdrsr/WE0+OHmwlb1jmj6IDcE2uI3ZzZ5IE/HZEBFy2Hjmkvk75EZAmW3Hs9NNN5x+qM
NvTDYW0prEhX+B6jZ/aVYl/q3nvrVlAa7pxvHEQdljzB433YaJ75A9lt5yMjEeG8jQfzl1givq0J
lufOuIQvFgfNUR2m88lWeNHfu01dKDr4aDjlfkG1dJUN1y8ZjLwHv5Hh+6n0MlvFirziQZjvSAMA
myBOMjmjzfIWrankXXGXjmzSuqzHW4vTyrJQHBSBDA0dpszCgkC9qLaiR6jAZScMPeHU3kEh4FPD
QEGwAfCkxER9QeGK9AzeRw6WsjXB9pW08mkKwHe+SFj5aEzL7sCYFpBjeXg98EXncDl8T++tsz4S
790CncITyRkD3t2ChxBwG5+RO65YQIiV0AIBHaKmymCJGOX/UKeKc1KS1s1v9JHPnvqC/ySwKMzp
y0cyfENbmYZi/M3O4sQ/y/g92TL/NYKVYDjomAYndjT6ektBUYgBRWRqYPejNxo7hGsI0T276jMN
10riMEVk4BR1mO1s0HflHYS+vqoPqMVt7g2cUz/oegwYwwOp/5P+Ct7nG6ZEkDoAKgg6lKy8XMiW
71xAvMSGIISnGVWbV0NierRgbe+SJbW3F1Fe6B8cO6t417INoZgrS+uM/Z/tqP/2OX8TD/oAIx6V
QNTdN3rBUK7AG1TfWEKFNcwPsVlHGKRD7vNKysk62/BA1whrk19sOnghigSXM2OblGmBNkcg8+hU
zK+00lignueX0NqjjRQDWjURDgYosKe0kQSRTAftYcgv/uDxn2n06vMffPKTiWb2J4WcJgt7Zt+R
94ZKtHLBX50wxlbKA1opyeVdnJ6i5tCMh2g6F/MH2s4ypbZP+Es0TGYO8F+h1zGneO9qxIQ5G5Zw
BjnVk1AXIzCTKV/rUOOtma7GRFuayp+57e49gIqsufoIw2qA0SAFHyNlXgJ8rZoCskF/b4dLZU3X
YNRB10mLDHRdzwgRnxpyqvoRUtglzieZM1GzGmquW2R12kPPQJAWWq8Q60+ROvaFlQC715RUR7wi
IKIM+BxpxPqZRIOqpPLLUmCozwh2FNPhV8J5mEl9YBM+2oZis1GoqJPfsikOmUDOwuVkGmvFLHfa
hH7aWDPTwH7W8ElgMrGE8qA0IDanBJ+m2Cm/IhmrjTEqgitr5gWS1rIZZQ+8GC9p1AmHRIQIkCr8
6TgtDzlU2qwafwURhKYQkSYI/Q+zbJ656F9CgVpBf8qdRiNjHMoFABwJQEnW72LN35XU8kYKDldN
q/ErRvq3kTHyLczBK3B4LUYV6LM4tWx0Ji4HZcicDpiPH4bGt14zFROnpLMpzc7tqtevvky7rcD1
Z6xGtJSWI1lHCmQiqas22ksYmrcCKmH6pMM2Gk4pnz1sB8dSho0oCudYZ5eyBmvVTQS36nnCceKz
HZs+/Sv4XMfC3MyteU7U9JXJqCF+onz1QWkLcXvWymk7Q7DS4wDxT/MxgurTiFWSNaAQStjfoV5u
TT2EmNg39TKJGFtZ1iahq9uvzVdMBFyiem+U+n+qMjwTqQf4LSLmxsKVopGN1aDMZHCB3hSoEYvR
+/3rsVsHDJ8C/B7pXEH1RMcOvxqNHPkMYroVpfVI4wMfUxP99XTaqWzoQvcmkaD5a9eiTZ2Mw51e
t0c6ERdhAaKVzjiNhypmMpa0GtrLadK4v+vSIpWpiIi+lIBOvKpc9RbRRPWzo9g60l6imnjtaK2G
UcPYCrUDEFw0c8lg1hmIJ0X4yky2wlbYiGCcksbCFunDQqjICfzGJjIBkYiJSUfSMNmq3pRh4mQa
v0oACZNswlgzeS9B4mgGr0fh4cNehNxQBOSgsisIB3JvM0D8A6bAK36ZGE9ijMTpjwKMioMNzIKU
ruKxNGoyqzHd7kawTJOVHvwrU5bwWGAVrq6083HkOWSVuZrmbSG5EtPvUsSJhGZQrmMyGSKz48B/
1iwpMlOUmOmJkKFhad+wqu6V/+YSWnAP/epPMWM+hJnsgVxUXll1RyMBLlRFSrHEwvxRpTFTEfPI
2rZvxmlVT8J+8Bl+BlG8y4TqqOiC3crtNm6apURvpjxiGmWzDKjRzrLwY9LkB65IrBPjs5S6L1Ll
LN2cLVLz2VYE+3MTq03HtIE9QJGEkywhfgyQOcYSXYyIVJOLXmAQqx+3yQQok7o5ziQ+VEq/0zgU
bfP6AGtazW8zUHmrT10VNixuIj34pUkDhZBVAs9pGlrfhll9G7yAnfETEBPSgILQDn+IVABsnGyw
LdLrvJd83v+ecUjLAVIms1udKr6BVLvWFRiwKedSDN5Y1U4kp7IW4woj7UT4HMkVAcslPrPWE36H
zKVndT71b9oy/OOZw7G1kpFgiUjS0rUoQ6oshIh5YEUXO6pYQf+qqayKQaVXehXoxPcAcmr5viaP
x50j7x5QBN2iVIA3rX0uN77y62fWNk5nW0sOEheRTOEiWdqMfNOC2DmrQPEglLZoFG4GY/8OOrN+
tHYMyQHYCH1ujlztQM0zO8MKIn3G7LBtzRacobhZb/k2uKMkM468AI0yI5Vk0afChIADWXYnsftO
lBUMBnx1OSrHWMdSQcMy04BQe9ZgGrPwLjI8yHyEy5rZarTuKaXxTcCux4nLRr4b6nPLwVRAmGuI
G0AzWZFBkNjuBIzJkrLJ3nY1/aEXnWPEXICCf4JIqLY7Atutyp9geB8ktGXElTeoEChSNJb2lpAU
UYCEKHr5JQOVFYZsqUgK4Y2dwpy5s5ihiCvBam4Z4wbq/2wVMV5C9wdLiEFyZ6X+r8SDnlfaJsdQ
HkpfRfzC/MsU9zM2OW334Bt5LQtm7P1+7C8GLQoEM7ygwnFd1McGVOcY5ETi4IUyehyL09THpIde
8uxJGOWE4DNSoFu2B7MFcNLtAfo6YgWEzvxIx8AmqgBXReNNnJCwEjr5qnZejyJBObUS4FQgs5bv
KYrfO209O10/ryuDPYjxYndVRnM7T5gEIxp8yK+a207Qn7LakWErMVto0T7hPNl3Mtk48lMHOtVZ
nQTwkm+bf0DeLLHbQWLonw/AmuRgV5RcgIgu49WN4i3VTZsyGR6SbH1CmPAiGnUXVkY/aJEhsYTY
yfLokag5UDzimUDeGVIS+ljFlL4k8kc1UBmiGV4NsDItpx3klquaTz9dVL5UTVlLOWs1JPcF6M+t
UfaiPVgtAXuSbETb1KB6hkn9Gnyul7IWuSLnzQLOTcvtYR6+ElwQTIvJL5o8xy0dH2LeOFrKCQ05
CboLpo76BHuCFsubhVOIEO+lBaBWhixCcRNhzd1ZZGzb6R0R0mFgSgoI1h9uRLXCHa+OqC8AakWI
9tDPBOCFlxb+1Yq6jxn3lkAWrFEjBcuxjEaGtvyEW4xVrbLhW3BPtgc2FdawnPoxP6aMYmVQLJea
PzPkMlG5jSnm0ZbVixtIhQ+ELGR7UfkAA3dqN9g3SHvIGPpM8FxuaZ7n7qorl8j/F+oux84IxirD
Vw2eA80qtHEw7ocNgVELcqTEhIfxH509NgBx2PPduEksTwvWPnYkZLD4WJEO1j5EEA/YVMCrNZzo
Ro64uEfnI6gWPlNoa36fcwpjiBDfZvMQq8cABZoTlDxCGT9OzJVm6wm6ylegVy1I30ipPYy3IoBl
kVmcR+g6gxB7qiJSbondl9iUN42/yy2Pcg4yFQWzR7y34y1nEc4ZT6qb7EOnqlV4DuUuscAV0ydL
E9ir1n/ncpPD6+WW71bIiTgmZMTkb7wGbbjhBmPIjxEUpbYUKlfVjgkzAuYLuqfCHDKhnvFe6bon
8HMGgW0qvxFdDHhOJY8hotrRkpE4Sfefo/NYbhzZgugXIQIeha1oAHojUW6DENWagvf+69/B28yq
u0cigaprMk8eA+OYkAzg6OTqPQiuIOqdGAr3YCoftXlPJkz/vtYS0naANzw0/+kMdfMsAeiHdMBG
CQteK+fxYQEDsoyQXLKlQOwlC7fYXarXgO/GWmnjoVe+MWEuiO5pO/AhcnJOaHOtwUeMNFNncjTB
HnoJWSV0a7P8rRBu0mHOdA2FT2PTQGJJg2ydFxeNVUJyjEJfp5nKYFX04xavN0abnwa+Zc0c1u0w
4JrrmM4UA9nLUJ+b1FzRQrFjVsa/IaQVCM4RcARnqVAQ4yj20+ZZAMMybuW8yfS3DGjvoeHHoHCn
14OaQzzwi7FDecgz3U28eYwAm40yngfr4AwHQr6B+UHOpsrJ3o2d+l/8HYJsu6EKNkM0OODkduY+
PM2fEWqhM/YeN8FNdcbjMZ3BO+lMrFFZIIus/GT24TLZPq6qip6akXwGhotZMB8PP7bpzVekx4mH
6LHbI86m1HTW4r9sn39g8jDmI6o+iADxpi/vw9NaJzaSuY3T+K32zs+DJgjxKaeDTlXxzc0nIo9Q
PywNgsQwupd/OSKYNZ2t7fFHGKwJPkYmsVBW510D5A4fNZ4hAsVeatcLylVGqBgQzq/glJIzgWe8
WU1f8tqdtd/6Iv4B8Wex/IhOfDvKrUB8mF/I5rzZ/5UdQHLmweEfgiaIJUc0mogl5gskmHaX3Yx0
23nYkNyN5o2fYJKttXbVQJsyszgiAWdEPM1I6L/Zgc/1rqf6ydNvRblkYm1mm7LbWJYXx5cZUX+x
Cf8biKxQv/Jkr+vHtKAsfHHU/QI3o3x+GU86vraVy/6GKLIMJKHHKl2uZyQFzFcYIn8Hvl5+ISJs
lc10YT7Obb/ICcY13HxN+clykgO4vl/yNUU/YYwcsjLzC9DN62TPabpwaveL0/1cg/9EbbopPkNl
EyXHXJ5aa1sn+zgnSPBaq5cuQsCP/XlF24J0Czhcyy4Ymsb7+MUy02aFl+4gOer0KMTZd3dUUJit
0XoW5GEIT3wb1t3gUDyrE2qVF4t9NmoBX6vXFJgxESSe/V8oPd4TFiqAjllOhFfrtYKAvCIexNM+
FyH4L/sg8dc/taOyK9fMlFKc1wzVGTDJz+QS/Rfc6MGa/6j+Bdp8k5STlTq/FB4DcEgdfNVD/NL8
IeSkcyPOFeOgvTP27ZMizwD2GBMOv8oMBLscI+hNFEhtv907J2ZC6udWe1bIoimA7jM1dbKGh7Wr
v6o/bkeLcf4z/OleQw+R1S18ZOQ5/Bf64a3aNv86QjFZVe+Vq3oHTkwB6zln1BQM7aqvyTd2Ajnf
JkRtfYv9/ATpjp/G2WS7iDIZ+5jc0CpZt2GXP/ofcRh8/jUUa4iBEAZyrhBR1CJ2f9qXZidPOA4o
ZcXs8zhUZ7Zb7mkJXLsbV/EIF7gl+wHtlmAwXUnf8PkLKGKqZYhKYC+oHHBrNGaefjE+AQG+M2nh
/z4fNX++I7gTH8Vbfcr+Bq4uz8IYwTRfrKtfEI6P/NBuaPl8HMfDaX5KFnA5wP7hpd3wUXyPD+kp
J+00PG13HX/zjWqv7hvYd7vYwQk48qoG12ZLXREd5sN4owoJf9o7/ZVrr7qPkXksR8L8SNmCTph9
NqYfICw1DsnD4W6lkecB4Fk0T+Z+pHXDVIGTeUPtnXKArnlH+1+UacwdSF8BUxmw7PRN8i/24jpE
R2te2RdmYHvnGvgd66xqX7+Vl+zE735gg9BwcKB7vfB0xpA0KMj9mFMUfSoq78uwU3bRM3zHFLtI
UYMvljs6SvD9dIwurBSUVUic9br5lcELAQ+n9sd+KghDuS6+MhyZfvlkxIysy6i3mpf/DJ+4jUMk
x9WmuNX/Fpb33sV9hg3lOi4mwRcE2dEplVy3TNhP4b9y65zbi7gqCVy0FduxZtqOrAZiqj2kwdvZ
WSvRm0GVxuzq3/BMOLg4apm/E3TyCNHuv3TdCn8aOyoHvXWO0BOGTQS/WOyZpTJ9tRk7lh6FqjGt
ZXFHn1Xmb9ny4DDyeCmne5vQNvoQKwh6P5K3VU1HKDXRIF4MtgBQ7LDkd9ot7Vc1ZXRIelqPY49F
lusj+E3cu014av07RFs2FrLaqigSHgFittDkKN4n4pGVfwAOg3LERwF7DezT10ymOSnNffQL1Diu
ttbA152ug2CzuNmYzLDYTdYWbqXubId//aJeAXD7LeedGV4WcHSvIK5bdNSe3Zys8ZbnKEwprRin
u29q/2poD0D9ZnYKUq9LP7WcM4LDMDw14NgBDfa7zL5EuAY6bs2xvlddTDmy1hhiMzF7IdFxM3Yq
oyfca+yG2OcQXTwH/wF59pyqWuPOHgu2Uj2lI6PdMrninpUs+nSNYCsi2RHrqawF03uglFRDJ9P5
gAaBpPOkuPe6i89dmYNYf2jGG2TChFlpnjMOYVbR4vIwVCTdQYhuY9PLX0At+Xhw1GadGcO6INRk
qFEbT3TdRoU/QStX3R+KBSf1JtRstWdVWLt3UesRVjV+kDzBnSup1lB3Y9TZMOWOnqJAHPYpNF9p
QOVv9GlTM9hc4i54B+wf1XrLMTYHXkcl3lzNmI70PVW50bPX7tY/E9unEB/VTcRKiy1cOwJrJAuL
xQQ4uergchkLWF/aTZuRnrIAXLh8ePJsg9OzgNmPfDtiBQa5nhjucOLoy4N/MwEhoZmtB35R7OOc
lSyq4mQzl/E+a74MgPrEGZbRvCFBwGvFxDQ/9+F7HWYiiVP0DG35lPW+ZI7bnRXzakCIQPZb5+vg
d/Fh/E7ZllnfL/5UmPfc1tbOnP1A85rv8Yg/CDA8xjmkGkWGxsRrb+4bgvuAWdoyQfEMRNbRWtnV
W5X8nndW2bxw1X/KJykc+S3HqwXRQLxSpabfLhGnVKssr2gYr4ggMd/wg8e7kMeO6e4frzjbndeR
EcGDXgWwCrNKbEykCC3GrRd5ao4k/u7jh8ShRxl3oJZCFlbtWq/zGTlGBqAzaPS7ZsIVDOEBhYXz
Pn5gR8l2yt1gQI735yH1tfstsSjelv25X3pU4eNZ9a21ecOL2CsvXGlgLfBZeva+OJh7Fi/YGDad
5anEIJ27bfDZe+g2R+BTr/LA6gvRYk4FidNh0f2yR5gpBPIDKymIoXv5XnygX0qeJe4fyGHjH6oC
jP/aGmAPXUbAnAMOzUq9ZUdEZ80ve7zsy2RTcm3fey89LSl3SNgY2YgXsvWCDaoxBLsd24WDOLe/
PRjYs9iYnq76qLwbXMAv8YOMFK4NwsEarv2fysN4j2HowuyZ9WmNO31alVd0Njty2Y13zriZZ/1G
ji1YpxhdumdvgMUi+OJK2jd+foSb0Dx5HhzPfLV/s9NimAQeSH7xRn/S/sXm1j3l+Wb4ZBQAuO5m
fBHicee533KiRz0mLDwQy3oHPd++8HFj6afei1DgvUh0uGD218MncQhIhL3gIIp1elSO8dt0ksSy
4yHbtOMqeFDy30pQFpf2HGzlFaQojeSuOQsYHKvq1Twl3P/P8hwxQlxFN9aFydHakziI4RIf46UH
6vBFKAxUoi2rK8Wv2NS/6P+xHSeuchesEePc4qsGwO9VveJq746YE5VHcvr/h/Cl01lTeswf4y68
dHgON+0+/GUmxTrdvKX+xEh81eznAS7uqsHKwagkuVJ9tg+LFCqo45Q8j9g4gPAIgV2WmBa8TrBq
3oYPfJ3xX39Lz6mPXpcxAaSxitewn25GYV1bk5hIBj0hpaEFSLKoxFnMs5dgFo/xNkTyy4ZvM1Tm
kRTlTSA0z0jGR2WeouDWlMo2Wv5wxfbRoj+Mgq1Oz+EUyVGBXyUkwnIDyiVKPtG963BDp2KnY+3u
oXO0lI5jz0K1lxT6wJMHoz4L3XkXMt0GJdKKhHYWWlqxTUMu1pf6WtFCAc9alqG22JTYtNB1hPsB
fyVQZjyGjpayIfiyY/JeeOig66mIb48RD8awGSDVoTHKPsPCl9a5Sx08ChyQtFUN2TTr7u4ITzdv
MWKtMNvCRGQ+8O66F5rIJNtEdEcW19t6yuU2Kd+LmlFwua+bvarQHB2gQxnNLuw2avPAjl/qK4vp
HJwUhcepXItKwS8Pp9tPoj0WgsFisn1XTfANRJdc+vQiSpJt+nNY7UeVQcV+sjHtQUpf6Q8E11Td
i5RVWwHwqMk1oHc0D9m4KxaY2i1C54WoEeZ9MNIuOTvy4CF4bspgv+QDNRKFsYfUGgDBxHiHlQC9
LlKbJmd3gFgXV/UKhEUaePm8xWC/JZMWuOtnMOEwBZS5NFIY+xg86BRILnmrRyTPZrK4XGYb9Rfb
eeGemxn49oslf6R2w+RTsXzNMrJVDiYFvOuNTBwQ3jAlGepnGh8VA48gdiujumHiL8E7DMMjQVFH
ZklibyPVdwkdFjGRGL4DKXnbuYyDNAO1qZHo/zp3IlCkXUcCHnQeml6yRGGwXQCYryCWIRuZB/pE
zMqqQ3IduKx5xsxg3xIpgoiUNjTD31qzrXWg6axrwCBH4A20yuYXNaufKG11onCb9rcb5vJZKyQu
SEW6/1LSKZ5uUNS7YeCtiAc3uRZ6Q6ZKYj5kPTGD7qTYO44EZ2A3AepZlr9TXP7F02Ricu8t4FCm
hEw+UZk7liQsrjItjF9lVnySpBR46khQXF1MFTYncLIbErPdbUhix2szspCMylr7N2ZdfUGzTsyh
RoHYqWa/1WWFJCbSay5LlUBCpxNvbTthwC9Ai2hV1F7HrOC8y5ROMs9sSQ7RdN08Otkgh5fIQW0N
fd7d9VVBVsJchAQRuAhvDIf2Kxh5FqzWSG9upE4z23mO/06flfcs05bpVgHZjSGggxU77cLPJO4z
0jiH5r2Na5WecXLE1iDOb+MMqbjElZVBUkodbOQmSQKNI76jJuWWccxS3UUZuZehHTHIK3MNcquw
GmpRmJ+xOLRdwYzMKvRLbbcImOBgM6ZlWsU9Khgy6WN0iwM3vaYGWTK2ZiiANOHfsQVrTF9jc+7H
ncTiPBL4NETEFoyxlr+qWc/kYGAgJzs8te2CktSTdtqVbgjVyZoe8LTHiEutB1iRZcVbN0YODZlG
LzUljDZIxagOYWuo/FBdXnzqaQIl2UoafPOG2aMezKd7oZUo/lXI0gyq8/xXkTySiA3GkH9AXShM
o6U0lVeYrvOMxim9yqHFhTOVAMP1OKEmKVWX6npy4tfWTmmzSoMUGKAeavVdW8pikjQdvyF8wC1U
qgStdCkaUoP+hP/gREnajHO3qgYcj0G3A40icK53bfXeyEph8JgCz9NFh/l3xveYpbZ9mvImesyS
sNB0TP4F6vA7VSxTpdkar4SGMZ2vi3htFN3dCHv9MAeiU/BXllW2JkxpQGsec1rkib1Q/cjQ/cpN
1m2zRsBzHbeAGkaF35XyMC5Uf9K1qtlH5FYcjWhimxTGDU+bTOOJAYJepBshBFepaTD8Cxv2VnAO
9atilcEtL0rmfdVcTfeQJ3nTqC2Zsi3O5GAGlMT+FgDhwKoRYvkH3x3WTxXy+S5VgJ4wPTa2JNwG
60bk8TUs3YD82BQcVD5JUhj7Z2WyT4EnGL7UTtvtJyOjtWk0whmmfjqUQG5GMvLe1Kitf5KASAFe
hBr8ypJwaTXquZ+a6FJLMA9OAR/YgrLlzybhP6xNa9ZAc7C1hY4mCwYLOUskgR4VQNpbc6wo7/Ra
gIezrQG1S6PlTy2Q00poNrM3bCqkOVflorJ209QnmYpL0u4RM3cKKYIqx8XVHgN5dtR0OA2xo+0z
AhOwnGLNM6Nm8JSgalBp8tIZlhj2pU2IYGOL/mDUSncmj7F9E41RoGaJdOfgukOHGn/CaQgdCz0M
FWugk8jH/M4CXwNYiphAUHZGUOqMBM3gc9JAKamjxhjCobPWnEQQT2cvf4ZALRiHUAFMXu+bRiDk
Sh+ARBCoxWBtcEnjjCYDcSWpLfWuYVm/JrgxvbttNL7ClGtcrsiOx6hGVlIWBWVDFy8GnjLUdz25
9mj5CD139Ka4t2Uhz+qMoiZgX7we2aLduQc0r+/ICFBzhSiartd2vR6hxgJSa+5TOxq2MunNU16O
5s9o6og6XQe39TDLTZ5NwzOuJ57tIgwcptd1jzjPEFSfhTPfe2OuT3Y3wZmdcpRTiZXQXHWaL9pG
CMQbqEOsqsnOVVpAuZ8kVIcyXexnQ4aRVVPq9JQNI3MmPJZAZkBJxn5WIeCbB6iPkWmSr1GqMMUi
U35lxcQwddQ/wzENNgmpb5tJndC2BD2m3jSMKqzDyOl7w4Sf0UORaOsGOp/U5Z4DlHFiPsFgeqla
meCVnmPoUEpPqeiCtgj0JXcyKQ2Uh6F7LUIFBYgTZcO9siR6tsHk/GxTckGHhMw7rgrKwZrBbT8F
AuFdWESA4Yn3AMBYMrSrUuVilL3NJr8F9piwT2Rhd5hGmf7VbVQkW9Bbgx/aGSSQgtA/qyzCm6La
KH1tYgYdMxhpeFqIMFwkEiAWaPAPSEcLrMYWzITauBw3eh8mp9EOXbQ2KZvf0S1toNOMK/W6SC9U
MkjCGhKoe91iK2InENJkb7GOTAadtQ5VU3edNDV1iBtoGs8Nm3bbpCpewgxeQNaTCboiCAAOgTOx
sXwB60SvpyTAcPowpmGGBYxmOlEQ3ES1jXAw0CtvMDDkdjX4LwQPBbgCZjIx6qtjUEte8UFKb0j6
0qtqeL0kTiicVRMiQH1kkeomvJUyxXg0lDOOdIQtEQO3TIQnAed5kw0G6fX6aB3NWK2PEUqnneaU
1bGZSXAG6T2oP2kR3KFyJQ8jcMxf04jbTxICwp2qEOoQWlThksLACzQUSZXa8VobgtWh6mQRWGhz
BrzTNi5KtihxcM8P0tz1pjQ+hlmNH7XuVO91nFtYYsKhOmi1G77rgfxvQCG1FGk4F9MU/WflskiT
0fDVmtakeI4x0LPbrFImYqBSvPw2AzMpn3EX5VsZx5GnEU+0jR3BrDiuYXbpau8+yPJy97VRfwur
dY/E0Urf7MP+aNoRDq3OZW3CbMSWwSOqZsEARrhE1raGwOY2ZqgY+0HT19pYLxpI1+XTLtqpPxpl
3P/TG97XVaWl5B6NKEX+kF/FG7d0vuPQqtbdMABVU3uLvpoj5mxEs1v4AZQkPIIJAaZtz/5HBaQU
h3i9WloNc40OjCuPKoRVoY57sevK7BjMS6RZWajXooBKx5ovSj3dJbd0lrB5U5Gy+sxGokpWQa3p
Xhyy/tSbUOwYtjkmqYAask5ppf2uGS3sNSVi8yLOusuIOunFLokW5REfbmCI9Vult53nyDzeO/3A
UCMeaErqcH6UZZnxcmTxgK1rmNZjheSzK1qCg90kIlAlDjaqabkbGw45OEBdOQYumJI8DkK/sRxx
jXNWY3Cxiu0IbnrLd7/sEpL2W7PHDmyGtPw5YmSiC2tgn5Mrh9mEZmFPBR/8ZNu/pJcV72ZaQM7K
R/M/M66MM5lumYd9Nf1uRmZDqSn7E1e17mkNqCuRJv26HOps7w5N6s3N0L7Z6YQcORzblQUgFQXU
6J5UR0v2mdkkB61kvep0AwMc0uwbyvARYL3U4ReXBi7NAQdfQJ7hisejf5214aeyBuxPaqc9obnG
e9uwtL1VLw2Pye8FQM55KhaTwUoXiEhnW5dEsbvNRtZEdFU6CJpaAZxhJGa1HizdJqyoWpoCndhy
FI+ruFA0AGNDcOEIgSASo17GCIsuIia2c4wT5aGOhouqrUk/+oRcykQTymHUk/w2wwpcEXvyKuUE
WVANQ9zTifSTyVEOKpm/22bSaa6r1DY/OjcMP8kCHt9S5GueIoTzDKOJfHnpBj6vJMRao+Sr6kf0
ue2YTb5bTsEftEftYtfLutvNOxBDVbIXCGZB7PcOs/aSvp8BwVteW4RN6sbA8kHvTJ7kahy5Wtjp
T3nMpR6Wvfl0ZWxf8tniNQ/ZkhMASw+M2VG5uAXI/9TNoAPOmUDMik5MVWbaSBsOLKCUho2PKsOU
lWNdK/fcimtmB3nibBqXmWAoyuEwdvoEFNdaoJTGiKoCJ7NrVe0hrFCsxlYU7G2leZ/CqTwNMhoZ
ADizA4U77Hd5ClwtDAFbqpo5bKG868SeppRS05D/Fjp8Bmba9Zj7teyuRM4NXl9HQNS7ahQ3IvAm
CBX5vz6vlc3gzOJfkqfSU4GOHupw0PZMT17tQEnvSmeNfp8WNMQat/otat3sOcRJy8zURW1V0rpW
zHPbvzpsQ6S8DlWg1hTRZ+3EUBloiX84W8CSqEF+DujHPnh05rXDV4r9wRySDZ8/hhoz6/eklpbH
OIkgxtCufBpp4RzGImKpT4k/IfctARy5Ew7Wsl8WJEJbhnwdFRQbENu+VlYVv4U0Xx3P4tZqoxBP
tBa8BTGOCcUMTMKa9fIya4q+G7tMns3SZXHFDQTeSIX1Mcr5EMwaky1SXgF4xNmHMNXZYhOqjvew
LcZPW9Cw2MZceEOFJ64zF9TKZGhM3EwCo2ybyKS+Yq3dUx2FpcKiLNIQSAY6M7eqMbcg2bAsCVvz
a7MgZU5Twz8ZRETLRQ2AIKNu/+NrN2i74FlVtcEi0OlSpjBVghfeZRxdkYWyCoVF3K5tynWV5dWn
2SiJH6uzSWq75MosrflX0fLpralYluZGCd7cKuZbbkP0x4Hd9hbSVRXEzDj3LEbtApyXFjTTa5rp
zr7sXP1KZMNZL63xP5FkwUlA02VKPqmoeyldjKlDBDAmSMa31AfpljEXGbSRhoUeVXl65xlrkM7P
f2OK6AvELxbWmSAZfQ6xTyCsPRaRO91tkbGMVPOQmCQwHn0XOKegj8zPbBzyQzxo4clRe82PixIB
Z5wtsQVUB9ZaTET9DgZjQ6dz6oNqdBwCLXpQo+A3rK2p/hJjFYNxXcTFVhDgXTZA/HIiM0CYoIMw
+1eEo//2QyffODHtD7e13EvXSvA+i5g7b/rqnULL8pqqx9vnOpZLapVZPAxhRmfVQK7VhRKGaR7W
26Huwm2VqLPvGhY2G6i9ZbFW+hI4k4jT4lMMTYkQKTd+OM8ZvVSlvqsSXCNViu0C7AQD5lbjwkUZ
jC3cxM0bzua/nJZwNaVES8bjYO/qKcC/l9e/iSzEuhsrQIWyHZ6KSZptElPnc/zCUUNWiJ5N8FS7
MztQG5lS07KC1suJGttJD4CsXeJSQuuhuHp3CERdY32Bl1ERhWUs3zKUHJsZm6opxjF1ZYYVNh1h
dyz8UHDfLesvg8y+snV/48QyDgwjnB2JD1hehUumRnPp3fA1s/o/I6r/qbPGo0GwX1knA5w9FDRz
gV50CSO3E+llrboqnG471tyPTkr2KADsF7WXuMmMLdX6KoWGNRrJRzY7rO5V4gXhU5K+i9iDs2kr
1PmNHAgKiXo82vUEPKfsbrnS/RQumpfC3joSz+EcGrci7eDRDdQWlFHVph+QNPL1JBubdY3GhM1s
grMdyWOTJG8WcQEro0VBNOXBpY3y30BH7sqD2Fnzq05Skq1xmCkCVo26T6EY8xWORyWcjkAX4NeZ
Pml0mwBrh1WjAbUUKkGxE7Z5nWNcmrq+1Zxqh6PhLZDRrnUZk5XaR2fjSJ3dnXIeES1KBTaG0SCn
1AiCQDahCy9StFMyd1w9w7F3UH82LB+mtBZ0BsV9sloaIZZdIazEoL8GZXavqI3lxBKOZZvJWrnk
HTU649a2pp+r1UFJ8RE6NUN2F+YnAgrShiINMxEwFIKpzvbI8W6E+kEt50diWqgL41VgW090ih6N
zcqd29diadME+ysHo0k4bTvkwCbWNmY3W3QM3Y8TihWU4B1DMCrYRSESDJcWP4GRtpcs7PY0gq+a
Uf/ZlrwmSAzUFHP5mN71WUp8pwF6XxOTrvs9hA2+gxj3UQsuVVMv87JKc/+McIHmVbsuJWhJv8at
4RHuiZuZQetWB2Ylw85T0DOVkI0NJCRMwXvopEZv7+1xFdvmg4imUL0CmGwwcyh2e1LR5rn2vHMM
tpukePRvjCygbZi8Ae56RD0xf2rWR6M+7ZwcK8SKe/g1SnZsxQYGBjRNvxP4omffpq/onQ22EtZd
hKViJNGYNmTj31j/q6GtObc0f4CSVNyDINKBJOxQwiE1xXeNrshE0dRWxlfI2ljNXRgp80vagpMk
gVVNZs9tq22mfkeCdNUvPWYWbd/mDObYWlX9Vm4Iv3qx0x8KaPRil1J701kUxMyi0w3zLF29F0R8
ULsSl1j+FgBPo9+qJLeVC2K8xCXWi0XmXWrINyAHPxOdHVZfsj+O/VnNvnSYoxTxm64OEISbXowA
T+L6ZQBOTUKK38oamA64rK7G7D8lajfsTFUJ6RJdOaOavWt1Ry1ALMgCufgKpQ+lTfIApsO9AJlC
9aN9cNC/RKQ5l2NJ8cxCAITdaCGQrp66Npxq3PSjRF84MJKcHc9G6M3AK9YRnQ2L163q/CijBl52
HahdTXkOR4BwT7DgHgadtQacsQ/QZyz3Wbrwqn8ECo5AYTltmpc4/HUGXEdoIMRlgV4sIQHtsBDl
oeRTbcn8x5j1fQ4ghPC4lSgCT88Sw1O7il24u6Uk4VWWPqdSxkHEKLOp87+5Ms9TBAgIp9FJ8nVa
dreLYBLbYviJoDAEsb4OFNacCO6cLmLRGpFDyzvsBJgRCIALGWQkXEMMrmmhO665AHicSe6DGzA6
QCqDXXac8Pfo1j5z852jD2eXEn7A3JOpFsqvjho/mz4NjFqjEMys9RM5mF+zpp/cSBxcFa9sM/e7
zh22bcjgYOJv6/I7czV+hsT6ojO+zgv8j5sUqRJz7w4p/4oC3diI0jYPsgRnZg/ivaU12MdWC4yH
8hmbuPkVNkCLktSkIZk5KLVKwSjKbgOA7Fxiw0yD+UDQ9TI1ptsOV0GLh1bkAK8j+6Q7gqvS1t9M
bdGJ2j3SKu7H3jKcF2UKaiRn1sFuG9bYVn0eUnInZS9e+p6aKzMzvxUO++aqRlZJzMESSsSxN4JX
i1LgIKKa4fraP5Ma+4KGJTewRofWTRmlV04kv0lmRxHZWriIHhUmQzFwvIaOxYg2dKF50j0FvSAK
La9gp7e3oIAGV7ef/QAkd0ym99wxTkbZ7gNiKGk+IfMbQdtwe1gbTqbfQosvrhTXdgrvndsceosI
KuYifgNCOGrZxqmGcdVjZRe7ySakWadi8C2lOjNrOBoO4qqIaG/iWp2iQuRZYs0sA/kMoK0OMIBU
I/5KzexN9sZ7TOTGy5i3nq2WvtFiZApG3zajI5F/a+Zra5tMEtXMvwbKC57T4mqCL5zwIJQJTiM7
T31isHdODwKXOmo1oN2snH6dGNOp79GZYx1qeXa4T1ykp4kAFsil5PbB1uDeTdl9xouuRXdQJxFg
ytiEwO30bZT4novyNSRMkxrA3rEN8AWP1YvSz08xF3xaxluhMyEPSIlXpZEzjbWYIwZrfSQ9hbaX
N9rIyn+odpBaG3LLFmZL9Orb3JV7GvPbXArYfMiTzREIMX7NGMiwrVuvo2ofEwuziEbGaOmeiaz2
jD7e9TF8rLo4NhaSgjL0sgzUHBUG/dXOzvJdkxC+k0OiaeYlEnphCTQBK6/6EbqMZCd0NdXMALnU
v/vIOVH5bRme/TCXXqWG/ksF5dvN9AhS6bsuy04mQJsmTZ8Gx5dlVGs30PZ1iEIhYCXTAHanri9A
7xr1guLt2j/hJq8WgL4xUBGAz7dS5w8KrnmyV/fSKDYDgU/7xATK6TJJ5FYrL7pALRoyWhF58RtN
BEoqff2qoWajEQrX/WQsvM7C79LwU7HgiMSqu9ct5H6kvY+EZ700glI7VTdUhBtqlYOiDLtUEjGd
86QkJMDR8f/oCtFKzTztyKCk5tF0lKfVjVgdCiKYNQZ0bRZsTAflMx2wXOFQ4y7LinUhs39pPJ/p
UB+Z093LJsCZrcAvG/BEOBHK55ABRVqSlUacnB8m2kvZXN0JK6wcoAoZ5m2moC+tAo4DB5mhf1ra
9N+c59c0QetLXoZfxPkIkLJ+6v2yX5qMPZHLe9HUDysOzFNZzxwT7AFXocVEpO4YpMogLL2Bk4QP
ZNokKt+RwTAJyx+DhKaL6SPrg+6OpxZjUWEgMHEm3a+miKpEiD+yvVLisDj8WZUh8sCb0UQqExft
YrVqvxlm65yEMZ0tm/RxaX0t9ct1IUi5EjpzZHG9Ofqi5jccqI/FQXNSNoHlcBszhuZqpOy7qkD5
oYE7kkhMBbztJmYDXGMfiE2490GmeO7MgVwV+kaHC0SC0SliQMHp08g7vYz2HOaOK7Ph180TVqoO
RBVIR4mMeiZf5SXt7bfYUT3Mqiwe+uGHCd9l1FzcY1IJ17Q+3N1R2a5yNf7A8LvSIphW0tpM0t1Y
Tvm0ef1sqW8J7f2MEXmZ6nAXeIBWoTGm25IREEDUoT3ZLs78GCu11fKvxQ6DF+wabOsFr+o8HoSK
kNSslq9zsk6Dspieh+zbCIE8DPH4Uceqss7s6DqmIKyS/3F0HsuNI1sQ/SJEFICC29J7UqJca4OQ
1Gp4VyjYr5/D2byYiNdOJFB1TebJ+Ez78SOL5MOUU7bsK5TBDZV+Jomq4f/p7fSnsMp/Y6sCRsD9
j/bbm+3gSJB89U0lfdIfagraB7bbGq59SOLvhD+cMFOATOhpKa6hIczqzuTgPLWDsSg8RkAPOGg5
Dfhk5vnJsQWSf/3V1a7eMdMy+Q39Nc9Rf2STzZ592oUDCDbJpCskeZI+5zKO3OLSTP6UcBgNA/WG
bM48sNcoM9+qrIGpbRkXM5pNOp35TAJj+W1oZGtkOezZGa0Au20qBJpK+UhP3PnYW9g1WyeYQeP1
22wUB22ZRzOjWgMhTNP9YhvgrEKOcEuhDE8qv8cbXHwXRvTNB4YuFU2nCuaTYeS7EIdp6+KlpJSZ
nGwrjAiVs5p+mUitbWfeyMQ3uaUfo9iRZWphSAxDMnui9D00mF/y2f1LtO21rRjkx4Ch3JhKKPce
Nu8J70Dlg1OgdwY4AqIkiztrZYysGJWZftUmLbFhCv8azIwmMrjj7Ni+wr4G8dbKe+rERw9y3VJR
4WTjsPUIRGCGDHWVHFSqu/bN8RB4zrJ/LQmfUe2D/N84uDJsLA2MU4ktxQnf+95mTkR/5q33VpGP
Li1t43Wq8Goo2KvAFnNzSNaOi/S4nVt1rMp2L9kYNl0IGiczjoUFUNMJit88dG8G09utliHWO4TH
s3sLZ/1qPI6iatLvhGbvfeQcPHFXFgwcBUHyhpUTjIcIkifCJn6wuK16heG97ZHJF/pEaCa0EZIU
q5mwnSJ4GuPgEKrhQ+ryWz1c7pretazbIzKA2wxrFa7beBK5fUgoVZ16PjFDwwQkLmGWf7ORObaa
+Y5ibgGRME6A/rWhWiVImbPK3DVqunKYPRz6JoxjmT9FHOALF+uZGUUnEfg7L22Q+9TWqwr8ezCS
bUaEgIVGb9bIK2ujxuSgkZdWu6DVR9WI93RwfvI22RshNMkpfc8LWEC+wQFdWD8CA1Vd5BvtOxeD
VF3Wwjs9DIcwH3de537iKV+ryvis3ba6utrL0Oro6KM1ATibcF4XqfdYK0OhGgnAyLp1oU1Ii4Ru
pha6argfgctIvSnlhukTSkfd4WbE1Bb3wbfbq79GICfC8fi3uw2odlpSVlUI5GAIyKXh2GAgGb93
Pmpif5brln22lzcvdeC8UvrAl9EDfb4aIQXlqOvIMFjYJBfKoDz6RXdkW2QuYoJMYQc8V8q9+O58
zRUyxqGIfgr0hWoUsOMAdOK/qikLEEHQ9uANYut6DLDTmkX06qATFD7ew9T68CU1fB4/7DUmk6sA
pfbA/Ct1jFWTElhE0kDi2myS1HPaQb4n7K/QnOApZkmcy+ZXhEszTyPUr/7S7kilUf6lcoovgpQ+
K9PbMmr8kYMHzNH/LFPzMs3deqaISWqUWX588R2Qpqp+so3m1Y7eMt8Cb4qByTe/kw7m+8Tt1lV3
TVKcJyaPEK5xJ1p9EMFwrFH0VaAMQ7LOiTfeV0Xz5OYPBxnGTIkhex6ZIvTNc2JMTwFSH0XQAbqS
NdksyxTozIRCqQ/alUUvp3hwYjvZ0JZumbbxosYXS9R/dO6cCCXdzrg3o1oSO2ccVTu9M1798EY8
Yxk9LY0gugyD4LEhPtuVxLqSw6VJvIsgLjEktKal868jtZxHzIlG85SqEXOuZewzlX1NSfjT2qyB
kwQYhRss0k6/zQC1i7La9T1FsNnTEpc1FqFmOBq2eabvwxvSB08yHofl4KVPhapZ+TqSGEFxzx7J
GFV06kbrnA/iIBPUuQJiWRztB6p01hovYY/zvEQYskywMvRtezM5Mworfp3wQI2CsiR4bNtdwXnp
YkIRpkdQiMKPY4IIah92uppt1p410RqtED8fT/doTs2G1O9kG0DZL/MM+jWWH7vO3lJmOMKhIhx5
UBAc4XgcyNYutRfzMaTxM2uZdJ9ru93a2j8LBzpW4+bNR8q/3sYQNZBhdnQ7+H6TwFpRz9F+Tvln
xg26ewd7TN1zImVjKdF20/gHpvPLDZEccgnQv0ymI97gfVcjDya2M2dIYTw+c+NOv0fmRCT6g/bk
Qln1abYbzJlokKD6OhGpFEG1VlLQ08TMff4XF0lZ3j0NBSI366NnUkfqNPsyCM6RY48fzIP649mA
clv6BoeY9Yx7SnXlvW/p1+QzGj1GYB1Cq26i4GY6uJdJ+sdGH5EkGegNTBghzBkssTTkNeXU3E7n
yVBbon5QQnClBNxr46A/u254JRVlR1A0WezD3mUgMUx2eE+8fJfP0+/YkPxe+sxZUh0w9qkQg2qN
wP2hsBfT6+hbipGy+276MUCNPjqhzLk45WhfGo+NfYp5meW4CVxpAoUyRwaS4PQ1VQgzi8Y65A1W
Jt/E0Tl5n13lXGyv3yVTdcqxp/h+duLShXyfAmlJoLtE8fw3ToNiSfSXcxlG4Hq8A4dcdck6L/Hx
lYGxi0Z4hNrJT5YAt2OV+WVGVAXwYRsJ9rwMFReVZOjFxK9180+pyWZuffMw5s4z9/zVZf2/LVEK
bAwVGIfUzwkfDqAvarN4Y9lX72PpEs49W+zgQQcjeDqnhPkQU7ntsvlPjAaIgxibg6WsdhXY2Mby
MRg3jmEsA+ECdNIKFL77XKtpVZLVIu0A0k1rru0Gn3vN/DQenUuh5Xtgdq8B9t2I1cEmQWDZonGM
3PBIsUdR2FNqKSV3sYeA2utiSNwmWnYYrNjMJ1wGtNFKkX3bFfSFFelhtTj6Qdl8In9ZmQ7eK1Kf
l5au8xvrEncL4WMfYiP28AJNQfPEjfFJvfZnNCNqgOBe8qt9wyv2TeCTI2+yjjYJzeRsZyXq8D82
i268RwkpUHb0lFcRokc89Zu4zmtcyajZesLE2XqKasm+gDptem4zPRybxG02ylLvmY3DKzNiPDmI
38mk/m3oMQAJkTZE1DphuyXJTwONc9iQVt4kFdMk0BybEYkyCGVsR/kGhe1atKgBOvDOnndvGmrO
rK+cXdwGb8rFqxYH6EbSwt7bk1g3ffqbtexY2mgAKVw8yZwtAqUPhgmcrbV1T5GI0SM0q7qBLiPt
nsOwxjvsTrzARZvySSMgfYoGQojRmuxnTz35GQE5abaf7f7VF9jCmtz6UhotRVZukB7itpXGq5d5
7xXAt64gScOv9Kvl1HsIJNNKquFg1a1g9lbkYFF0uXLt+uwF3a3q2NaMLl71LKMUV8p5GbPhxXci
8pxyN4Y4ap58l1mWZwmIkZ5br4rZ/yxmzr2p4vDuW/+eCPdeGunWYNuQRMw6aE/p3YZpV3o+au0B
3e7YhR8caOuYOTuuDNKKFT8pohX9lAvzGg/9xWX2RciUfeo6oYlfKsYjLVAAyqb1yNotv0rf2iuL
sb3kUuCnsS9lgB29JFIiUPaav1XtWURbZ1RPX04wfkSWBRM7nLfEwXtrjx3xyoyplOf+5OL+ITFb
MESqBxShHEP72egNys4a5jzvvjmrYDO78785+aim4JYDkEnckYXKzATfJzQWrQtDEccRuyHl+IjH
7uAwNlANS84S23VV+B/1jD06jdI/JiWoiBOfK75/oUvcOTmw7akFQhc48zp7uL/ieIiuhdNmW88Q
oN1mOI9F7NtLJNjHGdqzL/C3Anq+UnZtZ45bQOakGDKFYcOG1pqCJN3CjeCsIxOkytx1ULogJaqi
WFYSkW1a4GFhSkmpHiGejc333JAvZtu9qv8H7Wb0Nk7J0Q/la2umwVYkap9mUCnD01xB+WR0EAXp
tKK1bv/5gNhlWd/7HGtiIG2maO2lsX2oROjLF3nAwRp4xq/n9RiHe2xJqmaczU6/TRGnRUgYz1Hi
UjOETHnG0gyBdUvNusxyES7zG4KO9actrV/NF7GwwvCzrgD8BRgKE/fSdRkgb+yHyknfjcrUSCUA
tBUPriKRf9vMnb8Iu31JR4+HgwsrDvjWx+qPV2JrcWJcyupxnw7S40gldCCOmWlJFgTOHB3iR754
WCC2w1A39XeniXaxKndtEH/WmqUMa97bEI+I9c2BhaEhYWlbp9qP3gt2cdvCQOfeZBUjR6957f3S
J5khMdd6GnbN46TzkJaWQ3JMEdgtaydA42tthGfAskKSHsl2a8Xew0LRWeTGxUwFSjXvJr7YNMsA
zkxQ79r23uvhnGBRcaribpcG33PxqtvpWnoeYYAlFsYkZUcP3XyRk9YNxdA8aDkRIg8tKqxezNH5
SHPnWj64QD6GDAUNsGr6G2f6sZZwQGzCoiJ/QOOLK8+b7F1W+dHTZEpwwfIlI3WR7xpuojMffBJ+
MnqryMf0aMblse8Kb9OofDOb/EniNpERaRTfhjEBBmcHbaHWXlV5lCykFRCY4Y/PGULGbqrWk90S
JhaCT816JIKqC5MleeQ/qd+8ISP75lNHk5XtshRsAfDrLIhe087TLGMQ1qEfLsLivSVeRA/E/tXe
68TKCHePlLtHr9Bl4zZV6d4Y25zDyL50mXiyKn7EsrMoMjj+GMAiE2a2mKGSBbbgTnW2skDDPJfM
z1a9dp/N9n+8N4mGE5SGqoZ/SvFAebBzSCguI4onxkg335zoEmnkfDM/xODAXWfGEWdtQ8QzceS8
M/T4QD+XAesyVuQhk3gT2OXS0JAUygGzPC4zB6IeQqyNK+nKfJmuwpFfPLfx91woEKJsqSJgF+0w
rFtbLL2AbYyC3GB6ahPUw2+Z/21BMEjL29S92jcGkFMd3TTDeemrld/xBs+wKmRwo7rGjCokhRqP
q0YtRI6FOHasj5JJ70Mbf96Q9B9ell+6CZViSd3BfCPaNtH8r4n6jcxwCloR4Y8EjKZN9NWbMd7v
pszXqUG6Q9MzMqk7xpBNXnOesaj0EB5zzUJX/Fsq3tmmxLstW/iTyoSt3+Pyrbp2XfoewWK4QTv4
GWEfnCtk4ob5GEPF5sHyqDAzdZYWAzhbQDb2JTMuszHh0jjtYUzCy2wZr7LmdZ78VTkyuS2AEngj
ec4jy3Xvs+mPSURGbJcXNY5HCcbjYMMeGMonnUwr1FBqwCvdnenBMYNR3QJs7fsvcxrrv3Vc+T+o
dSSZoYOxGdD2MWVR3W+OOO4ZySuNbRRmEYlwTgWNFqcJ6Lbc7+85Mpt1NoTGW1tW03fup9h8RWG0
pyI0xGeKZuDojPO4HznVLlaf6NfRGsEez20DcqiALNLbFjZQU+C+klVPprM2q7WZhHCjHUzhgQjD
PbQk7owYe27lsB/ycxAafdJ3txkzzjpV6My7oPwnHJmtWWZOmHx1/FNWDk6zCoVh2xVwm7VJcEvc
vbdFcMCosE58PCVpTLRlCZZpKY0AWFyvsFJNVXXrW2qFqFPopuDAWQakk4FRM8P/aAzekzH90Mjn
TqmvsGUbE80pjhm2mpA02PUlOz4Ql8Uzn3aLUpx7LEaS3LXRdOzmWUDBSMm5rXAs5Y+Q5zKBH1IV
1E2WAyMvIhqbM6aGdpjWGv1Hw0jN5zcuioCIQFc5Ng/h0BC5SFBP1zlMMlnq07iZD+lAnCdrPp9f
x/HnmxhMOz659uPP7oyAjhoeoJcFUPcrI4IHKowkm5Z6mKdLJLlKEVRD96EQ8iHuMUJw0wcDUxj0
iwjgSMbVnUCyIP4YnNJFSJ04GYxrm8cKRXtUJoopSN0xEDf9TQtGa5uVjPxlOos/9UgdwcyjukyF
+Zy0tl5n2rsmQ/1pIY3Pe3sfaO/SA/HsO0bzWeX94OHB5yOZetVzvEdA+RIWBC5EmCRGe7hVRV9t
6E6gfigy7hJM2Z1f4HWXfxwkA5OoTdbPxY0u4mfy2aU4Cnq+XZN37WTRJXHGfZhA5Oysez6H91mm
n0HaUQTrXRzl98RHvEf0ebYxdb9TfcwFXa65ZZKtQGEaC2tDf3Sqccopv34rfYginn+2MgJZeraN
01BdZwSe6Go/Ctu6CbP8dRFAYTlqnqRu6LMaznv/3syM3lPTegszibTKuqgS6FBmUSQMCfuBtnti
Fze/V0G7txMfjY4VvrZo3YiuglANwiMJWhDykz2tSwq0VSiDJ8Mwwq1Xe/fBZKdKX/eWReO6b633
oSciJmnvJWXUorNxP4ucEz+NSJZLkMyeHGZIXEzs8ecEh05S+xa6hL5eZCEqkqF85h5ZhKxrTHKf
lVMhPrFY7VqPN6wKU4awWHbKnhJ0cNYeKWCqLvii5cnIuoAa14AIF/yNfPHNUeI/trnWJib8NO5g
2lr9k2ErYDoiYTMGdu2eOR1sqDh9NQCQjIjdBfs/+tQUO6qH3g4jwSqfeTLNxER/SxpT0XXjW5Z5
TN5bCXTetA5eVHlbPpNdFvT/yDNuTo2nnweCHhk7tis0XjAV1AZa566WBBdgQ1ulUCdlaTAbSoGB
GTxSQaKZqvT7xPJXeS3/iCG+oEel3Cjdvc7y/oLydImHMGBpTKjmo4MrBVq7KOAvzHu5am3GoVHq
XXDdIS43yngrqvR3ijgJYj0A7upwv2o7WvozBI0cF4I3URJV6MEGV3zKTv3rJLU2J5469mb4b3Lk
zY+YgOCIxJI5Pyz4dmGvHFFD7AVyMffyI3H5U+3y7Pg9TvmoWiR6XBmBCQDEMj8CEyWJa6FlJrWl
8PjrCHTVJod/Hr12jqZJGfZxDjA7iM/hQ1EKknUd5oC+m8x90mmyscdqzTT+z1CPsIQanNGD29BW
tPVwoPhf9wjJ5xybg5D47SpmZIYw3F0TlYJZjBZ3MzRQMVVld7Va3vpcPCwRZntJObgadgNDMS9j
HlPSVBZUUWuhrKVF6oxT6bvjgMDwEX9JnoKOOQpLmKUpspNCYlWb0beTTqcyrNmcmZs0saGD/vHh
bmh714Tdb+U36dJmc1AxtOXmvuUYUHm/oAcG3xnCFi1u1gw9nZStuUzPEtWpLz8rSqo0Aj0V+CBX
nEfsJRAWQOGsKAnI/ZiwBCIC35cSvzykv8lvrmjC1pRFa62hJYTuInXNjfb+aYMgROtH1fJFoiFK
3S92MI9DN3JhAshDWbsb8IiXasCGDG3EwK1hWiOEU0QxbAG7kGQPAtMwRnAbQOkeocyDoZpKINjO
eNIFOCwJ2IGnqK44DjriqWx9ilTMRr9ZJTFTWgyeMZQBhmIBQZ92YJ4aREzh8OWR3kfFsbAohGMX
/Cy/rOrDL28quUXxrDuYnjWKvgCBrNWolZL9eqpNEgfk92BQ7gfcocJe95W6tUAKeFo3BV6OrNGL
Pi2WjqVAAz/zM7MLXlVYzhF9td1fC8wW9seHjHzTwM3C5rPwfLGJyxUqdzhRPS4fgA9odfJGHNyM
wKTe3bfuNvFf2IWxD5s2XukwwBnXOURw/eo5bDDq18ZB628hJplXGNools+irF/jaZkoHlOLECNg
MqzWA0YC1qGIsR9EV8S8ORprC7QGwg+H7wDU2dpDyVzPL83wWRPrJfGvTzMqdf461LkbOzdIPjXe
Q6d6j+AXRQ8CDadW1LpLAIibkDqAdeeWUG509hg1AVjo3Nz4wR+scrtHVrdbGV9ufYJFbHB5TOzA
IuleJIqwDE7IjM8zlxa8X3iGLB4qBKEkQ8Fsc5Z2oa+eQbZS8yrJImSnVJEyG818onN2KbVYRZP7
xe28LbyLM+0n/2jCl7NRtrod3K2C1MWdh705IE04HS5Nke1TNbPTYAgT77X9ac7gU+Zin87dsZ0E
oxN0VR8hixeHVCbvYHSM3lcBuo1sesl5O6GFuFgYrPqge9DsL2q++HA+PIK8c4iuyFHc5tIoQfQY
KRnDnyB9q8uO62eZ1q8mRg+PnTJ5lt52BraRie8JWhSP3wNTBG4gIi8oaHAwPHPKiP6xuSSgrFfb
9mFqJfHLfDNlCRv6GIHHlNVTBZ8JtYMu/+Zk+fGF5Y9nOAReBon6X28+x1ScuESp4pjetHvVvYQx
bQ6ILGU8xL1g0Dn9uga65C9CrgV6rcVcDCyxH7CKcuvDO1dAuCxIRlj28PBHy3I0qfG6q+uJp6B2
QIR2x37sjnHyO9M8tOm8GhPYWFxGuN3IyI1uCcI9A38DvuJtnz+PLhmGKct85xJFPEU0dmgYeMaR
2BFmmvkdI1d8zaDgHPGUQBrmVc7lbwpoYZInCatZWGpdo6MIaPusydvi/oJ9Nj0HXbBvDS739jmq
E3K27KWdsPIENFwQDG3kxmc5Bru6uFOvn5UGqcOsWkOqiHv2qG95+reOTJT8jiRQOKU4s4O3yQfn
hSRoq11uKmDQSE/1nhXVYY6Gj6EufotWrvFEw5WNzl4IFnN8mRJCzDA9GWjYkJKc5+F/TmIS1kzi
YcIwiowmEGHuL8XIYqx/q8Rc2C1zKHNYTnH8rVp7Y8TZbzRUJ2mDkuYjoQ1aoLc7CxeIO3KXeRxu
Y8r0w2mW6OkZgPz29nBqknfV/hqzPGYoJUZ0u4vIIfBU7EZ0dUUcHSfbX7uKvWPytzHQow34Z+3i
EvlExBCeOAbtt6/j4xCpS88oxu7Sv3M6bSSxyX7xaWoNeyxbuXof5P3OgCHhiIeYGUaUZb4FUP90
/0kJc5zjYGdTYsRpTW5ZuLYwIPNj8a8QD8WmS9ELozYsnmojXVvp8wRczGP6rQbsON1vzWLbKt1N
7fwdiWXj+pecEM58Y9T5DA+5jp7zWGzH6kxFwsXBntp/7RBs5/1HWVwwi402QaOrUm8a5s48/BfL
Prs5egvItb3xZICukXpezNkD5zoeGYpDtqgWs/9vVq+iumb5l4rxO5JTZ8PBHfd2/1SwbyA+SFG2
5rD8XYZSFfPJID75gHMTeIOQOOqXGbqTH7DFRYZsu2usZcusOZuwvYuEGPMaiXFIlq657QTrJz8A
9EUOXYTcGFjE6PSI+PzliJ9jIRUDvrBLIXlDmqSxQvu+a/yc9X3DrsLeOxSfM9X1Ei8CJHrAFzGV
djDAC2T7Q+XtR3990N2dfhI0/zQKC/QrHiW685VGX0XyVeaMdJN64TCnLlMwLdsqOIXgilvnkfkK
32PqqbFGtEKtc23w5KIrqVnsBHzVGbYzwHkROBfSYrX61CHYE5FtZRY8mYp1YZyqn5jMk8nNrg8r
N+9Q40wrzF+44lhIUIZXkCMWtU52qY+SjE26wlc9wwioYNrEc/Bs2xsv/WZPB8ezuNW12ABFWPvM
MWTQHx70aWH+Mcd/MTExNh5spLn+uI+AujT2ASPsCl/oDu8IRxGvfN9fajLSmKFt2gKJcm8uQ9Ft
BjQQEoiCgRugZshnhu9RBPlaBgQ54qaid8OWYrIVpVpN3zuX7UehQKL1akeeJdM1OySCzE3YK9X8
6hq5i3YtFvrFfPeCiQYy/SN70nfRjlgjDablF8uY3FG+rXU8/koR/lVojxo+AUf8kI4IYeqlsF/z
DvU3CAUjvmSuvSjCfj8W17o5zslbwEEWA6gpfdhyGbRUKi8s8G0/LpgTlhNdyUtvkQJjgWzjW6Yr
WY4MkryUER300kC5Z6A8hQZ3Z+4q/KmaVHr1sDWa+rNX8AcCm9AUge+O3NwsPA+6vbbFH4V4Zq7b
k0nO9Bjd6yp9LYxhg0wcAN/W56bDsrtJmwyfEgEO0kAsymwt2WEXYp9rbzIn/mswke8lShARbA2H
LaNfrDlLUhCK1ldtJRV0qz6+txAW7Ki4l25x1jj5PIZfrkjvfndrLRKRS8CU+I/QA55D9D/Yxk61
+Oh8GMqR9VR36pyKl9H+a1OEt827gnk9+rc2/cDIxnh0nddHqZNbR+yxkxpbUzpbR2OKpIVIiCrM
HjlHjnHqI6IC+S4mcoSNVH6YFW9N2v6EbbJhskdKQB68DqiDafC3QE1A71NHRsxKiLqwcWqXl3q+
z4iM+rG6GkSztY25Lvy+XISMyfo+XpnJLerey/AfYjxtHUtB5lpKwCYWs95rN5T9qz7QfMpXW94h
wvDaD/uk0muBSr53jR3Y+o0szK30plXPkgOtQ0VeyUmjUFd++D6lxkbMYu8wxaya36n5QoGzzjCb
tdZ0UJlga/Gho7tXnB7lboSobh4I5yXeEP2mwQsOOVNK9PI6ORYR7ZmC+qp46WYaFRlQ9yH5g1Gy
kJAZ6ugHAfyKzRI+yxQxK5P34XnskYoxhivskyajSjp/p/kHvv5e9mQ+Ie3Q8VtLXkmOeNJjleFi
JEhm9oJtyx0PQKEViv4B/b+n+CeTFtSdPVhE5SNax0+2mddBbocYO+bV3o7uM1w0xXc3NVRw4rUG
VlWIL03cH04X72lmDmgztNzA08im3yIDRKrfhAfCafq0xLUfz1RCh2EoDi73XAlCvX+p0p2JgcIL
/YVZqZU7Mv7jQ8r5Sas53WWIDxLzH8PODaGZnflEskckN6J+I4ErdPhM14b3hn5oW44P3wt54ic/
/dQB7Dk0sDW8Ki6tptt07bdoN2wWIcnEUcztQpkUXrjE6/6dnkQzREDDCBFgQsR7RK0mWFCiXIVy
zX8zbAnYOeDBauDH1/gMBOafOENsO7pbRm7gBMD/opXVLg8+zQ3Tt2UMtdJjeNsbxBMV7q7k92EB
x/1HTxJmNwF8whS3NnqIrGMERPEmc2kSIL077TetpopvTX3D+rhuiOgW4KjEpuItqPmD3fIlcq7o
yADttmChuIOj4fHlHR0fiQFgJH69NE5kQjjWUdYAhie56XnsEMKmvCbpxR6BuljZpjTWM9NyUGBD
iaDzGLZ3nR36ao1lwilPLmJktEUwkZ9pIlZ62o6i2NrtEwN+WXyZfDAxYvSBv1aiy5ImodqITyd2
JqQLL1sqU2N4y6tLpihrdL9C7b5Pi0duK6N/6yuc6RzkzGLzfdTlJmgOM3jgmZlIXBLY52GLGYje
DfgB+fDyEvk3d7OTI8evifc6kuLC5g0GC7vMPOAYq5Yd2tUYAWKmWCn0v3l8FKLa9OyEJ0TxeQYM
ANMAzDXTJ9UjG9nZpzZR3dGpcZ7raq8JzVEJAN5SPumiwAFG/BKVcQ6FPpR7gTBldArARNPNNDps
sRr15niOplX2cAkIrDNfegz2OIc3FvcsMZSJEayckC80jCAGz/CtuheoQGsjQaYsfe5jb7hQBi9s
h3uZICqxayOHLfPL1HwgkGKduGhAnwpnXMU2RmqYBTk8cWHjx8FEJMjnwVfA9aqWwzh/emTRTgXx
SywvwjS4Js45C1//J/hoYOZzQyKxXFv1uz0jI6BkDb1jwUDdivhsx+6S0lqXEojNtayvMFYskmuI
qUQEeHBJEQiwlaaYcdh7blH8rZgV8gieHJj5EAGc3j1zl4O+zc/M5YlMyq6W8ywj6GIztLtRhpBN
g01ZduRZWOiyxo2Kmu9oNviADsgWBDwcNRYkUSHowjkARj0deMOcs+s68QonRMAEPTq5Qc6sPG/a
y1gmj5iTQV1UbhBqleW/gHv+JGHar4tHDnRcIJgzEDEuYQKgZhiYiqE3wQprczrG8sGNFy+6cW7j
AMeoDok4CQD+texjvDZG8ob6Q2NJNbXYom99rOj9oxjDP5ivCYFkEaJze9vZycGR0T5FlBB0hIOC
k4GeGJBfJ+LiitaOFy45dF63lcFAFSgfYNlZX8d54k1SGEYDNYHpd1FN9sl8TJ0cB0bREPNn1eW6
K4xP5jG7ymEwOz02+JNLIFjkUR+SHS5clvVa2DjD6gIvFhQWhmBWuC8eraBhHS3TOcTW9GVMDKw8
UrE7W355WFJRtVEpMfsquGfxcYy4RPIaSqp1sCpOrCJbxfKrB7Fs9uHKRoFc0ZJi5yEttLZv7Bev
VhV8jGPEqgW1TG6LGAV5DB7XQLU7P/bPw/TjM17EX+BMmyEYfpiDvgW+/x3Gk0YOhK7Sf1izZuRv
GYrMZRQwCEYjcMFMcKVDM795GIgvz4n/ilT72XQuUAvcYUFDOOaAPsTvMkLLdPAoZrAIKAQUrH7z
GYR4JtuVkMZbA8ydnUrSeOcqFj9sNbctzaeHcKmUFiSVejMkyUvjGtwQeC/ieCVNhiuYVsbQ2ceI
vW0PqAMi19S/CgMkYem/jqR2ISXHSoFcEG5PLEiPNqiR5ujiFPLY9bcEo4GseWEfrh6zFxx2qN71
2NzHEDE9DieP1YfxNyYY23DzHbPxL60E6E04Ywg8/Wc4dxZTOb31fRvoYLryXJ5MfyDmzdMfYeht
eoBvaJktdoYoaoEoesQ52GmKjnm69Y73bAHKjwvnbOS0s4yp4/wVh8R+yAA8GD0FHkpXe7zQCa0S
1R4t50WAxECcSQQCGQkIVRL6box1FBA2+yP6pOAza6p9LuNtNdVvDo66HPPE+NiFt3IPUweHGbNw
KJYpXVvbeuuhxiCUh4SAxYhYrVXxMLEGI0OZe92BReA2sqJklxHPQkdHoTGcOl7aqmHU4q4Nvg3f
8tZT+9brZx29AgEIMBPTzYXl1RmPU3Kz2rOCBp1DhqoYMJI9NLlg9Nm1shndgFTYNqjDM2Q1JvPB
sRgY0wOSR4acAqd1QUE7zKR6+VUDsWjeTMRsoduuEeismyE/z9R4ufH9ADf6CEPUcEwZXLMXX1gF
HHuEh205bCeSWmjbj7X6Goz/ODqvrsaVNYj+Iq2lHF5xtjEGm/yiBQxI3UqtLPWvP1vn8d6ZA4yR
OnxVtavb+PGX37IskK8FxKYFZzoZQzfeW0xPqH7gDoP5oQell2JCKLz5UzPzdSnF7Jd8BoGpsuJd
bbaiyW4lJGTZLeOexYlPhqrtyP6kXFqYv5bG1oqjK6Qknl2dvuVmdykI+yxvdKmJGS7knrA88CQe
GrN/Lsk6e4i4RTDucZmfwvmfAuI91H+43O98kLNagWep6R9Fwm0JMmc9jcY4VS3FMmROGypfVqLk
pbH3Fib52g6eVLTkTLR6dOvd3H3P4q2mxqjqwgdDkEe8hDxqovVxW7v3U/+ZiUsKwBof5Z302k2U
dHyzaWv5w76QJjTjbu2RynPQLeC/kBPoV70XvSbtUnHnlg6fcgYZPRz/NQ5FzlPVQu1NkpPrUr7T
Ob+jzDE2mvcyEK+toiI0J1WYxaxttd3rdT8Vu8l2GQ3XFngKTo3VzHGJtZTx13iEmHHrlH9WmBJS
ZlESfnrU53t3kn8BcEsW8uCax9NjCCQuiTt7lZJwMHAHYU02z2ltEap0DNYAc2MSBk8Zp5p5hdwz
bLQHFi2dabteYhDOveMp0s3GVwQ4hVEORx8hahNKRX6C98jJSYgdwhAaQVYeMwOd1sbBegcgA1Ry
3p9J1norPzMHMk5ArFxTAf+lbiKa3OOwbK2hjY0+U8a/xBr3btdRXZ9t4BaFGG5RT0SdvpFB/Fax
u1A8Pn17cd/p4C0HqbkarDCm1Qq4h4e4CGMtZv2zSdVS9dXgBe1CZs0z4Ye9VzaftQfy0pn5O3ny
7E/4f4r4TyXjsek9TNOsuSO1PCKZ9y3M9r50Xr0iudQp0cvY/+6cjjBZ9ZJVwxfEu+nQdzG1tWZ9
qdSXwSy28kZ+5XgSiXr6vP3Muypg76N9KTNqyCwIx8n8oOfiVuHP8XIK2ZW9DVS6aqfpmvDLJ3u4
jiWHSDOEsKsWgL2FFc1y5A4BZ5t2aqtc9szcerLDtieBw+A9TzEM5HX5aedAA1r31Ex0AMh0vCrm
SHh3kovnO8/CECcLRJCTlOehVsu0Dm0MhITJNLyKCdlI+7HrfQIbxgat7Wgk1V9HIUIUQpvhRZeY
H5m2M4VLYwRtHmVj1WMaR1mDCBkU9HDX5B/9mrR3WPxqv/9ScDtFNtKpFmsFlR2oco0S1Hfiw3RA
RTes0JEEyxuhReZ62nhWDkzAG5/qAY++2dFAVEinPhh2vy2yGUWxr95Sh91NNtuKIOqqMpfMkwfO
Vi0H+rzrP3CU4dfDd8r1R97XY0TMNfuODZj1KdYsndGs6jQ6OOeCu5er2l1i0DlgxO7jHEO+jZf2
IsoIt3oGxxI49B5W9aUdrIk7mz3zVbFqtikH8dq31uRjiZADTJoNgyugy3CX505292VTfM5ueiDy
jnwyvkdogHHSvuUZtegGXj7iSEevkANj/Yi1ydg1ARWecULAvQ+dP99zLsJpHrESuG98gWuQswaM
hbpaEyyulKQlY1L4wE5h5RQZkE8e6mxT2kO5H6zmm1LHc66Kf3aqTnZinx1rdtd5ZGW7EMOl7Io3
Yi3HLgiWYduy7Q9/uNa2iW9/+JOBY8C/rzoElknFW6L2WxJva41U6ofeaVLWaWoADRvVQ6G9P3MI
ntohPrZ2/RHanH6NtLUhuHPNGkfjjbVjFzYjXKj0GAMWd83itQlbHgCggDoQD6YQX04xM9v01xa9
FYb0D0Pe7nKTAV0Q43b05Ps88AnmpYshPXSgRyb1P6Rlwr6LWGI9NlbfPAS1OEe9vwtM+xMeSEF6
SH5iHTpOiVobrrVQm++GmFwMtXEDHZkR3s66kjvsOut2yPYCMnNU4dWn77Sq5w/MUOsijl9tZ+k7
CI/0ZhKAdqE6yBgVoGCcEjfGOk3texr1bpAf7ZXfROtCUTHTsxJC6H3E7nemOhKZhHPeoOAjyErv
84j7W2WBjeew4Mjs1Eb5CO+9uE5t9zCDMjf8JX9WgtWN2nZbTVjdiDMVLMHmX9AxkVAofEQRyKcZ
Jp0EFvBseIiYYn1WZOXDx0/gK+fzdZ6gvfTipJS8iUqe57Q9BkOwDGNBpfiIMsEcPaSp+wL5gELz
3roV6fDQm+DQXXdTuem+D3xOH2plReLcmDQNjQlddAKUFUdS8ekFDY4gtj4hmRg6yr9a9WxhMchI
qGjroRvVOY9FviYFCCEpcjjy26FY4+ikwYNKu6MOjH9GHzYQFbrHMQr4MWywaWSe5CD4HKr63hXc
dW1NlcdAth7T8K3xxldnpECiAk+8wr33RdztDO7v7Mtuqf3sv10LhTRv9Wvm1+8lqnOVUmQBF+RJ
uAJni7XuFEJ7bvunPqqsjcWqCqgNP/sUSpyNMvsxPco9PGfcJIp4VWYWZ6PrsTUiRmEGIOPglp69
genGdaB+H7F+MYhGXzPmn0QFR0GBwl74c4Ms62TbMV+KTrlNyNJ/wWxabxrmARhvMmbU5he0WHoI
vKR7wZQ/rLB68+8gbIPNBXlp7qmyqhrCYIbxnhYNK9Cs71WLR5RX7K4EIbciNseq4qTNjnfhRSjO
TRYjB9SI7DK502M9cfaqPCzivjMczCYl7GXsWfgOYdg86ZjOuBA1Fh7T0nzDx3XwM5I9Gd7EjZeT
sm7IDm57QB7sAN2pman6dqa1hf175c/esTGyZNNqaa7JKi2NMcl1iim+74ye0SWKkYObYoNBEvAO
75rnN7hwI3pXuu45FQFn8gCcAJczmYzwCTzvalN67Blcx1pU47uuSHbdiIpNGIWDpM/xK+F7pAkj
TCtmiEv9rXNnjmjaohpfvBHrMt/x3WsQ2PA47GKTSqq0n2dUn9Y8y6Sgkkqa7k07Ke1Ey9yKgVH8
iJWaE4z4bbgjZqED01id2QeoIxeQBB3dghKA8Vfy3WxZ5tsqMsqFJvguddvxDyzfwhQlS7g0PUe2
LnZ+PDFPTCJwVqNv3w3m8OpWmp1/oE8hGZBVOduPOTQ58z7ui31o9QFyOFfY2AO1iN4mSQ1X4UVM
5RJ/H9U1GYydK0ZYTXr8Zwn7S6eQRgotWU/4YKxxuk0sXG0dJCA02FZtJc8KJ8crhByW8zHgQXQ1
f0abQYJbHbe2fPFM52UCaIGyht3Ps4q/ScJYsQC58VIhsSUGU/1orPsVOwUX8JpjQjNQLV2hWJhs
R3feUNCDbn00EY00QQHGcWrCtyjsXsoqkFsiJPddVcAimIs3wgMn7Y47yyufA6vZ5Xn8nPnzs1vq
h2SorgMxIxdkLFDaD+hwl9rztkZCgbU1oosHRripfSijcU3EMgifkjbed2W1Lc30NrsL3iTD0ijD
h4ZwchFxpgIQvh2nhuWIPa/mnkdC4A/wqbHCi39R1HXHA1vzqLN971sYZEbG8Vl4AEp7Ki34FmjG
bC653Kb1Im8sieMpMQLi+RGjPlpqZz78KKNabFiCIb3zgPPzMTLGnyYtSiYO3sWsAnyg3B6Bd2Q/
1INyWWXsUPfWKYDTFRKogD2sGZrF26kHPexyOXFYdwig/wl2GqIgxTdxpEcZxx/OSPNg2EoW4eC3
DZsLVNAX+OUcy9z7pbR0FiWjzURdsgxEyBA+TjNVWzDnqRK0scrz7BFwwTVgwY+cRMP83HZZ/woH
94AaySskiI2xiW00NHjl21Yxocx2xPI5v8gBW1ORIlLk3ACdOdojyB68OT03+XC1Qo9gFidz1AMq
VynkwUj3VLvZya3yYu/mdHf6w3zGYltSSWreQBjsfHs4QON/LPX8U5fzO0dmPhmcP4jnY0wNRQFj
s5xXjpUaJ8Vyw/nUM8ZHk6jvO6jd5NbD9d03C94/qhnmC6ErjtO0JW8nC1w1wOXi3rGy21w48qEU
WbOqevSdLgRilUJThu54mfve3fiMUVh2uPNNJpMdI2LH0QZ5SJq4d3Frvgiz+PIIUBEBbrnuK/MX
d/puar3uULUjY7up2XueV90GepaJ6hFgVpISxX7IO2Z/JnWdrWoOkQrfx9SELJZjmQWhuvdrrkJM
MldtjSTZW9FNtgSJBP6Quyyf7ms9LgH9HKto9BGlAfuMj0SB7SVvYfroZW2mSBw1J3yzneBRL4uW
Yf1jDvWowhmQSRpR896MfAcxXAm7n6QxXuPSPMWu98CY/jOZzBcOdaxs5LV6GyFOg32LiX/fqZlJ
5Ky9b93RoAE89Qy64x8B29em5AhS0AQ1NtYbzBEKqRNaO8K4/StzJmN3UBxTYEuZe5yH4TsNQm/D
JtXv8SavR1oleUsnaqv6eWMA0hqSPmCxRc1iX2jvEguPf2t3zNBHB4MHnQ1ybXQK6cWtacQtTyKC
3eAxLeV0Cx6jnN3PgtvZpgUuw4xfcoHhWlXXmgCFjwF2COfPuKC3kz8nYkf1TOjtmghTGuDED3ab
d8m/HHLLC2CDBxf4nWHb434q2Woh229HyTgy5RXqZ3b3KYQWUL5YOqNjDRxeoYIH3+NyjIOXC+Rz
HPcssVSpiOYZegV5MpupT2I89tzzpN2fzTz8tIj2owdB2QeKtHZj6+qU5pNyXOolZrWJOXmjMzaP
fkahzGj+6jlhymBirAVWY6HW6YT+vMw/BK2LSjK/5IzfOfkyfJF6vgSBexv7pXXAiH+ZjDH7J5bo
d/5n2I0bPoNdFsLGccNHloA7Udqk/Wor2YJK6e4xQD9NNRrchMVhw0ya1qpGGKe+Y7QRhSROawZI
287GUYW6p3aF1s8Zb18eYVfoJfm+xJ8vzK882GQArbIG75BT4E7yHbO7Mw0174BqExuI4jdpgDop
I+wXHc9D7PuENex851Myu+Bh2MIOTdbsBgPUu7b0VzgGJze8eilH51L4nwNk7nXI67J3gRRykFoW
PgVN0KzoyPUFNVswERJ5jMkTcsRi5EYuGdHNZGdJc20cIfTBOgG5nJNhmwIYYWlKOJhwvHnq3Dp4
7tJmwrDFcjtgf+EMqkwmmQWeetuJVpOJs8QYl+avBmGF1DZP1iJgRj+l58QrA8ugrdx7EoDvjWUW
+KebX2RpcmhE8asMD5pITgUPwyp1mOi2PYl7GwKJw/tN3lOujIQLaZz7HxnF0itoo4cUzCcdZXxo
Hj4mXnO6D0TibW1cSHyMasUhBmcApo41Tl5v0zWZc+ww5+Zm+8+X6T/TzRe0/K1JinnN3926Tb+V
zFcaQSNau3QuDONmtlh8M+dmaVywo4r/2TkHWSNf4GZhvAsnhHxosQThDIwCoVh0XZeQRzouhUCt
iw0YI5jLftz5Gm+aAStpomQQ2XlhIC3YGbWlkBmrX7nApezpqiM6jSbvWc6wSOyYt1ACnwMrBuq0
3AvXeUwbsVGjfS179YPF+AjYFYuXKj/b1pyXx+9PNigmKdUtdOrpLNqXA82gaWiVe9Vmr1Olj1Hd
vSXO9Nv3vNmZF91g8F+KsaWnSKQ4UBq98ob/mYYc8dq6eqbUgftjt/VQWCeB2kqwAIBLWG1RK/9a
SpX5Gbkn0ywkOMqa1OYBnN+TDKZRgH14E4/qp2S3XwkE+GtRTPcC/Rn8FtU6UBB+IGg/E0v8g1rz
3Y9tTEWdc6hNHwR0RNWKVOdorPapLLdcxrmGdt5DaQbAIaJOnWsvbp7S1DxDr7oUaQOEM2kO7FJr
RzQMz/japH5uXYfpdhZiYdv/CNuIN1XoHAJcy+gZJk982P6LuHbOEz5Dv0ecLycu7NR6NR11mNjb
ljjRW5Cc+9E+McbhgG7yb4ip/wbHr/b56C+UkOjEqNM+hDFF03PfAIPPCu8+cydW/yC6SsgFBJZZ
gyZCRS08pAfDL+ud4+HCdCzrNQzqpzmbGYPT9A1ajkdDo8fRluT+GG50hXK+7Qb3CHGDuThmsP0S
OdKMtrdFjDwY4UB0K8CAImMiYoM1g2tlF/Tca+ttbpzPcMDJlNfeJTSMD2XQpTEBQdpmiBh3QlZf
oN8FakaGB5MMaTJejSl7DdL5rlbhweFQrQnhEs6LbzKpn4Wnd57ZfwnX/prpcUA99pjnuz9ySq94
dq5UTbypcjhBp6DKOTVXYQbzUVKWO+tNRyYs48umJoYc7e2iQqxrxTE/H0jyNIO49p5NurCE+eFt
WrM+ldOMlwHVwR5mpuSkCqPAuzRj9dUNKYS0hLuRHtHwIEr1Ur+Gk32MrQnfibDfNVC1wok3aRHt
MqFfZZxdg5RyqvI7NPAJe8FJZ/IyM8YcA0p0ejCrk39LoDQCsKI+L2BzpEAx17h2o13LGxqr7tPs
eRFteuQMDpOIg/hbKINSbJEIzXIOkBZxEiUdgv2POX6RquLI2R2MlqgnlFtyI0c2D0osK4rp+3NV
zBc520xR1ZsWjMULth8E9roq9sppaRfvP8NQ3kc6uyp6puLAO3rC3HQUn+dZeeppD+Cgccjp12hq
+y1DhW1pFjKZBtMl2/4K/ZuBvkZJe4oY6ypJ+RhdvfMiSGc5BWdoZzsVWtuq5Npmh/61t/AI2PRX
zkZ6iXXyllb9vmCJrgsKflsyqco5yoFDvkmsP3RMvIx/VvVVQRqtkuw8Zti22lryBvKkbqoqOEeB
vZW99TPP0zbg7BYG3G9rq6G8M6a0hhtsm//1obuv0oxx1jLif+Wmcdcp95rjparQJ4R+ihicxDVF
vDygpBEe67bf+uGwr7pp01Y+MdsZD6i7qkf7Za6mtSqGfG30xC2WvnCne6FN7U2I+WKJ6KVKxDnG
mc3y+xDRpY3kC2DGAPshj6FQm7qab3EawSpYgBmsyfSe5VQPqI7WUK+3Ln0zT3tZ0BXoTLuhScHL
2t7WGpC/rFY/GDZqjUkv9pTq74ImOBsjCvQkPJVN2qxiUX+zxj7oiPFEO/E5BMH8J/Pp10uDHCqX
Ab1IUmFdC/zxBfiiBEz1uUNDODjkB4k45NEpiEj211P1xBg52mbDcDa88FOrolkR2bmGBaFhG7tg
nFdPc4VNPqEDlMOky76JpGI4Ed5WwN5BAvFSt/qdx+GrBxJAycKWmxW27pmsIrxHqnOkC87VlFtE
h+1UyI0vsXoBJT/ToSXWRgMVQTFIC9L+wpXhrjfVMcKL5yEe9X5xkmTJw7g4gD0+ORWlbRCi7B5i
hQN8ljYLcjQl5SjSU2sA8rh5yWQIkOJ3dZq8w0RmWzV9m2G5wd90UeTdDMQQdmqm1CZwCIYNMXUR
M7D1iG6MzqoJo0DKy8hRPy+rsGZ6eWf7YCPdmcPL7IREK6cXm7NOY+GA1MWRC8BlmZfJgHTYRJmH
6NotZ4pjawASQvzqHGxbsoZ6TR+UuZYTY7ys5b/gINat3VxBuASdj3spNmkNthr7nE1cnxrmLbVD
91OOl9JgJyd74Z2aJWFcmjHuK+6eWPgGca9s65TokU+YvuWpPPjcOiZD39vNUnHuvliz/xL79ilv
sQvoCB1VY/XCNoCO5Qy7IaMNFkcBQqZXU+fmV8Pe6Zo/0rRQB0s8CbXJbmhvwbDdD/XwUHiAG3ra
HHSzpCDQt4RvX5ouuKUaMSiu9QEhYz9B62ZeuGVkQguEcxqkLjehH6Ex2cUvmIpV7yMuyvnVxM/R
GWmydnHIiAZmPX4jlNVVEEPbF3oLle+s4/YxoKo3cPUXotTeCqtX8Nw9YeDmYI/yuQu7XyhUWLXN
mJZxDKg8TuzguA39E4VQm87sv/OJI7jqnVum4QJPzt+Yph8RBnG/8Hac7+iOz5pibc4ROwdl5vFw
bB2YkJX/3JgoQv3wbvlAKtzWfkn0dO84AqBRcFiqwLqgb+5aiiMw+FnntmxCfozFT+ZQ5Sdq42KG
PQ75pPqIM+cnadNFs12KCFVwZeITr1qr3ZGd48KRgV919KNjlleIa99VxT+rZqSy8QfsM1whblFQ
PXVtVmzH0r8OMAzQCMrkklDP4zgsx4EAnEbwwXUFkTg6m9BLy++5yX+NiJ9fRqTXoeuS9FtkxEq2
69JPd1k7b1BgIGBlN4/hiZHjWJ0SukkLsgN/7XIbcqPm3UNu9dP5ZBb1rWs5DXIHfnIBh3UQn23b
APKdEb3K5n0thy0xhGPr1w/Yk2+lix0l5WqKjwWpQG/ovGJuonYK9ANnY9yRRVEi+OTrDH7fxCl8
1TegbFNnFSBDyaE+timrHKGy/ZRWx6DSV+Va79Iazi5/aYqQcWv3o+Z3WfkRwmr8JLPikpKE0eP4
qSeak3qv5OLpzi4mgeiJu+rHmGNr7DAXzg2mgx51XtruzVySfF771jf+Jm+Je9N1iPOCnJaTcfC1
T8J28DQyDU4T9wFh99VOqkcn9N7pdgNkRjn6xBQQp3MWTzvgzj/5GB1J9D9aSUpOrr437PxFS455
sXGtMLsGM8LCVBwZOu99b3wcyuEae80eKOjRoSxGJawceG6mjoYLIykO8zgeJAOrqLfZJygQHO2b
55aYPXqGCd2xVy6NJunRSPFNmM21BbpRFsYXpU4fiqGDSQWAD+MR2Tpe9n/URi/74NByU0P+aI3J
LRvBhPRu8diV5TrNqlWN61BW5m8XAY31WgdgVkC3l2WCWWRrsJiaYTD2qbCb6fplpoWHpANgG2Qf
5HHIVQ4dbxNGAtBmlRx3DQ9Oof37hCbqNJ4fHZ9IlBf8JXn00yN1ILd7T/6AXkSjgovxJHM5bRHl
i8xzXcFNrAA9Qyx6MMfkHhFwqa7+Z6jpycK2TkfISff8BHpM1hVOuTqZlu7FTZqRJ6D/EON1CspV
xfc539NNYrS96QkS9a4m0V6GDEaGeKez6ebGCAhDqw5jF5z70j1DXPyS6G8R9+zKESfDae8zFRlL
Nw2WkvHeT9J9MEAuDdUuzoxnx+SRSSiwFYS24Izcjcwa7zI2qYRrDF57KoGkpPO82nidAb9MzwNo
9/gZu7K3sxIARtlC8rJq7VO3mB4mbAMxJfYNwWUSbW14JD0omFgUrzpAUY8iqk9w4BssQVgONkGc
MbwBIlW7vYWgQTPBYOg35NPTXDGKkiMq2HSvRmc75/PbZLpv4SQfmeqsUzHez824MUvoWlQhUrXW
bTmKnYNZcHPnwoexFtxqSKEeRLOMCgD0G/fV65a5gsBfFMHf3FS5BxlzYBS0rgpXXAB5qYW2CPxd
euID4kC1nsO5ueCxSChowrjg2PghfSzrpwDcwMrEbf2oQXTcM6JYMlqT/MBbG/7YFf5vzbr9S7Gd
jZRsE0/J/SFcJ6OcP0Kf2JbdhyweKlgStIXTAsXQnbPRLgu8p0jeBxBT7sss9I4ww/zLaAbmW+Km
MU3wjR2SW5uhAiQYqBScENxUvAWJZ5EoGOabX6Le0zHue4y1ScBg753B/HGy19yeIqJn3M9bh9FP
Y6yA5K3qbHolLrGt8Y2mZOLNrruE4smicLv3zYuJfVQ76mBGpBXH97xCeugXVi+GH3cpNgLozf83
xeB5xvouEugxAKOhR7ADxXcj7MmWiCpXNyxjUfvBhQY/trsnDYzeb291zQvbMYHAgFEUPhTh4i4a
zLu+YMwXOWtKCC8lheC+ST+gKl6NRJ5Iwh3dvDgMMeRj3uHeGDl3eSfpT5/FCPOpdR8H3rAkeFFh
chQ1st3IegkYloa/7dz9tZnelBAd0M/QIigyZCrVxXRPD9+s4XuPY2zLPpm3nx6+hTx6BTu5NYGz
BJ7zgiVr3Ubdr7bme+UWT4kiRqfFhhqsGwVy62VYRlB/7/U9k//kXI9/yhT71urgf0wrqzljX1l5
mh6Iim7zKuI0iVB+hznsNNOIjEnzLoxHangAQCt/Fcob0BEmfVSEqmrjCPJwXnSPF3OF4ITVbMrO
tlG8eHXrHeOBDcUwA3kifb2Vcn7P4NC+DDntqkqZi8GFxB9pAybI5Hy7eT7blT67Tn2SAhrAiKmV
59GRN+VjD3byNxc7wEm2maQCNC3O+KL6XZyaJk9PwlUPuQIz2dQ+hTjtGLTn36PIfyP4QZBzJgRo
mwM/uem7caIcDfSEcZN1P3zroUiR54fTWIqD9t351GR2v8GzeeEaz9u6fCR+6kh4uM1zk9bjV1i1
X3Y7/NhTcGsaiLFpj9YxJyTPsMj6o/vLmJMc1gDpwDIpgvO55VoVGeUg6PLnOsnrnT0AkUrpjVii
bGE83JBQDoEHwLsJO5yXYegPD5ERpc+4QYzPcBz9o9kXr7XjZe+hgaOErbc6pTlNSLq04Z/aPtxC
Fn3HlPW6SJV/7Lrqhxaqq20ovCahlx+kmPwXNO1fUNr/cjOP4G5K4JRRTJUx5WRtRWafgFN5ZBI8
nhqO4QdVlCXAc2I9iD/+pzEOGSPVBHy3XqDAbJMSMzwxfTVPEKOVNzHWjGHP42P4rgTV7eAATuyb
agX47g8QuP/GPYKvnlfhfR/qn1xMf6IiZhyql9KhT4rlAXvaxHmWV3FnYN3bF1NvfOg69fa+qFsa
sLLuHNbt+NSkEa3GvS1WVcPMXtpsjVU14y1Loh+gd2S7RMBdhEPFzDibZoDchx5YuQR6fNNrHsuw
7S4OLOVVUXG9SytoPWqYxJk6FrFLfJA/bnasK83MoV64YH5pzV9FWP6ayvIuWd809zIan0bHdbAf
ZMVf6IysVpPVIBg6OPfrAU3OSQhL+BZ2Ti158j0PC4qukyVmgQ+nqi3cGSNVkICJGU9V1cnn18Z2
iFpWaVaMoIJEAz+p3VLb1SOVRWillqy32LltwtxW+4LO4m/6VMPrrxuGxVFUpKQtE/eia5diWSc6
WLGlNiXgy6vs7P4QRHSuMeS9CelSEZFAQODPeCPr9KXV40cfkaHpYtt69EySfS4ED46jQ7+RUdsT
G3P7UyMLeBxWW8znBJbwNp3TExloHCkgIaCx9/ocKrdbY5P9Cgwvf5gDE5ZtSq1jGHmCx6uTtMfZ
b/WC/e51M783Om/A4rFcQhfAmxRrWhxJD3GAjPXZanGR5SZX99nBoDpFPEAqhbXtxSenLWyA9zkx
3N55Br2LzFm7wNgKWrL9RLdfXSk5csxMFuYgdp5DTYgLUKZmwBhd024ReyKwmibVTgdLo+y4E5c6
y5iDFb6jZckkLlEz/mlsrCk00cMNgG66S8lZrZuSdll/bC0CGzDvG2u8mfhJqKgM++5fHOCGAfhT
Lsnlhiy+XT8nHA33pZGqDW2M3/DQIzpKaiA9GeffPqiDTWoX4o6I8sywjkujl4RcjETq7DrlFGc1
h+k2tFoPP1z1mYCLBTkf0oykB5bktOCIHjXDxa8ZEmqvJQuU5cktApC4sSaKLIWBWzakZOCOX+06
873orjG7D78rL1HJAK+0ibPDFun3gT06wCxd/2TlVrHLLFxxcWATna9DrDlCgiGvUSHEBAd1yLzP
jvrOvWx1/V7osser3HwEvrsFqXEaihz9K+PNtKL7Yaw/DIdxf56gCVYGoeEMhNMhtKhvbE2cKAOQ
wDuGaxejlEhaUfUXaGDfI6yxO+Rn68FX/XOHvWifK3nAv8X1iAw5LDCwIGHSX0eNo5hB1C+ew3dV
N++OET5zVb0hGNh3FbMdzPFQnIaZAnAz8+FsknganYXf2yfND6DMgjGfAJzXLyiCZtbr3OZM2pYT
ZZ8DxEBgfPXWhT/CaMJwti5fD9oQN96eOkUzJGrbpIRPhjw8Dm5Oz+FyfMZRflcVjbh3cWLfcRX0
vu3YAYAzt0T9NdU8wK3sDTYqhFSrQ36Y3viUzsrBSjrY+OyjwiU0VBU4Qd02+ucbtObG1rIphszk
9ezVx6jTuFUyKY6+NX+ybMR3Zs1PB2zOeG/Zk8mhlytnSgl3qWpFZ9ENJeS1htyxCnm2YQbMH1wA
EX/L+aMzKn+TzIxVBGOoY5Jy/7Adbr3FUjCYM6WOmLes3AlIxiwomzWBz250GT4x0zS3Ce0YPJEu
2mXjHKrAKTbGxMbDlMrHDWZxyq6oH0qxEtA7RBYlDF8HMeq947oHzmA8Jd38gNVCETEGMqlajYJX
QR9v+0fcT/eC4/kOx3u/7yT+z9BPGp4K19jGBac5Cis4i8qxgH3NSSkyhbVlzfDuaUoft10bhbAB
dOIeyiqu7rNksHfV1Ae0V+RYC5SaIXJjyjnkgsytNG2cfgZ/EEwBEtuY+q89eXyinV60Z9I2UTXm
I49FoJuwXwXVNvAIoTVVQagEZ8V2iLz4GOhKbxJTIhFb5ikII5o3oykhq5NiHcDNbi1z429vXPzk
SfZj5ShmrFHDxmoKZ+uF7bwDv8yv3I0ZNGYONlfSGTwbom+vhkfq0GawkwfTo09eBfBOiQDXF9C9
MtN1H/LQ8X6VV9QHvK/disQKQa1MF2uureQhptHFsxTlB61mcbVi/U/1EqgAbtHncdDpk2/WbEzN
ctVK+9hktcAlDLhR7GpuWpz6SVXUhsk5PaIaKxA+xppgHN7diTLeqi6p1kh6789xux/LlulOtjGY
GTpY7ihBBscJMo3LjRUivsr85ERAUvKS/ykFTiZKqprNHGZM7OxsTI9ZS6mqXxfuVgHpupOUs2yI
VIgXX7UQFaVHqM6KXtPUoXMKVoPNNW4xBs15vDMyyPZgwmmzYCWhkGxrFiBsBbsFl0f51vb/cXRe
y5EiURD9IiKgKKB4bW8ktVotOy+ELN4Vnq/fw77uRuzsdDdF3byZJ0sQ5GVPpK/A2xkZ9kdfm9R3
G57z0gvFFto3UYQZ+lbKq2JuaNCpOlh/c1B/0s7GZFi3RB7cEN8/YPGtW9vlBo4mrWh92Z2swf9w
q6D/tCto60q4Pw6rZDo7nJsZqvcJ6tKKG9wL9mQH9higTHtMeaVgIL+nuxUJjQqg1dgRiWarbR9I
txmXNqx/rQXWnDsqOfJnXbswvlLmyOZGsvUTpN9vjKHNzs2iA0VyX0ohp/U9TIvEtuAHZhEPCiHY
sLeyvzgPx6MsgpuDZAtjiKWBhBdPldU03CjnhFkLc+mYByMxbAX/oAL7jcNXPPRN+16YFvCvHg5P
AXGCH8mXGw9smRhgcfJJ0PBUX2ywcb+qeQSGGtcD3gobc+rIJp+GNg3sQSznWRK+TL46IakNWMKS
6qBzitJKn4PBK92HkRd8XpBRmUZiDKWuI05jLBTYbFh1Z91uSsNr6nvfAX2i+BBmoMNpwElaW+Sz
XLUrZVEfUNLLLYM6xFFJG1rbB0+OsgKEEAoMR+0VvNEGGnLENLy3VvNIG6qDoifVcZwpHkpzElk1
qcCN9gjiZXaF3XjkLliqwNgWzgij0W6096HiGak2T8M7yL48s/DiXktHt1QWqZd5qOVqGjU02KLg
0QwL/Z4OAMdZe4+nim/uQ+BQmlmy8uILQjb0bckN0+zK8lY6IEroj8TRNIZneHqSM6lgMa8DbJV2
cAaOenLYur/NWLNhLzSMP84PcTfaxVvzgQODTg5JVi3DEtnwXuU2hdJJ9e/kP5sBI2MGp/4IFhYg
QUSBJWzY4hTJ+MucsvQ6zmSOhe5uGLaBFHUmapidP6d9xd1DDCB4hsBkyRHF/2x7CHYIEiyclphu
WmU+eUw4KKkbZa8eQhytWsNmsoZ7BsAvK2CBHvPWg4WzaAT9SAqnGoNTXmQl6Sj3kmTpt7S52nhj
jaiXRCyOmlALXN0RqkBZVUzXJq8uA7jYWiSO9w3a459WFo7K6QnZTx+knY0buhbAwXLMPdRD81Vn
0UfeTeE1KlrKaqzuPk/a78QRz0Uc/Zm6oK0HSFtAfGfttx1Jn/jHat1bm5lXMy/pHerzBy7ei+Oc
L4zF1CXH3HJE6+UnZro7FuUshPLap6+4ck5u6H7z4gn3ZMWxyHEZ2wQ+uIcmG187lHQ/mh+FZ93D
yyc4PYCxKJ3XqvfeCw9azZTBPx68e9cbcFNje161E+5s7XkUARgBCLYgKz7TiABvxKIi1rX7K3o5
0L4+SAqlRrqseZFAIFgamJxEXI0w6/fFVGjQYSbsCien/8eMl+mWrQuKi64OgdVC7M7GsjgBUHCP
BrD8wzRXdOQac0pyNcDOTVQy3U/4zBNkqnVrFBA2hCDkbI1oMxbhBln548kqx4+ydP+hWfzFgtbF
haoiRGRcem62TrswWBPMDrzWBIF9xhdKRPeGg7PDydiwhIlbkEwmf2T23XuaE90k4jVM/lVN6qF2
ieRqiZENf8ePXzan/zm2sVU+ubSr4dbxoJrEzSdGlGg96pbaRN1fy9T78QpaO4QdkhCb6vrRMDX7
UIGyklXOzVgaOWPtYBGnT+6IQ9t64ltmkBFOdKBs6BCB2F/3lGVgvE/whQuzW0+lmHfFOI63EFcO
a3YZrzGbo2wo4yqVb+66sSnpdOI5KLP6ExtS+RLPBV5u/C4oNhR8irAHH6r8+hhj461XAInjVzPt
FFhiQ54IKluffgruxlElr3blTS/9gKlpZVFvuAndZnwKyIWsjJzNBLMq+00TCpaULsfTuOBvhQvP
1HWN7jBmtIch19o3DBxi65DB2izovo0BR5lMBtYS0GxsAwMOl9jIsRhGU+08om5fSW+NOM7JbvsR
7uyC/dhKl6b4nfF7PSRDQ/IHvC1budoG4id7mfI5VIEBC5zKIN82DLAhCHvfU9jsnc5xPg2rGnma
m0fdkoNBzWzY+bhLBRqnXKPwhvhJGXOqdMXMe8ppEI75ofHvoQIV3nRLGUaJZOKQjbDw0zxX9Lda
z2QE6wKDpg75PmQq+mtIMRAbx+w+0jTtmVNo3vCG0m8RGiBnppIw6ZgYT25HA3Ni5RWdS2wsszkC
NkFIZ8f+mH1G5xFgowVgzar/uaE2YWsLF7CQzbwjW1D9RgyhDxSw3qNhGNuy7zlYauwsPvuIBusZ
9kH/MvnpobCbszS917ZoYfw1+HGFnNU+MSEQgFrkk4vBJjQOGBvmb6ZlXaabYcGn58vcnbvYI7Qz
Aulx6mND2wCPKU2oibzr7C7Yo7Rbe+xuD4z4+VPM9L4ZctiReTC9jJ6qMQFSrcLTu7GD1D0MrshP
Qi3HDRFsokolUq4DuXWlfPfHc+lm6ctFJLcw+9Q+FvtUDWePNAStAJjIai8JWV9D23SE/KXL070D
aU2RCT1CIJWte6cxg31VS/mMPsrzKeVutnEOlmRUT2ST5mscdx+GiN8Kg6yFIl2CTs+hgPpjPNKD
O+5yiayQIX2tclj4LF0FCGbRUfAaEg4RDm+7oY7mTdjUgpIjUkOEYxKo6+Gf4VJEYXuGd8fjT81A
BI7RS/x3hcTMkoXaFOQRdd8A9yWWyJ9Q2vNbErA/4lvExTaF3V3GDgRRpPgZK/UUSPvWVYmJzJRn
JNcT4+yEITKHaA2c236M58erzpNoPwfLcfERwTTng+0AAUdfWU3wXoftd1Sn1aYJRupL2ak9dm5d
3tnKXwgTsjhHttsczNSEPupgSEkNq2UhYsO8Mlh/93Pa7bu6lg5qp2Oeh9bMd0rk9Pw6xbSrjKl+
bshjbhtUinVRMEZWHdTcBEtfbE9wjPyWLH2FRcPoctqUxiE/y6w90huiE/xHsX0nhAe6IZJSXKu+
syDAlEiFbsoFmIRm9xFYur06hVsuzRn+trahYRRh2bM3D7ODWbreuzQc0jRCm5cyM5oTvtviMKZN
eywgChHvG9Q650qLmwHfWhc7/kVHuQLOWHq3JDG6Z8+U+TGgwHTPdiTc2rWrqP7MohcukN2etzFX
FVzzJk6FtmvfJxukXIprEpZIQCfv2OBRkE25D0qLrS6RnUNXx8uLp8YIgZS9bWkdC9yMtt9Z/xZN
ZOy0C7xkCpEoDcHHPS43VXLd6jHR4yJl8UtjCM7vpkqO2G9IZgqKijeFDt/bGpJQ6pD44n9BHlFH
wEYUBKOyfCaeGJfPhR+qbTzNr71bPiaZUQHMcQJABA11gezHSHoIpIC+mLbsEZ1NMdBMVbVIgTkB
1snDUzpl9UYZbYC7Exg8PMunSTmf/YCZa1riHT4hQ0A//bUf1XHyu28zVs26tdVFVwwig6o2wH7T
V90a/jXwiACF7YABVDUNBxrU1BbRem+Y1oIHxUDCL59dqdnUX1mPrQf6OlKSlaS7kHcH8CSCeASd
ul02xMa2VU20y5mbF0xQDIIlqO+aWZQ3t3emh5bSAAdfDQM/MVUDVstoS5uWSVE9pCr0bxmNFtwO
Q2X/o8qEO4VLXQshCLzafyRr9TfvSJiCCo/PLuypnCGDbTnPaojxewXkxoxtD/SmhYk7zYg7hp89
YweN2JQ25IWokiXECT606l5m6sD2NlGkQxCMzzKcbXjPc3EToklhxdDtsy+18X+ixD7wJhm2blWF
Z8Y1B2SJEdybAktZ7KfOJu36S03ib12xGjjhRUkPwdjPvEB6egtjcrIBcvPKas3ytZGa1JzhdXz7
uAVcg2+Mwhd0HQydl8wNgm1uQv/1CqjxRoIM67TcEMLSIAPj8PT6wmVPZ7DejwXsVCvQ1raypHk1
BrbYVEDEB5UMcN94W9i/NMN0r21r/xVK8Wvt4u48GsmidyBSK7/pN03qiXXNJ7qzjYBm3zynXQ4y
BIJQ1OZ7EXrVhSgSmeAWIyyX64TAVB0RdbWjY0UNwcYseAHyX32Loyhjl+F2Zwl1lYBWdY99I1gZ
KjJPwk1BbTmWtwss3rqN2VJrm6BH+b73PMr+Tiq7+80NL7rkk6temiYHcmk0FlyVjFpZnIERti2Y
OWSs6Q6OxzDahkh48J847/dVz1lIyMrdI9VGICHdBxrr3F2mqcAwmHDvo6qxoLi09llqAmBx6gPt
CLJrL23S6bTs4IAL130VP2PRvZGiY+sJmoCmjCzmqzJMCgi1mu/CSjQr6ejfeKz+hF+Fd1TJ309Q
/2+4Jqc1F91s60ECB8jRHcK0eQhCgseS3ezWbCRWpymNWWDNaiukP1EJahL0tTBSZehzG9b/9SEb
Qddb7AE3M/zkKwV9xiJaWzmMJ7M9RU7CaNCJ09gGL6wlIIykiYfZh6JCPpcrfvYvIVEbktZMj3GY
PlWpcN8YJnD3L/QaLcPq2Oa9tWpYwHJd9HdGA4s6oFWK88ALtrNWX6D0adO25XZklfKGIhTtpdc0
eyJXpOg8pHZFqLf0lkSbLpoPX9oGneSGfU4j76+w6mTHyXxHt/B3mnvWwZ87+JDge/4qJ/jlZ8pM
Ku8pJoj21kCtu6uzzzpAPGe4MYlvzd0+i5LhwOdS7W3kR/rhnOLAj3VA/2GHC85KrT3fZ0facJTi
Cpo2Nv0Jm9yFMdFMMLMlcG3Hrnfwi6q9MQTtZqQt+9WOOxqvepzgg6kMct2N+ZRoSYaB9xgG5CYv
Hmu/f8yKgIeA45mARXGoHRAshpV9tm3yD3BlRgqPw4XlTLMpC4c2Jqp1XvrKwS3Q1+UpnrQ816F2
KHuDh5W5UO/Bf/x6kePsqxgVlToefRqnutvkCOTLbNRu6gZ3TE9r8J1DPnBfhjyWycKX7cZI3RJ7
Lrmd258VjoCjSIkD6Axw7WDm3AdNubfcPDsbKjYBbEF2DyfiYIV6o56VtM2YkdiZCuvsUKu1mQLl
ncshYosX1tR7+9hnk2roIbvkW7flYTNd1GqupUC1K/fORY4n9O0dirB9st2gx6mZfbgTCYehr6oN
ga2n0A/kRhWMrVOWvWaqgdvsVV+jLD+1b8O9gbDiOBrQQobC6iw0m+Qb4kS3VhFk2n6kFstJ5e/g
x3/CAOrHZu8S1wF8LvjrT0aNHjpronEgu8J9CgsaijtQvX7WFNpQWkLPwfjOPfAZwNWHHDq1j/G7
suyDSpKguLARYE0RI9ShNUi9kwARjza+5hXNuuj8PmJ/5/nn1F188GyvD2WArc+cKwyAWRs8lDoh
kxXBfDHrOtw1TQwFGkqDUTDG5PZVRALJVcRYZhv7LcXzLyTOXoBD2Cpy0vEj9W1kez9R/XFDoocM
uYLVrT0Iio3eg6J4qMbhixwVgBHI0PQusqUqyva77hw+UvY4mJ/7Y55mW0f4L15Ry1PgSP6sHtmy
lTjtXZoAZbAYwu6R1eVBy8WI3/jeJpj5Nosxe43QHT/UFFbsZjH0e8Tr1nPnP4at8BmmMvGdzvaT
T6PTM7cL9UaHj7eTPaL8RKXQFudKw5lJ4/bgBfeJypsNOBbaHkL5yl6I/KGo/A1jAb6MJvOfZ9d+
Cwl5rGRI4bg1YKZJ6zQ/xy1Tau3X/OLYwdyZNvbLxOTEFHZX3Ml0uNAvwYUBXcnlhMZfqXArwjqZ
q/a38Nv6qFiY7PxUA8lzTabrxviHnWKh+8KCQIvEaZPCWQv4PROOJKYcmPTxdliFeme+i1WI7SeB
2+U6Lx2F3IZohgfbRKoIzJimXdG9QFt6U4kN+sPnv8mEPe9mPxjv3HaB30I82KXF1K6o4/jqRfEY
OSlgopIrQS3d4ZAbijhdjctbzBB16YioY+/kOcilWPaT3VwGX1RAs6HkYsCsgQGuHFlxG1yV13XN
fZ/Bl4+hHPJnbq1IGDFZu3TUJ8pY4lPTxW+AbH9KA0aOZcon2nzMJ+4dBPVpQgD5D7XGwppst830
5Ev3J+dGRf0I77YpEEutct1/VCOybtjFqLAJhVG0bwl+7i4Bau0m/8qU/AjhD8wwiYG6lebGlhOZ
7b3TmjflkngZDaOqeU/rYVMobhH4RbLHWoKJDOfehuyogRSZj6lGxwadsR2G/k2X0cEOnScGGSq6
p8w+jylBuL4t0o1HBOXiZvWvM2F48UTprg3DZ9FvfzclV3pp0rDRsMhwUvVitqEA6+0Qz8mY5zPf
84gNVuE6LYDRzMVdQP4CR1/+OC11QYVRDbi2qp7FHApX7alzVuqjdrN4hxyxK/rG2LIazHfAksdV
1AKNE0u7qMqik4gL8IdxDZErRVTAfPE2dcUXgJVt7nnBo+NV//Q4Y3AK0WZOyktodowRoScfs0U9
JsVRVoAA5rqbD5UfAhDzx0I/MuSzy2yTnAYJc/ga/Ki5t+gBx4ws9aeWKOmc6MW/WaP1ZiEwYiYh
rD1+8tdjKYJtA1Iqy8p2o2jZ4TErmkNCvmZHhSf3grz0zwzo/UFqrY8WpC5K5rAMF4X1bnLDofew
+OviMoJTg88xNyPrdZRT8B6zllpPOUGQ1tbZYRCN/cCITs9hTnNEFeHmy8PYgMvnGexMG/OaJALj
qNmFHzZrPSusn21vQYpryv8iDe11NCYN2I0ha0TKPYAfoflaN8kW6d7Z1JF4iOzu3U6KW4bOtRZY
us9DHZKBS0Z1GEkDbdMYDl4sE+/c8v+2GYVvUe/rAAjm1AFs8WugTWxYORYHn077c6XYQhcR77q0
Cz66jiIZOzZxfqd0nucZDTJ8D5bSVBaaLB9z8ugrCnrkpaebBKKNtg4iaT/LOXVOMU4wgh7Og2ya
AnnGLF/Yo50t9plc59rkZsdqfEgtLtBR60eHPJIldh/yx5ZgF9lK397FY0PQK7EvdhEP53Bq1H70
pojaFu+TBxjWY4B62ZIL6gP7IrzogAL/aY/qCZP2kyfCH20Q3KtnUSDHAv4xZwrblsE/a4lBiDz4
GjvaYqK0ti4DtLSj6Y1PDNDfzKvjxp4SPPuOvaVXxThamKe20dweTD96iCOOHbTp5M5w09+Zn8zO
FCWs8CLvThhz8OSlDTl2JCe80HhTB1DjEbzSt84V9iUyYmq/mOPaMGk3ocz8S8L6m/PBSp+axSWH
3IhFxiKXHnJpr0XfUqsUgn7qoXjcU2jISzWCdltrtvFkOmg6SF4sx7zKUD6mWPy3sEecVTkEx1FA
ulVQtoCssA8NXds4sBGkoFk1d6KWz3MyvAWKg6oZ5viIww7bIcBt3rjjvvIlv5nA5gZVc+vI22o7
+sWN7nlqQDAQL3tXlC3B+2lYrslV5n2pMvBYk0cnGveWfjCitl2IZ99kfVvVLV28WEb8wHqWbXB2
0/FUVqz/24wKAoSxbNUEGDmGkPy/RQWU7ylKAmPlnQyl2rUY6gtmLAttYtqzzrwbELBoUST23Qzt
zfZTuR2AJawLJ37vTX1z03K682ofeozX/IjSICexGFbROZN9MSPJtVX7V/ZsmCZTgCZgdYw4C0G6
xL+9bief/p0gGi+DO+ybMZ7uynC6JpP9gUEQ9TPAY+C5wALTouPRTeCEh4DCkW1bVvbOk+OWL4ln
PkUlhmoOOxiQnXfjF4O9wquqC7MwIwYXNfRd3CBgYk1CmwP/DLDBxmoU1zjt/YOaemcgrq/TatqO
fc2AWlXDOjBK+9DZ09EkN7uKnRZNEavwOa0IBY8jVkwcSMvCkIV+aDI4avu9ZsnJX7N8s6CaLPiR
eD3VhndINcdzAWVgxRxP8Q4q9Yqd26IAyuOYype01VDrcq5cWsALioEpbfwMtdVdzAxZ9VFCMkCs
FcwNcXOFyo1MQJjM5wfJ2mImIE1Ofp8thiAvsb+lY2GZ6TUwCdN573TxbZHXXmeSY0bZ4b7q6id2
Gu+uPeOdnjNznTjFGT49uaBh2rQZVsO58ARgdoxFAXFw2x1TSnHQhlzfuB9l81Vm/gO7ERy1lr7T
84C7MB0vpWrzB7ekBJQSDzZprK0pfPw3BPlHGViXygItY8+KQzjNT0YARJTEh9iy4ke4asl3EoAB
Vj53/I6U+h2FfgjTmH8SgnvqI/ClvT3u81AWpEjqg8PVhFINWjUc/W176XPCuocOd+u3b220TeuL
zSqpx9nhNdiBGws0s4Zthq+VKXHjGfQo5UKzcpiHVzBl91RafzSKfFQ9sj1crFH9FLoH7VYvM3Qi
REBuAnlEL7KkIMSlAdGN2nrbTepAMwa8XcGR2MT+lsTlo44wrwN5P1WR9TzXRn2PNA1FkNYyi18k
D+ZZeea/oiPjmIfDJSbO4LgTKGHMbUQl4axCz8EG5LHhwGcx6i5jPAQSzeNc7iOLNh4MDxZ1BdzT
KnO4VEb0EQ/6VbshRMgYT0Aydn9V1r25nnVT4bxMva9VV92RN8g3QOVuxowptldoiXM5OYfcUmwu
gtg+Gk73oGN3r0X06XcFz6FXt0c7aqmassRzuPivMHaiDen4D5GSzg3DwVLDrfzX5HzkYcvZK7gq
5KIhQ4IYZncfNc13peM3ztnPQXBRn8scaRpkekr5i0T1PcQRrHSOesInPEBdwp9s4QYk30UHcm++
MS0Fm6TOOqpDemrDM698SOLQwPNC+2XEHvkYIj+favJNG+Jf9E2nbDQ83U6YsK0H5LJ7LbtPc4pv
OGApj+i8beq68zbXobX1SQOtMeJulfKOKpHxYylN92TDfdqTxwGz77N1LHADU2+Z+nt2BQ2G844h
RkxvAIz/rA5GkVUepyY09jPI9gNxI3dtzREqElKk7JczHnboKUg8osKl27FEdX7MvkEKcdwXjWGe
cbpNNq7y/1UoV5e+MF4K/DebdLB+OtLjWH2yW4dr+OLb+B9kDvBxnuR7GyHU4I+d3tooeQUThgKY
5i5sfPh/NmmEKkjOAc7HDX9b7IMRsRP2wZxbqUJdj0a/WWWlU/6GeIxoo2HRN0f3iTXJs6WK+xr9
nt9se6rcwT4qVslMa5SwDS1eDa8bu1cZ54cph8UUB/Zp8GyqtpaWweUrFKPlrfvWhAASNVt2mbQj
gsV1J+8m2/qLSkBqxyJdPc5VjbbSUoSJ8YVVs2nfmWLcxT0tTqND5dlAFHplNBFsjsFx7yrVNR9c
pA5+m1TfTdZpeuej8dpbHg4/WdpvYu4ovLK9+RTjfN9jK/Y/ODPxBTZ6KG6zZWR7WATst3SNByim
VaBoCfa5iQT0nkPMDPGz7KCiAOSvdP2MjkYTHZZE1Llc4q93+c4qbU+7zFbUv1uteksBIdzDWPdo
7sWMYAgaYITffI9Vh4yXJqL8546W2Kaj9T3kpt7UqSDzW9GCmo2ufHGjID36g6x+dYq9le6HZ9ok
zZNGIlkxPM+/6AcYLkYWNxWLAEgRDjZ+nUXuh5ML747rPuBbPqdxE0xAOZ26+qaneLFdQqpkQITi
WVISOEjivtE0PYdZmZ49tgh3hmOrK/5uoK9GSQiuNK0Y40+YflojW4motEHk1yAvctH5FxnxY18J
Z0QYY5WOQuhFJq68rul+3UyQvwh6XQ4nJkFuq3b/k3S2dysSxrF+GF1sPzQLl1084/giM5XAhUNn
YifUEdlCbaYrlh+mBQoNo5ibcAseIbbpRcgN7VRgzMUcYsUVDRKV5ln3Fku4zAXlytl0paMw/McL
xMNtywKsoA0ytamm8djv7kxa+qKSdZg0Qw2EqiD6KI0Nq1RI37FGbjOuNqv+R7F03fbeRJVmVR1U
7i25OSOCWJF3zr2eTPyN4dLlblp/doP5opCOwgo07ZSjL1hSxMqfDeb2gWzAKq+YBhgVZxKdndXt
NI2KG8YZtbRI5sBVCUjsyghsld/EDO4+bhru3lMSXZrCYDiN4nkrw2xc8f4u+XgR+3woZASXSKqT
qeGt/mxAigztnIQ0atM5DdkpcL4YIMSKdDXZE+v33H8JPb/7nKaC20rMbW+Olp1wHZ+man5tifUT
Oz4WykevD310wVl/FNSs4rau70uVv+nQVcfAj/yPLrSYcyRBgUfaaPHYoflyBFtR/GM3xBrttA3Y
eev0CEWQqQHKD72KTmmQGLF/wFVi6HQEptUhWw0NpXxNFHw3Ttc+jXiF6SqiondtNWN+MOGKdZ8Z
SEyosFMJM9qr86HcF74NULDDL3Zr9RRxOakfUzBw3GzbfFN1nMDQPYhqznQCDPmYbPuW9seiSX38
g9m937piA7pkr6MQBmtELphNPx03oXgolQu6V8OLly0MUbt07s1YwlPMDeT++JJJ5o+hgvSohf0i
IhM7dpRGBq9dekww34FjE6zvuPo2rKO1IA2IXWvseJlkzVset0y5DdIk+IFKM2N0EWlP4HoN3xLE
f6dhUdK6kHmlW2tin036BYXjDhgpMrBrWk9sdKbnUQcddkb3qzf9NwI2mCB9xiYWkN1CfhgIULIR
l2xTAPaa7gbqgkZulu+yGo5FgXutVvWtFuiUHd8ED2TeHKweBiMx74GcNFHd2sZzMkvsbnJgeRjy
WQO68UnrZQzPMA18bwkjQTN3Wnrf2aY0xNTQB6JDyO/EMCOyn/7UbELEB4QiYAIKn+G2q2qAgUSX
4NEH1a7rsmcdtxcANBOducRcA2ZnyiR4iRKIuvYBtwy1iDZTleEiHQauEBL/UGOwTeDkqmB/kVhN
juFsXTKjJ9qA76vJiMKlTflVWpoaH897KjhnwQOfi8ylozkZ+JXJslnqi5alVPLVMR2vVVX9stWz
NpHgpappT4jE1F+GIftMs+wPI9O2s1xuT1i/MZPG3SzaNZTjAo+WaVNyW801ITO0zflTxDrxAcOK
GXJC5TAPjClRKWaGWt1SRmO59ZMcV6LfYN3d4nibbpBXEHFrO5f3KCYUG3HCVm9u0lEApWTr44zC
J948zmauwchk5vCO7a4h7AtsMsGtlAyYBQt+4IlvUziQU8gGZ0FmE7s1fGfrvubgqq3oZkad92g5
8c9o2y/V2D4yxDi8eKWDXYdXtKhwr1d+BjNW/bQx647ek9kngQOcPW32ahdqWFeGlZ/NSS43NEyw
4TIoyoZlRYbssp7hYz84tTO++lyEjgABcHK1TNeolwhJRWB8FWZPSsAmS7cfBdkwwsslcDZWmUdC
GiFlRVQ7o0CNBm3uA1UlbIQ89rbUV+mLq9k5kqtNNh1UwxURAZoVY5yneCvjd0DD2actqN/GW2kS
0cXloXAfrPIEg1/s495wPPLNiV1lTyIrICuUtfzHPiyl1a3jLx5QtmcHEqCZU3Lwo9gwhBlVBv80
FMHKYa2/476WAK/Oy3ubT+CH26D16+nG29MSPe9oRQp/U9udvofADx+tEbdG5lApzF7c2atakd9B
GqHJm4UVT9vg+ls7DbP7GDfgR0uI5YqoU9+cwWrXMsrZ8nqlV1Blgl1u2FnM1y9KzHQVIjrqnaIE
HvBw5OprkVfN8xT5xUWxCMQPMRCHctoyfQo4Yt74BvXFtOPlHdQgKNSp4eyqSOBoKs2ctofA44VT
Jdws6nYGFd9llrjMbos3raLmV6xyAVhhbue631gL2TMXvjiBu6BfeJwB8OeOwd5IQ+mO0uY0EzJY
dZ3BUZSpCLsa7Eanx/BUdYNklNfhWfEhwp1jeg0GP9w58GNXbRF/lH0Fm2WBsYf5wldfBim3G7N1
lMIsKjrTO3s1bLd4QFBO4rLb25a6twjfICci589WwoRR2C9DReFpwjLOzvoOzzECUKd7MlI2fvEY
fbRyIzoJIoTEpGfIz5LRX6mRQ84zuAYAGlzQ5rgthqg61i4ADHsh9uWWHCiPweat/x8l3Uz9mXj8
N04ZXgHpU6AXpm/QKWh8S2h5iuOSS7Kx0BtZlsakSmYeAlbdUb6G3A4ldiob+g3iCm24vXbF5GNm
GNjJeWw06WfHOR5UlKp7Mw3dfiz9Zzrcin/FsrgqlmoOb0y/pmJ6Vg37w654TfIhI83S8vE4xhKz
1N+FiQyAJhOSg+V+nUcGKGGDh8PzskeO8XftNqdkJuarpgi5uOkxsYv85qridc4rUuZx2G7xUg53
fgYg2Ot4KC2n3VttZKz9FOsn41f0IkT3OoTUjKI2rEfLeuO23vFytNLwlJWEHVhQpvnRMgI25h2D
9Z4BPXvw1ULiatArkrZUuy4VgIGzXt+BaBjXncG5zYNZ/cux3FMay+EwiPxHliE82Wm4BkTp8LN2
n0GAtJTP0n8EThlf6ROuN/2YPCcFHDHWS1ALl6juwIxziOQQ7M2av7qKF19+OSKHu16/D2E+rKOI
/1fLYA/EGMJuvLRYpk7iEaPMbfZbSmr0rPf0Jvur3m5/y8L4KRwYNq4HnzOM+a1xB+KalQXnQE20
X3Wn3OMe7+VQYJJBfOKaQOjN8n91TFxQm5NYV8H8NowOVrn6mcUOBBIZ/vVI30DQc7rSh148OEmL
ZAbWd6tq41h2rrEThvGsAvyzg2J3OdoLXlmIeDv71UPoOQvkOaXDQtDD0HMItvhTHQGdeIz6H5cK
SiCLZDpdn6xm3DA5moN4Cdhdsd0bXoMxf6YWyuF7YzHspNVfPjf3dYDupVR2xQqiGTrp3qQ7d983
E91rI3OWxE5HX9hAfxDO1M6zPi3p14cJ3zjJ7ei7sEoA7pblgm8rXsEF6r2lmoGYFR7x4T/CzmNJ
diW7sr9SVmPCGg4HHEBbswehVUZEajGBpYTWgEN8fa+oHpE0I0e0x7rv3cwQ8OP77L22T3NfHRLs
rwJEK04LbtUuDfEushSeZtKmZSM+Ojfm1jTeURjwlwYS1z5utwM2SJjFAXgO4Rhnxy4vXULKv/AU
eDyJiH4DNNuk+FOPxj5jCuCNsmTH0GP5MDanvSrTcN+44V/Wa2BqZQ83FPznfWlosN6BnXDpH4Zd
V0O1ymdkrCjOkqPOpmQX9+jCgEiBaQRVD+0DzuSyM13eAlH4O4L7Bz8MxgVAYosHcePh/MrfnLqj
IqGurS3rPoFeT9Q1b65z6BRnt3O/54bvQK7ljVfgIwPXf17KfQqv7lsc1NeotczTFOWKGapm9rEr
fNILQ2m8hk3ffDAdER5XlvNDWsH9CIFKEkBnuV4O9bDGJzIdaIjHDsr9mFrZ1L9yy0Rd57ZKNlFI
lljCPaSor5uiLs3VVNxKUxKyDvHNQhu1/ms1hTdrJYou4e3wrGIuQA2BBiJG6hW/X3ru4kpfk6HP
ToMdP3oub0aGrWbvmfW7HoqelauLahdE2XKI/exSKFlj26ZSnri1+VlHNNRYylL3sTu+G4XG/1Gz
i6q7Xc9Thu0sPzEMOFo7+CqH0o1WXWkirDn+wB1dI9UyEc/bNOSQybqBzvsqUld/iMgU0RK7Mw3D
elGUfe8UPoFFHlc/w3BjzBaOu9d+/l1SBbGEBnxfEfFPG//LYTu1ZtziOZ1L1ON0wi6TeUtlN7/Y
LHF92g3cbp3VpzzFJu2PwMkQ1pryVqZ0u9eMk7aW+EwilNYZz0wNwg54k3ELK88rp+LBKqb8xZLD
DkU/BHyi8/vIsNQ7d+pypetm2llkU+/tsf3rKiy6fl3X20aGLBKjygMZSAtBz8BqpkSpjNSOlkyo
X1xP2oUzqp+ppjA85pO3jqXx1rhxvFdSfdrsMYECePPe5bO7HjFPrEblf9JV9d2FMX0rLmqlixsK
la16UU0iT7njDWunv83XLVnQJpTDQXZe/EH6bm2FHfZ7f25WQ1MN2yCbviJ2UITNwnrvt4V7YeNw
hF5K25NrBNs+QLpqVSTwmk/uMUsNY2FLLvlyCL+83sHM6wxvWMTvndpzdzVfri3vmAvwqxCHIIyw
AmEex0X6pbX3hQLNrmSiv8dvu/LsCocdkeG9+QhdF1bv3T42aghgfRT8RnY0nJXb4l0Zhm7FdK2W
lGxrxh8dwRUY6L7J2WHEhBs2w+SdZCf4iis6F2IcZNxTjUKRzaNhRK9ifkTw6UgmVWGRVbZsAQ5z
PgAE3Un6WAnmH6U13heG8+r7pUr3hq/ErQR7kP2VD8HFn/xtgieJQjhYSVP0aOc35rGxzSgttI3o
ySzlRaSqXIXUyA0xNHRh8czpS+MScW4v8hEIMUz7cZgfkBSR87FtRvGLRZ2KKkoONpvcg4d71QGT
fwsawCJvIzSEKYYjoAA0BD7bkDbXDzeCRQVPHcRYiAYt/Id0jj682TrIG+p4Rkao+eJnHQW2hfjx
Ur6KMAyWZQYVG7qums11mOirU8UfIiVpFTVPjHRsxYrxmVqq3ZiziMMUxmO4XM8Uwkpgsbh/7YPj
mOu0jN78vvv8F3sGlxz5M91T2hiEQEw52Lh3Rp/9pFoMHS4xTPh0jm+eNbsqqBoeXZfSPHtZeZqx
rK/wW6M94sRb3iyx38UYcOGI9NFRrDlDDtgFRhGshsws21ZXBJQLDIMfyJB0YrcT5FonuVIXfumo
fdaA8BEEzEVVdePW1QNGCMmu941d8F+j0l0eM8/Nc/9OAHtbdvJQ+el70egnq8h3KUsLF/4ckKDw
xSImmwoutXnu7nMz2A/ae7GqHFSyCQxIDxk8jDQZ1wrP7o7jlyGCAWAhzMm4ijK4x9h+mZ3+e6KA
bke0LaGzbOQZ3j+1pit5X8kzgrC/Ok0uFo5knQQx+Q+yMzRBomBbu7XNhQPYfMnmaYvPRawmJ67X
JJWTzRBXDyTi+EPxl5vmzzR0BRscVPyCMxNtdQ1Lwhk0SUHfT0mClQkRuokO8RVlOTQGdJP6DkHn
vPKEPmLcumDPjADDqg+USPPkQULO5fijUOrtrKrIplHS5KLQmSiDnnZ3c2a9x3p+czQkFI0zxHCN
X5V7iJeq+jOrMFgjpMKB7XlNDDHBJ46b+74J/5okfOpzlzW5/2pSAby8seVkcDtB+KYtbCqfkwFX
ho/VbCVN9pgIeWT6Z5J8RvFNKCJfTZprcSqGxzxhucwr+AgezeAbYm5NeqmbiTsIE8FLGDak8prP
MCbYTSCanz3AOjowBS/NqD2adv9dda5akHz8M3oiAk6dPI0xJ7Pd3+ydMRSwqX91xJRuHGeE88m1
cwVVHA8KoasIZYgoQnKH4b2AesNIS5XxfTmNxBFyLCfCtlhbDbcfJ7UfidMCyG43fXYbnJ2y3cYx
gmpQ2c56Ys30QLYWzoWfvZmEF0OvRKkR89JwmtdS2GdhOxtHNRVhMX0hBnsXt9y5YDzTzeewwax5
6iTCJq8ZFJRrTMQ7ys7du3299jvNvceEf9adsWg8SnKlZD3eIstZZ4Z3EI7FwFoPaMo85CL3Zper
RraGlnlh33meZuOh74u1xThGPp2fb3w2AjgjOuAw42n8QcZAP9gTS0aMwuxtep9fvjfWrsECUHQW
qEORkbAtmoMU1XkaEErt8VhL4CdD8UyS71H1+So17AqIa4OHFTKHNQc7OgP7Veik7bEVyUNQWlj8
6pFznllY9PPJqwq5HNLmxHGGj7Ek1jZE5555wHAhzrg3ClQSzp91A0PMM4LN0AI4yNPqGpvxQ+Nb
9+wCEaqxOOXo/fYQPdC0sHbxbi6sXj8Gifed95I3KP2hdvEnbrv3HLhCG8krWaNL63N4+CDqHZ/O
W4McWUN5W8PvKidUWUZmHAnF0hMp/RT+0YRtwWf07EQYtbMsOZM0vhkHWblMmXnncbPd0mG9GuCf
r10ybu3sXRS1lrR8raPAeJwT4W0j1fKRL7+r3usWtY85ajbZU1vTUUb2MS9I0cdcRIJ42GZ58qdm
gIS9/8ig9qqU+2yq6ZekyobybWuJA2ReziOIQjMo32TZ4WZrmm/fdtrP2Y0Z40At8suE26wWcidh
l69qydajq8LojJgq93LQL2DhNjrD09EKvqqWGV4k93LOtRpueZI/aUR2pybMoIfolsZSJ3ogw1XP
9hdIi38MZfvgGhkrcxnvG/TgZeX6NMhH7pnfDTBk2XxbIQ0AyfjrTmz1QP4267p1f01yJySVHhKH
f9keX50R/DpupB1OlG2pzS3FsV+m4RCayL75bpzGkbbhifcuR4hcytK/780o3aVdtG5quTUIWBFl
ep5V8FLXzVcc+h6lgelz1/snNxKvaiCEaPmuz0lh/VlTx17BbGC41dXaEvp5mtMviIeXgLTCrdMG
UU+6RyAh16yeBqbX5CXmEoNTJj5nxA6mEF2ksPpXvnz0NnjDuTFL7m9TdI06h5YUnrx0qHwkyCaY
+6N9Wo7nmu5er+jRzEz9YCr2N0HafwhQ2kuuAx+jdP5cH3KvD0P5GBCbc0x8gNlcHXozp6qLz9Oi
tpPXuaPJmhFxHZmet4A1NiA9lRi+qBUIGRRboO3twVDY5rqCCHSsQgSKiGXIeLY7g7VY7L/zxucL
E+9zjPnd9aqrZmzAxDFSB4x1woWj4FkGvDVVvYEooEuPWFNRGRwLkXWXaF5bBE5KHwCGAe24B/W/
lHEMMNSCilscwmb8DCRNio4yr1M/HCNLXseehUfU7YCe/9xkUFrBOpwmTnkejGSdt3rPELMSIvsK
mXx5wwuDRDjOEN+iPgM0BsMsrVJoC+FemyP1JU37GI4C8v2Aa6KvT8nkf6dlzIQkCd36b7FkOS2n
R9ej/M4a/F3oJVs+HeNl9M1kpxppLMM2DpYANr/m8ebrs+N6k/NmbMDvOAsfGX0psjzH5wu1bHK7
TZ32uKIYfocZC15S3Jml9xqIetPCkOAKwuDLLXQFbnsle17UOphXNk7lNYaNTdgVL3VWPueGiJep
Xzx7JtKsU0YH4UM3qpNX7E5YqEIHZgJiV1rPmykooeVQe2JPxYZwcrWu4NiB0DljFP1snXI5TlSL
epNxkhVfvETrM2A69B7X5bWLsTcL4gZ+1tP5AI0fEMYlQFzuNEbkrK6OgIKzZeA58ljn4dEeHRTI
bN6SDv4sO6wQ+K6of/Cyn9BP13qUr1YuVmxTg+WAgWwx0QhFurdPNm4jnsns424qeD8775QKe1cB
F8I1nxzsuojuQp9mNL6FcIDzHogG/7rhAj5BVYWGNW/c0l+5gHrdmF+gz1mIZHn/OoTZOpgyzjBF
Z3zp8ZzKnPaepzC9Frfy7ZYYxWrQ8iih6SyUFGCDao+r5A0vTagjK3+SERq5176ncbQnGHeUjgZk
7lGq1GHqxQdFeZVvqhRsKk62mDrsyWHtuJDexEMz/Ryi+TmaemIlDEGL5NZ3EAjrGBiCBKn3RG/t
fm7daD8Bhu7G4G3GGAN4ug82+Cewt3ZUQiAzr9I4P3it+EtbjvIi2HeF8ZqVtaSlEAttekPH9InH
jwmuetTqonxu2fCQfVU/ALDZ+4Z6w5t7ZCd77+KEWBZ6fhatO8GfSp4EdI+CiZbo5gGFD4eAcNl0
FeVqNH12EZEL3FU/gVwiyTwZd0L4e7tz6pXoNDJ4tE/Y6ecTlRKRzyUszhxc5bV3xPF0tivx61vW
xS7Lr24msR0QKszz1l4OhtpxkJ3sijtNPjzNQSB2878Ge+BNc9V/4lGg6dKbsK/yRyHlkpOn77U+
1/LW/YKVFSHJXNEvcV9nBQn6/DfggjQkCDMtuc8iTB61p96B2eB+1eHDkETHIWIu8/vm2Wu7Darn
Q4yXb9107MbwvP7wiWHXCyBWSXkQRfZsioQlg8scaSUNAET6X6c+NrfeXMGTxhtjSExCbL6LBXVq
u1lnJ7eiy9lHcXS5e2p0YG4NwcMMqJ0GF06Ejg8Mr+NuTrxf/KYvlUxPgeEcWlYWDHf4gKyKCyGk
QAwRXfxSadzP00BtLwgPlOqGsAyGb7ZQPsKgEDtqzL9lFrJJTVkUDoykWEdtgpgr9onQU4qTL8R9
7k1foVOdaVX4rdjccV+NVzE2bwv8ugicO+odsXsX+Q9MiWoxkS9ThfWYeDUNzL1PwcnNFA2Aqxtg
tjLkHUddnkTinAQlEHPB9dBJsLPG9b5K6AGeGv3ImH0/eGJXV+59aOew4ZggUgAOQ4I5NeW/WoYj
daUelRhNHH01vrtPrejBSfXBhUa2pdWN2+GcfIai5EeI5REv4960SaA2oVMvR0jKyxHQVepP1Xfj
c5mLBPI2YsURc4++iwTNL5nSX6JmAxveAIV1Xsmt36SYZpv+yI7kd9TFK9QrMhal9phUooNslQvS
yD4DLfeWdjz9uVkbHHPX3tpp+0TIH6R8SrkCQrpxYBUbLVErKcUzGJW6aTw4Me2XkX+00bG7wkLt
pbkghhG4MObxqRPdBRGcp02b7GyjBNBpdH8mHqYuSDfwPHbIEi/Aw5tFYuDO4/7yHpfm2bqB/MVt
1ZJE7nqW8qPFftpHRHaxDYZOezWM7pnF3KVSxql3bz0DlC42ffsFpfW37mzsS7amrJosPsCWHZ+D
aWka/qPpBeOG+mYO19g+B+xiRdb8CRM3rk/n+GKo6otvTubCok8t9rnqFkl21yc3zDrw/Dw+DG3x
pR3PW1pm5e+JlDRYoiKOPGfJu/2CJWUz9PZv7+XZRvVlsIHbep/lqsGaS34uJGjIvR9NPIbVviQ6
Sr9x0EHtq3n4utWDjppnnIOQHIawpJ+kdDCnor+wX1gNtsNHlycAdQbzFqG3wDcHt1jied+MmdgG
uQ+tllpumRcHl2C9LwzSBJQbsa5Y8QRdjqr76VOVrjuWRxuWxvCVYLltazPAseOC24fizkkNGKj6
lyB2O5PsS19Fj2VQnFvqmDspt3I2N5QlNKvUH0ErmN+W5EkeDeZPKtiguNoH5Ng3W66ml/YGGzfc
Pb2XM6sTssNDEm7dFvtIJOL1aHVwCUhdrk28kkswn8NSx6Rp8jkIN4NDyMTie1aFlDFOTbJD53+O
25SOyTHZaNPaIMC8lb5zNMNs1U7Dy5zSJFqKeyvMn31r+uVgffan6StNLWyh2na2s4TELOCB9oF9
0lG29px/PX+LYk1Cp8cbi/0m0AyuSfXE14s5pOvIO3mEg/qjG1ZQlGuSNymMC8t6TwpIdxh7zmTS
N1keMN/RwBWlxSl13PfCTB89y4wOeP2Z+oromqXywj7ivrMhQ3JYrTsO18XsGZtstLdBV34YHROp
Ff1FyrlLI5uTUW/nIj+NqQmehtAKAAD3U2d08ZHjEyVTn8zusS6vaH/aU9TxYGofB5X120pO/THD
snLzDQiVHSzhvgXTsBtEeXEyXXGwsjk16fHN87zbQWRZlTUmaod8bNp0T37QXOi82cIkk+ywUjaE
KUCcCMlr6eGBvYq636a4XMrEvJodtCGrO/ZR+Wm09dUZHXyc5Oao5aQfEAPxkJ8QnP/oy1rpIDkN
HdwYV4WPTSuqhTub70FNC/itDBRl9S3DMDuP6k0norpovtvklZGRuJgykhPRJmdGm0ImED4tdgbo
GK7zYWFU5jdYUwW411b001LguIztKl26aX2ZUbnxpXFE8aw6urnc9lHzNfUK46MSUKbyykFh4C4X
gtzgNBqX2rKeIgQ5q4rWPECibafgXlN14LCgY3HhXjF5B6vBJKFLaAGcfJ3JZdZTAtEnQYt3ZsoQ
kokIef58yEzlYB5rNtyRAOyiPwZe9KXqast6foYuVuu7adJnLOoG3alcMSzfs2+pwxczsc2Nr2Gq
Vr11b7IO3DuBB9sScsdTreKj2covY5RHI59o8S3AUxQTD+OoAkfm5g37GjykU3NirEKsjVaKeJ+a
5o1j4KGT1pbl3tfURL/UqSQ4vHhyJOBOPOLyC42kDJb0JSmrce833gXeCf3o/D2pNe2iekKYHsKH
PjWhGhB/ZdSll1e1t2JnuOtJAKkhKI1jYQT7eJyJGSg6jVBz4Z9GVy6dD57t732PGrKuzI4Bk/6y
mYmmAcR7jSakk0ZbDyn0+aycPrxgvsS99YHXeZeTYVrQV5gsJ9E+DqnxatgI1HbPO0qFL2gbRaIx
CIMvk3UVvnKYqWF3a2QF3oUXr981ICjXhHQ5+QnFs3jAUlqXlGlmgpaQIfhyE0vRx3kLayliYHMA
gK9xrXc8yvSihNYdrv0NRJFyWd7o4eSwRu5mLUuRpmtXurQfJ4gZq8agfQhDtYfZE4d99ch9GIgF
L107qhtOXYXbsVLPoGo/cERw91RvpKa/bFH8enNIeJU/XjO5y+adpSziJfWnQeU/6Cz8mHOMKj01
d+r2US6D7onyiWcflZUeJbqjWheyPfGNVToDhmrGiiYGO9hoo0NG9P9qj+XcFOGz8Lk/ei2yZ8va
MfTSE3jGjmQ0KxTJW2SZ3UjsojsEIx3wLRKDLjwWwdVwcFv2hFJmnPHNL5YbfDmas2vuuQxV7kh8
uu4GsPJw2Qd6ljyjvi9GzroxEsmKMopVbdb0vQYJqSinwiiFr3MNAWudNeWLkj0KqluvBzX9mK1+
HfNxWBQwNhlBbwaCBiZ3bfIwwKgillg0TExiAslAlluZjn9CSuAYVJ3EoMqtSX2FE6H5ZOQO3esA
z5AX06ZBedlyrPCQzGb2YUTmvg0APcPOmYruZegjEI262CJKX0rHPNt2x0BqThfHdpH7S3RfRSkE
8v5dMFgIh6RC0J65GvVXu5bIEknPR4f6waQbXqdYkmXXrO9kZ3yohiUiNMYVCs+2tiAQ+PmhAN9K
5tani7CwD7U2D1SHr/N6vuN68KyLiL0+JyYm7XlrEQDAv3pf1A7E+RZMZkjaa87sv2q0Dpj/J3SJ
+Y6NHcAg11kkhfuK2RqnTOS/hWFxNyPrUkuBAch0T7XXhFtI+R+SKWYSebJUnfksSlyXgoihh22S
npvwAJdlN87Ba1q2qF2UZrgC5dQ79BA5F/0QhCvptyuwdGS0Usr0gprOkW7DEPZD+GviicoV3cjD
9VC628Ylcep1lNs2mXqMsJ6yaOTnQY9dzLB4IB2gwKOhNryF7KQblN5Wmy++XX87yaQfgpjW36r3
7zAbAoKEea3Md8Lsm6kfd57irtkZwcGvJQxjtjGwTRPcDNMxbOZjSZ8GNiYKvJwZ0G/cV6sAr97C
y9LfovIejExTUtcPd2Er/9zO39B5taOf4Wyzi+lygsg9e9BBl5R+9/R0FGJ+oWFX8kKLH5G2j3av
x5ONzLboTKNaNGqST21cvnQNr5CjPe4ZgBYYnuolN/x71SDop1BzHbf/oYr7fYaxQ4rfYveJpcvk
c211PImiIYWD1TpXCNh7n5Yn3yXbLnrvN8zZ6gczFaFA8g0neB0NfY0pJUI7xaAx1nvKqh8R96JV
nYmT9NJXzLhYtKfyw6vFI/8xCd+w/UyoyAgtGieogzgOnBixmq62w1q3ducYQn3+avn6V4LfJCU5
AimVNwhM4XyDRSbVlB+7WhiHzsHygV2uXo8i/TIjbkWTBX8hYXONVTDdhxNieTXgsw6HliWTl702
efLmWvHwYJOp3LR+HOzaGpOTW/DVswoU5nCC0mgN9LberGGnHC1iFw2cuUZVvELHv4KGuQxxisoU
19PWtEKfu2Ln7ZrZ7j6MHjvhTUkXbltzvTWzY9jygrQC5inY5G8mdRL5MXCF2Jch9Qt9u4YmbcAQ
qcS2aQH6TInY9wNkj5Lg6hmps9y0kp/WSHp+rxHroqIE6BSyHNjgbQFHPhX1Z2QHEc4e8xl1W96B
lqi3Nk2mI/C1+amrhMFOVBI6L3Nh7bLJkazBacnc032Sv4ikQ4+c3a+WVBr4FucAvyzgej8M6wgb
9hskausINm/auX7XvFXO0N43vPcPlJb2dGmK+tHWc7HVDiW1ydCSJfOTc4J8BSeNtgGcDY82a+dL
rouKgiOPdSrJam7TAHL5fAqDDF+BzSvXl75koswmmt98v813mqs0r5j7QmCof/D6/g8m7/cATmar
bRXtg4SbJAsX42DNRnlHqViwLmS3DZzpl1p1vAJJ/yprSaUqdyOawKNXUg0kSSvi0DNEcppB0aJr
J3vuYXVizC5IUTZPFeoK2RlAjho03rpxiaSUUF9EzHMr7lZpJt+ydiq3Xe+ES8oytjBf2QOOtrj5
E2t31alWFksVhz80TbYHzBZUaNkmop3lB7hcert50DXTjRcRw4uyQp5sIt3rwIJsJpyg26dOYT5Q
ZF6tPLeF/Mw65qWM/Bk5lX7ggSYYRntO6qZK5gcjSQGHZeWLCdRnoXLlI7opLnC0NTXIfdFLMI8X
ncingP4vGu4QXDHxU4MoG+SSzsDCK4UDGyphBvIV5jcHCdBuym8I2qxlWj1yeHmcC2PwyDkOX6PD
UtHFaMZzOhSnvlLJs0NIGaOIZuKRxiXNGWqi3hSgK/I3+H0c92Z9NCaoZiAeIyKlVD5gsOOjkKOH
cyv9bpwBMwVgTFTLPrgbC47htBi67TQxwmVpyHa0y2D0+mJvTQlQhLY/aIE0Ug9pQNBKb4VmmTQ3
Bo4UNX+QpwOAo+MzxAA6hYTzFUgwIaMv54NkrU90x0zjbQVd4U5lPUlj7zk1Y2fl4lreDgEafGCM
rOSKYdjksx4WbhhxKZ1tiwlf0VjlVc+qlEeTIPu6KtrHrM0/CK3OdyDwXirSSytrdgHY23DMMmGm
zzIe683odfEVIJ+5Hhq4FhVpsl2GmLl1Yx8kcUDiwXbsLwcU9dq1QHlIbQc/sAb9rRHC3m/Zz9Yg
HM6uDR2oRVJDDkDUGFnEcKLzUvcZ1eER/4i74EC++M3M26dymp9cWT6ntaO3RpPXqLdJT8cnt367
UD4qBHUcYTo+tI1ZryIlz5arxVn0Jh1IsSD/blCB1pbZ3mjcdGe2zIA+LQukvxkQe3fi5MoHCIgY
pROsj82wxVETLC22OSghsoIeyViRBlCeomgCtd0/5FhGPLoM8hC/tkpiA4M9xx4eqJzeWgX7Iaqe
wtCBxC2YhQnH9/etdB44tNM1DUEF3uz6ws97C2YyUczDQ1Vluwx041Imyd4MiolBiKVeAMb76IFO
W3YO+Bm/QjtRysQOJfCy7aSt5doxu4B/1Pc5kKx1Lm+Y7T6j0kb1r6in092QlPMuLjO9rOLgaWw9
ymJN2j+mm41+Trrbw4b1YFGT9G8SKo05Ob0Vh1xHcq/j+9lTQbvG2HOD7yTG68iJxhQvytMkG3ad
mPUZnKjQmqsHWKnN0dTkToiUP1LKy524EfYC6YOqvlxCHXSJDzNwsWzreQQp7tsY3kbaDHGXssxt
DhrA2NKPul8IveWurMNiWQfJt2h1vTN8w4LL5nVnS9rmsrMKir+d+FGGANrCgO5U5ZX6I3ONdwKN
zhHGU7oz2FXRTmZh/vHiHOjpgLCMUZJ/7o0EK6ZnkNDj4dKUofssJuaYHJb3mKp5idx8q40t69Mc
aRopE8gJTs2ak6cznXOMzGP7GOMCfnNVI6iwNwnWF8V0khCXVjwes3XpQ00ektl6JphifyHvu29A
hf8q7iM7prJ4T3bB3AsNjwOXcX3pYsqaIJtDNMotzKAkvImHYPvU78nAfWgLFMM9aabQbwBBusZx
ahEAKOqGOgAvlVw4FR8+FTrBBztB8aQCcnVMr26kSRBwqcaXI15lAawa/3hw1/uaLUBqSLzgoaI0
TLvGPp3j9o79pM/ew/fg+fS+og7aRoZLlJCPXEuGHwFw8t4LM950CxADl9sE6Fzfqjev6dgCDrL7
rLxkYpvdpC+jRtqPzK67N8pUHeq5sXFFuaR+kzFwuPCbbBi7QnIJT6ysObjG9GPFtthTMdWBPZto
3mvBUZERL4fvsoGYVLGGJ4XSUQFHO7x79dsRx5L0mzede/zXpYD+QJU2AVijYvaTbT4wswKSs+2b
iBbRmNfeBghKIRh7wCsvLcCHp7zmKu2AJzl7sfojO+dtosqmOsBU3Bs8ixtiw+ITjwNtXUwTYQKe
SzF7robZcNZ1FP/2Y/XrEL3dR9IjSNlpfS9a4w6Brb+PTdQhVbC7giuTb2TKOEu87LuaoDlEhc/6
xWcdFFAUtPRrPb7PZShf+cBBz3TCeWuS3tqhIYU7vkQ63HQmtR6Mwczw8Kc3LKmbtRgyZwPXJNhV
eag2NngT/JISDTYNWuTX0XmbcJe/kxbJ74jjcOs1/BICCrmFfTZ48b5r4HaqJo53zUglBI/58AYH
Byn85qWNcdT0rt4PXcUyAU4dJBMeKYC9+Nuo/4rG6oqYp2C+WtN2YI1/7xi1Ogd8gs4O6uSyB7HD
Gz0cddXrY+W40RfLcuxnNYbBrG+ny9zzFyM5ZeahczXtb7MpgV5hL7u1+qLBluXMU6vsuT572Vxc
21Jx+Z4cpk+PjEmnHG7ZJT1KwBHVfoxamH5TGH4Tt4z3gwyfR8qc94r+3oc2cvgXZq5N2HR5Cc2J
QkHLHU/GEDLp6RFtIyvzaMtHAL3LCQWjTotaaiWTuPnyh2Nu183lFuUF50ZYz+Wa4OKfvrDkpdzJ
cptonbozNVptk2Il8ElhBHboHCs+hTxrDWc89FPGVAsx+ZB4sb7rO+tekeNczoNVcf0lBiEADzOF
EGEeTcteOxamosg2Wfeh7xJ17ghz1NKFIN/TwbsUMtdHuE7xImD+x0npdOyuihxH7kCIJqgmi8+U
4amjMrV1BOjJcRKazPp5nkFUiMyQW09njjX9JrMwz1Dk4fsb2OSPgs77ZS8hp5soloyyif3KxjO4
Wp2IUXw68j4BYgn1uHa6bJmk2J7gjsa20Ju7huCyXumMDOuCHhLlbbmV2lRk4TbgK9rSq4vvDHJi
y7ctwVixIHuOf4MDnaJFIBntsZwynOkjodOaZKMDRRY6UpHuVE1mgEOxNLotY8S4+Tf6D7tygFSP
MTcHMDSXzzVG8hFeXQngeKWT9rcxitfWGe7iimfEnNJhUtAKTaVlKg5UjPPMiFxdI9/Plr7/5z/+
1//9P9/j/w5/y2uZTSgO/yj6/FrGRdf++z+F+89/VP///73/+fd/Ktd2XaHsW3SN6cMUwuN///58
iHkG86f/rRh6JbxRGns/bPShjpiZq44ui6LgchGE2bTrVCC3ETytVVL2WCW6yGQ7w9QOEzw/Z3Bw
VyIzWKfemu9oXIzj5H/4IW8/w3/6GW3TtPD0mQLwteP/x5+RqEJudFXq016tkmuLBXFpVFRypRUa
B7T/TdOaw9GiR+H63786t//wf/yLlSc8MDK+ZKGtzP/04viwa7mDB+FBlp5cdWYlT+4sqPMbJPew
kjCzM1bLLqxYTTt0if/3f7v6L3+7i9Ls2VLxf02Ohf/4a6eFlc0okGREHO6jQ2PSAGjh1wLhgj8/
/x9+V/u//m1SWLDKBGe0tN3/9CL/P87OazduYMuiX0SgyGIovnaOaiUrvRC2bDPnzK+fRQ8G124b
Eu68WjDYzSarTp2z99oALtzK72dgHhY4RBH4oDA3uMZULT7+Wv944iSPm2NxHVe4xvxBfnviPPhT
1jSQp+erBs1AVAUrU8NdxYNfbjqDxA7iPuX+44v+417+cdH5779dtBipRZMKGc+UZsYWUJ/zyJOf
H6y2btYdGXAvH19P1/9xO5UD+kG6luE4xvz33y+Ii8umetP2NB7KE0s/Dg4Ik5CIukd6CogSzMjY
AISh2Trk7bmKE3YZ7Pif3O1/vTuWcHQ5v+Y8RfOv8dvnALMt4i7R/EM758oUkU0PPOm/2hqjen0y
imUS6gxdcih9//0dsIQpKQ+JAjThhf555SrrmiBOTOBoo2bfIGVh4+urR+QAzdFL859tE3M2ddNu
Q37AwStoBtchosSPP8Y/vj+zTBwBhrClQMR09Sl8s8YSietdDJ7fQ2JgFafzZcwh5I0mLr1hu5sJ
J/mXyJtIBP346n89BpYuaFcwO+dYIA3HvX6HORjnsWf2O7uz03Wn5mbABA1jZwVa+uL1wt7TKHXP
dakhW7TaBE4FwrnUCLJP3m9d8k1/X8x+fRSdeyEM26RQt/68Exk46skfojnmO6APAZ+HstMFdukj
1x1FTGxX1YmzKHKxgxxKXOxkULNxcAVI3/rxgXmRt/z4/lwvsNef6erpTH002UhL0kOsPMbpHrPX
QVfmGWDBWmrqdpT9psxpbNY/P76wPt/4v+6GciQJTso12Ff+vBsmvRPOJVN0GIy4Ow4AqRauBQAu
wAT1hROY9z52DOFr3X2uZihgMQs+P/4M9vWS++vb/+czXK+EbV6RCiCnkT5nKb+DX71lh0WBg25o
UYboOMogyS9pre7zIXnomnY9Ft6cKLWHc3NCjAkPgqrAIrQvRTVs+8W6M7XzBNej78lLzSW9WWfn
ucUJ5eCDZ4yXcLAe6E6uRJKesXhjnCOUkb7vlJzEFK/ptyEo0y4QuA4m9neTtEvhb5iPnWboeSZQ
fPgVbR2e21qDclXn3g3Mh40BoCAzvvqSMj7QVhax3KopgEDRMva7pRrxxaM5H7oCJAfy7GyAvFcx
yaBMe9XaId58fG/nh/n657V0k0eSnQwk0NVrT8fGjHAYhofItvytKLL8RTW9dhO2DY2Y/8e1pCHY
POe17tca8NsSK6ehAG8fxgdU6+kxziLizHIxdrs+N/FafXyx691zfmas3y52tap6E0L1GEsbpWat
VxC1Z2HmMATJj3LIwp+tZfjJFqDB5H+ylF0vpL8ubFqOg87HZC272kFLzphkb2TFjg4jMp+ibBHd
p04YjBspQgCbUdWVZ3ZzasCANLrgky/+z1/0P9eXVy9s6+DqwMyeHNo0zemzzcdxMkA5fhB0ob59
fJf1f72agBP+79teb5vMWJgF0UA+sIuDYhziAEF5a8Z7r2+LDi9qz9gAn5Z8azIn2WWJDGYsHm+f
y1lTbgkchHgWDwi5FmPQ2cHh4w843+2/nu//fD7r6vmWLgrwsHMdQJYdI/vSJRXFbhiAEqKz6SGj
f3JD/nk9JNI83bblUhD/uVzCBsCdaAMFw4k3fkXcawVr0bkmA1Z7SO+boZKffMN/PejogEzTVra0
lHW1XQVJUzbOqNQuRNFFbLoTpI+hSU73IrQb60vFIY+EMt9zok8e9H9d2PrPV71+nfEajnUT8FVJ
1UgeBOwKbM5xvG4n0AE0G97op5efLFef3F7d+PP26gEql7CHkZIQS3nRqYeJDFXdwa3dmoaDND5Z
sv65/Vn8kDqVIeBb6+ptgueZM+PP44OOTHDfGpGBxRQjX53Clo4aZhqTKYkvCIDihgbBCT6GxveP
n+F/fwjbVYYFu9mgd/Xnt25zRXeHVIOD61rBxHkSSUlKKvg5KCOxj+oqvGQ6Sr8FzYkGMxQnhbZ3
m68ffwzzr5svbSWkVCixLAS04upeNNlQ+iDkzL0FOpa4jgGOM05zuJicNV0GA6MWQK2RFpUkcQdS
lavCDeHikOZhfy98+hCr3I2DF110NokZKaNLkl9CsDAtSQ3oRg2wPUsKM25rOvb+iCLPgXNZBTps
N/bZHvefVbaETiAfO5UtTZ5NYMVw+LCeonuuPT3D8NAXHiC/mJkYiA+8oGtSmZieD56GhKSHn6PI
YSHt2fpOTSVh0ATArRhfG3KR4n0v91OHwHxTFaDSaDwI90XDhvyoeypqDnRuAAbMhwV5+vgG/10E
c4MtlK5CdznuUQ3/+TvDWUjdcNLbfYhn4BKJYthOZkDLPCYQRJOspHENTsfswZiOqDJmT5EDLMkK
P3m1/9pD+CCSM4BlUQcDG7z6pXUZOG5U2cZeNcoKSYnuo3GLI0AOh45k6PSTLeuvLZPL2YapOORa
LkfBq+rWiKTt+l1h76sk/V5HOLFlGnzrZY721p5asSlVAFHci+zLx3f8X080TR2XaCA6B4Y9//23
isQYNDOcOm2CTTa0B0Aw5BQaGskXNVGtgwGr+uPr/eu+2ozZDIoEg5PF1Q9cBMyDGo5T+0YJrAnQ
cYlD04INXdRPC3f7k4upq5O1E0dI4zxO1oV0M7lrTIkhmCk2UZiBj37MbbQU3Jkm7Qend+HfEfha
Mt0bJq0idFZEhPfJ4FhpE6jqMYhG0K9uAFCmhqbcUy2jeYblkpyMtEeEX6UNEm+6Q6hAe3LXYI/I
fNas93DINiZCRFBzJGXcJmT70ANOQpWtDCzkE7lUxIF0uJO/av4EQgKrXfeoIywAxjKVWE9zpvfr
fGyVtxy6DssRr0rzEwNMVW2TOGxI3gkYDxAKiSp80Zr0l8m0kuW4YYkYj/DeyoL0+KmsF8YQQBI0
O3TFWe+0ziK3rWlcZlVgoxzkWy+nxC+OnPPTH0nWdAP8Xts8j0GFZMmbnHHcx9h6LACzSmWbQqU6
/I2wbUHuSB39Oi17H+9HGzHc6K1adLCxWoccSVTfal3kUf4gfKFf/JKDFakXZnFKVAfENDdhH+y0
ONZwrYJ4gXhdKCisfZe+QgTsfwK7pGkM70Q92OTR/XCk74d88965p97zb0vbEj8qEw/JKgo0hPey
ashWCNowhFGRQxVxJ4B94GTd9C0GJcQkkZKhB+AmAgD2tQ5702sL4t34BweDW58/RBDbXphj9m9D
OOAmE8TAYDp2IzJepjyHiDno9X2EkSVzGoRcDcrV5zYh1iIeZigAu2XPPIghBWAbE3vjwnf5QszS
dMKoSVPC9ZRp4YFwJqLQGfkixM4YQvKoEGnNCyINeWi0rl50wpw1Ra2ysxvKkiJYEdmKOTkGvEPs
eofkEYFERaJJqoGtxeVk5oT+DIz81rEb4KWiFK/ILAgJCYjqYbqfKpn9mEZAjUuvVMgNKGTfelLS
XkiXcQ4g8NoCu7RZOHtS2UH8unYybl1EGR6B1K2hQG8juSfZa1bE8hvii2mgfkCSJbmZWS276ZLe
ZOCiFusqVBZdhFof228Cc5v36pN19J/LmWXgixT4kaV7VR2NkRdaaRUQn0VSO2JiFZBLWAvCqhdQ
X5mO5l6QBpuP17R/Lt6WhZSRaYZJI+vPNdRnG6lSlFf7aZLYct1GkSJtBpdBo42UY5Y8gW0BbNea
+f9nNUVbRWOC2kiIq9W0KR1+Cd1saY4RXlO3lnn2k6TfdXH8Wf/lr1pXOoayHPfXLuHYztVaysoB
VKVtgz3OVeugLAy0w9SqB1JzXq0AMZsyK+uTzWn++H8cXdgVHfq/tjANwxbXm0XewhUGXouAy21o
dIim0s5jQ3H3yWb/q2N9fSEX5bhtOKbi2HL15UwfsoBZkF6KcC2xl77b2w9WjWqRoZZNFLQCpQ+X
DXk88LQUK7QhKkZQWokhOkxZxtaaXqOrKoLmQfYGQ/YM6ONQiOnVIaeNgLShMrZV6RoPUITK+wTd
GS5AcMvf4iiZoz4LqHy1KsrtlOjpsksi3wYPIAgXof1UQd7RDP8eon73vXaj2MbfqzU9LjUd1cik
9fvAG6W29kHlbhK3s0BDYYaYVnEzpu6FhEAGerZljSs790lfUwmkJ7Qg7bJ2iuTgIuCdkW0yuTD5
BpekT4oIDpmgzsNtEguU5LGqLUYaAzZYjz0M1nTowMT0fDksfR08HOQ9SKiuVe2iAYet3uNpCYFN
3Y6Nrq2j3C43Y1TY0DxbhjKNQD+SER2JYxYlYFsY2zDXzBd87MwKjZBQ464xzlWdBylRoHrQAARG
HEuf3Lr5+PX9dUL/89d3lKDvatJ/Zz2SV29RqsHeY3EL9oM26JccVKa7rELMqmsSyWlXUICzaA8A
LTEXqkR8TXMwnamObYT90AuMPeGd+V0ZRuo9BwxuLuwxa8mb7htGtkHGNmQO7Z2GB8Hg3t3qljlt
bUwuoz1itlVOa5ya0n1Wjtb9REuAdrp2vA7Sf5Tm+UpGoXPMIKKmN7GjF2LnJaDZ9nmDyHtZZJOX
7IWEoHH02gFBGDaaKlyPYz+mq8YrnRi1OBw42Mmg8LDIAJI9oQhBukWCmjesCio940sSmPaw//jG
/qv8+u2tsq9q6LDw8EGUurmvijbu5vCCfo1vwH7uQWLd/9fXYiCFM4pDGSNY42rh77ve7Aw7tPdY
d0gW6yYswmSwrrs6LrcfX+rvwygHA/oayjQcVCRsNn+u9zbbo7RNm8BjZ+IZKYDQRhn+2jhrMIx3
9hvk0BecqAEKw6DaxIbIVh9/hL93HFqVrIfMHA3Gstd3VqYoUrBRJvsJUTyCT1ARjgPlTzb2m43P
aW35pJbJfEw/+Un/2l+Z/wpJY1Fnx2GdvFooebJ6UQ5kQ8o6IHiGCDUE7vjhdl1Qy5eYwJTdx9/0
Xxc0LMLKbZ39x1HzM/bb+YQE87TSbEft7dCsTwGL0w5y9B1roIKr3EeffL+/drl5vu0yN3AZAzEr
nT/Ob5cT2uiKxnaQzrcAenDxImykGUB49oD+8XvX1g5vt5FNn5QQv9o2f6xBvy7M0Xe+qKR2+fPC
fTM3FoLc25salsPSNkm41Thpbkl0R0hiuxGxktWtskr7gHupxOVVB3e6j4k4goZ19/Fd/7XkXX0c
2xAuACoOpAyVr14nXUFrtlgk9mMHvnETm04zbQtT9SgOiYY012ICY4YBXXX1U6iq96EdYxfFuYZ9
uSc8Nwe761j+usU4hjwvzAgM8qImuRtTXbe2maywZloyHR+SPovvU4Ee/psjFakBupmAoIh0SGxL
eyyiGTkZox1KbSOHqVcmzmsV2mh6YeP72zRne+3MMk3AdQ9AdUpDC1/8IsHM8/FN+asaMamzkAvx
JLoOhcn1s+GOoT/qY7avVWd/Z0Zoo7cNgCR8fJm/eyDAt1jKXOAnqCyMv3pdpEBZDRKVve+Bc6O5
rK3IH6yQe4hx4coun5f7YtN4rtpOilixwOOoWaWu9snL8K+HkqJW0gChpcMXv1ro6Lwknh6k2o55
RpMe9EJT/SmMIzStTlOc8YGdRGtbnNNAs84qTfD8s9LWxVdaDgni0WmC4PxJk+gfSwLNdj4Un80C
13+1BsWz/oMpfXwAUNyBaOp0SGJDiT6baojYETxtRKd+/KNcLbgKDQL9EZvf3bWpEK9LBBXnk4tA
qNk5aAO4pqrzvVHY08aueSYHg2wPBx/ZAR6e/8mRZr7JV68iV0UboDMZ1h1x1Rqy+q7uvZolyXSg
7tXewQmFexQUVMepwtEPVrFy1pleyE++89X2zZLLCs92SlWsWygTrp53D4qkFbqUh1DtvJMZinpP
NoW9qw1WhI9v79Wy+7+XYuTtMmSV/LjXFRi8ab+fejyTidvcF/SClnFefNMVjgl9CrsDCfXWJ1+P
JtfVGz1flosqZDumUoiXrhZd2ihJFVR9cijwvAZjdtfK8bWvdbR3xOdoTrLvLSLsmg7FbbbWHfWk
Ya0YjHxu+N9pbrzsjeGM3HWpG/k568SPScd8lsVfWj899JD3PexBeMNngyqeqMxzf7hZ8zY69olE
xb3wy+d0LC4jXg4K/xDFJyLrqHZfBzInk3Z8I1SXkK2gkkvPNX8hDbCPTeusR1KbZPXFSLBshtkl
9rXHWnrkRYh1JF08u+LI8MFAHgbSxU6GVY0tj9DLu9q3SNIFG64DWtFINGVWd3Z048bL5Qb7CnYw
MooNYxVDCkaBqlYO4S6+Jk5p7jxGRfddOu2BPMIFQdAnIi13NmLSaip+4o06yJYgHKbTqStz2uDB
q5fDgc6t+A7V0BIT4n7EtiPK8cGNhkNcOy+lO/2ok/i9JJN1AWLrUlRBuWQWuwcKywRH+ZeA71G3
xb0ejGSO6McR4xX+Mo8uGR4o1xkP09AfQXF8mTRz02r1GuW8QWYgMvxQa45S03dpHZzsblxHfY7f
zDynZbv3BqfHM69OwEJWmmRYF5EstTDr9L5LY5LhAGgLUkeg25HpgI8xApkXIK5lDMCRFP7Z6HT3
tZ6sqtxYi77CamZqr3pCzy8RHfdZlofWKl867ImFXJOr8VAoIZZeJMa1SZ+uqUIwZrh3RPw2NYoM
VXOVp+KW865BtBZ7KUJtsDxYy0X5Pvb6GnG3tm3i7LnBzELcpYFEBc0hzhMWZaNLnuoeGCYyVJ3P
6qVOvgSneC5CNuSmlxfNG7eFjxqejsVN3IRfHUUwgaqSeI1XaTda0YwYWA2NXS2UqGdktHnHbA2V
ea8fmjLa17PydwQHyG60LeL40A10oJBC4PY29nWVIEn16y+wYZcS16du6t8M6HDLzmnvAj05Bb32
Fprdz86xv/uBtq1F/n2ciTBDcmYubS2CzHyCzoAU33oT2bhv1Xgoh/Ak+eKDwxEsMo0bKV1i2vPw
PAU5mlZsmnk/HnIcWEE/bGY0Om3z+FyWHhp+f8eZal935iNwsXU99IeYbcokpDfvg+9ERzyx+h2a
Tr5K07qFkLYGjPbuatFGrzpG1sWutIBgppNYaRFqYg58NvlnpqVtfNfaO13UrF0SyLD+k56oD4Rh
OFtHJ425JTRWkS5uKZBIQb5ytfhU4b0l6uLBC8atUv5+UPXW4CBsNQVwGgEoYURKKh4ps2fd5IHI
1BulTY8QqQjpkOumAkAUO+iEaAOoVmeT5VceM/Nds6ML7OsXV+EILI0vJdBI20IeahU+HC7/F7OZ
xyXHGIX3NWteqUZJWRp+9JbczLABiLQbI51ePSgrVTx+xzm8Dtx45eq0gtEZaab7PpJVU1XOV3ME
jRAIHCmRJX+MqnxpnWjrAgPU4u62DHFARgUxUMxKxDQ+1ljJUH4bcxghjQAgzGla3o+xdhO4OHHT
GBSeTl9TmvmKftKNhYssGcqzQ0M5KqP7oq4ORtZhL3eXNECOJe+XpkBH6fQonKx69HLMqkN1Y+Xt
DcrSx9DTD0xKn63c2EhLu6ctC/Qv3AwRym38ayVB27OhDe/iamCf8Zp+bYj8p1MPO8IBdkHDGquS
9Jl5yNb2vZveI4txNFf6qN/GbrLyo/ounpn5ACkggKOKnwKLej0i6nnM6IJEl6Ko1qSHr6UAH+2T
FdrpzdFoky+ezV1RBUH3SJ3Z/OgQcuvN0NL3tU2YMGvpORnzS5hwTvfD1l509aj2E3EshAXOvmoy
TjmZHvUmvw9TYLLIzGFTMnmoBtLih/zeLgXtYbEvwmCXh+AeA8xco/bNJQBlBrM/BhCJjaDdGrLG
EyppEOBKC7ItiJqbiFAjfai2VimX5mDgAuXNzCxMLzLZIEW/DCN5Ggb4fAzwUAWbOTGkvCMQai3y
eDMBnwkGhgBeU7wn5njrgDRRQXowWnW0Wv/iV0yXNIVFpQWXVdXpQxFn0GNdc9dQ1A+N/62Ea+p1
2V1AEoqeAyIh5HxN5wM3T7PJlX7fTenOGPxbEQZbdrQNs+9VmWeX0QsfutrZNG5z53XFkyvqDeHm
X0etgHUw7URWnsLK/gLpU1sUTb7JpuzNat1+XSptS9bS3vObnR7MPouR4k6od9ceQkSo4dKS0SuZ
YYS4DbQFSaXrWa+SOz+WP6wCumFLY3BpTjYGwAGHP9lni8IOXqIUXnguyPTIbub1qCKAGJXKdsSd
VQhaf+281geasxSFdx/pWKFNAudseYh7fplSY8jrsaUFw4RcXe5niHYNLSQSwQPxzTCJKY8QwC/7
NFmPidFsoPRehgbEqhNrI9SLggQ/ekDTsAbRcddZ/rEBKaKL4ShrAh0wtsVGdy7GYGfJeM9DvDKw
+Xg2OJYC3feqb+w9vRyQve0h9MSPJmtvpFEo2k3dFxILt0xuwyUY5fdZeFZ0EK+0uDkTwvPqxfEt
TO8XH+giCpzuGYB/vBh8IGOehT1ipi6LdhdE0SGwCbHV9W4rGmuX2Q4skSGSqwzoxhLarKLP0jDX
bsszcbdk/ZiQg+HARXq01tJwq8s5GlAe7al+YtpDyID4SVNhPTTusSodTqYVr7EUFyhLr0ofL3Vq
PpGYwAJtmE9Wry4M0nd164CcT/f2KHZMwbHEchwtLe22h7k0sZzGSXECIvhAjNOREAv2WoDzKwJQ
j05eYOUyNk4stkZfPXP/uLi35rB4zJOCc1x3h53iR1WpdWPWhxriAFLQjS+6B0k2CsGvT8iaHYLx
6rPOcprXA0zu/IbJ/44PfluU8XFQ01tQ8DQgM/nReeQa2s1b6XlHzRp/8gKvRD1zCttsrw/M3jBN
rXRtvI3J4UIgyb7uajsznwcwUbuHqArYNH60g8bAQpNidojfNaeIwC30xGTE0Vq5yUMyMAKzx/tY
Bf2iSIa3Sol9rinEyCMVeoCTApa/JaEDYDpj+jInllJDkWXEsYwHZhF13a3XsASq3Do2vVqDjFyP
FjQh3cD9mVsuvESZk/7rDqeslJytCbrcuM341jfxTe04r3GMyVzXbrTKfyl82MOe6BwGfQILbb6u
0uCprgBgxNqwDz3ryZTBO9ajldCxo0meJcydK0JU8Khj5RVcL+nMdQIjR5j1bSBaUKWz81WefbwS
CBtLKCwaluusDTa8Kd0SWNpXmB7b2u/Omk913oY/3Nh9HXM2f2D4AFMKcZepTK0Sfk2vgQxZsotg
H1tGCtvRhOcJNhQDu+E9J+ARXuqzMy+gjefsmxiUhXQhNeta8FS4ELXpzPykg7kbPWsnOEeQYm+x
ShKijSKE9nuVqrtJA6GpovwWDvudbUV3Dm1py4L5mxr5bixnm0zY8QM08SM+qXOeADxncrtLFGlr
VB5vYV0+I3vcWpa8bQSGp8bod1JC+8yr/q6j/odxZ63bHic+9TzWof69GAjOGhu6VIGwVtZQQae0
jtlg7fO0PLt9/zQAnLAFBoRMbbsqPmmoERkmyBUv/PQLktblDILj4kstOCCFNkESJdNGw1aPykj3
JJeDl2p25hDf1lGw54x2bNOpPAwNNEdKvfXo6PEidnNiyggNZr67DjT5mGXpOerhh6Y41Di6rkoN
QJeK1T4BNb4AP3RTY39ekAx5cCITT555Sd3iMZuiO5xE1FZ2e5yE+ZVuxiOtwEfZz4AZ+NA5IVBI
rFpogkJBAeh86JfkDnSTceOgIl241fxPDirAHpxfakPscXEdpyXSgiwvAdbwaNLBP9dY05Y4UVZm
47yNerxpSX5ZeU64t8Lu5NWw2/v8a4K0e6tk/YbW55EUtWFn8s7Uo39Pks4hpx21IEH+vhy9S2dM
myKlDZSOuou/z7q1jWJlRbyBWSiZLznajWlH7kal2YvD4OJgB2xXbJ9rDsHnPKfGzqMzaa3mYqqy
nxqfLzYjWHQW2mETcArxytpaq/Ndq8BsZo9xWDyFIn42S4D5I+AT07awZ0hqOd2WZ2CFzdocAcU6
kRN/rUyCNTRwc0OPC1LlP7EGXTRfVhu7IUfOaJ2T1ZUru4f9o/ziNu6Id5vhbqXWOdhCi4sgp2+o
LH/FvuyzGejsQ6G5NFP7UsBFEJrH8bJ9IboB231OFAGgammE29GHomPHXrJyjf5es0hHGfLyHQAu
4GttD67uoAnlLP2m+QoSsl3bkUZq10jzKjVCuI3+nGvgX3p/uKU9/CMK41VgJjuTAHFZtZumU4/O
5O05decwjfBvlpr3UE4+fANxImKBJqYjTp0OvMsK+VIxeBwd/4pK4czXLfJnI9VmL61NkGZprIvU
8Rak42mrJmrOEfR5GRhbDbjaJpDpMeLhwKIC5jB/zQH49wgpUjCuSwO+b9KIZ05Gl9YP7XeayLct
HfulJJeP+lThr7WAg0ZkCzpTtQXyesM5eyXNKDiFkVzjTTi00PXQBHMaZbYVZW8RFKe4UuQboFJd
hixkOv3IoY9wwqVi5U4iXCpN7LKquckHdQxsk0qHeSVxoivWxtVoTsQ+BM+ZxME+qOi9ddhbs4lT
hFb7xGjwfzuMe1Xzkmv6O/HSQH4HIkmC6a71ga8O5QX59k1QK3I7y0My+QcB3jQcA0ho5fji6cXJ
yKqt2UhqF2ujgcuQUxXsnHF+okbVntwpfk2U9Z0Yrm4J8tiDOOAyHQvtlaHEa9pnVK/dsoUykfCy
E0RQLDnnntww+UYIKgIzH9GsUisbyM8UG3dROHabsXIxx/snTJEwyiPnkWM9pY8+Puo87VEsK6iv
Kl4RoH0MOa4v8hJE5Zzf42T4Ul3q9cB8q1r9SOf1Ke2IHyUIZVpW0j7Swz4SOuOvGys+OKrdRoN/
Sg3vFiA1aqP2Z93QG44c80tIcAxh6gfM7NSc5vc89FCQlPSIMp4jmY03eoVptEo7YjOTHUplYKtp
GJzzBjAjpnQ24HE491rwYmjWD8vsvlk1xyqZi7Ouul1bueBle56IGsd9ExOurt2VKruLDLwOA0k8
qG5RIxnVatJGQDwtHRng3WYOPbvJH6PIeGA3SleEV62SGjlLag5n5Pgnsx02+SzhG8UeO2C8jIL8
XXdyY+mbzlMb6QdyYpA4FizPTQmM1muBEivilvVeLNtKD6ifKS/C3tgqJxlXpZXjukwouaphY6Gh
kRNzMaU2vDM3gSffCU9jMYsi/LDBD9NimB+mKaGfgfWqVZI4p+DBbvSFsIcRxl3LgyiMn7YPpQuX
aYR0f5l7wyX04fBb5HZm3fBcC6yh5Elo+w6ueZ9bS02pM1ZB+EQ1ifB6duckEx10aFHw5L3vInSe
/ZIXvhWwdiLcwlSAhX2wffmjowhZNIFxgB5L6qsK3rQ4qZfYKKimyK5bqJZDSSGCdTY2mGnbOF1l
NT56HfpiZ/TngaXHNYrxPFSNtTB7m9cPSY5l96D5UHWtMrJF1kApHrUxaXH20rV0QTjaCb7rsCzy
Naev4xj2G1mAUAyL5p1T23lS+kMUeuSTJQoe90DFO+SPbTAOa93K7lh1yAOQ+Vc8/DuyO1tQAiAT
QjgqC0tv4Qx05IXSJLQs0D0jS2m3N9idWVYRn83vSTR1rOvll2psOP9m+RJHBhEZ0ryH23tEn0en
pbXvCbLkkaZlUNvyjofjuzGGx8JuVmbL0QJT/Lr10pNpdqfEy/e2iFcwyCBdOrdTr1/EUD31Eqlh
btzpTbZXefgFHdKzk/o4rcgGE7oF4JR2Qm5pu1o315nT32AyfRx9Fqey5rTOM0cJvCa4CjHmeMga
C3zahHbBaR57GmdZXj2BSFxVAZlLbuWcRdTe+3X8PQwgv3nR9CPy4h1Z3OsQnUmNYtjWtGWRqpuI
aOjQMUgIJJ7Tyry7GLBLrcOIJEkMprd60MvXyEmGZey9pFAsbdoOXAdeZwul1UcDuOkZIyzLEpFJ
pl2YhUF8C1hyyuo9RW22ghKrEZmrT+toxMPlTHMI/VTrpK9pah+MxYb/gzmonfKNGznAjPGiwwBD
o2dO94FJn1WKl5pU66HD7jU6/WPgGY9aAWqiNJITs8B7KETnMdQ3CV5zy6NEzfWBUOoODSaZ03Gh
LkqVr2hgl4M53gfkgwaTs8pa595lf4Cxe3Bj65QZ+rGFBGEbxHoiSt3YOscANzh0qfgyQk1fRkVK
J143v5bRnFgb9fsCyj2nDJteUp5/pRG/8ei9LjIzfEl6bVdUJTtxaMsFP9qvYgAftxzXvjk+B229
LboZrZOaG6f3qPcSe2sMxBG5/Cv45VvZ1GTQKKfAL5U+QebZG3SVbc3ZOWF/B9rjvgE6K934aFTu
Yaj828yyLvCYHjyz+mkY3lPqoKnMzZsiHS9pS2jEABGHVxXfH5G8U7KsUYu1Bc7wMN9ESf6M03BV
yO7UeOYS3MZuMNqfpd1z/pqG50gQX1I61qPv4VLEPrTwCalZRGMLNmfYEtP5xWe70czRX5FVOBEf
6xskCTkcOKmUFy0SkoWdh8+eqA5gm5DhinSHsXtcDEW7DYqBYUTn3qHfXOYGw1tB/t4yoSBfUM8x
ZMug/RsC0yqnydkBTAGPHVerjpVJikhL+z80uRlD/Sb8mvKFQAs60k1HRlA6yhufUbcDPr6uulUe
eetknFmkhvkd9gdRMElmomNqjjo5Xr6iuPQM6DVexlLnED7lymgZB91dEDRnkGILMy8vgaT52xXW
ooi1d+Fmc7fRP2i19qXQiu80sW5MD8BtF8bY9YN9VxHyAT70EvPaRsW0z+uJXgjU/1HX0V0ifAp9
ClKSycbmC+Nvf0nwGUGhBd2BNL+MI2VzJb83gg5gVhd7gtd3FMsg6Of8U109MjinmZU/O8L84g26
BeXBuk8je0u481aF1tqJ3C9d7v5sZfQtYbhUeukO5VW/gHOMmsQK93rjvZtGdiM8XyzNJH5MBh2Y
VNh9iwlaxHD+1gESFSZRJbm5CQJxzkn9TB3jf0g7rx3JkWTbfhEBavEaWkekzsoXIiU16VROOr/+
LPZ9uGdyBt0YnAYaKKCAiggKdzezvdeGaJG8VEl8NwXxRkqR0DVHtKWX+RuAnB8yyIA2slvmNJwr
yFwj8EYERru6tbaTFu3mNwMcynujf6uYFK+h1heJUtm6lOaKQeVTkRDD1RODHbdQN2Mtf3c0mGGe
EEhawWzokbMPKj+AWD7dKlJrlmjPUfDp4A9AvKLLEYcyxveQt+LJIFPEd6MjfOCNBPNB6ZRoq1iz
36wWzaZfJgfmJlfZiU0YhxVHgXavjXaw0HP51Y3uaaxMnRCKaZFM9t4wk2sMS2iTCsZdjkEPCfWp
jK5ZGDFP8UFsNWsiATbTaBwaKKOQs4mEFv66L6rNUFrryai30I0DniB1NATkzVmEQKDkYD93rnFX
69Q/qiHjT18Y0tupqPhoNLkDhbNOEWVJJ/hsUoB0Vu2t49ajSxYEV99NiPzoP5mkPg/au/AN2kos
qly0Y5KCWubdIHZdJVAUSd0rW2umFLNj1h5Lmk/KSMCRlRfLHO0fKwjuoqTciZbGoaT46Yr8sQmr
iz5ouKSDcZHC8/OD9Oxk5tm0SzYxzJYcqIo4fh7A6shOrbTQedEbuJ+cgkgoWLXZ8EWh8Mcf/EvQ
gP/159lWtwWLTpCh0MCvgAur0OuX6XBMy+adN//TkPKjhWkwVggAo2jbCthOXFxY3X76x+UVyAx3
X1jaI5seevZiS3TNugymW+hhCYzTje4SaFYaN8mMpHbQ+ZjTcujZJH1Qa1q+sqJ0447xxmq9pUb4
MKL0Zdumn07VACcddn6dfMS5f+in8b0rvkSGWSbQbKi85RLxNXMKMPYyrxh2kD/KESek+SKmbCVF
dnToesGTAhUVnq0B7iwEMx1EZ8V0VlrlJk7MTZsM52n2gdjV81TJdaJhELcJYCLxYAkztIO4Yd1D
hdwRJr5oB6KISiAlTsWhCdgv6YVMYDxvOIWwsk1yhcHvMH/1+vToDs6mqPi+Hcfbib4B4Tvnhk1a
R//iRQRDaWLfITsxkcC6if4QRuMPxgWWQ4AlKaJ79VqK6Gz5HondJPANyrgMk3lfAUyDb4wjQTe3
kBW3qZ+DACWCQPcuFkPlNSPHvZ8SMNcFcHx7ojGoKez2jlxy2CkX+gBhO6xJZHlAeHgK4+8SApWZ
Yu81KU9N6Em9pi6KwpCB1pujP9GOGG+DxUrTtA65FtkuhAnXEEUyBdV+7AT0Gw5pERlZ+fDKQZLk
V0Fx2tfdHzDzNRafvoWx6F3MlPqcqQJ2hp+x99/ypAwPZZVutC6YW34HZVhL+OdYk5GU2u19bWln
0yX8GcX/LQ+7S5RW33VGI0TJLcEbbFuEzgRCfsYTnLSgv3q1v3E85wBg6BR4fyoF0r+Wa0s6r5pD
vuBIyR6QZ4bbu3/0WvuTRj2ttBFMs39IVHI/C4AqTaPA6lmbcuIonisNKxwEkGajCw/kLcfgRuse
TL96GvTwlVyb8zSn+tniNvrBwzRo97B7dhKUb2tYm3Zgwl1pOwW3qY2jJzsIbhYtcdMSJ5LfH3sO
4rWALS6aqwXNOI19zAwct3pXXXNjPJCCsIgcOt70e/S6eQjJ+KGFkqxM508dlje0oXtlQm1Fow4V
9imbuifdzO4n4QME9g40fhmFiAeVRjRCoifmJmiOqv5P54p1abcbJcyEkQdonijetZF4YMTF8qZn
dyyCa21gbjxaJm++BjRcQwQdCQwaYfBClkW1tWPWMHCJ6F3LZmWHySFuSMhpAuejaxRoe0k7fV34
LV24WPnnCr8ZzQZOHmHqDEfPAsWdk4PO3xbcWJrIDOhoramjInRB5Rw0aG76bftBLMGX0oIjB9V1
bBQOwn+02sqO53SMVSi192xy9gMRUDtO5O9971wwVu68kHzBFrty3Cu1LQqXR4JusSmcs4wocYug
vJ9I1SiG7L7LQ+KjbGBPbXZI62LX4Hugfbr1wg79ihIQtSDExl1z7xjWTS+NrdKqkzdgw1D0xVxM
RZpWPuQJ3Dnh3AcjbaKwv9Di3jZ+bd2Fnh+tCqdibhCwHogyRWBBfuMCdhNOEufYNuamzEoGAdoC
KzHHZ3ubFpJQmfLeI0tLspc1otuRNvkQurSbyTRzku4WlcTIpFV0LAuQtLo1rIeC1b6qbfRmVZFu
YWEiOBNJEhwLSLJ3pj/ZjzLLg30uw2CrE7XecUUJYTCMsVzXRvA8WT1sNYnD14fZZPktbZ2CGzWI
zdCASLaY/iX0AbAQabm2tWA6PaM2YcpPWWvnXOO6cgkfc3mig1p1H4HRfAOq30aF2LgpkSxZzqYx
Y7HJ5qB9c/bjcd+ZjDAGm+jl6lR8ajZMOCPdNA3qCct8aexarXS7fkUnyciDU1LLXMFMomublydC
4xYaQTB5+9zRjyuD8EVBMGSBWXtszR05ppMQN02CIQ7MG1n0i7CrNzaJ6kE1MIsVi6l1t1Zi7PM5
9ZczdAtGsSeyDMJvzCHWurmk7hrRG2A/iKxMBOA2K7daIxG6BBo52j1qhZhWJ9CFPbDpx9TZUhMx
9ip42LQsWsPOXUeiWukFiEjGkr39kdQ2ncf0VFvZlaQcSnB5EuTu2Rh6lpZ5l9XsPDVBCiuCHqfF
KLN7Dx/bonGqwygpJglOvSDVxTfkU6B5TJaXtgXlNzOdWzdO19YJ9rrUFvqAvq3mca1I5hSeS9yx
+VoM/tE29S/qiZtCRgB5cSM0ecE8Skjf3JMGprcPG46pBdKZIjsz2p5WhlVSHFOomgLqa6Y9aqax
BnW4zNPkmPMKAv7X3zRfAtvjTD9lZMz07mthMWKMjPhqkksrBzKuA7WBmHib/I4ZF076wQsAoJMU
XTHINUfKWEpbi7J4RPIiM85wMHiFrwVrNPl7OibjNzsCNS3AM/uniaTXLpM24IRMel70VYSa/UOb
s/iu/S57h9I3nh2vbWjWDSp7HVDzA/lSoffdBo6/s90wsmGuVaJ5k73Pn7VB1SRQo8e7FJwhz15a
eRLnnUcwQQP4l3QfTZsOQNnNAzAsjlLScowK3K0PD7ay6Z9NeVk+y0jGBGB9+8G7pW5h4ZLjaO7s
MPwWwTN5JWDY49VU+HtvYMLmRB0F9SCXneou7sTppOltgqRjLsIof2jgfwGhekzGedbZdEcOUOes
q5/1fjiRAzAnzwOFjNUVS/BSh+rAriLbpTuHt8Cx2tRiXKcB73xhr7w6vmAW3dauBOmarD0CydQU
3Bt0fA0bgHZn6Rte636hIppIamJCWDUwAvUPj54QOD1vmxVsbml3NdDPLiAhH3u7f2bZp99T77qK
Yi/vzWrZDM050rUPpiFAY0k0HV2EGkFGanCPOIbhtE6l3aCr0ugsQJBdMxcO6PQX74bS/9QwaxRD
Apr90DUZbDajvKV6/on7s1jHPYlkKRNSJ/oJmPt2ULqGEk9fjP8yJGKOkzWI201Ikl0ttAUeq4tH
NBFuILrf7XBqZHutJ6qjkFLS70CMynrjCW1VM7MWZc8Q3qKyUlsNtQh1NsDV6dIY1ovTJ7uqCI6a
Hq2NUrwbSfOmygaWfn7hDfpq/IxefWn5a80JFr6XbUMV3uWj9hR1M7qVlSdRpKER8ncZEkGC5rSp
G/991MyNOwc7Z1RynvEY+9qzZRNBwsiIX7XT8AfGublAQLtsbTKNSfAlY/4zL6e1ptzTQN+bHZw9
L7+hdISOLqNDIkgElsaiGOKtX4aLPkjrtQN8uQ7KS+CIbekRu5FqD6Ng62nT6DhUnLoLwPI0EiQ5
xqXeLyPFRxT09vv6atbuis0vvUQDL3BOuR1XcmWirjUxbhqSDpzDUQMo2FmV+rcV+ZzDmYGXzYcR
WJdCqzcBL4AiDoxoBNoH2mrwiydFPZvJdu+2wkafzKWIxD63kPjZqOfx/t5ZlfFUd0Rb4YCkjLKb
YzrBWY0z9MLEEl2Qf27ynuUHzOgij4JDin6nnYABkufi6mh6ivCNX/VcjgVSEAaWk3eiKfSYdw0O
LOumWhLyPHUda8R9OR3sOowTGjuoM+qiO/UoGIIpuPOt8E9mZIRfNevQTZbSDb/7nFChoVLLtG72
JAefJwCSgUCrpO4U8AycQ0vUwftoCI5+0a8zfWCmQkPCZ3Em/OyYTRa2zxYLcGH6p6mi1195d4No
jm5TnBKrhgqA2jBvPuw0f/IF5ra+bst1G0G4F/NUi6AMGyEztqB9wgCJBC52K4JW6KPctaP/rgMJ
R5y0NKzhjv1jM7T1SqL6gA/KybpALUXgAKbTa0hzQPrnVitvUvrrSHm8vP5OEABp5jO1H7Srn7Oy
h6m2VhNhZxS+nQN+W7jrwSrOXnMLZfGIVTjiuShfOODPMigETcQz1B2H3Clyho0QZNrScAbRy+3s
gj1TtmsgIRuj8Vm4cbs0SFw0wuCuxt5NHwB3asweJP1iIwiRbqrgGmqvlettqxCCKLxiKtBk5drm
plHqcUAug/MvxhCoDwCOi5RpGnmWyd7TdGfRYNjVh+zacaOTSN8VLgFNLY0iDePfwmX3pkHE/2SC
GbFxcEb/LQmMO6vXVigUD32PCBCmfgqOYTmZyUuGOo348R1apNXYRze7staD6XzUtXudo9HSDuw8
q/ZOMGYA/LwerT++mTPoj/gXRjKUGC5c5MhMJB3aVWMBMBbhld1kW+cNq4S+GMdkLxy1aQZ/W9Ow
YRdejeUETXN88oyBMbVowXl7Wxu7sd7UL0A9E5Im55YEqaoEwgVRuqQpSJRReCD0aVVL7dVO7Qe6
U1svHlZhkG+DOaUQx6vk6jth/CfmMAl9hcyZvtrFs4Su4IQcSGh3fYgAtv8sGiR0fapuyic5Os1W
kV095pSFC9nYR3geSGSGc1BXS71prqSO30/jjhcs2crRN1hshc3sWacJ+dj01ptjjB9+xIhE0oAB
qI0EOHk0HJL7wB8hyww95hUe4Fg7ugRCu6XK+RlHeldCK0dUUorkU0r4puWtGdxyj8vhWAl7KxOc
eK3x5RFXscxm4eusEA0lsbXwjel5cB5C4pUz3mEcSxJql651XdxhYnkpzW6d1eWhSds9+TiQj4pz
rjeXHkhmB4yA1sNXmljA1nlKRyoJle6GRGdWG4hmMSjGt6WfH4Pev5nhLKrl7CO7w2B32Mot+aBk
9MdLycyTLrRmcC0cRoTfv5UaaUwOiLR1bwYvtWPfyri6ZITJmaTPJZjScdK/mzYo8MCIwDvzMkcd
yr6BN3rs7VVR8VzQLf3IkAQtibVkRJBmIG0rDgQ+5FzaHALciv+YGOU+MsOdS6eXb/3I8OdDurTc
PVLVIcVziEZo30Dp1jLrsaBzunS05jXx4yP+oFva04XKAbe2JvB7eSJ5jqLEwWjGNP88CtgHJgTE
RWloj02X/emdgPFMdGxNmgZ0uu8TL91giLvzMWHoTn8X9ngsJyz4oGoQFpMXXieYeUtiNEb8sega
OKl4DaDXeFb7dTHBES2CxwnVU9vaOl6iOt6Aa36wBpDUOQlwK1GVCYhiW23BvmwbRKaIapDZE6vO
XFvFgF9b1RdLo7aPsY2Mu4abi2srWXJGPAQkBC4dPCPLBvWHI6svwoR+vOHeDRBwIOvjd3iPTm4+
cP45RXb2U5XDBXTiQqliHbSSQtz+SXGxL1glriFiApw3yAWRwzUGAU01ajpblkfTbLqNTKJ1GzTf
cQnWoMw7NouIvCgfIis6QyDGI23ARD25qiPypytPciyfVOaSOUyXu6Pvyt7Vumtt7OZT/V1pDlcH
yZGo3Ijx2nCwIzffCtM7BnMIceKfGR8TkqpxBOXeFoIWhW2RDmF12WGAcL2YOsJo0/DYsMcwLrqY
rGQEuYRUUuMJZMHGzKDEhfobsQTlCp3Vdmx7oNw+bdDgDUfKemitg8wTjpRz9B414woM8xcNEqaI
eTTDWS4V4dAYeKudKwyU83iUNziSWK+JxsbpXaMtYCqWTMOCedM29sSrsopnr2GumVfmfcoZNxfZ
kz2kK4nXgyu5LwuLGLjpAcy5vRJuoW+ylJlKUK0Asu4tMlsRQylszfm2CLxmC45+vusWamP7VUgG
3QPJ2GZvLwH1XYK4+LDYw1FgrROqpAwhLJiuz7gYzr0xbFI3vZf8K3D2tv3UbcCWPw7kgHYx8dYR
+UWZunphe3XjkgrEueMwyP5pstMaLsdiXHdZ/yWk+im7ZNsO2aVU6f1Qo5K3PfHiMUeD87LRALSs
TK41S9cZOtCxR/ncDeoRE8qmbAeShSKd4CRe1zjVP6DYnvWkuGOIuepUdmdFOXerOiSd2DIkpTmn
H6fUe8l8kOF6Pu0KOzrOFRDO9GuDMr9u9D9mQF6gP/zxpP3ksjsQLHCuhPNuNBo5GvZZ7/wf6OPV
bbIZv+bR52iQsEzzkaTUyxjzy3Rsh7rfJ4vRTRH+KQgpuOHYzMqHQDYnuGTDviDQcI2ey1wkVf80
DDUEbJt+f8ZSUFUozm20fm3xHfF11t3QHaoy3pKCfHRb95L52klDsZPWGtIIp96bUfWnVgED7Snb
ObZ5JyMP+DJMcvoDAcNNXb53fE1AibgOiupo1HHE0c3/KXIJAy97b/XxFvvFuzYN8LFArNDeGivC
xTnumQ1r/wR+v5jwSMvOfo14DBad5rmrntI1zuONrUc/eqYTMph/VymJ1KK2nkoD74vG8CvVjRuk
KGqXBvRUHZIsLBFzCESTzvRBwfpU2tVDrFfmSmuHW2hpX0rZz3k/chLKnG3H0FKp9qet6Nj3uv0i
LITWtIlcsg00q3EwNtePYYm+XXUPRUuJjzPn3oO6tp7iDDK2Zo9rB7wiwWrupyR0pgys18gr9Z2e
MViKm+mViO5LHRL/kVYvVaFBss0+8JZw87Qu3VR68e2XwWPW6xQaYbKS7XQOrWY76cUhdBpSN4yn
Xuaf+G+REoT7QvZyM6XOWqLkeTAEexJcToKKqcAaInb2BSbltRjlbqRf4Ziwc5ORA3bYVIqTpnEY
fF9bNWmJrNEjV3NKfFwNlX0w7e4+ia2VMYzkmxJVCLSH5av5mYZhW0vPROKtmGtIij2N5tx0EDGK
Go+FgQIcLJobxnwDYJtu4+zsHFxMba0c1TxMXvTS+imktIyFuOnl1qzkRiNLjVhARLCEmykAfQn7
PG3J58ou623ZUOohuCN+vCMjK0zU1sWERO2R/dSjSyPKSNCjoOMUYweXTXSvbRsd9WReeNPmkPbZ
eoicXSync4f+PDQZ9VUxzS2F/DdnSmQb+hdWQqiu1aVgEDI08sUmz5dzDFcqHMvDEGZnY5Rbdv9s
BQ7m6tvOOirr73QWBHnDhsjHNYm2ghKH7ZplzSMpkOsA6trJ2+yIsvPVqfxLFqdfuqPID1NEMAvQ
A9De6yN62HWiU7LFiP+Typu7bQb7uWsejWJ4UUV3Mztrm1r9fZbJFRGXF7dQvBMjnb/8wSvGZR7R
Nk+SleMiivJDTq8psxA/apnUGZxQhTWT8bQZlAe4Ih1ebDPc1IV1sgpGy8ymaMFtTISZDIL9fRbH
915kik2qT+0DMgzzFDQ5yxcrT8Uzz/tOPqltnXA67CiT200J7hDVY4fsDR3bStXdOUtp+XXEla7m
P5QmBV8X7iqKNMbq6TFHkrNIvPpLN82Da3trqcW72kwB2KUWoYeIDZJYHhDCBZtkJFRMDk+6W995
PMULO2EoqifRZ2r5K6XHOxKBK9694i2g82d25uOcPrCKPczymAiHhUOyHVpeQtVVfPN136WZhQK2
t6drGAz3ldDIaafdA4+HZS84eroAVSGHdekgRhmT6ZJ79pmOFWla9hKS/5VwDpJJ6VgEZM0lYqqX
kTnWQABt6rWWIw4pCgEci5Eqa8zia4W5oIGMOKvl7b7cVWg8CWZ8KkFZE4a1I2xia+TjsbGal7Zj
VuY43tEzx7nfvas1XCxOc2nJJdfthlsitzLObqXrY0JBRbSMoxYrEWCnwDKvCZoCHu7s2Z2YEU2D
82I3yI6xFdwqxRnQNHA8FE72kQZQBC0XHAlITrEC7b2pjXGF1XmDGuSpNSqoSK7+IF0x3zkEVwrD
imy2aW05lBYAWHKbNFQvevfcam+Qmkxql85woud0hHOrI2iI6aZEOmqp/t5gHV8RuPRMwXgtPXFK
wFBRGmon6eQ/zCNyILs4NQVOBskmC+vPAx228mt7DrMud8WEBt2X9z52bMJQGCWyMm3YP7fCSB5E
B/yyhpCxR7jBu6tX8Qa/gEYrh/E7mJJdFvIjOLLx6MWumMM9TlzLvdMYWyfrHv0O5AnIVDJ0yoMw
FWWReULe8mXr7SuJFUCEBW6drNVfrTzke7LYWhxLwyJ5VHPKvEKYk9nG1nOoZAPD2xSMTidJfW7Z
by5Kz0Rv71w5x3cWzQFtxFZGc0Nv6MCFdc1nJVBThyGUWgMxbaRH5IdpUbdA9zUsNJonjezPZQ3y
MhcmfR08o6y8I8IqwEsrI7VKsMji2xbsWQmDwWUZR9B8MqW2Q8dJ07XlH4ftd9ExpekhKlLYaywN
zRXWIkngbOZ0PF+l7RG8N3EI7F+njhPB4JOk2t+i2RHbRN0Fd2i/0odiDexziwb/LCjcsIgyBkzb
57L0cQ/JQxiOz1bvbTJ6757sUCmZOXmH2lVLu6VEKuea48kZk8++TE6dUrsQvyp6fEhrBY4An0QQ
fb4eXrGtonbakJr8lqftVi+0U8VEYxtzFEC6J5909ODLuimthSPTDycl77zE+hqr13SUK6Jz5Bqm
YL0gs+FZdeO51BE42hnYaK2YhXreOxSIrzCqEJr16tsZrReOfm+RSfypOyRn2chdkhoPcqJ9PFbD
F2MwUqCL8UcfLbxh9hNRg8NiwMpEm1Ccazw3OOOOSsYYHzQstF5DypreUKgU8wMbDpfWlOtQGi+d
zM7EJWyjVl5FVo3LVOkpelUtRFpC2RIKYsECw0bFU29qR6GVku86gsCC2ZDD5r2uy/CWmjwhidFg
CvU0RjxECvIqxE+5sB6BH76mpk6+S7sFjHk28llhF4sQSBkgt3oynmMrHRdmy9HA7Lf2ANDPIopJ
kjmyamdZVVLWVwQnNDFmHqVxlU56agu9WZFUdabvfzRC814PqFT71uAUUrmHoMweB5uZGCmo91Mb
b5PQu0wF2V0F6rRGuIiGGBg5alp2BBThQjrEcqRR5UVHoKZb17De4C96a6BF1wwFNbJUGhTBkN/5
4juuGJuRW/jHinEtN4iFKXmdFG6RM9HoyL4DuyxWeqXfh5ill1lvs0FVaEdaZsHBrGiR7OZEFiIC
a+mc2z1t3PRmUfcwu0JmRXTNjtbPQQ3Bo4LQZLpMLsnvgMqwU3OcVypI0Sx1BjqNeG04HceGeXBa
bTHq9s0lbgjC51EDFjdI40PZxXEK8nVuW29W6+4q2/hSXvE8JvpPHZqLspSXNk1PWjG9Eulw4/l6
0Ng6nDo96cFAR0hbT9gcsqC/tS2b7aTFl7E3PuvB4Z62O8Nkzl2Gf2KHmbyhT7cGHc4i8OyfKGEt
oFqnwjiifkMzTQR11O+YABySlvUwCALayUjsJsFUJlu3FWZlzNwAboOV1hiflozOIcPbcfjoWe7N
Kj9zlHzy/OKmJRbvHCwIAMcPfaddO5wKrk2GPUWSKOlKOlP/GuZA+/xi16d4DwLvFrnfZP9eCRPd
GfBRVhNX3+L4F9e4jP1BvlSmcWuoU4oQc/NYviVRdzaxVuPAbNFhMrxqacf4nu0sowKrbNO9pV65
JvPkMUzklpH8mZ5NNK+BZxGqB6u2HuugIgU3rW+aUg+c0cdlUtfc7MSj74F31HbFDQTcrcyHD59h
o26nVzIbN35XMKv2cDHlUwe/D2l11jNCbtqT1XlXnpVTJIxtBHzp6IcShkAy9Jt6LJ4KdgMvE1vL
bNfoCpYTKKourr8IT+COh8ODa3ecXaLmq0Axa/nyLE2JBZBJpG8IwmvRqAt5cZGTrQfWJQ7CNA7Q
gBliPOUxuXYhT0rh08iIXeRJwZtGe1ZrzHsoi6ATRzz1NqPi2EXu4z4b+EdpLwVnqUegHr3pEHf4
eQAzvHd9tssdQc/XRGcNQLgys6vfswNEalhGIaLPIjlhxViWgUJPgaskQalRTf671KpDJWtQOJzs
ScFaB0b30Qt6RHgtQS9E3baI4qvnt9eKxcBV1U+E14onrMONagwnt5ePFl/fRpLVGVhEO+vo9+a6
SelSRW6GT7Te4VXH6aixItUPDUUA/8LJyFgXavPN6QCmWdEZv/Pa4kQMepQY63TGTeTYs7qGg2xa
frRze4NtCV1VvBszcBZR8BoMycsIxD8PpzWWwL2C6pcRHJyE6oLO6pW551H3hkPn04iYBUMR63nd
ryNGfnAG72gbM0BOrT34sM/aKDd6TxAlL7DD0E9vjGDpDPMFyLJVK9NDZhBrJONdlhKSZjjXxmBz
Vy0g5MCLEMTaGy127rO8f8HM94L7ex/bhljh2L/gTNoZhbeq3XFH3bfNTNznvi2fWydcyprnt8jp
iwbg8sxXvda+exgXcRuveS5JWfckLizy7BnO7mtijlm8702BBUSQxaYpHhsFio4eNAe4ldfRddUr
YxsUYs8H/wnGHFtGjazeZDRY1Ls0+Eo99ePpCXO16NzaxjLXsNd603E09dexsA9J4aNVsnahVI9d
hZI3Ho8pgagofAsEYs67a3DfJr65V4K4y3UfScbAGUv05iHAQ2YWqLEyC6/x6CPUbn1kaf7A19e6
k7T8h55j3ESsks63jpgD2zIh99pljdJYx4MlENT1X+pAMrCXgnmpZ1Z3qiSDraJgbQhECxkTW018
EUS6ZqF311vRQ5dZW41hkFFUMKA7xOUVK07xpRg+AgHfQi68JVG5V9NAfawVX6ADnBfe6DkPFT+5
OT75HFpBqeYkjrnjra55VD1mNH4g1gbVYZQyX00Erx5Hap7cUqJM0F8pCqEa6JfZoAB+ZB81OvJF
c+UE40p3Y9zn+sAKmq3cOvjT5/ljqiLGVOxrep1x5eFwczq8VMkrFKhdahgrpyeP15tupTYR3a7e
lVREMGMUwDuPnKHDzV32JNDaFNaEvpb2699DbYz/gJfxLYINLeTsJuD0X6Aitwd/PKDSA5HBwuJq
HIqNyJVr2U1QWkzEE6OasUlZJMRGc9CUKz2RX1S7M0KcRqZOg4LYYM/8B6TQL4KSD/fGtyiFfM+D
4qb/ztuZkPSwGNrTzuOcjXl2qGZQjXanuzqGH6NmAvD3l+I/8H18W4chZbjBTFn8dSWCqmWWyETv
EMCKWE5GBdPByTuE5y02Cc109r7bav+AjvsFTvrrV9rIoOD++M7MnP5XpFqEKIIYtmbYDUobH30f
R0w5erMSsAHxkUZFfcXSPzDz0f0Fcpngv6OXwozS9WAm5juBC2bI+sVPyofU7xJonodGs/Cvq1Y1
nJE10T/+lxfXw5jiGiZJBJ5n/Bs7PHKbiOxuImS1eWcyK1uth7KuH5zUZ0WHVXbOCZn7hzv6b48Q
Hzp3CmwH6ZDl+7+YtxkFfRFPsb2bolyAxVal/+RYUU8MeWTUYmE1svjz97/z9/vE0TKYIx5cAwYh
TabfYLR0HJFjGHl2AFwHd3FI801PxwH+Ia72gAuzdi3Gp7XhYpHUAPVNyNFYd8jFtWvEXjkQi1Vh
s/z//Rf79XT/v+8V6LoNPBZOrf+L0IWbk80VsRye2pr0XMt4MrusOymnL7dZn7hXFzPkP7zCxi86
118fytsL95d7MCty/vXpnmqbJCsGwgcZp369BTBc+cmiwPmcrXE+OS++3UXvpm5w/m2AzOLz7AzA
G4SvH+shMT/T0URm2ZCr7C3auTVBOmvqv//XlwaWoY5xw0PFZBm/Lk2BUyLSkio5WAWqMEML7GUk
R3dB2fvoYf9debit/+G9/w9XxtHJaQDpqjMZc39hRw2F2x3rmT+rKIJdK0lpjbUImSa4qee//3m/
3oK/boLPu23OnwQE7xdAzBTa4BWmTA4mSqxoORSufct1i5sSpsajMEDn/N8+cObUff7/DMYAeQKM
oJwcDEfhhWEE+RAUKbmSY9BvlY1K6+8/799Yp/M7R+gVCE4GWRaBPv/6gWHTVBYhxxgwclQ7TuYS
MuJUGMsSBy+ZtMXawjFSpQdXcLzqM4Tsf/8N5g/43/g7vgBtW8NgZ+Z7WMGvuwl0v0gcrNIHIwbt
Qe+zMnJmJeOo/8MH/Yd76bB8slYTQeGCeP3XXxoV4Lm9tOXwO4xkufrFdChkBnS/Kr0NxH7vH97g
X9vT/Ow4Ph/lA9nzTfhz//p5mCUwI7qhts/HnA4Wc27gSRC++jEMdnlHa1JlnjxaDkUFvrn4Hx7d
/3BdXR0nPv/5xM2Zv97MMc2F8juwgrXGGJyqfe6zuCGj6X+4rvMj+esGsjkFnqmzE/Mzf/1OVzBY
RmHD6iha6y9FQtsP0dKEnIIVvbkzcKw8FQyfXv7+wZl/wO/P5cQBUpXtwv23bbFAjDLR7+VzBxre
/8PZee3GrWRR9IsIVBXza+duRUuWLPuFkBNzzvz6WdSTRQnduAPMHcC4My6STVY4Z++1Jcm1KERw
zJRWae1tEM4I65B3nR/0s2nZsgHkwu80YANbi++lY9eN0NyJTlmmUxu0i5Ykc9pN0BtwZqZ0CFSY
XRFw4B9yclnmzUcGQyd9BpZHZ8RHZMuxGGB4cvGH+OSFg1/Kq23YfEuOpd6/cIHbZdIy0+gETbJ4
rvzk1zARBQ6wDLNZnqTPtKYjxJ9s7CN6HRdmZTnvCJa/B8uVUJKlcqabvh8+JxSqca02OtVpUbwO
rfJIrfPyREdNMuk/wsrPE5LfOiSj+YBmNQ7F+DPErf2oJsF5RiuBsrQVbakLH+InH77174UtJnFD
Qz5lKhWdgPO6dGcGDFwhcfJ+A4K7BcG2Of+OzH/f4kGweWI+o78J79KdH9Q/c3itZ21J/Tw8NROa
1EPSjeqpqhvsoL6RoMA/P9on37mt2BlSbuNDt5YvpNDTMRgMEZ8Sr8yf3Apj/tqckPH/H+PAxLaA
QpPiQcvq/V1VCfnohZ2Tnims+B4bff5a+L1/c/5uPvmtbHIpOVSZpANJsZikDdZ2piv2E3lrJNuo
c/WNQ1jqlQcdbI3n4+n/GI4gsxnLzNfoLs4tDfXXPGvH6NTYIZNk2Ed+h+6roHmnZZW66U3yty5M
Ict5i+fHWmsxWypXsvbNn/E/r0fXI5S248Y/qljcdgHt6xn3fR0Hg7aL49Y6ks/tXZijP2yt3wZl
E8MjZRUlNfD9oInlxeY4RgGC1aIExeIOB2YhdIIEZv8gj8RekXk9h/zSfsyMasYmoelTJoUvf6pC
jLfEt2e0IC9c2PLtna+L0C9OjSabDwKS3l8XQPxxqsgTOGn0hrpVj+8u2TkjRoL9+V/6k6c+x2sq
zunMBba7GKjxY/rpWqcdhBGrre/To83pDj/oU5HvPFLKn40E48b5QT/srt5uz6AMzfrEYXGJ2W4F
wYLF2FJtzZNb3w/IDkNEkL3ouWX9aMeyJpozK7svJWJ460AAwVak9oU7l/NL/O98xEVwfnN19sxz
frVafFO+8lWUIJ07WQDnKZFJRfu1dBvq/IQaUWHpttIKMG2KcNi3PKZVrRti10mvuRDkd+l56Ivv
TRubpDRiOzjSWBuOg4xRIUb0GEo81JusoKbpjj14/yktn6IAITdHzvHXhR/l03fOJPyHJg97zuVH
b2IiT1POQmSQaT1Y07GadXBuP2loqIDr3za45fwNBasRmxWznnOPyzjpH0YqdmJntiJ+NIc0EjiL
eIF3dKmL7sv5i1yuIW8vzj/XOP/7fyYJDC+lsqqBbE9sU/d53ZETX+CLMspM+79+lH/GWmzgoGc5
nYOh/QA8KPo5En11zXl3Zi1aRNUxVZCyZJsQX2rnELh2w9wQxBdWl/P3qy/nfUEGcqOGxD+OtUs3
UbObu67FHO31Q7Y7/2iXS8z8OUjWGFPp8KiZdt4/2rrH4AUven4Ho3Hu+1c3hTkjupoeBl8JK+T8
eJ+8bo7iGG9SzVS2VIvxKlBFZVNrKXb4wig3DelO8UrZk3vpgPPpFMeuY044AOrtLhYWxxvGVvW5
5HDxFkOTB5tGxE2783PkmX4wYW7FCHH+7j4bVEdExIhQtIzlvNpmRUfrvXIOhqP9KerUOnlRotYG
9ueZpwB0ys7tx/NjLk8c8y84Vxt4piQycXp8/wvmdatxmOFtjBrY3KAuPP3K1Wu0CVM77cF/uFdt
GhDSlA/R5vzQyz3229AcdaSh25yqlocdOo8wpcPQP5azksPNUZMru6quK05AG2jPxi5TAp+sqCs8
54194Wl/NrxBvZlfmOIcYUbv77wrgN9xBktPNYTJVUU6wdXUg2Vu9Cjd5o726vVViifHBg9VueJC
wfOz5873QsGH27co974f3ZvSqvKgLp7KxhiuAh+dR0gyIwWD2EcPH9wh0RHrOFOXYiM/u23T0OHy
EzzJtmmxePuhPymjd+yDPqlAo5tsYByovLj6auYxDJteZOZf0DxBsrIcL0aqEfhDeGEd/WTeIPab
uhOZt9D6l+XeFAqPb0oCyhPlg3bXkemVYHtwJ9s1RFlLXpgSP3va7BIt/uGoyS7p/dOGcKlXpBOx
T4yS9kbFEatU6nbOQx0GWbElrMCytvaYdtci8Xrj/xgd1ypOGMIQHERF70cf3TGuQQDitsoiQLiF
g4+1TbRtDHdrjwhq3HW4end1GY1f/9MnNpfVJRsVkymaeQUZxPuRCyt2B/Br7cEZRPlAwpwLTTgx
oVJoyW3MFnLTZ6BGCmeqryoX4Ob54Rcr0Ty8w26DoqtydMeQi8cuNCItGD8+WTmS8jyujNsJJsl+
pBZw9V+Hwt8/731tadHNWO6GrCnRTdBQ0clNFd25xqX17saEetm2OJwf6u2y/9kEclt0ZYhD4Mvl
RIpE4f1TJVa+m0xXRCcjRGcl0uZPEJj5M6ZcNA2oWVNpK0z9hgU2ECNzpNQ3sg2tTRfm3YVJ7OMT
NhVRF/xDacxRy8ALPFOjUcdDfArKxGD03nlJcItj4Xszi5+/8Q+DuQYfLLs8iy+IbeviPdbtLE3M
XJsONeePPyN6y2+hViXf0jG8uLtdbLTfnrEF5oYZmDIj3P33z9gDRFb3VY1NLSK2p1Xmr7L1i2fU
KO51Pch79I64DQDg3Plh9BMsLubthJ3m+TteTJZvV+E4BldA+89gx//+KqyumvAYqPgEznRcp2TK
Phq+QG0/gGII2goyMXEzGz0YqpPD2nlhO7nYEMzDM1uwtaJKRgdyeeRxJj2LJ+mTuaE1zVXPn74l
RdqgvBvEkxhyAC+N1v+3uZk4J6YKqk6Kz8jR7WWHBqTHJGiSwR+HbB1uykSIJ3IFrS+BImEKecuM
3zn/mD95sagb2JbJckAej71YkyxmJ0WKXwqskvSOmJ0fvEsMmXVlexfu7sMjdW1KuMyIijI9iTiL
DTrpLKgHyMI5yLwfnqO2Y6hMVfu2rfsnLzXE89Bb0dP5+/s4Y7z1NhXFa10Xzocmct/XyDxLK0Eg
7j3oNVz4ssJbnAZ98hPWkHZARRQ+yLT7iz1aeykN8OlOnlg3eQAe/fzFEMDEW/tu/uJq6MRQ2OQQ
TwV/8bhJ4EHBj4zv1JeSKMPQH/eEmSSb3mP1tUcxbDQ7mva5rnd/NAfoWCO779E4mF8BXkxHwnkr
HHhAF+IUY48ZS/dBRS2R6uAI4eXrVqyOZAA5t1Ve1XexbiEEEZBzlfTDRwSFyWMaxMbBrT0SE8x4
OmWzXTlKHIljaRyv0pmFGg42kr90/BHFVFrtzrtlKyE3QKFOBlK3TVuhMZxCAgpSZEDrauwwBqSl
8X3KJRBvsBaIlBFDS4Qzm6EZvWOV1t0Bw5YG8rQsv7TtEBaIRsjqZafD2telM/XcrzRwf3ZaPOUs
5Wt/VnP5KsDDx9lf+8PEj1PShAQ+eDOIo9VwRhVmu8rGwj55IJ1wAcFHhUA9I6H0/kkNWvbkOVX8
00T0CFXN7sZTmFnoY4ugynaDCf9vA31J4HHDHhf2pvNodzWoR73u5W2gxcVTD0obNwJeraYJBdLn
fiTyKiuftBwCEtUPRnT9/BgWFf4+D/vVgTIJMBDh/fWRmkGJmINdRpvXr3TKHTqJHpkPm4cHu9On
v70zlvgZlLox4pTdMIqDCYl7AO1A83O0/lb6qIahfGyFAoqky+F17EG/IHRun/uo6X/CdKK1Jwjb
ytEHnPSSV8Oz4madB1UKiymujwDSezYcAGsFi+a16GFaN8gK1xwDvGFVZF63N9JQ7Kc401OcumZ4
b1PI2FZ6lJCmi0qx1WP/2qY/sZMdrGyzMYJTHNbtA0SueJ2UKHVCEyGjK+XRGQLzSHhEegoG5hF0
1tdUxFB6moiwjBkODiERoyh5RT+Lqq5e0oZnXubgBW0jnlZAh6G1mUSN6IUDuhL+KaIxlPuY8+IH
wuzRfxZFUBysJvvT6hBSZerN+j+uMyRYYetmfXFPZbw8dp3m/CLBFADOhLG/XZtF21/7wD6fNMLS
N26quV8S2wUtJnPbwpsGxy8OvB77oFGerLoYUEOU3a0zht5WNtXrKCr3kLOXXCF8iY5tRWeapnaG
cWvyj0YyiI1s437V2Wl2x2fY7Z0aYHjFzI95PQeBCpf2LtHT4Q7svMUtT+ip+CLyu24wddh1Y7Or
LQrgxCbhwwm9DshWbaLAUSl7uVmmFmqi+dN1JXxBEqme6Q2Q3jnHNMjEHA4UWig9y+C1dupfRq21
eyvAdGgOYK9Ur7SdLb3pXvcNcSuH9hed+ecgzsl58IPwmBR1u2vRne4aJoIS3TlGCa0cw5Mx8+Xy
DOV9nAn/FxAD1t+C0MHWyxq6+f2PggygBz9B1geLc2ZzmygNsqYJrgzPtleaOaltTkzECt4O1P5G
EjItmemCFtfWBGuD1NMtnqg5ILx4RYbfEcXg4EuswaNBUAja68hzJTNQlhzyRjXRShfhU1Tn7nFq
y37daDpOjmj0bt0o6n9aKAcHjKwOTPCuqTedHPtdCFl673SetiFLHMVbHBFQQ+/4Ht0G+GODVuh6
8Gt9I8ba2eFb/mPYeXRvpBFGO1e1VPj0b5WDuXnKYu8uSENor5qQV5Yzu0lBLL/YfT1gQU9eesNB
y9vq3iYwR30VJDF1DE2aN1aBOUb5erNuQ0hzvRuWR0/vDMrW/CUQ9gpSB/zhgbiY6G6SJGf6ZRVv
VT3numcxuAJaUPUJ6r18aGXXn7Leq5CpIdRzcyKyMq/x13GI/YB0tIk/KmYMDCEbQDDhWtZ4dFIA
01Xrq7Umggf0awTfaHDGH6C0mdu6dvLfTtTpD8jDuFL4HUfHptuLHd/YkkCinxJ9/gyl59g//L6H
nRGwQfSbiayu2MCkS4LxAQYyoQljhjm0bOXWzPqnPKs9ucqJQ9nZDZg+K5gUYSdRewL3XO3awY12
aW+FGx3w1qGr22ZTT55xNbS8JMYU1CcECyh3XM/YWtYw7bQeUb3Qm/CQJko/FC2tMC0exQn/fX4z
6nkCtAwgqAsa51g1nUc6BgGgeip7/jj85HOefyNeq2moIKyiUlpFg+t8w6lfgRAZ800xk2GcJBGP
Rq9hDcrJLA5J0nvIWtQsVamrnecQnmIVdOWiyawedSctNkSbxYQL+xFWPBK9No5WjICRmaoPeuM0
0Ob0DnR8X+56YooRQuc6dpcw1zbYrWH6kti8GjTX2jrFOJt+TbGlRm9s0o74jBEhK18Uz60OInUA
vYXDnSAGcypwEwfI0skoImlExkGzs8emeuqiiA6zj9fENbUMl4KLwQ88OLgKQ3wfCQx6qUizxP3U
P8qmy65R6D/ziof3kz/7bohgOQooujsrHaz7Smb5FiRlgmt5jOka19U6CAfni0Slcx0ipH0wUlm/
NJksV2MWjidKYViowfi4B5JdigLRaxxtMiI59jLIho2veTFLKzNVm9ckB1h69pIMkXrhUAjqu9c9
SDo2guv7EJrQN6JWgca21bjpe1b0uEipdg8gG3FVVPuUyPp6lSJTQJqNv91I9HFDB204OrL7GhhB
eRPmo7FtCt4eh0X2apiyDtM0zr/OmsMTfW5tyAb90FOoPKRe3/EL+XSWSrp+V04zqd8G4OxTK7ps
543lsPfzzPgGSM3Y0XoPdlFrBXsDdsQRSBL0A5ekEmKqe7CjQw1QqC0jdgxl4EJsRym/dkIbqgZ3
9MWtRfzE5lDea1EFcNT3THjHfgZs1nchbo9Aw/k/b91Ek9vEIkU46mEjNzTkjkEt+nsXfToMFjg1
wwQwc5pKtWrsmoomBYsH8idgCgYR+OjYGw+OqlOgoEjFRQ9o39KgH40580xtpfpdP/jZjZYWGsRE
KHZd3ZECMGTtxtJbfSVAsRxTck6h3jn4tH0Tw1AroiPEIuyMICDWmfRJF9YSdR1THP9WzJb5qk1T
OoSBuq0Gtj9FZ7kbUpWMR2s0uTTXy+9Lqt5bx2nLfTg008Zs2NrpavrWqJ5gKCUIchkHWGwob8Ta
j9LmzugNf0vVk/IOhhWU7WRMWEOoTlMJPBeUY0IAYJzsmQOal4qgjrVfAuJFit/sXJEYX7wyxW1S
5sVjh1+RBsEgdqVusKzUOkQVGBFAMcUIiLrycTPm3ZPkQHOVlrA3VxnduHXjF/1dROThrh+mYkt4
klNAKZDQnmcJd1fF+kvXYbOJQCeTM5JY/VXaex081ykguRTGydSCZYiHsNnQrtC2ZcIcLjs3f6Q4
29yUouhv+qIPrpgDiBHi9UdiCG+8LoEIkKnuv4JWYm+lEsO7eatf20b9VLsiEFvDTb190U/llRkO
gJVH5bT4iWlbrUN9Yl6ZWvW1c2z/jle32wPzKK4Ho+MdsGFJtjRftpkIJEiUAmcKBA5Sd/LA/waO
BNgEFcB90BgQiZtMv5YCIWswZGJLPki+I3+1WIkJlBqwDliAfcRdumbk7bn78SaslHFntgBJSP5m
LZ9qsXVF5n5n3vSmDcxBbAuYe0AhqgpYoJccRod4poTFcytV0kMEYG8RmJDraP9YB6lNzoOWJlDP
9JSWARLYp1jNRwQ/4VXDJXBdGgrPdT8wPRnjNJPFiWktcLwSHxNMTGZmJO5CxXPS3br9Cq/XDdaG
i8O5tKv6FMfNtO7QTO+tKuYYqVfJa64BZk3ixtzLZmYjacCO8pHUKor51oz/GTetTK3HwewCDqRl
tbNRye1ieKSHxsue2xpEPTsn5wpgZMQWf8x2yIO9fTxFEVsvGz9cl9YwPJr25JgmREZg/HiQdAII
nPBOKwLnQJxi+wo22QOwOMIFCzw8KZNHrk+IW2c9VU1N3s5sPo3rP/C9rL3TNh7mvYAoyNwKtj0z
AzxbPiYddMtrPyBkSOcJy23y6SvrsPpaakH3rU9ZyJOu7e+NytfuAtuoYL2RY7TpRHbfEIi6sqzE
2Ft5Yd9ozZg++R0m2tGqWKoVeFZZeBF+Jav4QjHFYhHEiTrGAgekld+VWd6Q6DNn6qSxrt/ncSS3
IQbHVWi1mJaThNOh53dXRQTEXtYcCXM9y35xSnLBHgR8MBJbfoBSYa7ve/CosUK6kTD2PX6pajUB
UqEIL17iuJxF5pmb7oMAGygwahiBMfla54//i9I75R307DbqE87+c+thLnn92w0lPII4US08icK2
v/hll9/kMTkLFSERazeAdHZ+vA8lNMYzKAPP0mfdolL5fjxoA7WNYds+FKyPX7s2D2+plgb3UC7w
Zvk0AgjbAeUTk8z4TAAjheLzF/DZDaMrd6SC/EktXL2/gCp0hVbOfIUEb+s2jpG5k2LhwsYZQtJx
BP2NSyqpj/Usl/h1Sj2C9ijq60XZEFu6ryeWOR4svR6OPbRLdgZI2DBE6+YFlc8nxRzHkXTPcL+j
F1s2kmx74puRlUfFRfoHQFrpvY+EGVMi+Fi3mrIDZCHvQvfqs2fq8Dj5bRUKI3NRQQLL67WwT8Wh
VcjGN5JT+2tkwKZdjaVBJPAQaffnf8Wl6ubtvZ1znSntz2/Usm9FyoeRm6USh8odc1xn9TDG31Pq
eSSa92Q47OIqsvEMJnBVtprPWXEdiSGM9gqYj2BT0fQVraWk+Nq3pvsqsWdfsop88rPPlVpLge6g
yicWr/oUanURVaV3KNBZAulMJqPeTvj8/tgajtYL7/WHoiK1Utp3pjGnbEMIWzpT/JKwuQzz70H2
bY8KkkS/Rw942i2QtPJHLIbot57HjsS12lT+luAvEABdngaw5UHnA2tqCraB53+nxes4K3Vt6XDz
tH14EvpiegnjaUjYetkgX+X0qkMh29N2JmwrVnH3WNjE8mBHw8d0ftjFLPM27FzRdQmc1xFBLcQw
IY01SX6Tc2S/TcTjnICA29HYTV5V32YeQs7KSWOcmE5JYHOm788P/5lgk3HRhDG98nMsK9hFGSDX
T4lbKqKa800XyuBalZlbbRw+vxC7QDLeOKHTz4f+fHqm8MfuRM8SkPLpJAFSdH1Pv5vsoQuX9ib7
+qfa+/ZoULEi11JUfKl7v5//0rbtRJq6aEl9v7TBCLJJWLfIDDi+wj362na1/S0EW0P+R8vOZkUh
BM1ehMEWGBUBjDDAnFvUazGwdkMAf63VAPq+0AkOps0EiYd2YsomZqxvfURTEOLZGX91wjnKzWiA
Mq3iKujggUbUT+JM64obuIDmwFZAJ67ZjgesME0bOg957YQ3POI83naOL/dNOBu/G8w6z+GAghGe
SBoRRcE+AgSvl1HWMrMxBFSSWkG+bQOUhnA3LAaOhjgviTVxSp1Dh+ZiaWtn03ZfXZAXffbGA9+h
A6fInKcN9/75DoWfkR/HGzb2rNgKOdrRKmmkp2CQrqNeTL9B/6kLjd3FVDP/qI5ucPjghadPYyym
GoS3Q1NlQXSiMqkfTatUB4xL5HEqqjzn3+3PhprHo2uCUkQtFxgfGhgyy3LWdaoYyKiasiuOpma2
riayvrbnR1vO89iCaAGZClmlbrGXXwpSNB3OxzCy/XbrKIG1KTguRkNOV8hATNc09a+qqMsnos7U
KZJgQLqCLThq4PYWn48PfrWjIo/H6EIv7sNjcFhgXUEP30L3R9fk/c+cp2ONztwjdzUDprUi5NH5
UiV20KwsMRTP55/C/JctvllXR5ljObRALbF0Q9ZdRXpDR7UTnelvWXLoHCFlB6vSDKbrHOUw8AV4
dfAjLjkQPtwmPql/R17MFghVOmkaGb3tovLvYC6OGe3NuBpgMLaldWHa/uTbwaZG3xAVjDRptL5/
qGRSe3VVuuGp74EGx0rUmxaq5BF1ZXqayLneAsv4/t+fLTtgyf7XQby6lB21vpUVsSQmJdKN6lAX
XnrXythaW4RprDuOlts6yIOXygwvvdsfnq2DlH32zbDxthEPL+6WkBTC4RMZnxwano9sdNQuKVvg
OT5k6/M3aSxfIN5Wgb4IIbZEDvz2lf2zy5+0XCUVYVNHrXKrI3AKeY8+A8PE+WE+LLvzRyFmc47i
iSKaf//7OcDTqKG38Qm0jY9ZNEnYmo0OuY80y2O9xcPvV7QTKWk+u0Gn/5qSuHg4fw2fPFWF54k7
5b+5nMXS35hWrpzS9084dMrbgJIKK1RfZLcWgJdLAsTlYLynKBKEgf7XwRkiF9sbTSA/jP1uFgQ4
1q+YYoG2Qpc80wLDWv4fKkRELYisHd6FWSj1/vG2vSVp/3BK71qld1e9NUgEnU6qP5MzksBjaAP/
mZViePlvj3S+S6YB7GxCGcyrixc1N5zY6jmkHjq91m5brwvLdam34pWIPXHhTf1Ex4zlaN672cz4
7N0WM47fuY1s4ZScJlz72goFWHulqMJSgNcCavuaNVKqqeoE03/TcRIC5GYAtDeaQl441nz8dU3J
Ci7wTBi4hJebV69MOrYnETHWDrKlVZPTaz3i4qAUCfTG/a9Lism0xwLH/peSr/3BBhK5I82WBOa4
ZmZAzkctuioyWwO2Pk0XdoEfltW3sWyXqv6s2EfZ8f5VQkvrObzZySmKJvtYt466MTlDHYlnIiQt
Ir02pO46FzgjPMItsNo502moA8pbptOtjMx8JCZ8ff5FW05T81WxxiOh4miHMG/x2zPBa0apZAyp
01d/soF2TDPp/s/zo3x68wSpMFHhhVEfrCmpBGyb4sE+zpMmYPLgZ0I3baN1LvcuqKANAl6+aAU1
G8LcXo26+Vb1rUNNqpJXBpvQTeHXl9xGn71tpivRkqFn1vnP+59kMAYtb7UmPWlZZx5Lv5yOEuYB
vRJzvLB5Wa6z83OmkcLig/hFckJ7P1QeBHSGZitQ4YbeE+zNdItANHzs68jeCUXPghzAS1WQ5SZm
HnQWMgt+11nItHjlMk9E6ZCI+lja5dRsCbPQXpuSuAGLRsPazgh+dWUAAtI3O1leeLM+e7gcxHFR
mzbCT2cxdVZBYw8OCJKDDXjjIGDV3ohiKKGsYSQ8/3pdGmqxJjhBxy6O/LbDVCVyowKbIIUkVGRP
Ft3/8xnjmeTYj+Iebdjih+xkaMVZVjTHvGroHZvKsySG/b74IdoexHRbV+R99HivVtKJfXubTCZh
bWaheeVWs832WfQZwfIKWn5/jNg//MeDyduPjqCaEiM2dqEvvujRyjJvauvmyPaj2SKeMw50LIet
7lvO9fnn/tn7ZSPftDD0m0iaF1U2DvwlcaQFhio/S5+TEC7VYIcO4XnAJ2OhtesMKc62qHr9eH7k
z9YsycEKIRoTp8ty8f57MgeUc+5U+scgDJqaXQ6SjrbH+FCjZStoLiTdj7S5mWjdts0TPaDO+T+W
zbnOMpdwLR7B8lhmQZcMYs1wDorkwIdKVYVcl7alqTUhC9UPT5nuFxGn7Z8oqaIvgw6tqg6d1fkH
8cmrT+EJaeIMmmDTMM/v/2wzMwPFUtZAhaFJRUffRMbgbTzDx/ROY1TLLz33j+sFmnGH9RlRJEvn
8u0ye486GjLCY578hf9S710amSQOSmhThfnsJ7jDLegs634ODgQpQG6DRuMv6yyH/CDHv5HpRdvd
W3Hn39Ma0xyzJYxGJnJ2MEsngd9lAYJDMzqZRVf/RCzk3IqxB+M/mPD/2YYeTQXlVZS63Os5SODU
d8DMB05OBEj8PJU2pSGoSyAq9JsEwiGsG4cmuYGlrQk4hmQ29DHFNnc7VeDHNHf60qG5WhUuwKrS
qSU5UfWdtJPvIjf+9i155NIawA8i9Nv4aeVc407L6SUpdyvAVvm29VerreB7l9gv2hB9Ab9DAGIg
fsfW1G8JMlMzjG06Fno+bbTM29D1+sM9xtvRzv8mssFnLJ+TbA7q1qf72vAlE3rdP2pN98vqwNVC
qznVdcfF+s6f2DD/yK5q2Jcnv4x23Id5RTrCyKLbe6TzSbNrV0rBSXRG/bWmNHTwCtntU28ioKVU
zcbNwm4zeg7KhEa8RlXsbzC8/RrIef2CMOsWwgo5F2nwOLYzgtD2xyu3MMurlnbHicSk3x4r/Dqr
o53TkYDjheTJh3bz284hQ3U1z6XQEMLDwHlBExevwkG7qrU5+cuSAYIpwhpGO+6vh8b/2xum2pPC
AhjfcF/shoTiVVJJWhhlQpeHrvePprVIc9OSdC/GpF8Hon4QQeSSxGEQ9aJSUmJso70ClQvNSpGX
TjoJ0E6+T/jC5KFN2c2UeX8wmt/Ae3uOsuSLbpI+YGXIk8ziZzuAZhqc4klIPLWJRSue/DKwcVMO
1SvObqSooDpKp0ZZCDAbwY1/DZ+djppNVE2dwUhj+iaLqLHp+1vD72BK8vXo6ONK2AgpOlUThk4A
7J64pqfSR9DOOmuhmIleWzLy1tmYHkyvp4miE2PXxO5XjCtyRVrIF8uQ3rVsAHz3ZJxka0SQ/suQ
02ptZGOvUS+VGzcaf04pHoh2lN4aifVdlyffyM7yV43lVUcStInJxkHMRG6wcunIr/2+jp9R7X4T
MRq0VVkH9Ohoxa1RXilSBQxtbfltuAuL5qbuJ3rKMFxXOsrLFcdT0oVGAEqWOUDjDIJrV6+8rQun
eev2/XdSgGiRK/XNLB00SjbhO07t/tZMwIVuokPNlj/EKBELE2TIcmp+N4X3ZEq/4JOsgr0/GTdT
AHUOBQThUOwy29YT9ylH0rUSDjwDmz69xGoj7fA3GcN/cqBfWxFF1SNtYBruE81eMaJUI46QYuck
+B3TJ1e0j4aF4s0JxW3ZZckGjNm93xmnzoKvCNQVyyT5u4lXfE2j4mdaRH/HRqOhnbrbcrTELiky
YhDV1RDZFMaboN/lsSqOyk2DgcpqXKwTwrRSn6knDv3qNTBgqhn61G71hv8FfgB0GJpjHM0YFVvj
hc+a6/+wmV790HtsLPhbXtKJ/YgAZI+YnfpxYSAuCaEmwrMhigJ3FdJxWn92cBV05cvkmsldKe1D
KnGhjE6wD6Loa9vUs+BDXuNaf/A77U56CFH1StuXoBk5hGTfB1cHoG7b8Q9k4uFVOfiAQXVRnCY7
EBvAgMEmKeGkIRT4XebZvershyYAVMtu6opVo9jQhhfbONFPRTv6J6/qXzuLmwmSlyQGP54EzVfi
hB9KBK4AQdEyBXH7DHMkMVdOoNS+GmfBZTpd9TP/drLFk0MmB1H2wb5W1pONbeFkznOLZ5fIjN3A
WUMVCXeKWCBWKMJG9LJeRxarQTuHQxYd+dlM+KTFzRkMpVd/yWrjJU+Hcuv3EHDN/obawF3Yo79x
iN8azExtmvnbCmsMKF05ouXlInel7/5JkW5s9Dh8com85Df/AWz4xpz0+yIvr2Lg25uuHuLNmLk3
pTFm+yKw53p8+dIUTYe+Vvthm1HyEJr9U5MC32Zf3l0hM6OY3jqkJo6EMFJpeYKzTFqQrm550/jI
HXVKmxD8MFELq44d6BrkB3JTFGV1Os1xAHw2IwIdzTjJCrp8ygqF5UwTSNp6b68n6qdj45j3wqrb
4hp9TQsruSKLl6pvKQhn11CAQeLbOvG07ziSPRK8dV2Z6YHGgSDD2ntqDLCluqxveuIbvnq1BRA4
lx1pDCiEt8JLvpusEOvS6r4TJAe/OEAP5cJuQ2xTXFNhCACghsYaDUFPIGfpJ3vT5LPMNf8Zftd3
YjKgv+r+k6WalkwdFBK5Y+9xDf6OZEmc6WR/d/XAJjOqvNX16XrokHnEAKGPruZ7N42KnsyoaI8j
YcobGrQhnSrPuymb6meml+HRy1wuQYwPxTiOcx4rK8kUZNdKEBloQi3qi/CrPpKfLZrklXGpO1Xe
TZ+X12Lw7tF0RkeLq13JsroekEZuARHoG9WV2UNi9P49MmQd/U/01e1sMsMsMm7O7wU/9MDmbRBn
Wdqz7Akhpyw2g22E0AXil3dQZGgTSxBr6k86zMFzOIpysK5FPqD3UEZ7GwA7juYlS78TOi7l65Zd
nXWI2FfDUC8yp79Q2bHYiC63aLRLBNA3is1sm99vVPMap1RiNxoKuiG/KhDZFXdaaSblYQhdL91C
DwZheuGBfDx180DoF9DOwEyD5uL9oINygba6RK23ihfbBY8UvYxzxquKHapLaUF4kZ0Q8MdOYW9o
JnGDFlzPKWpiMq3IkCLxkhAd4WMKkHG/po7RfT9/jRcuUS6ei6hwOui5S1nI6Yut7/XFnV5QWSwd
k7gNmgGruBua2/ODfnJ8mh+MYwrOT5akwvj+wahaM/7H2Xk0ua1zW/QXsYo5TEUqUGp3srsdJixH
JjBH8Ne/RU8+S90l1X2ze8suUyQBEDhn77XRwao50og6JavBdkvMXAC8h81cRp4TzIVwvwDTTdEn
Opw8niFmJc4LFlEvvjFs3x5h8AtqtJ0shxK2c1kosPjkOFPReYdhnsrAqkr7KGaDbMIJvvb1+37v
YUO947ioY56zrfXP/zktjU7aaIabMgjLQlF9S1/goOXp2HIep3/rIki3O7GdY+Um2ea98U+R3tTw
dGprV+D80jRVFM8VnhMqdi+H3Qw19wfYY5IuDEzWG5RImfFf75ZYdQy+jurQJKAUs/6kf+7WQq+R
5YMojnYhojJovNgk2L52AKFbdbbgc4kIdSUDY77VlXhbGPhLPqSoiMsJ4c/Fc/ZiRdL6kBk1NYVP
Vkp84+88scGKFlXyTKgemzYKB9+Zuc2NmsR7o4klhmYWQD0KAxc1iW6gZRuVMjrgKsycu3Yxc283
tQnb11Rt2JJfH1HvvVbHobwEFGFVg1ysMHSX1YUwaDfU8XF/YPkUh6UuPR/jyYrkt7v99eu9O3Mp
WVLT80wDlOJ6//+8VG2mSqlLJTmaUZatBCpKTl4CDxGrYhFmjpf7+JmUhwX6x8PSz5RFhFbdGFnv
PGRvXclpwzJfjL9csX9+BFpgI1OTHkZiXxK/NRsirAXxnFr+n1t2fNM8hsFKerE8FN4X7zO162EQ
KCvD2o6Ll5mwB6ImGkKHJV6BGy/z8rbofOsG1XBa31jiYZSeP1tzgcMoRsOjXWdpeOENXf4Yss77
OBVYjK+/yMulaL0WHyRbQ7ICyufSylv0qlspkHqOrZp4AfrgFDA44VX9YqKbmtvfpQaA9fo1L6cl
18Tyz/aA7R91WfPiW9PqVqoh1LL35ixqcqcWQumXuApmkMWP2Knmn5ZbrSWOIj785yuz4K4yRPQL
4L3WX/bPgAHvP+qKjDiUoQhbj9h1GNucTDuJ16sYCR6UQ0+ivLVot2i+68L678aDmwYURSsf25dO
9f1iAFF3Qr8RG9EhIorTCsgDUZ3AaJtbn7H3rwN+ko8YxbjLT2qUJnm9LHN0yCqETpu8gIu3RMjX
b7zEvzuCtzdEv8KzUUNQ8zl/lrmCchxJ8bpjsMn21Ow4YCGGBVcnT26TRp/6tH/SzdLcz+6UPqdj
5N6Vo/l4/Y2+f7v/+xUX37NsQn5YkioVDqWn3Fmt0T6acT1+u36Vdfl8c68GKgGLVroJGu78XvE/
O26bKnboZcRQmT02mxFI67zRBsPaYcxi4z8SLabOrXbvRWSnXr/+O7N0VZQBT4DIzMf04hNqJ5OV
AJv1wmFKEaWDTqBAlpGtlUux1SH2UmtdbrUzLh+txSVNFncaznBorUvknmV1ScsXs8REWOE6KrwC
/ybYfpltr9/d5cdrnRo0IgH6oFtlS26cP11qI9IQZrMcWumYUDURy352K5MEC6tavuKhieTu+hXf
WYHQStFt5uMBt0G7eJ48ZzEPFkFzUFBIDLOUCaS3ljn0epNSqn8iNFXDrlOUjsNJK4nbuX79d+4Y
89PazTdZBtEQnN+x1nbOZNBZD52u+eBUIxG2fLMOORbLXTs5N5p+t652sTngIO72hGoOBxDHXrlz
mtYgQk2pKWapurLVJ2qTN1aHy7HDK2VTr7L8MILW3eb5DZqjTfhnN3thl0qtC5RIa6jfsJn4df1B
rhPvYmKSX8msZLDaHuCx8+vUHgeHri/F0U6peWxrquTfWCzgJE3ZUn2/frF3Ro1N19wkmJHZ8AZF
wdkgH/sed3Nu9dODcJMJo15ClklD1K6Jk5EcqDH2kUObNx7ne7fJPNRA27E1cC6lEWmijgIQYX6U
s+v5tUHkrGGM2seyJSLj+k2+s9QBXucktK429KQvJmMWkRhIXiwZgJz/ZixraVEFJUnkd9JFaLgR
bLnnTWzIeQibqhjNYOjr7NbX5Z3xw37LhS9i2Ggq1fWB/POhnhRT69vaEkc3pQ3faov2ZOFnuzEN
33usqIVoT/Lt5WBycT6giE5oFFHCh0m4y661Kg92JD7R2ksw1l1/ru8s4YhJkEKvZYf15HV+R12E
8pvo+orOe4eAduzb4SCdBqkQsDQKR9OsjeJkL3b95fqF35n9dL3Xox7gIRhXF1ME6zJsFUoyx9gR
aRCppU5mR48FXNEgVKaklyQ3bvW9x+pisfBUi00WDuXzW0WMOOc13bdDbSQYjdzEcUpYwjpaHYU8
g/+qHWQPvOrs0dHBfeA4cnGDhWcmKU2SIrRqj5QkdbR3XgSsYUnnIFm4u6iu9P84ctZrGvT40Jmt
UGBnfQT/jE+EGjbLm4hCMB3NvWZN7fO4jP12zgi5vP7+LgfO30u5aKL4XjEhL1vMMgc8RosmPyoa
XrAxGaaAL2KyncsEiGBEz9VMCdy5ftHLpW69KIYzcnDBz0GgXufnP/fX0amezcItQzaRS7ybmimv
D8JkhxywpXdBMLuD8wXDic7Op8hS/fX69S8H7d/rm54KswrAHzuQ8+t7jkKMuSMRKKFegHBsV6SE
W3I9u/dF01EP1lxR3rjp9560ycrO+q6x5bl0KPWtI01c5HPoNd49GwBq4gU9J1mxDs62Jg59zK+4
fqOXc+XvjaKwY3PHAv9GkEPIR5TEfeyGg2n0RIdPRW5uFXzddBzVZahv3OLf7f+/H8w12INJue7Z
Ob6jNzp/sDZh55Domyg02qL5pqDkIlecz8gn3Pkkm2rWEKebSUSRHZgdxpNNHznlSMN0BnzSyqH8
Lbqi+mbnufZAvmr6OZ0a87Or1dXdZKsFUeeJsnRBZKUk1KpallYY65TO+qFMZZoEdl0l21gMyg3z
k3X52bp8jheLgBZj6W1sLwoznMnDGi6ExzkrrAEp3ZSLHyJXaP+5vUL6oeIMMgkVIltsMqmaBnNC
hVu2cyISHCN3+WDHmvOjTCapbiytGprNSIVsCcjqqcxgsvsp3SqCzu5mSojShRxhSyWILQdetGLw
DAgr9TBiDw7ZWVGilkHUyGKhxQAUg91CbTKF2zXeZ1AW8y6eaiI6nTG1HtWeyj9Nf3X52E92Y/gq
og3i+XLYpVt7BcTQZRmau7hQYrrv+fBF1En5MMg+dQKr8/RlV2T69ClSpQeYPpcE/CieNlY7245Q
eM15Vj9HAOQfYq2yy2BUZwoMDVWifNtkdvXZVef+D+SEpH+5Ps7/qm/PBx7TSmWcs+flm3BZaKC/
qkgcIF4ollKpeNi2Ob1oQuQfIzg333rEbhGODdlY274fRO5n3DNpY7ZdBFj3ogRQCdg4GM/FByJp
W8KY9Kz3tawZJebcufA2/WzO6Ayqdn4WvUePqeK0srt+H2/nK+sD9TXKtxA6+c/z+aPgR84SLcdf
1Hm8mKasw9zgsGu7eXaDZPe3pnT+yKitUR/GswPumPrA+bWMeDITrYMRoDeF+cdQFO3YEk7+TAwU
WQCl6qbfzLpI70UeTbi1c+1T18ZdFgj0zs4mFjL+mKogX+gzznGYjTUB33PUYI4HuJRsl7xxXorV
lua3Ih3GG8X9yy3cOiNtXJYUXGBQvyECC8OBgeKlMkyqrHlB5Sciv3Sr7NZZ6p1SJBdyWMvWVAhG
1vot+edbVcUWszoGGlbUOrq+oiGgqx7sPxS9ukCvBuQZss4OZg9YozZxf4OOSm8Mi/e+lw7KVWoD
qGeh0p7/BoG7DMVbngJ+KrJ9XXtGmCV5stPHuN3gzdYDYQvjpRcgvq4PyPc+WlR+2Y2gh1rVb+dX
bocBE2+OZHT2FrKaDL1uT5lWUY9FZDHN2wIj4GsfSTO8ft13JsIqvEJ6ZbFFhzh4ft0hyVKiBF0Z
pkQc1oHq9cVrLJGAbhw1YxG7frV3XzKqXQ5dVLbWs/P55Uw80XBC2yqkufpaWOr4jAu0RVWjmvfG
iD5hkr27oY5h0Oiua34EjrYbv2Gd2xfzkd9vqkAb1gbRZU2fhiy1YbuUYW+VZqCuo60uGmOXV7mz
W0T7QyPS8xugdSeQ9FT2Xle6K/HaIrnamG40GN55IpRLsARAn9T+ih/Pn4halp3aD4UMayq4T+we
HL+op+dGl/ohzicD/kdWHohggcPN92w76kl54628HXv8BEooq2zdXjeM5z9BjysoBVkRhayDMNgW
Uw9MxfMCq0g08A3d+GzlbnKj4vfujbOusPNejSaAVM+vGsWNObYKrQen02QI/1Hx21lJtg2YxCCJ
EHZUnKB9qlYph9hi+JJ287C/MRbW6ubZWOA8BXye8ynGIYiqF7deS0HroWHD4NClPlpiQk3VjoO6
F5z0frlpWjobjiWkzQPqsr6ZUW+1fiXY1aLXGvqb+U1vXgXCeT4UGA/XtiItzPOHEkd2VgnLUlBS
T/pG6+yvsU7/Z1GTaDNNJOnVZXcLgv9mz8U1OZiwSadbytJ78SJkzHJEoZtcJUlhbxtZnXVaet38
RBg4QZL60i3Gk5iMhjy+Xou+dhmilRtD8L3fgN+H/awOyJi0g/P7lgvsZr210yMpufKBDXrv9w1k
Ptz8mFZ7OutjFBW+aYp2Q31+vjUY1+d6MQ4wLeDjYkSu5ZmLg5Jk95h7eo7rPs/rfp/1GczVTC+o
qNF+yIB5YAge7iizllhUtRLORClsvfFV6Hv4k+LR+OzpWQnKRqQAvq4PU/uvceLy91HeQO+P8JRK
2cU7csxR1D1pVziHAM8as3yMtfEP/xNCsdq3E1Uc+q5jUKXqxyjuAQn12oYXN/D50H7QtL+TfNBy
r9pKrd9rpbLXkfLYGqy31osa2CT9XVfJ05ChwXIb99gVTlixqRyhJm5cNdpmWntAU5kFRQuxhpz5
/egQX96qH13BNg6FFcnE5O2yeB2g3TBhlvSkD2NYSDY0sxbanDw8MWzllD4mOfnbC7DEtvNeuqg+
TY11mLNs38bSWd2ee3BLzcaI59Pk0dwpq59xZqK3lPFBH4q7pSr+sO/xkzl5LubqpUH/dc+/gaoS
eVtW1PyE5XVZ7CfXLUHuGAFiRi1hahtHOgyPyL3rg8y8bFOOGng7TghuPpDQbeZ3hdP81lP3pdQn
8B5FyhY19QgT1+tt0kyIfRHBb/RC2zoauJQJuauYo1eXSZM1fbhoyM2s5tApNuIHJ/bojtkHxVMg
8tXzx9Xhd5icWRJXp3DyFUUtQ9E10adWKe7b2D15OUpJYMQvWZ5U4EW6FTq8U2drq6TlUfOWEP7d
ySvUEGVfGWQJECZVdM+EH+ygPp7qXnuYE5Snva1+mjV1r5F1t6Gp/EVRl11MdLA7FntCHO4HR921
g3z0qjq0iqLbdAje+9I+eHLYL04qgszSQtOWHsmwHdlMc/O5tbtdmpoRxA1n26KxzOu4PsaKS1jQ
kiEONk5jrs++LRT1DsT9DzUeA7Wv7fspK3ZWzS0lroV8bEzC3COAnHBItUte+qrOD55Rhfkc3+le
dij14iRMUmcrFIjulH2PMoaMoY0/l1zjOCTzIkyTodyQDnIfN9a3ik/6JiJY3Yn4co12MCnlPcBs
jmj296YXH1LQiNAtIFa2xjYdbXY4S9LvWys+YCJH82pD3Sra04hUS5P665g7dTC2tk+q1bEbHJ+N
4c4q8u9A2NpXfbYoSPXx3VS7PkqNnQmWKMy8+DOtrFOUms9ZROKtzcRMC/PLaCm/kijea/FrEy3P
Zakc+iR6MqE8IzHTYLlJ0YWDML/rVrIDWb4mMCF4qL17xSQli/zaNCid+SEdbH/wil/qYvNS3cUf
DCcwJbHG8QD2L0lAvw3CF7F+14phDFzpQc7rdhRgEXvCyLJbcu0L6pXJIgOj7+OglIRDJ7IRu6VO
79yRCBj2GUtM7O8oQnP+viTVU2cbIX8xMLzxMU6XvSrqPyBeAKhBqMun5vco24M6Dp+W1vxg4ey3
l/p7D2DUTZfPmW68UGT6ZsIIYJY/54v90e6tHzr9KJuIaqNTv2S5va3KRPoc7mH4kb7rJQGklyc7
zhC2zsauakbI7urW6tOwH3W/hjK4aOJH0dZTQA3sN8roHQ2hBX1ggYnEOpVV9Uhxel8tzfeqM+7m
VocCN0DW7LodhD5tA1jxy0hRcs9xUztF8/LQeOq3Ru+I1yjbR5krD2NqPhZd3NHXbkYSm/NvmjG8
UAX5Mo3512Zsy4BPqz/BLuhy52mCWskJIxgjsqYMSYB8nwRm0QISc1+8Sf9gZ0aBHCx5NFv7hNIb
9JubfSKpWSEIT/U1d+EFlRMrtwMdqc9ZQVKJTBCol1BIgcbIwoHfC6Mkj4i9Hz4vfDbbpNO2jWY+
KsKBBVjuM4WsXRaYSZg/ta66s2K03UVd/AaceeRwcQQVwjtofFNNH4h9+b6M8ces7k7WTKx1bDan
jLz5VHGPidfsXX3IWSqbQ+/oP6lufMRuuSELYaPXeBNM4ciNOahoUitAz+VzlgMCjUgKn5T96I67
LmcSL+V8hHmFtLl8GaflYLt1G6ChwvtuTw+w5fdNX33mJCA2ipnEsA+jU6ylO7qm32Mi47W8+hDZ
3aMed0+KMvmExIGr0e5y1fiAeeZn7zl7b+gOEXlp1AC3lTV/HFIvmFPbj1XYqPqEWN1ovrVzcUci
2+CbvKoB6pMzUbPocvWZ5JGwkuprAU7rYU4toJ/qwZ2jj4nC8xDjp1l6P0syu3O9+Qqo6qsnJLnT
8knFqVx48XfcHB9Eob20g76nnC0RnQ+VPxuTvs3bameSa41LMfJVUX4u7Qrd6oJKFATpRhEWw3/e
pxKIpFB+V/EQQ6aLn6pm2VFe8MkyHTatquMSGXSUhe4UJhlqwpLk856AV7hpv/pYX8leAc78Ei0y
ImBRZfclWNPEtk/aKphoh2M7YWCZKh/nSuhG5c62yq0xpqcB5rqis7bGRhIgtn0FBr9RaaryVUZD
S5qrj28JT0CqF9t+tD9Wlf6RdZuo8PkAsuYYRZMSWksTxJl3QgVCvp6FrDUfjtkYdXvMSydDibZ8
An9m2E0iVXx1e6PesEQYG1d3vydN8VrVAG1l/9x51QuKp9ciMT701oQFj6VcWsYJhLqFXIe1uAPq
W089bOZG2Q2tciSz6Jnz9X0u1S9mZT9IcyZcvjS+Tp1RUeWrNtgzocg6o9hGHa4F0ol2/ZDtI5cY
34aPQBx9oSJ+KgbnoaG2Esfmto6HB6uctzOonU2EAAOwubUXlvOqK8uWVm9NXXDw4XXuNb6Zij06
G7p/6qaJkVvapXVnE/7ctsMmGqd55xQLaVL8/a4/Qj7b5q4ealn92GrNpmIIZ2bx01OXuw6C4yYy
6BV06vywEPC7ZLpfVc2DE7ffqKyH/QR0FM/HglJDLXQKtLhDUi8zMSck302vPjUqiMd0yQmsp+Lp
mEoYK8qdp8ynqsYI3IglKOEuH/Bcmg8LKCsMj2WoUx2nq/iRdvIJN8yGCPQywBYGpzj6IjNtowOR
KdR28qXT+ums3g+sW6YS3ZdiDuwYlfKqHK95Kcukmf7Y6J8whP8i081XDPExh0sXSexLpv4BZ+Gp
0dxPGjkxDdzyIcZfQWKzb9dGu3Gj+Gia6a9I0cOhGH1haOEQQQcf6POht71L3fTjwOaNlv+rxv6g
rUZ8WStTU80ARnlecdTM8caR/Z2zCgqy/+3FL2oYibt0JpDaPOy6HivKLJK9SDp7F5XF8qgtFcRL
QwFc0mpfHS82nq+fBfR1q//2KLBSyCBtrNLs86MSFyBgcFnyUKk8aIh5to4RdUmhvkpjlN+MSJmj
EDADzJoE/XuyS7UuEX5SGDgq06Tp3G05aFJ5BtCajJBlnYmESRg7R+FWGtNZdwRoSaGQ3gz7EwJo
bC3TwQGh7Ox7zVTW+Ku8/tknRfGYQkz/hQmJjwbGgJj9mFWgu79+z2vp7/KWOdVhZ6NERaDARZFK
ZJClE0N1D5Jm1wdnnphmepHda9RtfODAyY2ywDuncE6DK2MOC+QKhjh/xEhypiwvZ1IxZ12BtRjH
vqc0xn2kIOzIVG0kTN24JQ54WxChBrFiCmCOgWpASX1+1RgMjW4MhQiBUvz0YjvamhbMfIKpJ3YS
hdgY/eIEipfA6xla/bAY7fz5//GgXTywK3nDNN8IpNQ87rWW8kNtt8lRto362uBG3jbRkG9JPNdv
TKU31Udu2TJpmNmcuKjHX4xls1LBcUatF9YdrLcMHd1903oKBkI9vlH2e+dSKMs9Bg95wwymi8rK
3E4pcN0pOYIEzx9Ep0yHxXTnQ8Fh6UbJ/O9juhivPEN4jBCkbBp0F+O1mAprkZEZARadVmPilBol
86/wGl+JTGU/62wWQEe3jekbtTU+mOoEMitrCDzkLfdaucWYhza1nXOj3et90wm/bvVS96N+Rrqm
uSlI4tlO0iysp859tJMaMQl1PM4Ui3QfYHGLoyV7TAqM1GTYXh8n63u5vEEKRpTrAQKsktrzoVo5
gvhmqF4hTsboONmKtW9it7ilQPgr4Lq8Dk4RKkKALanJX0yJuqyp1o/2TKQUvtIjNBqDgB61m9wD
Z+W6AKI6VNO2Ix9AnmbDq/kJPdQPeyNlb9ivDWilaqsPIMWeXEC+1bYUbCrA3VdOHBiRo8kbS8eb
pUrDzUwDgUWSSYTA6PzJyK5NlqEFmKpGSAqdPh0OIsPmmmeWCKrevunSWcfS2SPigmhvKRkSf4Iw
9aJyRkZvPamgZ480oXruj+3oyRzo9m9kNGdJMC4Qn9KiMxJ/tHOKBawsFZkHi7R/Xh8Ub/KfLY3e
BW+Kbj8fJtO4mM1kozZQAZ08nAWORcjZ+kPfY78yLX5HvBijDw9a3ZbaUtwls+egau1whcaaxUlz
+FXYWfZij55gu6Xd0tO+mf48JqY9vguafgZ1zvP3QpwE8Wxr2minrsBvK/XKnxz70QXON30h716L
FgePA60pOrPza2UiLpqR9e7Qjbp6SjWmfSamZM/mxD5cf+bXL8Ulzy+ljeY4GC7FFBIa1O8jEoQ/
MSd2nLJGcP1K7w1sOmKrwhMDFFP//EpGEjvW4mXF0WlhenM2Fff6YqkfRlq3h8bwqhsV4ffv7H/X
u3yI0aJFQozonVRUQEHl1Fnsc1RRfa/s8v/6HVpHB+Q9DhloOKi9n99c27YmeEInPRLZ5pFianAi
iybP3WEPBL1x/Um+e2f/u5hxcbGk1IrWSPTymMhBfWxFV+0yRY/XYHTr4//jUizSOowR1E3W+lP+
6amWS4QFyWmKI3KQ8ZiPc/RJhVMeFLMJUvH6td58E9bZ/zeFkBGCTe7ihS2j2gqw64gb61F7sq3J
/cDB/lZW8d9u+cV6h3B6VeFzUwjjL76t9AfoTejjdKjzZj/JEQx2mkcY/KvHqaAeqCj6tlisQC72
g+lkHygNzxQQmwNxREe9U5Vdm2hfZFl8r4Tw7oYh/3H9ObzzeslQ/fsN4HFwUDh/5iKuIVMnfAGI
oQL1ULbUY2GnhfS78t31S739PvLMSU1V14w8DEOXjkRZFYYYpCmOUWk6955T72FkEOhhiuKb6VYT
xd9p9HElIzETwjj0oyy3uppRgU35AzdPs23R9c49tmuwDW3Wb6//wncfBttoNGigFg1VP38YuY6z
28gz5xBpkedDcZMYq6tiG9XzLQHBOm0uBwaSNdSRhJzRybv4+kBbz2KBt/4ou1TbqKVDgXr+0ZMq
Qe6U0s1HO2vN/25N4wUQabcyLhFK/j2s/TPBYkw3iWvq06EczDTeu61GhWvQtOUb+rYs3Q1eaigB
xPa435RufEsH9uYsyPsnhQwpDugYTg8Xm9pxGmnaQP0/Zv0wf3XUYm3XoWBAVSOdrzNW5odFOE6Q
N958Q43+xjiyfu3XIwJPGgUa2pDzV9vWaAqHwZMHqlu4XwcaG+T5WLvcXByig+0Mg4PpfdTThhKz
52q7TpLyQe4seJPrg+ySnMwecHUC8Sv4Z5BXXtJ6jYQ2LgYnQTxRmW3radS2aL+SQ+5pbLbTqthD
1YafUhdTuQGclnJ8rEi3SVJvhzuiuLHqvl0JHY93QmcbOhtbjcu9Bs2hmVzxKFQcRT4l8OnggHgE
8/rX7/uv2eh8yHOhFSWITJdrvfmS5NmStHMlw2mex1dhF05EiFNXx0FnGQtZS1WuDUGadvlAk0tQ
/6Len3dk8zpGSVOnUE6mKId7qxPWV2HV+iu5Q8op6VwIDWpbZ7gcZRSvqUM5VH47F0Rm0eR0fw2I
YXoi6VNq8G6T6WzjpCl/lJS6si0L32BsjVpG5OOIhV6XkiMZerx+92/n+/nNX7REawusrDKNZajh
qNnnNtQMLzNejDizt3rqfFfmKvr0/7gkvXBKAmwVkEycD/nOizykb4yzzpap77RmdQQO0W7SZP7R
DaCPUysSN+Rjb/ddLC9IZ7HiY2h+05l28UbWMp0EfmrDuiepugJaQ70lMOvB+mqn8ZTdGFZvF5X1
isj8+MSycl+yRoceH5Y1WHgJZw3yz6wsarRxa6xj+87M3AdD58kjcY3zr5NuJ7f4S+8sLFwfiT11
4DU5275YWCr0+7odkTyD7kL3mzROfFDUlIkJGyHdrwocqy72/WhRBtZKqrjL4u4ktoIbb3vdsJzP
LgoF4O7W2QVp8XJD04B7glncZYRyLIp1TG2NwBgjhfeQq4ml7SLqNASkdQtpHcs0SPoc7eD8uT7k
3n5A+RHMbXB7/ArrcooT1pQraS9F6JqFt4sKj5hJMkOXJ96C8/36td4baig6scXibABxdzGjIBAT
w1WmechuA4Z5LvP0tPqb7kvirw5NYt6S2713c0QDgaKGH0Dp62J3YIpubCYo28cxH4sPui2i/TyC
XHH0xrnxjXi7WrhM2VXmD9adysXFrmxKXacYCHg7YmGnOJuTaQM5PkfptakVxcH2POfxw8Lesg+u
P9W/laWLceQhsWNCQZhFD3uxMRYxOZHGsJShPZTC2CaKmenbtnebu4jewiEiH0/sZ5XwaNIWuize
JrigqkOyFHjnCIzC66UbimiDyo2o/Vz/dQZVqbfjnN9H0XFdYPgYXTyatjcJZ00cO2RpqzajnMZt
Hw0eOPDW21HSF6fFAwZM+x+TQKuYJ8OJwTBW5dG1ByQTkUbcaWy8EnfvvPCu0fwKJACRWcY/R9zl
QRvXh066O/Q3w7aa+Vg4utQ2LqoBy5LFdiQ+oE4U674qXMIha/3RqizCv3rF2Yy9GboYeYISRdym
INVuSSPCc1zssGSISh2CiizHH/lUnmaTZmKd5S6tSTfza2lGvjSXT61Gi1lJfUWfHqTNg0zIdarU
mPZyJV87Vx4UYz7oNXDaWFlTqzrCOeuofCyUekXHQv7qfoOTeXBrcCZOqgeF3u+rHtgXpWGuRjdj
h8LvJ2lhuYVmg8USpwESkRLixYGyk3ngx9h/CtHpbMdz8h+JVqo0GNwK/mzdjoEOLqqKoKXicXuO
+NJD6HlSB6yas57Hv+Rk5dkWcVK71doBj643qkqY5LTEUTE6Ow7l1UFLnIK7NBL87B0fjWdU8W23
ZYtqr8gtkD4eNqxjM0T5CXFCR4gSMUikS0T7Ll1638AYt3dYhILF0Yd9RpyBPypq+QUwk/5KpKfh
R0pFz0PU+cvUR98MBfgJe27dJyPi2Zz6z3iTPJ9cv9/TYnxu6gSFjVI7HxvKT69uXhHVQsCUfWgN
h95njMBmEn290xZOA4ZQj3Cp9gnL7rZJIYgQDk02aZOAgSI3CPdarv9SBwQlrapaYUpfMywWUe7Z
5ZUPGTgmftgAOiwqWD5aKsH7mizQu763xruqbL4WzVB+Qn5SHV2VKYcynxCsJUqxa7XaMZmmk14r
v+VKsBpBdwUtEpBdljfA/WZ87gEQhnpHwCUGxUyH71faNM0Z0NW8cnsQDRkGehzIPZtaKBh9dAOu
nFn+SYAtbmc055u6J6tBRqqaYMVw3Aek3PonhcP4XgASwqmap1+JUeV6k/mTiCTsCFM8+BF2sC9j
0jC2dIeEQ0BqOwMI5YdRJu5jHbvKocTDAF2r0IO5liShEvXqj5bDDXZ99WE04m+6Wsida5CTxYDl
UJpq5chJMZGf7NzsXzsbkixiks9xi+JKDg4N/rnrnimDNHc0HtTQEJq7t2srf1YMKjKxmrSBU7Gj
5pth+0Ln54H3tz5nZp59nyyne1C9sd1YojZ2Se05X2OT/K+F8N2Ypr4iuwCnxuQGyaBP5YFBn+Nk
WFyZbahnqieSKtWTsMfOR4JEv7/MJNO4KvJ4g4fQeLGWzNsaTkkff2YtylY0HfOrfkzVUf+i4PI4
iCapf9ca2FpfDq3q23rSbEslyYO6LoRDgBcMD1Ir0uUl1tWo9UsGILr8dNrA8Vk+aK29POBhcvay
jqeP0RKXPv3H5Kn34nRPJp7hp2OvhNECcqCGFAMJplZ+sPE0v6PYxPwzJeb0BCJq3o208n64hCG8
kNS2bFvdyHYke8Wk+xjxc6wDsdKjcfHxo3c/IyrqJ2sc3Ltu0OY7PZ4IHLUyNFxaofjILyd/0GpS
4Ts6xqk5iYesnkxSR1Ob9dP4TtxbdoDBrLx4Ge2NfIp1KFYMcOJW7KBHUnOEB93+ylzH6v3CaMan
0SDq0ya+6oNHHyLwItv5Cs5uPnY5g6odtGnHTjTzExAwz8CM0g2dY6f2W02arNL5gkBEL5mCY9sH
Swm5TMYzDMLZkiIQUb/8brO0oJnMOVGfq/hQ951zGF03+QPw/V5VMXFuDGs2v8TuKBCDE46pmDis
kcCI5I9DqHEi5hyMXDltCZortgqRy9ulsYfdqLrx87yYxQGOm1KjlCM+8YATRduyba2fQX4Ho2JP
v/POoUNgarL3JwQAe+L1gLq4JMEFbBoIU3HaOUQrR1dU1E+ytSzwB7W3tTISKzel2sEaVEt1R7nu
/zg6jyW3kS2IfhEi4M0Whp5sbzeIbkmDgvcFFL7+Hb7lRGikbhKouibzpMfrEfhtxKrbzoiZ5owN
Oy8VVaJMS/1JgzXjCnWWhutctufSqpsdh33PE7RO3akSmnfS23JBZjr6wAwnN3iiLJ/uwIeBYJbG
cMKhNO+wQ9FXhAJJ3T3QAqidF7T5Wy31yYirHKH7nR83kRU5kZGaozvoUFxec8sT12yU99xlSuwq
rNsC6KOPwPLoeE0Wo8/KIm1YmcosznTKbHK0vYFj2ckcLramr72/TuGPh2wzhh5Su+RSE6s0L5uT
bl+Bkub3UvvL1UtHgjIbG1BmyKygikqbqma0pznRNNpxTTQVqXCeSEzUwxdSN63b6HkENw9dVk8c
CO6QlN0YyCiwegNJ4ZyXidO7y/NA/iWhn9QibD0Z03cVrqgw9QkoIIvV/HRnLcf3VqGDsbpt9KOl
J7TbbL3mgI66jEvosndhRzpmvDQy+yMyUb72aWlEtnKoQ/SMigcbCUHlk41+lTextztJaVGkIR6q
/QpfDxfdP3iQhL/M8D+btXxGlEgRkS2grrPhCz5uvZ/LQP0Zg/GblObXwUwvnkBX4QaE6Wzy2hTF
2R7la9U5RzHL8awRC/2Yukgo+on3qjrMqpwOZlY8ufJO4ySTJJQDKMKZ61aNI4GS5NCy20KETfZu
kmFhCwU7BaOw3zarP2YTTw0FAB8HOvnwHoIadp0TmyWV5Gp73BydGQUbR9tMvOZOlOULaoFbP2sq
0i3x0EzZR6bdP2RWacaAcmVGyKCWn2HNlijokbdmRizz5V2ArQzZab07ufe2DBo402Xa66t5c5zJ
CquVsPu+1uod1rA6kghwqbfIOdDSLKSAfXCAyxLS/uPD4fRIVkvm0YBMS9ypb8UaKE8LD+55whY7
ZUTXmrpAYeMTode3OtIfKbz0j6aaLq7R8dyqASVObbjpg2tKQVklLCucXdlFnuj3krQKv2g0FHPp
TgvW8iKyuobk6/m7nF3VfpDOF6miewJp96RpHlTgsRIqnpaq2QnPucxEModZURz8afypN/vbq7Tz
whbs0UzJYzdb50K2wll4vtp3ZnZqRTBFiDTfB6HtyI37qQZJx4bS+pZaDF2MAvWuO0ifg7F/WSfE
vmPVdoetNl9X6e6tWl6NGc4htHqXpHHPqPmOl710hzi3kaP7jaY4etHBW546dF7r7mrHexQD/sTM
W/eIPLD755nDt1HDkao+bX8B28KBVYgAvdTCT0NIeO7uda/+0Qio6gvrSfb1i22WOyClL5xifyuc
IIqTjqLfDPut/uchP/N875+12lNsdPljVxLxbg5xOgPdIU+ci5Upc5kljsn5QccT5Rw7eksook8i
ZzUj4SucB0g2V83P/zaLCyvUJgB53REd+JdB9gtd9a3UqAK6dO+L/rHJNy+0bOtHVpI9d/4gawiz
QffZd//XI8MG5+l44vb90dfl2V/nBb277+4Ma7s2leiiyZvZhtqsc0gL3GH1Pi2Z7e2oFaqDWTW/
CMBiazMfuO4+nYr/HZDYcEPp4pDn6PRJLX1+Y3FsF/ckeSy5O+wHkllPwCpiq113a2DtJteI0zW4
CC9PXJNta9vT2RQlOrBtVNEqqkO1DSkie/ctmCgaAnd+MRi6IX6tySF1eAgcxZis0F1jpzUdsXu5
7aEQzo5p4P7z7q5RL4tI6KMdWa7U/8lQ+EhfmvarNQlBdMQNMY8VLb7xtHjLPki9X9vjwLa91I97
ufyO0xQJc9kJjO1y8G9uVXxv5rxDrnvk6n+aTCfJi/IyL41Aa1h5cV4Rk0E6+1VTjNdK2DRTv1ej
+IP79FdM6YM/0SGt9Y0h8Rhl9JdRN+ky2YCl74LCzDhBND6fgH7Br8fD0nRfgZ5O/5UjmZCT3/Xx
RNZXVHTBs1B57HWmEyE/RFQqebSCwbsxTj9lRvFtF+Nb0xa/hfS+i4AWqDW32BYOVUpw7TQvRoQU
t604wl+mC7pbfDt/P3nOd91pyT3hLjL79V+z6RDGvRTWsAUBNoe1WgublbmRjJX7CsqbCtCmuqvZ
TWsLb3MH2wsq2hRJsGEhUJEOMwCDRhAaGC/Q1TPqDaJ+ND38A9N706uOqrv+YGQn+Dip87S+pycd
5K9VBzAiUpzvQ+1pEdTOb3+aj8X9ZekCmRR6dkCjm4ZTB+p3qXpU9ypbwtHUOMBJYG81dUvbwAkt
lIukEhVko4+PU0WfIurbynIpKOlMtu6v4c8vi6XzJ5lPLW1WJNagHpQcCYW1uqszVV+jxWFMXfwP
8V3KTdM9t5YNOTsFAWLXVNKLXr9VVne2oaGGpI/uK/KHE8HecqdE/5qvznPnCnCOXFdxm7YbCyb5
iwIZ+ODGWNlaw3FUpKwzoo17Z3i9B79x6ZaXJremaDT4YqAwHTJHA0jQXu18iCcL2nxX2VeYIc8Z
/p8kn23ozU1/JGX+0XTSAuG+OpJON6KqUIeg7478VlcD74k+kv9Y5FwTay+aPcGjfynDIztr/nqN
caSt0K4dKvjQamiEey+7Qpb5VSnp87rPl+tWC2Gi9IyyH/l6YLmrrQu4m9dL6vI96MhHE7fQCaNs
oeTOvTVTSGsARswBDSphWumFdky/ySlg4TQJ52gC7h50dpI6cY6ovR8LIz+qqT+U24ZevPnglA7X
1thVRYrXXq6fRaVDk/X95STN+T/P0AbsMxpOHjM/Wbp6HVaHeGn3g/zu6bqMkxE5Hn2UXgVonpvu
ZN4r2ypw1UtaW9jLFe7xtj9ImwDRavDkXrcaWOUacxIUQnQcnOogr+b3fgx2d44sbsxrm0uCf9tX
gMQU0V2vh5rF7l3zRjzmHcJvxrcNxXCLfaNEcbpp18UyTxScR8vOz3dItE4hi9xVJqmlOZGYahnK
jqOw7u2D8CT55HN72Jg5HWAJdeGid7hs7OVtDkbav8H2qnhOuT1sLf+iQPmoRk6E0rMf16Av4rxT
7l5z78eTnC71og4e3tEI00aymf0tx0YYVoETgRrHNMfaZ6zmw1Zm+6G2Dvgg38HSESepX0sw9Si0
Q1Nz8kgHJJDkNv85etWu8khDHDa8IZ13xLMWV2J+xfb8ZpqK3PEuAZ+dhnPQknnLuxwalVHvOjWu
keEtXoIOzTzk1NWgJ85CNDu/5HOkdlShiakv1+anYTT+FWn2LgkYDg0jTbou/6S+j9POeRbmnHBv
fKiV5qn19XCxN7yQgeZAmFmvUlNvkoKxGbXnwG7n42imergpeZR6xoU33lZ4cRqjaUj/P/3m7KjM
9uQEP6lUvUurpS0v0/2sMNrbM7p8fUn8On+eyiW/eKso8OzQqeh5Vke1x8ULsruL22YakyafbtoG
J12hFAzduyHDbHsnrvgy0X//5zf6EdHEh9XbBm1jgZdz6479Yv013Ho5N5JfxptU7Kf5YyGbc5YZ
D6Lpr0z4/yuKhUGdflMtsY+A+n8s9FuxqWf/UPadx27Tk1rzHwGK7JSthZbqvhQh0305Pbc1Wlil
+784CjA+uH/quwliy789TQt2iprBQR0TGdv0ndUkilUuFzJFzhS7RGd3UkMRNTxnlEq+rexD7ZTf
ctTmoyNyxhr+yIC4BYzvF0PFrCW7es6I+roSx8Zi2pbJyTk4o/tQGNPJcudb6fovW5rNxxIrWej1
fJ32ttJ/bB+9s/6l7HPjmjVc2Nsrj9b2bCvzbZvLvVz6K8yWIjFW6Ln16L01xdBEaydfkW81N2nK
F6I5nHcyel9gX2DSEpt/t3wcVWZd4I/H2ziOp9okkwe4/t4YrY8yECmCc4DEgzft/w9otlfx3Tr2
1adEF5sZz9aQx7bnwHHEP2UOmYt0wYpn10swzu3tJceSL+EOfM6194pHl/KySYa+e5DO8lF6zt/C
qv6m7vSg13Z37iwm1XODSrsTOzn30FIpYmDtMGOoJXEuqRcHo0lbpq83uvcHabvfVkniC3yWdqp5
32z93LMXCbd1SpZ0eewtB3dlN+/bvo508hhcCMe13iZrvu22yf2YB+vHF1iJl+C8oX3o9TkeR+wk
iypunOxpVKnJhM7cMLdqLDqcbEB+cw9BsCi4xGFLa22/NM3NJ1yduIAlKrMUqwUQ/2ABtasD87cc
UOedoq9y9lkpjm6mG+E4uyGy7OFuwnglymFfDOOZ+OIpCrzsJhsmC6U7XVsb4rxJC1LNZlggkWv9
7MVnoQUD/9Wt5r2XbaetKpi3zzXFYHDU/HHPnisKJo9ywjxwgFx8ZzgM3Uq+O0yCXl9FpNbgq+j9
/QY8fTPqU9pmSZU3O2k7+1TLasgt9pH8asZzcJzsQJ24xiM03GcQCpTrWmJhjjKNIV7bZce6PA5m
hWaCj67qirNHiTHV1WM6Kwa36XPbu3tcb4yYt71tu5Sl861V06movCss3oskX6QSal/RE4jRZv6x
RoVn3HKj2jFDvlSzv5NDH6c5jAtvag+18sjxyLq9FeBXUGN9nRTz9Vr7bYzZvfdvEervWA3zhfd3
L5hvBmkL+y6D36LipilDSP0gU9J9WrUnoZm/9pbucW1f9Wb+Bv1yJGL6s3W51Fv+oxi914HJW1O0
uyYdOXidaz0gEFm3M8LqJPCD22Qio6FVWdpmj9P3ICc9XirsLZO8QcA6zoZ+RUhzyNo2tmxtN5Xm
uVEkZiChQ17VXKRsjHhsOnLgvEM/lMc6m+P7zYzU98DTF21ZhYNGJd1Y7yqq70IjNE6l5vBQNqWK
hnV49myy5a3qJLw22chACbV5xVTRp/ZxznjIS/Op7MdrnamnSU8f/Ur/WTRt2tV3+k/bz3+kg9VC
UPl7ItZ0dQQ2cNFF+7wWzt615hulAvEwerVvC9tLRGcZF6cfznAUTfYIY5TyHd7kZpM2bbqP5EL0
x17fHgZ4nS8t5orFw/6Tu0y2/CrJ/XLfTXKf9vmbzfPgp+KxM5bLaOcsTLZYrsMZh/2OdVtiyjYL
80r/kH0aMtCKdeWEtU1x2bW7vtzSqBudA8PeJNvaWzsJ9isBf4Nz0FuaY9l/6RlhIJ2hv7ocJWj1
E22tI99cMWznjAoZ0KSmqjkAtNe1UAm1KC4YtBiJm9I9OYN1NaolPekaLvNM2FvkN/ZMQ4vRrZIp
u6EsKDhK/Rd7LruYyHbKARHojDHqj0bntq0GcelKeRh1zjN2Jdd6Ln8GqLeDtpE5mjIdTzsdNYQ2
Pzpz8OxK/z6vi2TuKt4r47l17lJD3ramXE92o26d370y0TVOvczfGVe2F446Rm/GVMN+taOF+iWc
N4+uU9OeZLX+OFl1VibtVN/7t1WI7yzwGT9kzblUateO4oH14X62zEMwFXvBYIy91hIz79yvDb/R
sqaJ6rUTS+bPigeDmdd2JN0mrmoKyjx7tDIKNd+dTLKH2lPjqjZMXefqQ17Z2L/ro/FdWPdBAGsP
DNxYvkZW9DXRr9p3bxARs5bU/cOQuqfUWI9awBTG0x96ZYL6WJqd7cw7bqiLT6L43UGYkjpwj7A4
ulIxaKysWzHkNiPNgfzleQzBPz3ktvySlvlnkLXzZjd9R7Hnkyg5rQ0fZU3h5DbPbYcbWFdryNrg
6Ds19QUigWFJlrrdZevinEUgP4Ve+Ac4j07cWR2jOpda1mYy+iQDdc7EvSCc25htD2UbI/qYZy2p
suJVl93XuE0dY1u9jGvd+kg7kVSOkYHPyG6sf7AhVowflIZvm9QmqkLYIkZ3wK345I/g0qtAe1c2
WRz95CRyHQ+ehpPU6ZtkLclIHhbdjXsKY0YqTpRyD4yIlyLLoerNR/auOUHcx4XPOfbxNPc983ez
XD/WOWXNNNc8ZykEemc0RiAK3t6rG5jtnbez3IFmxFuvDGjfuPCnuCflPnZ7kGBYB2Ly3kOXhVio
hHUw8+DN7dhW9l36lVl9i+qES5uwmWcZjEzbHC2pxbBvHLFvcvXZYRi28uzir97FpoIJl/Y3V2sS
aNrvsukP+pgdVV98BB0dV0FKk6jTO3iz2s6jufw6RQAbV5Q7ZQasoOxdu7EUh1D+02O8u6bYln5U
t/wpDexMTCScchgjDOAP3lq8l1V1mXN1ydmxmxtLhoxQIbciOw7sLxNJpUWQvHZkP53aYvovL8ur
w4rpJHzeVr34FwzW3qkwD9v9h2GupJ4XxD+1yjxPaRWXznJtF7CuTpVYW4WHP/vG+k5xU8I1yPFb
lvc5twWVoSur79zpv91C2wP7e66H/sUwl3PJPG40q7dpqTBgBYQVCdT4Ayn2TfZSZgXZW+awd0ky
FjBqGIPjXTSyV1VsD7Os39qef4hRfBb5W3dW5JCyJagijCJIssf3YuLKDpyzXbCaqUf50hiLj19a
U/FoTL9jS0HgF9qIqa43Y2dqfsSsfzHuG87DwiGxeE5YabxHZM7dF8X/0I8eA5mXcXZPqgZk3rMb
FvOtyaF/TEZ1tre+TyrqtEgQOIptz3/2RbUvWftX6PeXWV+PnZa/yL7fc8VHljY8ap1/FWbKb9g+
tNMWk+T5sBZDhGubgWZjhabZ96FJBI0MmkdAY387ei5nzfRo1stfZ5Nfdsp8rGu5tOoF/7vM0x3g
vaTOZEE0VbBr563mb2hjuTBdqvOWqCtz+/EmRhDup3BHJybZBpr19qp56jeY2JmtU3bUMV66cDbC
bt3GyLcZhQsz+w56IfGCYzVdBXaBHMRcaGG92wf6/IlOaj8G1aHrnds0yuxb3rFNWUpIjP0aaOkc
k4vSH9h1XtJJz8PJTJ8dfYEi5R+zjJiOEdtdrE36Z4d3c6054ZwaGQCWKXLJmTpoGUykLO9/FxYU
uy3VrqW3vA9bTb/M8KNR8wsEiAfLVoms7fWyNiBzKs8gdydwz32F/8N0/tYlGrVSP3Nd4RidL6v4
aK2CIZy9tczftAt0si89V/u+Nl82BB37VBnvjgoeN3e7jao5McXimtSbk46NJciy3erCiAjavTtq
feRkaid7x2Un0j2TIvZgakLFgWHG44ACILOmR8Wrja1LgzZAFM9UXTC3U0sE8GYwOo/ChCSQ9i6Y
O7s8dL79aRKysC+ZoDEQeuLFx4MmrkKWt0WJOcrszvvkj1LlBA+lPezIGl8TnHoCGAYZEanhvlQd
DQBgtC5pGZ8gyqVwCEQWei10AKfdiVW7tdKGKKIRN6mLPkT7tHOn7UFO4x+7TR9nXfu0UY6E7lZ+
baIjx2d+nMv0QS0B3vuFi49T/l/f1F9d7eyGVX/ckKkcALOGGLdYR7F3bNoxalbjsGXObnZhkNwN
wsaGx9XbfobceNZN85q1XVQ36Mvq1aTyVs8I4GN7ZT7eLgGvM2sxgx+eo1J8koD0C64oSHSW1O8b
Q7F+tvuYxCi87ubRtKdvp89OA2ft2sx/y02cml7/t6b3N1U5z55Ox20HD9kwJD384Xswkc7ZQ4iY
PaQRV9+BeRM0uc3fz0HzHy3LI+mklwIhrwr0HxfOTcQkMpyzjsDM7pxX+SNRc9RG1vLBzFKyJPaP
pWQbbIjmr6vp9FhsDKYRZ2iKUVnPrS/DnjlUByZMafmzBMszoQW0nCtZNV4VNuWCi9uKTCv9ldPy
4U7jOz3luXHKeMxnRmvOEaHn0a3nV7NxybdRpwAZTlis5T3VCz2Q+zK2PGpWfdLT7LY0NB3EJWNo
I+AsVW+uX5CtJe/Fn/W+5mxavJkFhR1X1YKvAOyQENV1doJXjsiE7exxLMUVp/MPcfKspkpEvaWQ
R2GML+PWPVv+dMxEcUgtFbutvGRbGRtz+51ZzslKafo8d1d09qWEDRFM87mXxn6RNGWadI5eQbWb
jjbzyDwR9sgao1WYtIL+kwSb/5DWs78my830LpvRxqa2PllTDpqAdcFYX6bO2PWucXBs3nOMm2ab
XjBDvRU+JCdb68MxxyunC5dk5Fo9DHNDbq5+CRqGcDy7TTVd5WLQXXindbaevWCNvd55yaacFfJK
WJvu7UcQnINskzQv90LIC/1J5Bf3yJ+Jp4JNCfvbVehruLGpWueavqbEzN6dVweLukhvnY6fvt5e
stSM9ZmJbd1qQeShN2b1Gvcr5A/ICVaWHhqQMrbKd3o/PEyzTYXK6TCMQazZHOYFfjYSaOJaYyTR
I3VBtLjzxPg2e4oFCC/bMM1ho5pzrbJHKKa8Og70Sa5hRgLlqZbN3hTlhT43kYV7WN3ibBkWMuaU
SZbkaW7+1ulEnbqe681/yhz3VE49Ay81E0nCgPk+DpxocBmvnxpneUOPcaGjO8o8PxkupYyQU0Qm
1YMltWvqFZdm2Y52UJKXmcl/jc2ctyUJTINQWxN2MEMTkMyVPRI8w7QwLhqDv74AReFvj2uDuqBx
a/zvHdAAO30h4AzXmu5AAQVou/jpa1aUMsxK+8nQm6PQAOixBbhp67o3S+2/rhPfTHFptSv0ZSXC
OKia00WY+Y5QRdbROotaJohcFjsQr9qO4Q4bErWtp972nskbDpVlNnCRmshdl4gt5mEsLJ4yjWjO
1uYt1cRwXH1xUUI8V7W6yfmuviOqdzNuhEs+eeXahgZD+8426F3Euy4AK/JzpqKmvXf80IbiM7XD
gZ+E766Uf1qji7ep/Fo3DJR6fmMzEckqfdnMOqKo3itTMkUVD6vUYh0i7eBrl4pEP3u0b3VtRkpP
P03UB5VmRNXmvPe9uoxmDZbf2mUD1bYgT5gbKotW03upCzPMxuxJagY/AlyBdSRHZPszzl08d+XF
NRbvVq7L2emA8SBKeairIZqLBaQHWhmjOAwVdaFPv+GM2tVp2FPzrL1aRXnLHPSFwEjABQEgqShI
6a68E4uPMxrc+cCWx2AnL5kX5uqtdumEgIEcy4JtsPSsP60Fnkbyb5yZGIRBP79bIt+nU5DAztii
DjlDrOXd22a7N2sZr/5GkysMFc96BzYkcPdNYF4qPydaR1rWddW5tbf0dbRYsBB3eAlGuhoTl/dQ
Yr2cNVwCPBfGlOtR56aPdKYHSCAnK2/2sx38Gc08CQbtwYUFZmtsnERKTx2EROJeGkDsbL+t93RQ
7/AmYUwQOVgP2WvmiVuaj+e1Lj9n5p4eA022d0+YwkVUD3B/jGp8wUV0ROCVVPXAhhXJUZHZ/1bP
Penm+FRlwf0BPXhckUxACVpMO3qVxQJk4T73A60UpRDCitCftbd2LUgtWB75gjLAv+YfexTYQAqD
nFqNNujeTbV2vYOFQxlVJRjkhlDrC5Bu9IL7TEv1KN/sf8SXWdHooNV0RaxWYd6fara7U8J1th8r
E/LVRN6n3pzVuPQvuSAesqBRX115zLb110aZAuem+o/HBmDRPD92yokNDxWyt2yKVR+1iAPYLkII
Zu6YiS/vioMttjcgg8tQJn4+aiGimC4UwwIJGG1HsqXbgyb7x75hQBdYp2Wyfl1MQknjUoy5Rrf7
v/XcBrn/gMT/JEqUHw7xWadCOPtNLxfksIzMF79gBQvnLh5YY/LaN7GpxLPe9p9+aV3KjWHhyn6o
nD/YaX3PtvWLLLm6UW1Es13Wu5wV64VVz5zIUf/TdxhE/OkRGfT7NiF6aF2D0w0qM5mpa9H2FBsG
LJWmvUlGd103bglq5xvbfoIC8+a53ujV9ME4GHmOlEnZeqw1YmfdDRDuQNxqVTxaFSujecwP5iLN
uGtBorXDDlnVO7ZsOylIzRqCgZ/PcR4CN7tmWnfxFnhyTBFZ12S+ogZkeZHXLvNeBftldix4Mku/
JkIVH+S7vq9a8585mD96mXNydk8DMb2AT9JdNtfPmzs/VdMKGN/5GJgII0PIknVDStVoSQ+axh6q
pzFg0rjNQRwsIKMW52jN41urUnhJ+QxYTy0EwNoRGtddGsDNC/7fzE1RlgsX1uz66Tc0Iys7YqPP
BYhUAesa+Eo2PytYmetqnTuT965L3d0GGbJp8jelZ6gRvrq7SLdQ2VuFIWFnjU4X4zClLcSCtuvR
H0cys7jKZf/GiVCGtQ+DLSzvW0S7a3BHBXqHhzg3L4u+Sdgg2sxTN8m4s6dPt2zfC79MY/QQRth6
bb4bZFfshlR8WFm5n7KuSkDI+TGeq+G8SWc3dmk8gDNAusPg1E1pAtL5gFvpiZ6F8ErmlkghT+bM
OS3lPd4XWFiq0mQxm0MxiIMxVn8tNkTh5pfedasQQPdpEbeUz3thiPqhkgVcc0Qao+X8rhJ+EDKP
gwWrkDGx9TLwRvs40dOGVO9AG8szljygPC7WuUyKVx5z/eaPvTrqU/uGrulKsgKTf8t8mNflbfMB
ZVkkTdLgsFGzvJd1bJO8DmZWJor9eVs/krAKk1FcW9W00Wz151Zstxr5TpRppIlkrsV4f3qFaccf
9V+32XDiXIzAwws2TER9Tkng+sygmvojLU3GHsb4bTlF4rbj2WeciaYndBaxMP3MTx1jrhGhB7Ng
YIwBe96qJs0o4/PPKic7V0F5cibEgl1h3yFiC1pBFbyqyT4Urs8kxM2hOepTYkKKBKds/miie3HN
4cWYxzWx6D+hUzNSmsYydnBPXNoBrfeci6cADT5spE9MMHPkUuEUVfPFyfIsG+VcUQFGwVKIhHbw
RTY5M2TgFpHvsy2mmYjaLW93ikUqoPWMZG/EfrvAahRFWrn9YWtrYTyTzi2ft2cL4elMQUeUGPrQ
hf1F6ao3ZVQfnlOfWqT1oltP6JUjXQ37zJh1uHfGQz07SVW4cbnWcuchc6/Tdp/XCxnmwRuhkOPJ
M5b3RlTfVb38VwRI6qwlOGHhWdjKGAdTBe+0XmfNr8GDM0dE4UnubHAMGhPl7/hUdDJpxXwQhXNq
bHNASCEf1GiikXATq4MI2Skdk3XrlbFXd+A6RPEgVEM6kH929HoPfey36o0JVKXHJ1R1AHeZmseF
nyNCEHq3N02N9G+SXULbMt5FapyMbAEIXcYs7RDhatk99brcnsdpe1rX1IJs5p8zJSBC6nV6qZuF
hbKy+92k3JtNielssLBG7H+sxbmdpKBmzF390tszag4ohAWq6MKGGFgXL8VgfJgE8TSLd2p89+rB
4a41eE3GvJEJr6Uhbw7rLmqPE1MWN6KQZVJPsRwg8efBvOo9v88w2nOEZKAKZ3CQ/sBSAMYDxLMe
Lom5pgpLC2v1yTfgh5a0NBtTFhDU/O0us5waWej04FUcsCUm9kNZkhm8LRPz/o1sT8uff3AX75rS
jvuhxYml4mp1/ivK+px6VRGpkfZubUdyI5cuasvxWVkV1Y1lHPrS+ud6aX7SdF3F+RK00QKxLuyy
0kFblWogM1ys5bMhb7lnsftufThliK+XgomBxwjMpNIsx+VL9N0fZvsL37c7h0VjvLgDGBfHZbM4
uQ5gRBB/pMngtPY9xjYTKLLO1z/FpF4bOhV9QG3nBDD2XERy4gJ26e9alH/SCadbMe8ta9hVOFlQ
koyQDVv5I4vpDLaeaX1W1K+psT2VLM11zdi5s3MZGtd8LfXyYlb6g98w0SsY0p35dsyYT/9/nJ3X
jtvI2q6viABDFcOpstTqZHe3u31CuB2Yc+bV74deB9uiBAnzL8zBAOPlEit+4Q27MQBM38dQEjyD
XzaY3nGQyludes9+F99bPM0UeY/srmBlqFm9SfP+oe/cz150X2G03oV4EGOp7MQL0OwkPdkH87Uu
bYzWUdQvD8A5V4MdHdtIBjSQjTfColcE8FHUU/bk5sipG4JSfuLsKS34Kwu8FRUxV33BtsKkCsgz
XwkXvfuYdSCvxYeyAKxfV18NgauvK4JdOioHON37sAcFH+r9F1uvf6SDed/QwgactMtl/TR2QbgU
AXmXb0XxsjazJxIhkiCXpUVJFSoOj6mK30tbwd1s9PfEw0XCajHc01DCoqVAuBW5xU4bokeX1tS+
boqY2yaghuAHR7VC+5LnDEE8D8OCZJsa+XdTi393KJgcoiG0l47eI0oJyJ3CVreNmnRHu+R7g3xr
5GDNnYKUyIJiAN8XUJrzPmo88MoM+ZgWsUnFw/bZcpYB0QlH+11XxEfjA470LVQpRk/7kGY9+bUX
R7BkBEWau0mbZNUWOCDCfx4qgUTi8NLKosH0nQIkum6Q1JNXjMR+kyJ/q7X+Lq7lSxe367To6gUS
5XcAEPf4NaCKXi7DqjRWhle8SChvwAHZMblCAOwbmbouLPPJEp1Az9X/YtdmSSsdFgXB7NEIQGjW
jfOQB3Tmvfan3Rb8v+hdxcQsfRiIdWdiujWQEKyaunwzY41eZSa5+hqaUhhWLZ3Ye/OM5A86+F9S
ArJFG+Xoxfdbw80xdwke+qDeKR2qtW0NGMcc029VjDWHyA2SxaH7Dr9kcgR3VrTcPDB+5A8pdK5o
CPhDJVp7AHPwxLrzXRB+PSQcUd/z344Jep5VH9KuKJZNHsBzcp9bqFg2ksaF7VNeDPK9lWeIZTru
V5G47bLQ9I/AVMwNQFt9xVu0lDG0E3uy/K7CfNmZ/Hen/sSdDp0mw9nWY/aB8OoDQgw5z7H4aUKM
ATCa/7AsuVJCoz70FSAKobR3cLe6perI9wpi+dJEec/H+Xvlk6Wiufbh5JR1M81cpBlwf6vh9Y0p
nAPXHtTgG48SniLpJrDsZaibX2RhAW3OAFKEjvEhPP/TrBqwp6khtjpa7Ectxj09QEtqSdXIXHdG
+Vy4HRbWhL2bEkQALUBt3zruSyy7ow13skCY2pZhsqz98M6tXJYur3d9ma/8snjKYv97gRAlGrOk
jF1SoOfIHKo5tifV6KxDmkQ6f+8CR5pvRWLTJTQFnj3NvWNTHe+UcB9E6Y/agOpLnyVzhz/SbV7Q
Vf5aoJrp5gg8NE78rHjak9k0x9jFeRzhY1faOPGE4QKZ/2EZwRoAQ1kINKMwUm/zdlsbSDKhJwKa
wH3Le+/QRBTgLb04REZ0jGpj18tuJUqwpujBtgRKVeCBMk7/KIJrQPO9XSXMJ7+VLbM+8BYbq9LK
DzQQ3gEuoCapNawvEBJF80GgdAd0XdVdYOQfdSW2yHkwz3G0r2vjUbe0rVa0OJdzg2ayOBgAOjHj
fOiM8QnXnlVuGA99AgvOGB9Ieza5Iv/4yCZxOKMN9ZXH0lf5myz69sNzCMBPuOWPwhBrtdMfc29c
NaNprdgbjzIAT9TH93iUTQAPQOKJ9xi65nGsC/VIgmpsfVtF3DEHRdZ/dxJ5V0bqc6NxAiLTunNJ
uhLL/8aveLOlduxt8l+lt4lhjIGcGvAMKg97LXUfJYRNqFS1chfpWnv0M/dOb4E7uDEov9igUMU7
tobdCtE4ppEAR8AkyTbeSsVvwKdDGqLl9IiSsb+0suyLaxfJKqiMBjCgTbxD6v3QdYRQid7jjxDo
f0a3OaDPaK6sVq6jKpmAAx6xeA1ctiDQ9jqLuM3bZz3ipiBYN2av/enadoW0/dHrw/t+sN8MaXKB
1NBe+iAKN9zsCcgpv1wCAPhhF+Zep4kUeMApxfBgjCYFX2XVpNlrnUPM9jSwNPFhoMG84Aysh1gf
tpyzgUoBydYAC+FgFMMHsH3I9d5BuvoXJbAostTlvYQd+EUnZAI6lKo7wLIYhVaTr3cRwEbxw02O
dxhlFQxEgyBnmWO5lKh7OHb+iLzLvo7UoxmofxQr+23l+W/TqP9wKXtb3UH2Nalp+5FFl/ILV9ey
1Gl155/Aw54l1XQ6jMe479Hw/FSQkqgyBbayQh+Co5H4Ow92EjnynVASIjdf2dsjdhFBvUKL4RjJ
/MH06TiHzo8msnc9oncLryHGAyzxQiL2SCtu0dF+Q+cuOBI6PKFZ+enQ4lng0QRaTElJelRaEXVN
yyRvVbqDoK8bdTuWtG5M70Uxoh+1o0yewtm3OKKOZSQfwIMexqw86gWOEQrXTMGmaBrns8wjNmyA
oH2cpgAHC0gW5SFXqj3RA2WwZEet7b51aU2in+atR9t+MHQUa4Fy34P0XaZt8Om2gB/zCsxsdABc
sJb2+NVwjHXoUKfN/UnE9NXN0yPIE5+IHKysw97Oe0qjhaB7qFJKpcwF6aQHizzJumbHMPc9Cpg5
pG9xSLvsS8a5R1T8sSk6OMfRs5kW69bqaY2VUxs1gLw0btJevFLxQikc03MZszkbF6NDgWNXAIfP
AVAV6z8iJA2tPvpQQu9ebxWbXKP6LmgLDUlEjxcEFmLgMq2/2r3yHsDDWkS4vy1ii5aVV3ffm7j+
2WXDFxEo977db218OPzIW2XYI20iaK14QCi/VWRn1mz4t4ikfDmCrccL/ZCC8BWgjAx+MfRgnJyG
gb7rQFOz994xcj3mGbXJQFcfPC24cxp33DYWd3NTglyzuhxMpGoAqK6MjzTkdkgSJPlTmVFbTEPY
QCotwyrsnscmbA9xj6yuHervTqq9FjWUhsbY16q4Hwxg1VHCS9kH4ruXQhXvCwCl7lCtbWtc00T8
UpIWP5DLmWu7M3/4UEVuyHZckDZwUCOSKEFNgjRzqRAXo43WhH96sL2k+xhtWpVWxokT+qg/X6fw
X9Dr+HeouZdV1cMv9ey0pzwUwI/omnygFJ05rw5SO9m2G0vjyYwqMr8sjzNj/X8YHZVUzUE2AoHW
mR4XJVbElTuzI8mqualFqdIqKs0XrNIefE30O0OHXJ9Y+XhDuWCSAZnLKqD5g04rFtnolcxkQko1
1lwlJwGFwpSbeyWxQQPYwExvGVOez6+Dko+uY6HsICEhZyJLJar4Iqhw3lS1JoBDUOvPWTaGb6oe
y6+x0w1/6i5vYbb3BNPXJ3emyGFL1BgsQbiDkqCq8Z2ngjPgz5UCKr65S0IpH0YEkBZ6ULaPgctq
drIzb2hVXBxPGqo1WY06ljrt6n/krBxb0Z1MatHBrYb2pWw9+BhObxJfeBS0bYrG179vdkr+932Y
HyGyi4YZpJXT8RTNSfxcdbJdCaZ5V2s4LniIy+Bppimb60PNtsv/hprWUarMo2bPPk2axLb0atUd
ajYRQB0EQluwP2Fc3fAwPJtDrNKAoyN2RnlGVecOsZnRWHZUNskhgIk2ESeTDVrK3g6ErnMn8bLp
bhyEv4I8/5wEpK8YUce+SMdBzIRUejqLtCDjSuTC2elj2FiLwR7iybWict5UCMAqNERpvtduX9K6
CnvVWvQ0jR8dv8/xLsnAKW+asNFpukujMJe6pYj8hljY2TrraAlNJlfQ4ybLvdk6g0kicGuIy5tQ
fOpO3IHt0/uNq6nOjctwpvMyzQWXARY5dBgsi9N6OhfkNo5iikDdDSiXfOT5SCMfJX7gYb0OLqSl
vIEwmaqXH9e311zzlw3MLY/tOQtv2BamnKcDdzKOqcVl1DR8sLCKYz3kIcUmpyz2QfXUKNESevxO
GNF73VINbyGRx+ALsNkBGr5sMSxG/EP7yfO/pnC5y/2eriFS7n38Cg3+UNMI8czqmQ5seGP/XNiw
J1M2U7UaM4G4xXS/JRUVlFWNQRvIvlhtfuAIHX7a2MGJ7fXZ+islNNuymoHCNs6CWD5hxHg6Wy6c
2appHWenCFctdwoQ5gwOcxUGTwSRWf7dswaFXopfauWv2NCrJ8WW1l0nPTob4FhhQxp9BW1alx3g
1qocs20PmFDeObKo1Gf+gL7FlZOArwH9ZACa1ENZf8aDggmKmiKPCrzEnERyY9xpzSbR17gQmDXA
+RijVL0Nh2+Zo2YUe5pfvSLzCOhj1Avg1AWMJUw4EB6pTDUnUjH1XwbWJsmSwCUYQWaq6e9IKnBk
NBt5DFtN7XZdVKNFVdEK2g5YsV8Ne4h1PaIQJG7CPGQVeW9CDSh1KCK695Zp5QvkXzboPr0g5gFI
fTzI8Du8xY7SZk8HKQ+1XTba+GZqoyyJ9Iq2ydedVaCQMmLmm99BqiitVYL71ycmNs6zlRbhD0A4
+jtZpPnioRLyq05Hj0KYkjRiVZkmyHIp/G9xwG8EHN9OfH4L13dAXFyhSysEEwC2wW+A1o8gPauS
lsrC9qwi29FXAcnX2VgURLRA90I0xdcRAAnAddvAn1LVRfRoY+AxvPY1vRIP8Ty4w5ExKP99T0P9
FTZyv7Ay8QY/3V+moffAz/NwnwqQVcNgvqpckCskggfOWumvr+/nWYjwv1uH46+iZoUr71+Bwn/e
zbwCpVWJYtgVyIZs0rqvDqFBJ4eiYD6+6H6uHRwI+iutyOPd9aHnsvH/G9vhtUZyXKAIP/22f8bu
0UxoSkm/B/xLtGxl1G0QE/lDGcNftDIQd2HTBGvIgj6NeBhzwY337u/NNjvLJ3M93S///AB/tEYv
0QKxK6qmyNFpEUlPsFvDdYNd6T/TXWyPRhJoKMc5AR0ux6x+qaQ0b0GdNL8dpAioPEfWU6KX2kZH
ivRGVHM+RdKComqicMUEmeb8UUhaCUqil96hy0oo9EZU+h8p1aaXQRjGe8ON99xijfzcZv0Ii555
pkaHC194Y5tc+iEGcqEIFyKdzmaZPRKoHcAVtxxlP3DS/HUZ2+4HOBHQMR4P8N6v4Y6i7NOEfzBM
YTU9g8yEbFIFcXd925xd+hx6FPct9CmJvkAGnC5aiaJpZ7eaRwiU/qlrGa1hseLYAzcbGQ7XvbFL
pw872SOEsCZhuobQmzMZgJ4Oh7iRQtipio1p5Nm6iWmjauDcNhEQ5hurfWEoAA3SIGxWOQ3zzEuq
hVepwkCKQYRSYBoLPkDD5LTaWhlG2TdGO5tHlAF1hMt0Yi9NxZP79MNEDvTB5Qo9KEQId5N4z5H+
x/gMapX6EjP5X9fNVsmzSLZgUjPsmcb6KL1Sl5F3SJtKYjhF+LYsut7/mlQj6XGgJbxe17fK9Bb/
s3aoq2oqb/Xkkcn/VGO2do4A7aqlOmL/eYvY5ACSkdIEwGTssxBqqzeF5kchxfPQ+kQTQKtfel8p
5eP1X/HXtv3sZ9iT9iYHGXnl2UyHHS9oGtTKrjeQlgO6lzf5BpkZ+c1QAV8u+lZrvQ1wXe+nEweW
s8OuRhtfhRpFoKFpYTxVPIYmglH2vrLBpKwyL0AUls7UiJI0aQ9eV0x8h2cP9EGe2KgdEZwszH7R
+LL7E3dap635TPGZ6r1pb3r80W6pGM/209/JFigU8myp7Kd5sgmivaSxjTJSHBbR1u4NYO5OCxzQ
g+QZj9qNc3lpOJRzDd3kPpiSzNn2rTW9aXQ3OaRoDf02IKa8UUXiikT55WdlZaK+sZmme2W+iqjH
k6yotgORbjYg8UMTZML0KRdAKKKP2k1R07DVoPqt8KeEemT4/pYqhnVj5Nm98HdmTWzLSQ7wWSYb
Of1UxxWlVuu9s2to/QOPr+kaD2r+PLZYTl7fq7Nck6EEkm6ktFIabNa5bYWiRbktR63bdUMuKAKb
anPocrpSNy6fWbLzdxxWDr9YgaGJNn/6nVGBlDTg9JEl0ItSr4J47nreN0JbhBxdtjJtzOBG7H5x
0EknkkuBis9ctJMXvM9HSNO7xJDeaw98v1y0doHgCsIV91j9yo0e+IpxY07Pdyp+86qh4gOCT7Hj
6KfLJ1o/dTi0+CYOEDpXad3pG72pzJ8SSqgFxaC/MeD5fhEmuF/2KsdQ5eU6HTDUkqSjezSyX+hU
LLloVLm08RN5N7p0+Ly+Yy58HR/GJYtEumap6mywwnDKIa3aeGoMTDilwvA3dls2YNTa5CdyNcX6
+oAXVpEIhK7SNJWkYbMBzSbSx7hRk4OhZ/4aULr63LVe9WhI9z1OEGprSje5sXP+Ttnp4YdQZiO+
OuXIAvXw0ylVTZlYwHc6ZItS+7HJw2At+9HdxUGeH7sCTaasF/AcHflg2GQ5foKSgwbIYeF0eJED
mTXv7RzBG0fxA2T/lF/XJ+XCuWVj86Dbmq1JlN1Pfx/wLVQ+7NbbW0qow/VliqxNbaferQvi/Ekl
UsAjQKVuQ+3WNE4HQlWn1vJOBocKXuYOq7qtm/arsRDrvsyyrY3y3D0ICLEvJKiv6x95YV9TG8HC
gzzFIQicHSSLRKhOkzo56IbtDjuPlrKzNE1axcBf6Y78X4YjXEFKRLcEVarTT3WrLMvDMYaV3ubj
kX8jITY7MiX8yG7c8Po0bSf7izSbp5PoQLUczuz06f9kInWt5GZgEF43hHvAY+xk+IagrkAib+w6
OJy53o2rrhoT6ABe1MNJc3L5PdE87St6r9LnTwylukjAOj4lmahelUwNAIAVRYgkJHZVCN44A2R8
2gv1e6XCC6BSYoNi91Xy2wZHtlvV53nOYBHJSs0kvyP2ot49f6LLANtVyySdVnwoojvHjoCG1fkQ
wJ6UKhJLtExAbxAqFI85wgEwLwvEWcDbR0F0Y4bPrqnptxAl8NYgOM/2OZ1gCAdxoWQ+5B4lqp86
V3PARdsy/4GGtYveHIpb1zfrWbjAgJSHdNMQKverObumBsNRsUsJlb1m6okA59FriIANqBnZkfeV
Oit1tSKDhr4temPobryvl0afIl9ct0mwnfnUV3GYJQCo3b1vCN0BvWJ3f3qtCsKF4wfFYzu68hu8
TSQ1RRJn5o1vP7ui+XZKmcIic9IF3gank20UlWwCgtN9gGYKmokDGtZLwvzyPvLDdmMW9Oy/WKRu
N4q1lxb5/4+LrcjpuBW4LapXckQPuh+2SUAhSvoI/ADceVdsvbzxmWf30d/PJBIk5aUuM/cSs7UE
4HkzSqSwLACc0MoxOK71Hcxx5+36bjqXumYsKgB0AOjJ0QyYXUa4abtVHeRin9fCQkVEKZqjOvk2
LhF8RN7Eo4XmPfQgM3/LwAaxHKtU8ndS6+pjTM2/Bu8MZX+jJaPj7qirmNmdGnrKRJkafmuuPSrH
RqGns4DSIIcn0IXKUwll8/36h2gGazC/6XhKCYjwBOABn+0NsBD4LtHO3pdJGUOCQcY2Tup0rZkK
GpVYMG6L0FSQJ7OCvSXqCB4cnc+41uBLlYH/pUTX6obr3aVt4wBCmsx/CNWc2VEtRlQkldC19rhR
g3PU1dwZll7olr9UUFeoKoQTzOjGPEx7cT4PDrE2M0AfkYz4dK/m3IbqgOr1AWmZxHu3a6VQNzIb
M1SBod5qkCh0pEqUvtG/IM7U4IkR6BgsD3najDfCm0vnFQOSyYyNS1uf67zjuZaWdlUCwfDceK3m
7VdEQvCwVvH4xpXVOgy6uOFbdRawGBwZ7kD2Mo1QGh6nnw9mZfSKIULfJDINEPyjA1Iwpopl3WhE
npsyTCOZ5BqqNUXD86vQM61MdtiO7qmtWMcAjg95DQHjr4JMeOm3ZQHFiEg8tRFfsRBt7kpTxeJQ
CXY3lny2z4jHKbk4PAdsM6Lz+dY3rRpNbbdAxyjVgRhAoBVG/qNLUTOI4CQqCsxkMZqowWck69ZO
BkhMjBQWpfbTG9HTre0uW8U1Rcrrv2x2kdlc0uQm2LIKwb/qfztE/0QfWUvMa/loyGDFqAlq3l0l
ou/xZGZFFULkNzf/tLn/2fw2h4y3WKNuppH+UTg8XX2rbMMyCWwm3amNtWGMB6QjGvgJCe7P2fAC
S+sBissDSrXHBuYUvKj80GZVeuPBuBDNThVEonrHxGpMnS6rfz5c0wsNG2o7OSj4bz/3MnUWXlog
+uM7X0gHBI48qBYMqWV91SMqNden/W9x/Z9pmLJgfPYwIzKZdJOr/XR4g7cZESVSmZz4EyWgCStW
hkimBd6bMKG+m8qkogxbDwsmvOQLZMnvWyuK3m0nQwrs+s+Zbt75r3HI4WBR0xCgKHj6a1STcnhp
0f5VVQ+leydtAHH2VpY+4eTUPNX66L5HfQvMyGo06+n64BcyLB42AbPO1lSmY74UgtIRZS8ftSH4
e1+VckBICAEJKh2QuzIvp+0loVgrWk1zANr3KhHx157ttaIDBkjSyyUSB324qXukNRQKqDe6BbPT
+3ex/pme8zY8jmVh6sX7YnAQ1S2SYlujVR0u9FrV1zImsLk+JbNTeTbgbHfEwuNxNFV356VB/M00
Wx71rJVvjZ3eyurOL0l2oiMk1kCUsmlmzcZyytTn2Tcc1KKSwV2iNh5/dGk59TwGO3htjEYBjEYZ
kYab0/WfsQ4peYET24BokB7eqJhenGrpkNxTaePuma6Pf46lHztNPoYUvEAsB6gg5n2/b7IIqY8J
CtuYMKmuT/WFre+oRCOoNlDt5zk6HdASIQ67gVB2w4CKcN2jSA8zyk2WJCTV62gBaQ4lOuAujewb
p+7CKp8MPYuHDD9rShXF0F0f2y2KBJMqO3BoFd5AW41ud2NTnb2700JL6LkGmS3lmtkhj0MrHBpD
sXdoeJSvegr3uaLid+PRvTXKbAHxGspkIlUcO8CvvqUB+tWLDP+hbH193c5TTI1qM2V1blH6ZFxe
pwuX+qHacJMpO4AmT6h+mqus1e3XPAg63AAeBrrqIT70bv0omltJ+3koy+BUoKde1BT+z8Mmq6us
kNDa3veFZzoohhSas3AyrLbBPwbSxnhpAvfWZSDlxiHMq7dO23t7RMejbDGJK00MLSs/lgqw4htP
2/Tls9ucGsk0KzxtGK3NTrRUo3SsVZoObOM637YQ13JEAIQvlpFZZJ9Kq6MNNepCuje22IXT+++0
yFkWVud4OxpOJ3dw1N0p1rIj1GegpiQvtkACZAvVliv6+k64dIwo0VAll6C/MP863QhZOIyGqjTe
HoA7udhg50fI9fUxFKa1vT7U5XX/Z6xZ1EAHZfBdb3B26ICF69JCyHNsTFAwIcRfvdXdvYjKfqlG
eGc7k3p3q2TaMquHPxUV4BWSw+WNDObS11Pn5ShQSp9imdOvb7zeGTQT7HITIvrqigyaU28owCuy
9kZl4dK+MoQw2O6Mh7X16VAxbpxtFSn4tnhoXYbILNGRSJoPetFwpc28RHE7916vT/n595GaWXzY
VFBi3NmtBSnJLYoMX2KtMKptU6nNtkgwX6h0+BbXhzq/uhhqegopwk1dw9l97Iu4sCkk2DvLJGNe
Ij4QIZbfyPRWTfnSN9HqxdrWAfhFgD2byECJ/JpCzK4DjmzgDSF0ZZkiwv+UwS39df2rLgxGYMWe
pQAmLUozp4Npbqd2ZQDYlIfdPoRR3G5lGMAJHIvwRmZ3vkFw9JaEcPAYKI3MbW4b3UsGlio5hLpE
4Q7hoNJHF1SW+8zoYUhGvtu+FUR5t8ASlwYWJmsHCpSSo5jdO9MByMBzYMKmoFAKIvMnknLxQqmz
ieczDKhhKv89RqOD9c+Ys4OXtWbvZl3r7DKB4L/VyHhvQn/co8kk19eX8NLn8WRPRXdqerSvTpew
GLMBt6Pa3g2gdUkNPMd8C3TfjLdc9YoP55CeGuQxHC+310c+Lz5Ro5S0v6hBERtS+T8dOmC7VHk0
wTwaqDUB0JgCZRUX0bMeb84B9YpsBF/W+41xhIyK64aS0W1GOsmU0VYXlf3Za4UP4WdArCsxH4sK
5yLw3UaUL+EiNDjH5aWFEOeYRe7agoyp7fJK1f/zmwhWlnI+iSdBHs/26XeEJjZtZUaDHTYU5A29
5dDdo1PTG2vE5hFEd8zB/iY4iPqNKbxw/ggvgZJQE5XCnp+/AsnPekhad2dBaIJ5Fo7P+MMVG1TK
7M311bowFGNQdQa4SpBnzY7B2IdanOmOsgs7NV3CeFUwnK5NtIp15fP6UOfpM/XdKZj8a3ZJSn86
n6g9piT6mbtP4NttxiKK4UaPOHdhVbKsVM1bWU097FH7yDZKC1bh+vBz/BYLeTL+/FkYbCvQojJ0
dgg3JF+iQPh8r47WgeumL00zPAhYHiTzjf1gFa2xQo7J2ug1XiN5hzwhZbU9vW1t57Vmsb/+2y6t
Ap16kIVSiinQPp2asUmx8TY8bDB64Yi1kuTRJG7UoOUZKp59q9dynsAwE5bBvhY8KWcQk0IfDaSW
fMSQlMF96srK/+j7geX3Ne0waL386GycuHK3b268lxdC8NOhZ4dK60wzCyPV3WfOONzDukX9CwHS
OxcFgnCp2UpxH2GRsvIhJq19MuaD0BHl/+/TbdKqM+l5gF2Yo7QQOiPJylLvUFCr2VRtQu+rG8z8
4MXJLezCdNGeRtYg1amTalyJNms7C0YUIOhOSR1xLyNdPQaOVyM/oRbtbtAVBbJp32LCeP3zLi2v
jTc4/uCU6IjoT3eTO9oBEkSIN4Ppcb62+NctCtNH1wWF3fELmS0+txqeVRiiZemNnXzh3eE1JaLm
KJMd67PLX4k11IjbzoXA1OhbAGwdJoJBv9DMCp6b9CFmeWV9I4E8b4iCt+MW47qWgInA3p1+sYmW
gJ30MoBBH+k5pIe+3eVpPcK2c3g9wDW1/ZOGVvG4jcExFw9hmnryzYna3t3IBlDUvVMK8ZR0uuYu
NZmmhATQPP1FXuT1PdLSWGlhuDI5QIaiweMc60VoqK7WQJA2FAWNSVQwbhQ2LtwKJ181uzCLEjM4
y4XEqQ+euRwRv3y2lTbdqbAlb8zg2S4lJzapOPPWgeRx5hUds9RxCeLMHRK7tr8EYBGaPUYoUFVb
P/Z+NF2g3uqHnT0HsyFnN4Ht2iUua0p8cLEvODqUMg8hPaAFxIYGFyP8VP3YknduIYznxsDs6voh
OZtchueboTHoNpHKPAlyjJKa3KhaO+ShrIcsde2tiCMWH3XgG+H0+ZfSgSO8pVbJXUMX63R3Flqg
wkrE3yaPixyQnSp7zF7QP0vHvnhRycLuAm3iB9t68r3tBAiF6996diEYDjnDdN/R2yWHmE11q+GM
FjgI7gYDShQLaMBwX6GTPY6G4b2HPSpn/RToKHlWrv/z0GQR9NGpq9AzmEO3MNktC6T+4wPIhGqN
H9n4POjGeGem8ST3Q35fR4pP40qJ/2tmQb8IzyzSssnDnELd6ax3Oti6QCTqrtQCd6mgGH4f6Er+
Wvklxg85qtJZbFs3Ykbj/CAxKrbS0yxPDZL5S251aKcVfXAw2XYwM3NLfykw8lAWZeqgGZGjjoyX
bKKbr+D6I3PtOZXzlQPuJWhAyKBeYDCqesB548Hb8rR01a6xOo/UKO+RG0SZPIAP7I36G/IFGlr8
ChJWIdfxwqGHLuDNSTtYN0XRPDt9h1egj8gSghURoiTxIMtym/tq8KinlvPm1hpiA6OPCK6Vww9e
Y/fYucsCGlxBI0HLbsEwzw8dlUTiG7bidFXPQ+qWllaWlNLd0aEudpiL1t0S1yLqXVZwE3x0Hmuw
ChibT0BI6jzw1E53AJKNbeLAvDuULQwYWtkIN/RmtMUnzNwNAfIS2MtheOJow7JqFYwbe0d9vr7/
z8s/fDAIVyotNrgv4FanP8Jo7FCNxsbdBVSZ2mVmVBGmSFbjPnrYU1rLAUb1NxkURrH2ULx6UQuk
AlY1eg0tzkKap65pOiXWEqVthHWv/7gLmxWMvzVR6mivke6f/jZ3LBq7A/+/83GDO1QD2r4mhGrK
f/CT0jFpboTgF5af/h0kT2Cc3AjzpohaBYHVxSVS9KLVHmM4UwdbSQf4Ouqtg/iXj3sSdzHvILqR
44URQfw1W/zA0FJpK2bMCAZGjfhLUj/FUK2OUXGE5Q3X2rfrTQdRqliFJUdoaWNOdy+SXDoPdhp4
vxDrbp+xi0XFPsex9S2kWOJukqobraVbojmLhSk2BJYffK9KH4NSP9MNNMV7qiabILc7eh5N7e+B
5uN0FGvIUNBVrZpV7yIavB7QPLBxVECbGU0nBy0CGpnqUhhded8qI0rEDgqY+xpJS+8QRbINvmMF
ne6KLkOkADFn9cEUJXZ0mkf/GHE9TXka8OiAh9nqZr7wMP2CA6/32qHFce2jaEJka3E8b+MlTgLG
Yx1BgMDY1fO3ricR0NdHK0rQBUu0b8pgwGhxjBF9LzXKUK1uw/HG9ru0HeAuUqfjjjZAtJ1uv7ZC
bZlXSNkjho7weSmb2NwHYxn3y6LMi/btP+52QX2bG3PaEXICWp0OR06NdrYmqWp1Y7YDSxYcdQeW
qkDbeqEqeXXj6J9HpQaVbZNXHwAZeJE5DLRp6rC1NU/Zq0mvvmkFrRoplAa/w77/8OEg9gu1qhoU
9qSZf/a6mh1wsvKPQZixSUondp+i0Mb1wo9N/9dgqvSUKVahyWX1FFAXbp+E2DrmSqsuo3ysv/hu
gMijpoIzXenjiLzT9Rm8sGAEWiAxmEIx/XM6g5gHllpjoPlhuxaRonCejAbJQ7VDEvH6SOctRsQl
aJRwcOmcU2Kdrq5/mnoufoKqi/bUQdB6qlEQxMf4GTH2HpNuqGLIx/Xu+KZkZqttXBmp+XeRikjf
9KgQBatCC9voP4fI1NEs6CHThUJaNbvILTQaNSsb632SWOU7Zoo1uI8C/IMziYjjttfc2D9nt7MG
YwHulE0oAfpJzpIaI7Vcr+hKsetVt2i2mksrl+hA8Uk/Mh++VOLko3MrQZ/+1pN7k1GnXTuV68HB
zNtU7ErNaid5wB6dwRpVRq21lp035PYKVZ8IzAEdbHfXjnWXYVOik1b2IZSVJYqPWKnRzvIQBPcj
/xZI8WzzTT+MpF3Hdo/Coj4rSlftgEGznrj7nuzZnYymEIsP8wK7odJTbqItpr9uPg+sMsR2jVoX
UfvpBozD3u4Il+xdGxhVujdrM/pdumGMuiq/0tuG6tD6GHYlSfBUUbMUW3PotoPgQds0aOiiwNgl
fwzSl/eyRkn+xjpd/Hlk2H9BURBa5rsRj3HNBw9CySKNsbgUNqIkNh488saZP0temHYIZjCwpnRe
s2e5Q1zUhTHUBlQ+8mdAqBhaZzALC918UipHf/D4eH9ZCbinS/Sv/fiYSk9kN0oa57Hc9DMmSuHU
aaFONlsOPcNsPrId5P7NxPqUbrKOLZAH2C66d5bZ1H+KxFe+tpWOcpCN7suxFCO+DLdupYuzAaEQ
vgutJfbH6a5o1CEdsl6na1DE5V0PMX8bK5VYOCEukxReGp5WossFbnkIRGdZvYIUk64ydM4WqoOc
UJmb2dovQuunbxWI2QooCHT4oAN1mYpsQqYtAqbxAJYJGfRK9VZoUjcomyZIQtY5enAKrupqiH4o
h7/Y+l78KzYtXGslkGyLiAIrqNBCHhkjJGSXfRIRGNWpQZcFs+Xcf8CikI4zT/pz7artRoOogD1s
wi+HUsdjEysCZnY8mfUmbowVgqGI1f/j7DyW3Ea2dvtEiEh4YAoQtEUWq1ROmiBkSvA2YfPp7+I/
OioppOg769NHLRgmMrf59rfiQvu8JgiCtfTmMQZ57VMlMO5GBkHDMsu1sPAxSTbstArzWc7cZuO8
WAlQ1KLOi5PZVsY1z+jur/O8yW2PQfW0LB+sAfqUGIz2khvS3OdJ6h4pCopdR18gqHupcCWGjdjp
c3VSMI1fsOt8bQy33/rp6m1qpvNCCtwK+1yi69W6OUphm5t9znC+vWPv8vDSHUGDGmP9aGT6lAMQ
gZGdFEMaapNWXpG8Y5xT9WiniAnkzRei3Vba3N7Zs+lF0q1GmK+L91VMChIvQrOTLDDKAmwPKbrC
KFuBr8Lq0hqYOh7i0BjTdT+Bl7n2a5O/mYnmTgHmt6UKSe3NyPLbOpRt2hyhSMfQMXz7GJfr+9/X
6p9OD0Z69FvTFW+ejwOUZoWuuDFVchgWc3yM6XbfCa1y30vXSJ5GjYmtf2wUH+05qK/ziTKITueQ
sgphz6/fhmqF7EtiuKNjp94bFunGc7+K3g2SpeyvctDEvUpGy/nktzLGts5PWw1LgyUhf+26Iczh
iwqqThRmwpVE7b8b6WBsw97BuyAf5Gj79f6Y9NObGRba3laWbKN+zdAPxqaRlP/YrP6wSTD97JNz
8x5QDHzYJNhMHSbji/yQGrMrj7qzWC1+x2X8A2p222HUl1ZNZNVL06BSnhosPtF4/svu4k93gT3I
rf/NbXBE/Pq4aV2tWd228cFuTePM2NXwPuM3w3MzsxpblfYmwUUc8prqKZ79bvyPUsgfzmviRGpO
t1FojtAPO7YSaTVDxakOkBJwrUWXwy6Bg2iGvSab6M+/L/c/Xc3GkABZNsNsoK4/PG1RW3VF2Rv/
4ER8gUrsf11Ya1hy5bH6h/7r9xo3USnL3GTumkbBx2pzNRNwdnaaHgrbHM19IxP5Lrw2T3eZwPk0
ELM2uW+qaxrj239+SqTJ2PrcEgo68x8+sTlpoPvgt3XIELbfV1aXZJFgpA6a9kiO+Z8vZnLQ6vjY
ULXUP1Yuphqvi7rvkyOBjRV4ek4fPh1f8TBZnv5+pT8sVQuh8y1Fug0+fqzFurHdlh7HC2zlFg5f
Y8bqanndoON1Qmp00voeww57zvEMqXNWbUDzCC7a3+/i9xiDuBJLHIyF6I6xYj98MbGgY55ro35Q
QBfxyK67/lCKxtqy4kAf4jyInn6Mw4xW9BF8lLVdhjT9hzjnt3dxuwmWlsvw2s2z4MNPTGtunbPU
cvmJF3mVODl/yoaCAyYubeUFjpt4h4rYHI+jheqArGTxj9zrt+XNHXgE2TSE6ePgKPHrp9SPAreo
tGQrNooCz3CQJJjIeEDQ6655mHMJs9RYnX+stt/OK65KxYaAmw4Oow4fXr5B+69daoH7uKJ/xFR6
aV87PMVnmlhftKVzm+DvP/dvO8btgrcPmaKcS2v4Q2POdWl+jhMvmu54iR9O22ty49Vljnf1SL3k
H5e7nS6/5BMm1ShqUmh3cGVgrf/6VrXUaJO6MMxDlwNYCfSxWJ7oM027vz/VHxJnroNGiGvhFEQ7
7Nfr1LNM7CmNtYPye4fpeve+HTx5cVdz2VhGRgRa2mB99PRJF6MeuIOpAtOCivL3+3D+9Ly09yjv
8CGxZd3+//9J4PmO5xRuSXmcHV92kTnjg08VHh6pdMz2ztfotEW2BVR+m8jJfsOA38aZtXfMsFCT
UR3TNJ5tOneu2PplmlpBhn3Oo4me2gpyve5edH0o3lYtb79P+BN7AXAwsZ9VBcWtL4qrB0gvj1JK
PHXAlJd+YBQC/Hq3TOpbWebKhDycmGlYNEZ8X4F6/ELWGadBlxigUtn39G1V4xAe6Fbqf7/Zcc33
RWm386kE79mDNoOEtdiOt+sITCmsgSK/kjXM+B/nnreZZIOvf7II42la7ebdnIsJ5A1VXzwc5kK9
QmPFdttHHgPb0pjhkxhuzr4DSr3/Ns1T87iu6a1s13cvsUiW90mt8LkXRKxdSPSdP/39J/vDzoOf
mH7zvkAKihfGr7/Y0nPg6H7sHCxRNz/izHSiHnZxMBoApxhqTQ7URuvDRKDNVClNlP98eexMGEg2
BIow8fFsk2YK9zxfPRw8yWQ8e0CexGvZJqtdXdp5uTKnxrR/iR6jXLAk/vvVb5/fx8/TokdgmWx4
FFw+fDZrN1rexHAqaa7bhu5i6WHb1smZ0hy8PDj0VDbM9lgIuf7jys4fLs0uxCSN6TKKTK/s1/ee
dy5NHTCAR7W0/etAU4RpZb6Mx37q7G+AVxmz08lcbnS2AQtUkbQ9GBJqOOs2burpovtNU2/8uVJv
k/YQg85AsJcYTg/udKm0cjPjGKZHmCmSoiSi80y0+G5nB/USDydv4tuC4e4y2OSYMqiGAemF1vt+
vPFGZ1oC/qYZXF2D3S4a+37OznoBBRx9CL7/0VyA1EIsk8ts47HNMJ6VzJRmWjLdcoPsQP60sPuA
8YimcAQ/Za9VGHPOQv2RjVGVoQ0g3QsXtNgoFHylU47X/E+ZHjc4lrXOFxwVq4tXafiRJXQyWPy2
QBK8rHnVbyWs2naDA7L/PPA9gyBAXYHHogf8K9DW3M5COPbYqqZel0HR6fsSdBpNmRKHYnR3FLZV
918TALw6//cXvf3i/7P34agglblY7PWuWNtdJYUN+DmZHierr5OdtHrDfKNQb+aRQPy08N4M//3v
C/oP5yniHkRk+BCg9P1osCKaZODhc/8wd7mJk1nfvjeobyC9wpkgHWDx/P2Cf9jwTYfoCWUx87zW
x3BxXVuqlIxfMt9aedcShscnTa3GP76WP5zaeFURjN7KsK7zsShqO30KynJ1QE7F/qYR+nhg8qQL
VWP+y+zstziIJJFmJZksgT5j0R9OsNmnd5e5eXmQUyuPqQFOdlrXfI8jHuigcaDS4o/N9e9v8fcg
9HZVvCMZA3dustQPa4evAjDbFFNBAa40wQaEykhvCd2AWTV1etA0lvA298FB3coNSmwGXP4ebb/3
3C9/v5ffDgT6WTcnEoe4nE3Zu72g/1nG4FjrGIREDPuwbs8YVWAYjxfAmUW8hIRpIsBIvn01aKwE
rhj0w//P5S3CQRbTrQj+6+WhWsSx8tt4P7SJ8zW+JVuQ3WiiGAN8JfwA+0NSyh4DaqOLT4jY9H9Z
SPz2Dd1eAI0OekZIxUgMfr0DkVhi9LXC3VfznO6xf4eBIDBY9rM8WkCK/iNj/uPlUEEjoCIDQT37
6+U8WfV4VoBuTNuVhn9vzn4Gi2Eu3yEujo9ePsl/aCR++5p4QMq6KL0xf8FK4sMrFsAjWI0aIwjV
UoJomUT+5Kd1XYc3cdq/5M9/ej668ASEJvp8jCt+fb5UalM5lFZBCGxObLzYDDxIGptryNdeYoMN
EHH8RzqFg8Tt/PzlaOch6VqhxSAo/l1Ny2SiwGmldPbYR3bBVC8DIomSLHPcjF5zMmwJs1Oj2kgC
GDiLDUKmearcEYQD9B4I3VKuW4EZReN/hrf0WTRUScE9gjudp8vSDpvEdOqATf45YRJTL94avwgy
O91bmoomx8XRRTRvrjXD+R5xMx9/tn7ThT2mG4e8Eo+8gkvWTNEgf3iLPJhSf5Bmjdi0uoN9iWSA
HWD2vtu9+GJbdRpie7FuGQSeA9WzJEXVEj+adlSVxaldqzHAvuzbKJosWkT/ZCVA/6T9oJvZrqrK
n1oKq2CtRyNKSkwCQRLepYV/LNf6gSCXQqYOHASTTApwx6Wq7sAoRHUJ176FpNrINzW4IAptiJDw
ejqvCjXhAuyF5BbURgfo7QYjcVVbnxIb27G1LB41DuZIGXpULy7SueaTUs0DjIAvEu/EoWkOk40D
GdjwIV83tf2Gs+w+zRgZ5MgPVWy9JstydhLxkMXjFZ/0sOhovXh0s/0B6Qo9VIKb+eLA0Jr6/Dmp
2s+m6qPCmDaDX+3LBdsAQt4hyHIrQup9ABGzyVfA73ZqvbL1FaHdmFqAaXmUlW0T3uCyPojQ2RSX
sSjAfyPT3MM7faS42IVr6T5OorHDvmaOs65975IKF0evDDSptu68Or31w/yNw5I+dhbZO92rLS6I
pM5uEnMz84tc0rdRs08iZWhx1FewxJMDtakmJsGrdr4W/fBF97I3SDDXstQ/rf18qRsVH9ZcW1HI
EZjmenbhSIzimTJ036X7hnpUrrRIFqUMxrpmQbfJ0ajBQYvakds2plNnGuVt1gfuiQFLTW+rn4rB
9kh6xgvyyTehOcDlmz3q9zYsbPFTTe5mNebPsQf5AYg5frEPakhgbiYbBk2PXu8fHe49LDvaYwzs
Ihr0W95ZHNXF6kRZo7bO2j+XZvK4JGO2ySCdQfumiI6IoYBWp/DfkKsdUPa9mAWdB6xFoTdAb6KY
37/as9zOC7KnzJoeZ6pe26aex62/YhnlzwZXsTL0D+K2wOAEwXrc9Z0wQtNcL70srvocH1XvlE+V
p74mblUGQ06R2cb4biMSI/LNZQnHFexoPNB2KOOhClSthRLek9ubwLUG5gKxRTksfjqFc9s/pCr1
I7B3Hf/JoGFn2ybcNL8oPKlQjGN3Z9qYeHUqxjPHH8QJpYNz0ZXhBsiBDCJrfI4ZH92uQqi93Q5Q
/iwrDpIGtHe73koRtllub4q1vS/6Plj7fgh7d/0mGgDw48jiZ/+86lX21liArr3haOvVhmIHAbjB
v2AOPi/xHjVREw1glGLhvti56rYoyyS61mkJa8190C1grnMSD9GC8Tl1zOTZtmGaLd7ahvmYfLI0
dwM84JBzx1a3/Cxh43kOAgO06qFVm99bwzhYHSZsM44Rkdea35O8HA7EDEZEjTzdpCabu+9kT1YJ
FLqjvLUrWnEd87jdu7OYQh085oVgKg8RSm7HRn+omvyA0dJP9PkXx4dto+vVj16ZG6QvD7he3CWF
fmK+Fv/vzLYwONEAwqnptKJt0bosasyyDgsQDsFaZGFc5XfN2pxVlQDs7ZwxwMTgkjmlCMrOtYJp
wHB+Fry5WrbQpuX3uoXOGo/5q7TdtwZpSCzNJ5/U+4BLVjg5xj7xmiNEiQ55jIYBCSdBqgNtaXvp
hGAK0HhZAhFdjq9Vzdlhle4Y2UXjnR273WNSHKoEhKfMjsXNkEX35y1Rzams0u/lsG7wpjmY3QQy
qrd+DO60m8WN1p2N9FjhSvveiLNg1WUwgptvMs45NOJdSWFYejmAoR4GwpDkD10601aJz/W6bFDz
R23fXb26+5Yb3l6q6WqaFDxkO361HNp4rtI2TTzBAiEKyKdPPQKxo/RcaiSTA4dOk09Qe5Jd4WVo
rC02IsutedXpqS20hzLODrajQIAKb+PabGqDik+K9o7btcc6T+Sxdq3XeopRv2bAI7GWqUHk5Fg4
1bIPa5Eae/p31wzzUkwh77LEfwUlB3rE3zDGSd9/petWZ1/NCYKUr3fXNIMA0TefPHPdcxzse8e4
mr31amva1RrWCx/lmy+Nz5OrPzVjxfC95971WX9OVP04gF4OXLvcljZUnta4Cjm9jrDnBk0ClmrB
0jlOeue3C/QuxeQg+enWMOadj2QF4l3jRAZmYtvFrR+zSkKMcn+kaMY3tp0wYFzIoJnXx0X6y3ac
5p1XdCfHG05l2nvhOFteqPf6N7WKl9EyLobwu4Dm8gIb0XmjEP2kNUm/mXQ+c4X+kx7aIAPM79kc
kINs/F6nUkrzBdDkip50yNI3u57NQMO7KjSnNUXxScm0qZimpdHmBnnjj6FiyORCnbUyCLZMUnVK
ElNoJ5mNWQB6U6uIk21BiYzSV5V+NvAGo4Hixcd0qe9G16TiPWd6QL8VcaKjP+luCnB0op7ZzwTi
Xm16WytnU6STjHm34f2gnUfmjw6POnK6FVQDNgomZ04PJbBlC5Wto6blwnuhbzJA7PONZQWr5WFs
M3hXvR68rVO1L8y5JZFmWk9GI1+MHkzDeNNudj6Lxeyr18xd7g3ZPkBuAd9aaPe5LEZCaBiwsYkn
hJ4pxjNr2sGMX1Oc0OqBikBubRxr0M99yf/skvQ0CO3ObMXrFDOolhr6XTOP9sYsHbWpZ/6cUxwK
17p0nX3VjfwNhPjZUdoJ8ei9TIZLIuCRJzCj2/bKOTYGUjeeRnzAmWeZImlZ35zV3bKV75wq0YIy
M9iBJms8ybG+t+pka6TY3k92me7KtdnSid7Bxumo2coXp4p/EN2AMxT2185sHu28v3O9/HXUyss0
t/fe2nx2YoPGgf7et/GxyMp3+MBRoUkZlImzd6pq1ybJ1im9c1Hb+F74tBGKvv/MfvRuog8MTH99
QciThZ4+TjBphmMBdDpUuv6iuCna7SUl44rIM+YPIYpM2bznL4nVfVvTjJ+UATVcu3aYzr2PGgRP
Q88XnJ6ht+oYUeFAeyw87xGh7SnWYcT7NUquORUXw5mpClnj59QbWQQ0D6MxXc7JiLt3t6Zvelzp
QAasbZe2NpuPU+Ab6XAY+Qb07nG/EixPMydZuVDurYFjKx2w5kozPsCsfjiI2v66+tmPrpsfh3ok
ne4TZ1Nn+vM0+vbmtmADj555INfECvFxvjN1ja0ct8qNnBz7tWtUsSGk/ByPRRLo1LDnVD6YtvVI
MeXSaZitl637Rdz0Arc+EwrD+dAyMRu1VU7F1GS43lyPaETjIFvdA8XQA/30RxdBxsbp4ySY03wv
FLBHf2bpgncKB83vtpB354itqAZ5i/marcXf0TPzkuLVw22meMF46co414GNfAtN9yJBfWWrcnGT
pAbmsAWcU1f/0WGlt2+zsQuwQDG37Wp6G1tJNGUuLa+iwUkmoeJu0sIPDBnPGAgmW36JKXC68sV2
6ykw12lmTlPiRzSYczBZdRagwbn0TvalsT2Kl/Yn8HQqiO1xh76FMQc2ziHu9QMqotd4mfoLY27N
xusVcYHfnLuUP4S32y0qegKGZAaIXtlDteHRJtIJBghYDXNDYTxB5YPnAnSWv+be0ScNN8dS3w0m
hr4DG7B585fUMuteOTWVz8nRzxTUoTOa/avpNhV8PH/H25PBAGsvqJhAC8t0fJvacY2aEvfNzJmf
a+S2xFkKIx+CH1mIn06tPfQrzOhkatJdag77YgF6h6XOitUMqDDQFU45vVNCdqJFemJbxSlA28o5
dxU+PA5DVv1QNlDfBiy6RrRgMSvatLKHZAQ7VtqaCoQzgPXCBPAgNcfl5yYVaDLwwxmTtADbUZhd
TGetIrmi7qFuS2K2zB4wE9+LX8vO0a90Yawwk2lyXBcv2XvChW/D2OgXs52Fcadx+vhh09CmThYH
4jDeAEGeGO+qcH9kll2AOI/r3RAX5oXak/aaaPB61TyKBx340Vtt9fOuzAvwvwB5o9y7rePBcHem
A0l5zNeJIT7cJjFj0/XzMkNBDSzdm2rGxtPpvvftMSpcNDTYMwHRS4dx/pwOBpzSvBu1UC2aCTIt
K4dzm8aAQdtpepgcaTb3i7MQkJeGMV31yZD3zO4lu1FP3m3+jrAoB/Vc1W5272hT+sm2ZRkmZOFf
zFwjF6SGNAUliXdYxh2MlBYLb6Yf5/2NCL1ttDi7ZmPavCyZXe9WzPx3oAwMXnjiPPYMJWzNGp1R
iTnr0fJiEZqV7hyBQWC51if+NvUZa6Fv/GSvSUEcH7fRZNDJZiAh/WmiNr841Tg96fUN6FGSEBPN
a909/ZMl6uveP4lscfHnNLXljPwNV6KcQHEa/DdbYBfBIPVybEVjRES1/iXObH9D6hY/2TJut2bq
9OCmlVZHRjr0ewPNbGQIJimYsQENU2nwPSuzOnCKJpz1iR2tKSX7Ht7vrkjXMRoleyZGfsgIVv+r
RQZ7cFdw317dM3Y2wU7GV64LZriWexJhh8r5lB8lXpjkecp8VJKh/VI2FNObodva2Pjy3ZvORlrM
xJWj7+3wYcWlj2T7ZWUWbzsSSV/lBIK8RrYeZUs90Wj23Y3FZnfUO6Pd9E3pbsjXmtcUxxFiHYfB
t1prHkD1cjPKoQJhSNc8aKgXrq6bytDppuE0Zp65HXAyvRuXxDr4M0xsHtW5Ihz1mDMVrQqXmhKD
GkZc6wmXyXfysfusaLhvcSjIz5k3lTs0mxBilc5GzkYRR423YB1sTkUoTWSwbS1rwqu8Ho9LTfCC
8iT97Md5cbDdyjog9dO2NJfly4zl7Jds6BSNDsdeItQT1RZE+XoaOyzd0jg/UuPd2Ium4++mCJi6
+IHtDJGZtVGaulPa+ikfqsPso/x2ivme8OCbZ3TPTeG8Qvglni8vXPnVmdXPzh4fcAxRsJO9F011
P0vNO4FPvY0Qk4nIanrF7fd5gX4EcG5+xODvpfb8gdmD5NmanW0zaw8kFj0n47zLKDUbvWYEkg9q
I4AnOBP7b2Zu7Th/Z7LiqdHEi8rzo96318TJzqYcvyN4i+ayu64SBokg4MsHcqxB0p5ql9aMprJ5
NpS2W/DJhcF1pW2zdRxCv6TyozgHjIcLytYlFA0xLoNbfhOXT+WmavU7cpn7Kak/lzBGu6I7OLN2
n/FpiaGi98tfH0C4ZwtitSIXCAwAjgs+AzgY7YxBb8JOAaxlTvRZU0YX9I1+oLh9XJ3qyRmaCG1j
EUz/5xwVn+jPDIQy2T4zu3cXxHTGNHEwc+OdMpZwUPbX3qsvK+prKNMehs11F4p5UQSc0ifOLJoJ
6ng+pF+TeZ5a6jk4vOTlSNY8+oydinPSUxEEGR/a8/JaVi4FdX9+tJZCHZQ0QmFW+y6T701yA2Mb
d/1s08AzmAzU5/mor+7TVKUvrrkQ3Y6UURJIBbZ7FsZ85yYMFEj5VZ/0CpA9oT8A5DRIXOedWvLJ
bOZNppNM2BhfU3PQ2iAu9Memxe1T1597b/jhV+ZhHJczMohtoaxrSjIILTq1Q0vnGWuv9HgzYHb1
PvvuNAPeoE3XbjurfqK1Cg0lH/tDa9F370khw9pyi33Te18yuO284xwahtosY0dyq20nm6pU21yb
hWK3u9L1nRvtTEsCEWruIZV1j71pHbXJ3nMGv1YQi0IEUsGYJJuiN0JnJLewkjg9GnGZcZZQjESU
HSa+O0XFVO0rPBFTxEJDVZ7NoTsaCTMflSaCJdZPLV8GwfocLAtZwaL8t6pbolrMW8/MXvtZPCUw
VNxVEi+oajfbMkqRHAQQOnd1AV+tbxHxjWkNuNOXDwMdf9ccSOlIaIesvtMWx0K505B1FpE/2g+K
qGBsumjkAJFVFw1WksHTzJA8KpNNx5jeqH3d9wj1qkFtsN/NwsZxv3t28YkZ+SdXcxCceZEz66+G
O/4QiziOjOkCYLooBumK7kbuLbcTQsMgxZOR+50/2fn8njNQGOSpdnInr94Uk17TO7WoLAtFccb8
kiT4uCYKn1frrsmMaBrLqynis2zFs8ZWkpf6wxIv4Tp7ZzttvnYih5oJ0nuwV50tC42YY2Hyo93O
pMSrXm/VktXv94wBQs4GKT/67fe+8LZmZtyvsftNj/uoz8CI+ro6e0T4OyRO/qYtfRWoyb9vq/qL
6SWs8QXnWi/vr6uvFCaDU0cBp7gbej72qu8fNKHeqLmdh1Yb2dy76cLQyAPWc+Az+ikNHDH/sDQv
CfvMuhpZ0dNwZYRKziRmlHCZOyZIb9ZvZWq9tRnuA9Y4V0GVFzJMarrLNjvFpcPNb1+syT0MpFfP
174Stka01197T3uF9LsdfWgvTkbAPlBOrDvvbBi1E3S6/c5UJHpt3ao3Ttl/adP+MJu4GihmQk8p
azGk1ofEjqM3LDSX7dAcHUJSvWYFMzffej1vrzC3TVIxke10j8LiQUs2W7M9xSlyCU38LCgYB/bg
3hl9+xPc6jaZ5LMQYtv6+Pf48ykVKXn98FUDkRSnzbXMGI33Bku7Ve4i6v73mZauUcs4dnajAMew
KUCIoe9OjqWl/zRoWAfeqo5teRsgjfdOHH+P20JumlVdMy87T7p2tLt46/VptU1Iqyoa0ASnX33A
zH5N5F34WJm1oTNR6V4VefjyWgzVyb9JbpomMhrvVHdMc+RWe48YhXCrCwGBbekF84VZDO4ae8E0
ZY8tOD6u/GHzZMSkIXMzRKh8HtPbmZVQt7G0w9Tah0qlx8lotrY5RIz3/LBTHNO7eqWAX+3God4s
VLnH/jIk4zWvQBon0zuzWe+paDYVZp+bWU+2rRj3NWiVIrBjObJVf9HsLEIs9j2153mnDPs4Mnmw
SZT9KOhbyLLR8NwR+2F27puhYlZrcJ4aOpihHas7fc3P66IB6hmi3pVs6nb2tpYw1ApBR4Q50J/S
a3fSLE4VuV9OMjI0xSmz2jFwxhkstSopiEs99K3qrDU+eOS2uSvKKtC7mVisHSUAXOpQZaoAj8Wj
PEyLd+eUCuqT10aFKu7TodmrmF0it4zXGBWYEkQnLRaV5dh9mt38rK/xCyX3LdnqtyTvj32f+uy7
5bsls0tBMsU5vaEKA6ZAv8tGTOM1RTUmTzZM8FCAjl9i3BTcxKI9ZeHTvnybDGpOWqsRawy8JHOX
W+a9lcX3wu3vfLs+O4ujP44sy7oYGGR4xXHqzmK8Sp/E3rU/iV57FoUTqGTFZbhAQ03m2tC0Stsi
mhr3te46Kjxlfi9LwBIuvQDf3GDzsM+J/fxujBQo6SXJj8M8vo04frDVP7axFVU+uMipOzC2ugST
sN4sJl3oVSUMFz0zebIVTvckV/GYuQi4O8DG4pYDTtpWGeve78tDnS+PnLaPSPk/2358oIq4nRYS
/ix/HiwgyCkoEdDP8kZA741gKcgIp/I/e0Yg+rvJRZC54G7ycWwJPiBrGqOLIzsz6IgYmU6uOTSE
MDz4h9TwT81jdJoGirHbkKP3QS+mSRv6L6NXe32YqRvERmx/zmqD6kmidJSbf1cD/Kl5DDgEgRYm
AsgnP4gRxsRH9EqGeihZ4qdYLSXBqmA8y/YGZE7Z179f7v/kKh+7xng13kaskL3Z5oenaytpeFUt
ygNjRKMM+UNadoRDwPGbyPFrLFHxHKFZ1ONjVynv2e+UcjfDMs0+I8Kt9WS3neKDzvuZKo0jOQkq
lbfu9u/3+ZvqhkQSgAdeAyjsb//4a0+9auKZHvEa75mEBlDDiHWrnrPYWbx/CFNuf9Fv78N3eBEQ
TRApfFCplUKfqgE85LEqDc/e1U7Mzjaq/H0wvM6i4VsS/ojK1Dd6uSDI+ftj/mGtUa9g7hJ3FwOV
3AfpgFZhIYc7SAk7c+Tb6aRwL54jh3XnVkziRf/1ajigoDkgMmHaEAHKry+1q60KC+m4AzKf5DsF
VPtNtJp2bM24+cfvh+Hcby+WiznYuqNxwdjdvT36/6hsppj1NQsWFyVufTMbQ7Kp68XYlrjzhFU8
Npve7pqNDs03qmlcB2va38RAqQhFhYWaky9fYuHYOyS3EwzcWx1S5Ujp0sI6qq5i9IL/PpBymtHU
zuXJsfsCJ45GCxmkdC5Zrsc7o/dIohC20I73lsjP6uK9RR+Nx9oUHz0cyfZjR0nQ6DRKN3UXn8nt
p4juVr1JqTluJ1FA1bO0+Vq3ixfYqzEcu5Lukg3G/akpmAErYzbxHpeewFpr790clw7yTRZHmAyv
2860imgh+trnIEL2yk3eZIu1emyKNsKjdtkh+PKDrE29B/qbXVB45nJpK4odQ+bLk05v8tgadn5K
RxwtI+UCFaW2T/Mqrc1o8f2vomzlFa9Zkwa0V54k9WmKADP5m4Bv0mk5llfl6JJR02fT0q7boEy0
3o3UFls6z3QNVqMO+7IYtgTTYrvaev24+GSTIEhArNpWfzL9cQypDlkHOfTLk7Tn6dBNSn9WJa0c
/C+HA62x4U24c0bEM2Htmg4OcZXjjJiHl343CWBIKgtdmVAFVlmJZCXrzosumlOT8rp65BoHd1zM
C+e8fRYIPdBEYaf3fSX3vvSzReMoi0XAZCshr4Z8jY6kBXu0GXX3UzfMetAnQtDMnl60hUeys6W9
b3RJlrgOa2Q7cbcfW2/dt/Osgk7U8q7BuyGgC5cQVxTufQHY5yAmO941pKaRmtEt1wUxWlMk/dnK
TaYaPdvbGKs/3cOeQVaSO0+9O5Nygv7dS60d9potx08OitGfw9w7Xyi7TAV9KtN8LUbd+DSt2XX+
f6SdV2/cyJqGfxEBxiJ527lbrSzZsm8IJzFnFsnir9+HPgfYESWoMbszmLmR4RIrfuENbRw8ZGhG
X+lZGiOqoK5GR6XbOu5+eq0fnGSq8fqnpoNRnm/sK8djrwuDLFSPPLWplalDEjS1VRu3pCPhUBy7
Qq+I67WaoisVrX6UWOgMoj2IrnavnNGig2qo0sbh2Kx3obRi8DPK2ttjO5eIU7V1hRiv02Gotmaq
jy/Q74yNozxjC6ar/kZ7xz/jVxgkq9Q3fhh5RQ+cW8r8EhVCHZNpdOFT5B3CR114DmOqAvxvREa7
MjYi1U6GhP7PtvcopUFy7ULdA9gQWT/iBko/cqrRtpDWtTkpd4Xod8wnuNmGWkh31hxSiJF++o3f
jPpxcKS7RzCGygCb/S7qvOlWZm5+Zu/DxlOjuA9Ax9wYYVdvgtiwnyhvx5sqmkrgR8iyycoY1pRD
1OzrC2ez7Nxd3ybf0tIeV+ipA+tB0u9Pofm3paebNwVF6CvaeL8kzsenyapbGnz8Uc+qKWJTNNkq
G689xONbNTebNNLFNtsmxuBeF6MWfy0bF+8rFL13bm8Z5BC6dx8mfX1DF4sQNed2HNX0FZ0D7YcL
aw6XxJL7KsrzR9S/XXa/iNaTQ1pUDoF9wN6KWNKLvGsIoOo2kYXxIpRZvdSuV10lyuctaVryjkj7
VlT27zbpvtVN6d1omd2uceGpmMPc2GngZem1tyxQaCOCjZLhFr9jag2fvzzv6Rs85XgMQOBAdJvm
0eKh0wtK2omPazIAFSozsDSB6wOO6pCz7VGxveZaeMB9qVnFk7stbaRtvfZfWou6Dr+ETzjhoR9q
Y7a7+CVkBq7WI9s60i+l4EkAOP4uuQq547xWMzaff/N7nC2jzdQvh/9A4JtvH0A59n0bAj89TjSW
znlU0jQ3x005ja8lLfStGAfzArL1L0z4bTSD5IiB1iLv/KyStwibUhFWUWSFzrHsaPDfDJFV3Ac1
NgKg1CnrrZTmC3XX6FmUn2EFWF9geQ/RGceZmdEsB3y5lQXeY627tpORFHVevh9JR8wr6M/TObIE
8Du/Uu01OANNbboq8L11XumVepFt1V8hOAIQvRFF9Se0XBryjp6n21hw6ZcyQOoFF4NsHUyhlYP5
MBN/neAME51Lc4SPVYQN1RzCovy+r0rRXmuVW5mc2a56dZPUecE0O9fXPd2Ppx5MCJ7UWHmhUO9w
B21yv27i7QRp312Hbqir5wodje+aKpLikCSR8ECFGWm2oVsIRfzz5X4XSAL+JIzTIchCdAPqvFhu
PR/AChKxZoVfZ6A7bDxVx7q+sicrXvtFEmxikOt/RiCrF3bauyiSGeJQET8aHC+xxPO6gEf6EbXx
QzsiPpmGwj5F3Fg7NWUX0od3e5qRhAHNi7Phcp7mbOYfQV3cuYHoG/pAGSouR9202u2I4fqqcKbg
Npjx09y4lxg0H30en4UdpwULm4Dy7aBExkPSA707lmKSW/YobdpqHPZhYEcXoMrvoeGcH2jeDk53
MzZ+MdRMl5JcQIDvgfvtB5w6btA0ftE9rQRrUHZxvZJeitNpWdEkdR11SZ/jg28lMWNuuShZ0iW9
ASsrvcOmJj2iJoo5mz2M4PU0f8j0A6FPf0kt2vtgPAD58DqgkAtUKBZI6TK2vEinYk7PyUl/l7Fv
ExhprfdQ1vV0cOmt3Yc5IM05o3hCHieQa1G09WtAjWQnY9GMu8I2KA0hfhttDIok6J+3VHapVhTh
fVwq44QVkHX2jKp6QP/HIhKpmy/oBBZfvFwED7U+dg8gGevn3Aymr2aX2Mc0EuMxLJFhWdn0sA5B
HXYbo9PyraNZULfcDnEHm37FzRgF1i+zxXA3HGokrqckT6jJlA71+bw2bouuVD8ip4Uhl0AxICLK
KvlqZqlBSjD13nmC1XKriB1RmYh7f4aN+MAuSougr3Jzt18HblHQKc1LKq6R0ah0Z2Qx+UoEh/o5
zpP2gd9s/E4akTnrvmrSDYI64CRqizBoDAubcDMoz6YtxQ3A4/EpxWFrm2ZlvB/Iba4MI5K870m+
p4XlnoreD0HKwoR9qDyruxJjhSV06CAjIWB6fdXN1otWSa0F57xtmjvaMUN94S57l7txyExcubAX
h/GPpebbE0fsYREbCTqRgXQkBSvXEWulNK+8UGv54D4ROrppEPoB63P03g6UhDq73B6TI7FsejvL
WlDDnuQkdwFKA0A4kqkhOJ0Fti9k3vPf/OalxDMZzR3LpJgyixAtRm7ADgQ6ZQb8aN34F/q8+nRq
RYimeBb12bQVWkEO+PkT8ZfsuxiUwgtSDQa1Bpva7tvPTUcLh0et1KAiatNJINW39XVQNxpP7Abg
Nc2Vqig3YW28tIMV055vwxWBxFNnCQyCNZWthxxTPxHEwRXKB9qaek2zjpriknnh+x1AMQJTNhYf
BQPHWVyEVOKsoPKN5BQ1AStQWOZwb9OSvGQf8v7+4dGC2QuVQUezbyle7aZDqwNHVojJmY371IFn
G6+lFSa/Kjq73z6f/8WaU4eYXVIwGIVoRfKy1IDyaoxZK42PokerniwA7KAv/IzacSFurfyius/i
4/47Ho8E0TxB4NI7tQLKPnq6KE4su5dR7xirfaWVDT0VEbqXFJmXRlp/h/PZCOiAIA/IRnu7u4qK
Vq2ZsLugYlRPFZlRsK1oX3+NOIFUgq3wsehpw3tBmd1S+NJunUGUd4leD79VDTx99/l0X/r8xe9T
mUMYNrofn6qwrOcbFID+rm+A3qyU0Dhp/5fhXLatDkkRptnbz8+zjJkJkSiF+IhBUtS14Q/qJjWN
5ij99flYizjhvyv7v2PN99o/4qAmMCMKioZ2aILIfeyrms5j7p/Jtp29U2E8QjcCbDtShdvco8zw
+ejLbOo/w9ucF9jMf0mDb4fXLXc04gZdaB/Z5nXVttYP4DXUfwZySzsPyo0TSbWuR/+PqoZ6E9NA
XPe8LP+XFabJ4aJEOoscLIqnuVWkPmKk5tEt0mGjuZHaA7NT6yAuzePn37x4Kf6zuQkocb1GftZY
8v/rTvZeZ4zaEY9Oyl6aq91UTlSRXIHfKLPxK0+rePl8zA/uC4qlsLpoOriIOS6eQQIKqosgmo6+
ctxt5wN1bAYTjf+IXlCiRf2F8T7YVVSDbYOwyuLONRfT2Vq1oPde56d2zMJHHbnzO+hr1a3SI7td
RRFxaZH75jEARBSu3bqvigvv8eLan2cZWuhcssXIle29yFkxsmk6mCeg6ImzfiZjZr+WlC+2/35e
2baYAviocfDAv92+AzTogiAnOg2ocO9KI6WNVkdpdxBDggmGP1xSa/7gJkJzBGKt6xJUv7sZNW1I
sgrhbJxgPQplASWsyZjEM85F1oWz+dEMchyYx/nZfFdj8CCzkl/QiaP7BsZb6iqgGNbY+iU1pg8G
QuaDVwX9OE7f0iy79STyft7kH+PUYv4oPWuPGYb31YXFWjJ32ROUa2bPPwNEDnO3uFcdbQRtBf7l
kFguXjlyh5l1+TvvSzhRuE1c2a4lt20J3Uah4nhbOMK4sCuXYsPztqQzg7ip7gjetqVLkIX+XJ+O
ZnpEM86iU6AlqtyPhpBAuBqbCi6VaZ+GazWam8B0tCdX1hLcNY6tt0OU6uC6cciIAfaa3YX1/uB3
I0KeMydI1QSy7qKhRlGpFkVpakfNMCNvFyWjbzxH9tMUOs13f7BmKLkswMDYkzQcGCShPWxQ/kiG
LewYdcIVIvzamSNEo89P2fsbk8YZnu2z4KhJH2nxiyUc3NwoxuFYABemVB41CnqE0d+NttOIrYJk
3W9dxLqCC6H1+4FZrXmr/FWdAJH59nin/tBLk3L4oXR1DS5qIrd+R386CetbCzhNmCC38W+/FdnW
uSiB3gTR5LKzZU5thBW85N6KKv3gBL54rMI2ZbYTd1V2QKniSlYX9LLeVXzoUZrYlgrO+2wzsLiu
4c6N6FvE0dGpEbX6U6SNMTw0iQMDDXegqca8OMvCvZsk9ms8wM+6cDIXNwDll1nkByo7MFLckJYf
7cS0SOq+145djDWjF8Q6TSELIfILG2l5A/xnIP5+gToXdcylCJllxF0fKnQf3A7Q+WaYRPtTJQiu
nWrKjSVqh/ooj26ctgVtuxzp3LJogZQNXh7/2yj3P7+MhY4ATmgO/KHFE2UBLjbczFJHr8Tg/QuC
7xq05HaK6f5FgOJM6BRhsiOKkN/SDpe9bQSnNCKVLNVNm/rYuZr+EIjN5zvwo82AfifVV1bF5S15
u+mHmOahVVv6keyx3eomGKPenX01HLoyBjD8LYpbydb08Uv4fOTF47ZYHQrNb0ceg0ZituXEJ2w7
7XIV2l44U3mH7KubVXgxfj7aIkb572hE0hQ65xO+ONzW6LayyvFvxE0kRS0BnW5lFM02Rs79moe2
p2JDXjW6NbrbcScunLmP9jw73iOHZudz1hcf24HA6ig5wjcBIbCxDTnZK9vO+vqCLPKHAyGAZiOO
TNSwNDword4IukxmJ9saKgGHJTZ/d2JMHz+fzo+HAWyC3N7fZ/bt9/QNt5YddM2xxwwBFJVJSQ0d
UfiaF9ZtEcv+XTdEE7H+IrFH92H++T8ylqE2+pY2e3hq6QddZzkgu9CvYugeufzhmd3959/1fpsI
RqEDgcoETfpliIfuepbqem5SdgcbFAqrhDECDFOUO5UHgJbMGF/MlcL2AQi4aU7ZWTdUPV26Iuf9
8KbiYog5R0Jc0J9ldq3FsQQjhBYCKJVT4teY2IMrrHTAbrFJvzWcESyojd1axhiguVzk3TflhPIr
+vJgm1wHMF9CQvk1THnMV1GsQZns6UpbMIy1mBKn7CcIyEPnPaggHR8QcEQNFqpeBirMGyE91H6E
Wg9Q8xUAiHUzK+p3U3tvlAqVbShb2TcUHib6vmyEG5syxGms4FRswjTMr5IRTDqUIf7ZhKUrruKu
auO1M+LDurZF1Z17TLQu3CaLx5t9IkA+eWQgXK3zhfZ2n1DdRt3MDELiknC60fQgvy70QG1yCZPG
7hq1QTpKuxDgvd+cZFjUZXjDZ0Mpe77i/rE5sduLtNjXwqNvZVG5Qfhl/IvI04p9DVU0W+VkBmrz
+Rb92zdY7A2iWtoYLoUnh4P+dtQ+rtqmrKz8VNoOvVxOgjutIMh6OWSxoJvOoaoV/HWz7r8XuYxi
3hAjuM4hLeUo5NbKWde2KF6rsi6uVS85udC0ynpTRgYnq80o3oUyQWcRv7JykyamuCEqsX9keQGn
0HRz/1UQwz8Qn3kX8HIfvNnzOs7BH2YRIL0Wz2TE3skNLYpPQWjSjYJgdlCZPawc2cuV5uFDWIiw
2amIqnZJvWRjqPhS1/cveO3NDLOUvBJzMwOlJsoVb2cYb4qywcczP7mBZaSbOnaC5oBCsXjyUmru
OzQPIAa080GAuBua38u4wNZbof7U7ZWIVQGdp5UPXeApdErMKphRkNIG/9gjJrRqkeJDt8Abml+C
uOsptnX3ZzDwxNZuE8JTQudz1dq1carFJNSKxMx5dUfRbRrNDWAnZhqHFAS9WFMmqa3NAMzjlINH
/ZoWeXOOPDuDJFGKVwE85GfXzAoVYMAn/eR5qfE7Jjzbp4VrUuuZpP8IdW4IV2YFyhcpMhsQal6L
xLgrFSScbUVWn6w6uPDaahr8+oeuUh+ScxzQjCDSKR6mOk64LZUOCTFz6spb6Ymbw31S9RBtc2d0
sk3ZBOob2hqwqLpxGscD0Ap4A6lWV9oqHGadFOKzWaGkLsx+F2oWVlSGkTg7NLV5Z0rezzVyErp3
Da1K/E6GwQSoXYvhizPV+mvlp151QNlFOEfXrJ3vdcJx3CADy3tfFYX4bdUjhs4IrMDtFL2VZCvP
C6KHz0/nu6gGriuqcZR7BL16tvLbrZNYgWZSgFbHtCrHG6Pq6TRanblvvdG6cBFQ7ucvW+xTIHhc
QLpNdmksmwEgims6rNI7wpE+oYf0GyOVL9HYbbS8fWpkcpUa43Mwqi8h1ZdCgyfqRyBjKfuty977
CcO6XE1WMO6MCJpMFUMMQjXdeHBwst3bgw6XDOQdWLU8ZsYQoJPJcCP14HuFWDJ6Jqo4thG3vB1N
W3+yNVQbQhPueljp68qxEKjATC9GJ/BWWrB1dVR0zEFeZaP54Lfl3srbk5q58Yitf+twNFNESADf
8wdfog5QtdpBGvSlItDOVwWp2RoTUBD8hXcf9aCzpwb3gUnct2JEaJI8ZYzy6Ptke7QiRnEazJ6u
SP5XgURsNVWF+wGMNoCsNViRK1Fi+YWsBn9EO5dCu7HkY9d5e7N3EZaFxLuOyuymLZDbCf2N1MmL
2o6cJdzGM5ZoKIo/fl39qdruNuisK6H5dOmcZstTsa3Mch962m97Qt8lBFZT+0WNeUNw0lCg8fM0
es6r6tbyo7VvyOe+hO8+au0696svPtjylcj8k68nRwN43eTjKBCOqGPr1TArivzpvfpYJaDwRQQ9
yeEU6/qj46kHbfIeifa2jW6v/RELHc0B89Vsijq7A4K99SLtiJcr1q929txO4jHo1TVTd1Pr6jpr
UwRCsq3uAWjSrMeoQYnawYHRSuxrq+gUdBUhVnZkPoWtfiWH4jRl+YvmhogOFn/yrLgiyTlOFLBX
Bm5OrWvxGmd3BY5LmyIf90kBhlvp6S+weLtMJnfcKOe2nK7Rvfjh2snXNCPfD5oXrUPr0AK4NrqP
lSjkWo+in3Fk7owhPCDtXCI0JH4PukStx/wB3xsoZh4ecBC+yy3cY/yug3anfQ0ybDlsBHmg9XwZ
BIImXlPfCxHcNZr1w+0Rxgj1a/rGBTyoCWi2rSE2lEKYRstvm/XGMXHLG5oNa9NL4Dj143UWFBu3
MO/LOoNj5CKbZaf7PtW+RFG0blT2xSzlSQzjzy6kho42krTDmxY/daQzNnrgwo91njzNu26icm3b
CqZXO4BkhMev+p0/yjWaoPveNUlK4gZ9zXHbx8NOdQLdhe6Y88ijCPZC7WabaP6ON2iDAPYWouFu
mqJDkrf3VgbuSvrX7BJ8vuN9J0xQwtlm8gD0590jinaQfn3zEJT9jVZav6JsejY0aK5ZsdX9AJHX
8RbS6FqPIUZhg06W/AI/bDuTECMzBjaDS6vMrwKp/bRMo1jlYYuMhbw22EbISDjrBNSao8nTIMYb
8FqnSlpbHyw6Ppf9d6i4OySNN53V3iF+s3b9YQt47zAgnzH14UtjN08qlGcj0vuVBjxuZY2iReaI
g+Jqp9yHWIkMpsa0uIaD/EmzhRH2DMfjxtWKL72XPdCOO7amj9KHBU8lc+4HTBNUqG+s0rlyE2fL
Lvkz+HQIa3N8TNG9iKfsYMfOMwKX+7aelwOuloZA1NiZN5QLnqcgueuqYZ8E0ZbbZe275cOEt0pQ
Vr9sjYfFN4NvMElA8daHspi+ajZqLyqpYdWUNrDBoEczNw4URSXryhtjSFFNtqpLc2O7YtiaSdyv
Sst5jLQBgoUbbRCZ0rZgjMx10shboJ/fcpH/HKW4HpGI6cr+FNmJt0KENuJqtXd5bR28mMAAHq/h
5Ns8TQ+Np289PjFy+11mVQ8NfJUdrhTNGvzUY+Emt11jPhtjv9GacAePdFUG2aHSvdcQbZ4yb/d9
kQIeScKZ1OmHa71xzjjA/qKGD9mv75/tGOSEFyhOh9hm+dSueo+iighv8qYHdIEOqIPttG/es/bn
umixmPPguBEIzXBf2LVq+l719n1u69EGxtrdEKPKNGba95haVJzVzdqa2q1TGafSoAZJrnlQoYc8
ApDrPm63KOIcjc6+HrDdCI2M2RrOkMs3oE5p4UXXWBkD2q2yq8xoxIp1O1reJNZlEg8rX4sONnjp
1lXJKkBDHrGPI6u4KTvzWE/qKJirDTHFnY52GOlRU1IEHU9mYp5g7FxZUQsuwnvxwurodFGHeItA
+MLe1hbCHuWAUTvKGe6wydtwE1XD0e7MTR2U95bRMM1yXSfeSUiUsooG/frmO8v7mEYaKkWpdyxt
tnAScMdop0jG2QbQ2lUxJd/N3DRXU0bQGPWgETP91cOwEYbpH2fKZmGOfqcEdyiSCIPTv4xYL65a
SGvQq3+lmZWfVcp1roxgp089EsLDTVA5t2mtrmIPoYqewHadyum34Y3NSTpOtBU6+Ewf2RAM2+CY
9au2c06FQsgqC8tTPgXIdImfYqx/UGPdOH14oCDXrHwVHRBPWMkaCBKIMsC6cmjXbT/pu1ZXT1i2
7Ufln2WSfyEih1WYPVWq3tnYjq01GUdXdkpHMuuba7KAL4FnrZq4l4fWLV71THLblA52L9Q8NkPm
3gWqv61jQvEeAqxVtudQf7Wq7PdQ6D+tCtWCnsC5Fu0VaSGJk33oxnKjXGdrDFO7QTD1pkPXdo1I
GY/dNH6X0mL2S3VHNQxeZKYgL+XUjHBJKWy7J9yJvtFRfU5VBHGaV6jC+wsqGaJvxnYUGoQzbnd9
yh8mrb033eGkm+KxziLEOoR3AHh2B0MBWe283ihPuzGhmSWF/afzal604k6Rf/GV264WyL61V2oQ
gODTu6EXR13BKO2gJIbPbe/cell8tDOPTMlvoagVmKFo3trs5M4Mmr1b2A9WrHbw9G+8AbovZ0br
rCdYUeka28/rPO/AwLW3qRHc1pr6moz9Wg/SfZqlX5rauYfEdRfYkNddxS6Ut+CGt6Zwv/m0v8DU
7aFR3Wi5RNhcXDuNvIELvJMT1NMoyl7xdfydDv1Tk6szZINb3D5hoBr47BnhTZlBSmtRiBngto1m
8OT6+V3ewWZIy/OQVZs8D257C5rgANNXnyYO3whHdzwCarqpfZ0wqDsUCe+5/y02q+9Zk1+XjniA
dHob1PmLjvHPKlfhvdemB9Daz+bY7XVJ7hY3ITj14SuKpwqbYe9Zlh7Pkf+16RTg/hzOZYx0yNgg
HSRk8ThJ6zYy5Etcmzs/QPirkdyvWqHtJ6nTPO/wfMI/FQkCBL/CYuu3/XpmfAhe6DwlRsS6UEv1
fY8m8mrU/U0vB2Jk8F9Vnm4SiHjkoutc6L/NRL165sQuiLIH3+/CVY1ZJ8s5nE2jHCnqeH+gIBE4
lLs0NG5sOZ08bJ6xbryKnIpLWGt++Ulsrkdfv9XM8BT2uOyo6GvZsSiAmNdwmV/7Ln0aquHgUvYt
SsjEGTyF3Kb0RQ72aI/VTVl5x1EWXwqopF3S7nPWd45lQyNi27oY/SDH+HkK9V4hlE4ZrDladuCN
fHuJiKgoA5bUm7LTGPboSdUTJPJ1pdzI3iAL0JCVDHl+lbZd2hyJdo3vrWtKY9PhSXZFo2bWpe76
6hYW9/zOJFUnt67fpOG6hV19C9NG/pFh0ObrBio00M9YpT9lkpg3qZHB+4Uv7x4taQ7RStK+r9at
jY4HmF95ypMkv9Vrp3+OcmFfK5hdwaWs7l1ON6eO1G+pQbrwjxYFELfg5UEkzzv6hVfeBwbMjBUA
lPR+sl0dLq09IbtSdJBDPp/1dxVdtFgBzUFTBOIF6HZRVRKdrhLpK6jFTWo9VVBWNZg8VncJ9Puu
UMc4wqa4A1aV/qiYf/6PmlkiQf8Vxpic/E4VZ+LakcYayuTKatW57lxw2/1wySzwLwRhkSl79LsM
PC1oBmGk8XZUTQW5a7UD9Xc7RqDB7pvgGaXynui59rTk2hrb7lxkk7ubMi37gUoFpr8eEeKfcdQH
vMPGGjU+xIKm1ym3AqQTM0SS8lS1j5QeecdkbnlrESLzuBumKknXfYvD/IU1eldvZO5clgjPJLCn
oJ/efgWy01ozmn8RzFn/Ctat+9bz9j169GKvXYWW3YWj+MGm8HXKYLMNALti2R1y4nLM3TSENI4h
uLGFfT4VBzNLiout8rn/slggan4UyCzPFOijLz6NZv2kFYETHOOx97dp0FebwgvNG8uF5uD43R+v
1qJj4xYKwkkCvaUL6wuz+/5j2Y/AZajgzFTVJWwml6RqldIlVh1mgQ19kx7GbFR3n5+z92s4owIM
Q8xtBoO+2ds1nPqpzPvRcI+9wtV2lbSRj4SJ39B3kvC0HlEiMS8Zjn80JurlgO3/ljOdxZmrO0Qh
ix7PHg1mF3me72gZjQT0DsBFiFbd1uj/Hz//zrnQ9XZBQbRRP8VzZJ7LZW2qrSH7aVGbnNTgIrnc
G2KarsFG2uEhR3P3ysGONdrGuBI8pdMU7zxDjRdQ8e/LY8CSKCZTSwYVT7Pq7VTTVErMFOXQk+rc
9G5K6uZauqm6LX0EhD7/2vd7Z24q8jrT3UN1f6mlDX9uchqv1A4W3uIOkWtRDutISp7jzwf64Js4
ioKODEBcIJqLa7pVKU7KkQWkBPWAE8oW/rGRZnYfNE5woWf50VBUFblzCNU5lYvpszKl1YHphcca
rcVVBnFuhf0tVLY0ci+gUd5vULjdjKGD1SEdsBYbtAKjTvKDQO9kl/19Xgd0qaRIE//QqyD6FsoA
Gbd/PZH/HNJdDCnxvuvbPIJIK3PtuzbZ0Z9mqib4xZnWX2Iwf+A97IHYRmcQfIltcb+93Ypm46eJ
nLrsmDtSRtsOP+l0XTSWxHoQCAyCuk6FeEGnZP8LuSJXX3nRpJt7AhuXtDOq/DtElcmY7clstXXd
JIRBLhzWk4svrX3uE2c4IQ+jfhEcO1+Qzwa4grl3Ve8K3E+7MxSQ5FKXcp6ixREHrzq7vOGpDDB5
8VGwG4yx7LTwFAmkgRAwGtZZ0lqIWc+IcLdEFznOLyG8l3BhbjDK6xDeBJAZ5PKXiMoGi8Ji6Pvg
2DlDQDMBG+2SFi2Ca8ClUDupbscxML+ksgu/xK2iCuTJHMKLh/jo7ZQEfYtMkKIYuP18Q80nbzEb
801D2x1aCi4fi9nAH4lA3jTdo480CxJSN3qGsHQZzAAzJDR2U66SPcTr/efDfnDzvBl2Plr/iKey
XuQY4k7UYis7Qzeu92ZjdSzK+gvwqA++z3Fn2B58SKjvyxd6imrLxKsmY8ehSGljs34m1PLu+qDO
EMVFkqWhUrmvI+3X5184T9xiYumDY/zL3erY3tKKrDU8AGieHZ+KuNPvhtqG52KN8tpTgbf5fKgP
7iGG4pXEJnLGeC6uPDHZkOGwMzr5pYr3ZudSD0tLtWWLdefAp5j6+XgffBpGCMQbFjL3OpZ7bxev
KYfcD/MOD0wHOaRW1skhIUtdo6zrX3g4Ptgn8GyYQyqyOJK9MyBVlTeNSToc2kAku3Dqe2gquqb9
/vyLPphBAdjRFrTBQEwudSmIkinfyUAd4s6DPq41Qd0dGoPixr5BFg8T3QA84b+O3Dhu/xh08Sg2
jY8OESq9J1xN05yOh8ruwyZDyPXzj3vfnYZY8o+BlnePQqTRj1vU8gxEDNZjO1ZHHOSj1UQbK8Qp
jKYUzS1nl1MXWA3p0G0KpQcXHssPDuJsSePNO5UEeemLWCDd7nZJZRxk2yPUGGdjOuzaKLd9IE15
iCFF0I75SniEVpOl0Xv+fBY+GB+FE1MAs4aMQr74dtNSh2gbm4oXkBzOeyRdtW0bXCTaGqC515fQ
ZIfoJ31u/cJp+SCk5Gsd0FPOTHJ05y3+j6uOn/mDa8K60kqKErMyA21dNDoiuzjg+51f58oAX25r
4feszLeff/UHG5uXjigSmB5KJEsgkj9qeEO75XgABzs9SVdGL41Z5GgjO/UPaA2XnFI+uBp8/Ak9
fAopAZIzv/1YsjKZtEmMX8UwJlfZ0ADbqOIy+eWUhXmJYf5uSWc8yRyv2zZBrPjrHviPmTWllvJ0
uu5xcvNrCFx+fJPpIpnFfCn5CkgLCula68JGejelb0ddGvNOXa37PnLTp86caK8lVUCs4+AEmAZ4
Z6gu0P71YzmPCKsJzRpBiWNZ5MBch4aZNmBXJOvssSWpbzeWUU3WhZ36/qJgIA+cHznGTBZYZup9
Q8PNMZMUh7okOo6tE+EjbpiHzpmqvdNTzzIbehA65uX3fkllqZY4/X2+Y9/toPl3MAzSdioGHJfF
4zLadUfnNsW/yJ6QbUvb5lUIR33F3Xh4+XyodydzMdT883/sH7LASNDKy46lNaqXri7jO8jdwQpV
umQNI7e5dpDOXrWJKF6CUs9/fj78RxuJuAABFcISIMXm2+EnyPSmlAOaPYM5DShBJMWzA7r0N53M
/jyN8SAubN13r+n8wYgyUCjjKgTe/3bE1G8926mT7KRK1z33rZxwXwjSh8+/66MVnJnjpHm+xyou
vguySxJ0lfSPfe55h1riFgKxNESMl5jk/zfU4oPcJuh99CKpIHeatpNZXB7cru+2EF7sC/vyg7kj
mySppLg5/7t4P8Z4RO0Gf5ljRhWtXmPYMsvOmuHoXzqF8/y8iRzhAoFxBxNIYWmWq3q7SlicyhwI
P1IWo5UiZNuldBcjHiacJzowLVWa2vquzrXpt63Dz1rFXEg/s6ZH24n6J3rugTnm3oVA+v1u5aYl
ipiN7IDJmYtV5YF0/Mmz1bHrpHef9YhaG21iQcwGQVJjKnkhj39/ubN3EAojdAfUyqBvZ6HO3Caq
rM4/SuzH2zPCpjyauYcW8JZnG0xrXHjBfY2KZLPGWMm+sIlhcl5YhsVFhEmH2eSdD32485FtStJY
PvsV4DOUq+iOke3u6RkjDONgCLTqEV05aVru/qIITfc8DSIUhXMVm19TRJ7xbunNao3akLdPm/xX
pg1/9DjBp6E18diJrfSnFRjVj7A06JspTKuTAtl9Py7lNyuAVuFnhXo2JNjHHEjk0cl6hZ1NneK2
kJY0hhx9uBrhTRyNONTWReD+ypti2rrwo3bU7epdkwM7HJuhPWauL3cFQAMEk0tjRXP/VeKPerIM
XOpweAKqgLiW6u7Lwv5dmr11pkfd76aSIyaCEqFJK6hXnp3GV21bSZo88LzoZwfIjVkWzsf4wSBE
VPwPe2fSXDeSZem/khbrhgrz0FZZCwBv5EyR1LCBUSKFeXC4Y/z1/UERWSUxskKdtepFb8JMQT6+
CXC/fu8539GZSvkl6WcWWGCRFHq0IicJaZLSRMj0CRVWDeO7WIcYSKqJaqRQ18Io5BOfchNZSG4a
l9ykYAD/jCIULhbt6ljo2jdPK7W4zKz1xvUS7c4dCdmwFFlWA5alNWS8fBds6sFmUQ1wKTM7tASG
7BhCEYYzlXVU14W4qLp03ieVBivEh1/aCVPGYja/pQ3iMobtGUfgmkZ/4/qojRnFwxwAl92Sy0WC
ELfZANu4KFf3ZnADVcZrC8vFAEF8h0aFQCJdACqlmZcBtp1LoKAJ1EfErsxmxlRdEkve7LKSXCxt
1Z3LhjWM0dxo7It+qOOBh8MgztgIA9h0dsvx1aiATK5iLeJ+bYpT5xqEBvUgSAGQTQdSQufHaVb5
PTjl5cxHX94vosuvKQ7VgZaUC0S4sg9Cq8unxKlAkPo1MDQ2ubBkBhw6OSDesUx1Qo3nNBK5ru2l
2xJfRYQwgpTao5GT+jFixClOhmw8IG3QoBKv+q2mcmc/kusSeX1n3OKzJ1iTyMlDgY0Fh05d3qMM
cQlw8/TroCJ9EWI8Nu1aN0pWUxIPXJKmBr5CTXXIsXTgPVB5q5M1jvNlZfufVt9ihhYk1u1aLvA1
EZQX8UyCJLRlt9s3a+tFuU4+Nm9ryqDVG10seuytEbB951iOprjNdU+/nPpMe9Z6wZdR5yNt66zJ
HAZ2yUbgkrq+nAuh1GPt1UFkIJYJc42oIKww8/2I+POQ2am7qSyC6xqi0s5xKm23KhflnZfmJ2i9
Y+yUMMpyk0MFdO3lgjoVkJq98Z25p6JF19Jjmo7GUetAvtFeHj6maVBzDxFKE9qi+izA8G5p8d2H
JYVPUuWlDZHAFBRg21zYa/sRDQwPtuuGaBkFOdgpyREq+4UgAM/WnShwkdh6PCGNuEoMoUqpwA96
v2LN41SKImzuNs5VXzcj3ANa6ifoW16keV51hMe+nppVH2Ll5xZfdpo8OiseEG+xGUHP/qR/SNK+
u1oWxo5NqdsPfTenR6tcrMegmD/B7FAAQgj0+eiJYQTdpg/Vxwz+wH1WMweVquvieVIeWbIFDF8P
kfaeJRO3XhpMl3LW611vICxD4sBN5FTrszOU3rNcg/lboUtC5cwKaG6ioHvU0gjrEcJVY3bTJZgo
86nxArl3zEzHLEmi1szMMp608UHYDjERcInSkGRtI3KNOQthDSFWKwWSkNr8OBmksq5NYMABN/pz
39CUtKxpPDBizaK0BEKNLoJkAq9o9RfPrbWdYSbeCQSz9WHs5xeqkmK31M0ammOgfZ6YzR/AHotD
gD3yKW219eSapXPr+IV/KzXgcnPR2nv0Bg6hE25Ownni76wM1JIRzN1uIqLgtRAjzH2I1t3e72lb
WQx9TrLo20sbXXJIbAXQll5VMK9UO+3WWfGkuVPG5oz8vG8G8nX69TGrmLmT8/V5GQJrP0GTPnPd
twdC9xL0KwT+SZRucPdwbiyWxluzUsXRGBeCLnT/ljBz5Hcy8XaathGUyc240dqpugXIm+zywSPH
zGXURsTUWn0sMxLQ/uWSD4QIuB7KZmTa30mYPxTtfYlou2hFfgaullx3Sjd38Iq0Ha/Y+x881WYs
Dhh9cfB62xUyMlraHLmCUzOUhEy03E8N06cvAej8Xwx9/lmxwdMwYg4MHOFvJ73F4Oo9WPL03HkW
1F99mQGG+8J7mKUwrwdlDfcmbjs9/OsP889FHV5Kqlk8dAz2iCn+uchKdJsdNpDpmc8AB4aVa/vA
G8w99YMVus5IBMJfP+E/q6LxT24ELeameLB+fsJRmpPTDE1y6up2/cjb3oLzVkGI2l8/z+/14Zsq
OgCzxIEHLyXKjDf1+hZ+WwiJ4UGUFhrFtRr8eIDzdJiKbvqq0Dh/srs1IzgycMTXTnoo9gzU72eu
reDZxewzR1lh5wU7vDXOjAcSH+r8BIObpMCgvKrNaa73yeK0SyhYDj4iyJUvZtUgFBtsl9W8lYCq
e9+tqRsX93rtAnPv6wPrYrPI9H3rmtNGTadxKxjwlexoWlqiWSvRgqyVb31p5ZYV0+jEcPiYe9tF
2KgdA43ogVHqUQ3o81yl6SCJSrK6fb02L7mZF7dCyvlrG7g1CSiJO0Rluuo7hdDnw0xm65lMQfm0
8EouKsfoaINPaM/bbs536Ga3yIne/ZRT6j653dRf6PWyEO+hU74VinyjysU41vQEpJhVR8Jrm7mP
BE7mEe7U/KNSirA5a6ge+qZ1LikSk1tDAi7eeQ6QerhGQQaECZlzhg3r6DTt0h89YwK22tejFfte
oS7trPOe3FRMlxY2zlvNaAl64+OXezpcI/2d1b9IykLuNy7f5dDa5WubqG9qHrwbYlb0C7cW60XZ
t2W0+GJBF10vh4H4jM+5B8un4nDVhg0/3nnf8Ysq5c845QADsdNgnbeyXs+j06u7gVjEw1gk2ACq
cv0sC0y3vfDNy0ah2AcKOa3XhHcY1143e4fteopMCxmMTqLDehg8DE+xO6nhKk2hfScNuZaDk0EI
ZJFFJlsE5fvWmVL9F4e1t+BpPPwsjxzBTZooNrf3m9aGaZWoAZF/ENye9Uc30+DuNNbzCJs/IkTs
G2r3D8Ap+rMeMDbU5k0lOo8DNHzgpmFLKkDUIM844aQw5S/uzTdrwO+vjXkpvQ/GI8xN36wBmmv0
oA0ZhS19WYcpVMRLx6zd418vAW8dZ396nm3N/WGnkJQ06+L7+Qkk4Zqd2h5xBisC6PgNIaw/Leaq
PtQlGSBnpefDqaug7u/TEllvpKRR36EaFUW8dn3vXyOySIMztpylPiamglSrFSn5R8plmlc6YOSi
oKgcJkn8vvfR8ruoH6qKoV2bZ+oXb+3N2fj3d0YxyEoK58h/u4rWiR+kqg7KE+8EkFClxnK4rAyH
aK5Vt/T1ZuLQXIHMK4R4NPOgcuK//mzfbFfbC0BeY4C29ugI6G87klioqpWOZHJcZ9KmlO20V2Mm
yl2zdDJyCGEKs0FV/9oEYXtSNim6V0gWmNu+NQmbSbmsJC9l5yQBS6G83jyOhS33aQUAryxxRqHD
r05w5NpfFAL/5O3qFBy4oB34Gn+y5AdVPyWzW3iIFpq7ZmbxhlxncfubaXqd1zPnc0Mn9PKvP+S3
7djvn/LWA7XR9dC7f9sg7PF51V3V+ND2LOMS1Cjy5pHkMXc1UHzJhHC3pUJgaiV1SGQLpGCuvZe/
fhFbl+OHbXR7DTT0HY/h/0Yx/w7k+OEm8h2xYK+vkmOAL0nE+jyuW2r2iKgv0Ele/MXa8KYg4elM
dmuaMVhEkVy/vbJtCnvNJcP3zGHPu/G6dX7URiJI0VM/+mZW/uKLfdMB/v50CH02R+oGd3k7m8EL
Z3hrz/TbaIleNrBORRqhnUfQl+JY58GyQ2xJakyLw49Izv/BMs3FzODC2IRxKEm2T/+HT5c/jjZ6
rPCJK8d6YiiDUtzV8yrZr2q21VVulrUOQF5rzlXlKnp/bU6GhbGZfVKypqGgV3rxYmWO9lg0eAwo
DAjU/sWX8k92kw2ugz6IV4D2MXhbtQ0dQ0Jnqc6+kydHvRMD+cqEs0xJdlvl5AemUyDjEvxXbK5t
QEFhF8+9N4A4D+huoYNvDrYEvbwxFH/x4v58xXBxMt1iKWRpYLD380e4TFPhF4QinDrNIuJ2UGZ5
HQhD22vjVO/QZJi/KNW/+2h/viXQEXjgDFH8wI0Ktlf0w5eWSF+2BGSn51nYJC6P1lRGfjWl71Fo
k0BGS1JyWJdBecB8b70siNBXlisT6xUZd+k3mZvrJ/yIc3Xexs2fO4hmE7N0pCfHRTrrXT2vaRMS
kZSMO1ETJ+ZXXf60QFtp91ZnsvfMQcLRuBJ+ksTd1v1VWdLedOaIIbYlg3CMCwgHcDk6b/mm83HM
YTLojFdVb6xTrHLE8ZHoy+AuqxDcv/dYV59bdKIPo8aNF7mtJ37FgPzzcsZ1jgQUByWTB9aVNxe7
r0zyBv02PXtk78QpA+k9KcT6Ld2J/DBoQ3vWgkJF1VAWu36FGY/zheDWv17P/rx1IkzymAAbzIEt
iuWfvzzaL8skzBoOtt40y3FuOD0fA5eIwNBICebtq3FOwnKY3Clqs6b6lUz8zysO7i50qfTRsYwz
Jv35+ZU1OvBRWvQoXlf6xIDYdAoLtluQccNMOSTNpoJA2mg41Cbhj0Oc1da4/v4x/NvX+X+nr+Sc
EcMF9eU//p1/f4WOSycIAt/P//yPm+61ea/611d19dz9+/bQ//zVN795lX/tW9l+U29/66cH8ff/
eP74WT3/9I9do3K13A2v/XL/KodKfX8CXun2m/+3P/zb6/e/8rB0r3//7Ws7NPAP7l/TvG1+++NH
p5e//8Yg+IcrYvv7f/zw+rnmcY/kzQ3Py58e8fos1d9/0xzrHTsdfFRGMCZUYtf87W/T6+8/8t99
pzsxl6Ef5IJA+u1vTdurjIdZ+rvvtcH3czQspm0hl4TkfP+Z/W5D1IACcTcNNBXEb/949z99T//1
vf2tGepbzPdK/v23N9cvslT4DJtCacOEIh14c/0uup5bOUdaOvseS27i5rfdpKlDlnrEPOtV/14M
wC94PX9cMj9dMT8+85uy/fdnZpq2JYyw6L3NsmldNdo2raidZpOgFlIgikd9gM7/i7PLm2Lr+/OQ
YWKxM7LZgPP8+Q4xxlYuXZBbMLOKAo+JrZUY9u1qODi2qB/I6tZua1tkDz9cBn980D++PdfddrEf
1vXtG/f5jqhqWaToHbx54sRCnpIV6A1JYXaKQwFG14rEkI9VWFZ6UgCw8yARp8LLz+ncdl9wVst0
Q07a4t7oZCL10OgMRkLQ2028mLb0In+mp052lEvRxKTZLkXThk6qBQobaK2rcy/txYb5aheOGVJY
zVcdGewhBDZWxsnpHqyx987Ef5HmiXFnRxWMladYk54cNN1NL4o094dn6fteuStpb0bgJ7P7gebV
tTAX7UsxWm1oSKF9lFLRO277LH2WgTLeV4r3eA1quU6OthRG3NnKxQPlvyA2cPA5ltP6KKbhfkjH
3ebQS718n2ClIuAtmkbUifQ9M4vMZFudiT3OP3ek6REcZFnnnJSOHUkh1cGbFIHT/ShsP55tTVXH
fPvvoStzCURd1HJ4JN9dgIryhWiDWOua4AlXW5LcmIKBDpZIsv8qIjw/9HMK/XpEWaeFZSbm4tku
lMeBfSzmNFSDSk4DnpC7fNNh0nHABy2qtftc6o34bFa2894cW/e2mIiY17iNLmjW833N/Qqpop4t
fIGFrS7KmYR5SMkbJjjIbi2a3Pg2W4Ps+Mm5rKTpXqqOmUJvKxKhGTlAmh18KcOZaETmYYTa0v9V
+mWxdO1p7pmZECdj4DoaLap3WtbIaoOXlOCn61SrgJp0tXtugrk+Nuakk6+sjZHlKBk7w5JdtwA/
j9bASXYcSnJgbWFZR/zfQyw64lHRjTWXSPaNnSwWXLj2ovv7YBmWC8FxKpZK+JGNnT+UshQHjRzX
B2UxPkqmjtNtkBIAjzyXqVlBl5fBpkbEBR6RA94TM1qJsutCNbXt6zqCs0VUW8y7LDeKIWzGEf/p
7A1pDFChJ/Be1GrqIvz8+RXUE+NGab11lSfjdLFYoxVOnbteB0a23AnciCjNE6eOqpppzq4EkvFs
FRb5zqmRSvYtC8wVkDeuJNU9FlYq77fS4g6xhEksjkHVafUyibluSE5MvYFCKJmOVDnE+nRKyvPY
FcMLkmPtTheBvB2sfr4286r8tsA3vaR35j1Bm2pjV0z1PanPxhgaY+VfbOTkgwUgej9x0soiPr/5
4BvCjksp1Kc6Sd1vycLoK9ZsF1tuudiPbqo1F8nUbj14Mz/lRFZHeCXlxbQWpM2Z0PGMPJuOou9x
vk5DEWdt5x7nzqwuzdEururKRsckOub9GsiDarMPssyn9CTN6qv0zAmDrtkfawbLL6kQ+YXliRnu
gApuaRxz79C9PetpxTVsu3i4kdKSnKPG5NJcTOuaaGszIi99Pc22md2to5tddKz1N8vY6Z/TofMZ
M5TzdessMlxGPS/Dvm/GMwHj9gV5NfJhmXGVpgjr4sGatTTya3gUoWRJhY6QiRtfrsPBbfVx52OO
vur8brpaS+ZV5OA4ig90sS5LrrQLc9rsUlZpn6alaz4slU52Du2V9CYnwZpwV9+vzlICWxoGp/3Q
aQ2iwX7CI70FEV51hayPJQQoSW6qxdpWBkPzTJtcfXGF6xHOPNPCYr3rbXqVWvZB2rZzUY89iX+4
tfaiNdKdy4dC4BDMiFbHRThp2Xo1LS53Rm5k71WXE7Q9Cx/5rEbvt05kfmAG1z94imSmsVitc+J0
1kugJI7qzGZm2+HfnHs1XJMeWN5iMHWeCpb8Wy42k0kz99uyrF28LD7LtMuaReMpOVte2ZwDCZTC
Ax5Ald4GwaXZqnFPtqd7GqjqYt/Xkm+6ghCBsQ0SiIAvSUhI+mBL/71EzH5M8WXHjcmcK0hT+7Yw
K7Vbi9E/13oX7PreqZ5JVyQJiIX7tIjVuBxUt+Sh1gz2g2IQGs8rhHsjSeebqs7JvQxmzIR2MVy2
DTp1kjiMAyZGk1iiFJGJyhYLogYW58VJzAvLWOdDI3B6DjoIEdvi8Cz8xb2phlxnCKi5ySGTxvBh
XNr6lCxTvheuuK10i5iSoNavpnr5Ug56f9IFfWBj7GbOlwbMBpCC2jHN7OmYp6110/ujdjMjPNpn
iMRiT9nujcNo4H1uJvahpP1B2o4+RthsNfa8RP/KGQqIwWTXcVMiCpSgQ1/cSutgE7bTTUDB+Wgb
U39KRdseYHRxh5LHRXaaHhyWirGllhf2JwSt8pLYrTVibNGegL5UO2fJsGI6I3gX2yGPy7TGPf3+
Se07Z3UOWCXUHTleDP+Z4227bA/9oe3s9FFkxTCFfZ2vRjQBADqBVuz5kIu5YXMgSaxniyA8hWvt
XvOwbpbMHD4JJmtHH0vGNWwY/alu5m4EVzNsl8C6RX8hbniU8E3b2MtV8JnDE6h7bijswKNdPeA1
KNu926/EDdVL6+rHAuLWwISxtb9Jpg3TbvZ7p9gFYnbLWKscu96JZSHEOhh00AsFVQDISxIc8Nl6
7spqqVvydcrp9scLTfAPurNJpSca97d62rbndpXmbb2NdyMgcCUIjlEXBMcmqQ98xHFFPLYGeofA
GBsKG52ATJmt/YuqpPOq134Z90YVkD9H5vyDLPsNUZLbN2Uv6NDKFHcYA3xvjDG10gFczFScU5ZB
eCMTQRXEaLsuPB7HaZbIVTP2YKsfMtZ3cFRPXir0JcKJ3t+pIHHOveaa5NuZIn1YMrMi57MZNIgq
C+t5TGFv7L1m8vMoqawW6IdlpXMID5aMt1EgXIkmWy73pjsG1xWlnEWiKSSCnUBl2UcDE7YHhxQp
4kU7u/SjvtGbaVeZWU4sVYLGoV5bZzfYcAfwChf0qOs58bYwuGBWoDKEbcQ8RHcPbSYJeFvbTm/Y
X9ho94Xu11e9rxKAu4pEFeK1O2y2uPWadIfk2P7UUcPULItTAwKQrCCy1IFKdvvVh/im6Z5Yo4Ga
0SV7A+NkOIPEeZBgqGqaKUXqXLh9l+uM271eRW0fVPvFFt0FBWanfbUHWMS7Eb3ccSGdOY2GpZgQ
g1QNIN4cvikZIcDSEXUQNOVmdnGa8oUxWtAiS5kc7RxUevkoKtP9SGORC4JD0Xo5awt4oIDL9GLu
e2Y6lNIX7cKcNyx6QwLwc92D3uVB1NI8maLOlMO5aaUzQ55NgkOerjV0BMLLvJ2uoBHHDHuaeS+J
qr/GpODsFs3QVVT4an5lY18vE6ubltiCd7Vcrb7kunGcyTGOpb6KfgMGsrKMmorAnyKFSqEkedFC
fDlFp9GvWqSUNn6qODAE96x2BVAobh2xd1xCjSPb9enZeG0+si6Y3njWlcaMKmuaayOfzRT9Bjzi
CQ0Uk0Ei/IqwoHR4KiiH0PfQMgJqRJ43vyGSA1bQu8YT9QmRc3400lyQN9gQcS8KtZP0NnjNpJsv
mtbsSV9y3gcsB1q4FKb6AI+1+bKWRnHEnpKGHfKmvdl61QfbyO37FSexGsPe0MTAzGQmaVkPWgIa
xZDmV14PP6GiZ0GhWE1KcSm6pjwDgzee7Az4W+iYaQ6DqnfVJysgLCr1kunDWjnFjVbr4lqb+jwS
TqGuAlnRhBq4A42jO3uK9cQuRuKoiYURlszQXTm98TUBstREJHiIezAifvi/vIUReNIM3s7DlbTv
1OqfuskBR9IIL/7r4+DWjPrxMAi/AnMYLEsQZWiu34KmWxwIOpJjztnpMlOn4VPk0GhEi7T/yLL6
l3ox/22H5aeuzF92bP4f7MVskSv/9o9mx59aMQf6MM/N89/2/XPz9VU+/9iT2R75j5aM8c7d7LhQ
DVx08JZNY+IfLRn7HbbVjQeOawc3ksOR/Y+WjPPO43hnwWBl+BkgaqfN8EdHxnyHUALj6+bNQlUP
SfxfacgAjv3pUsEu5NHSQ4qClZZQYduiZfRjP1gow+RUPzkhAadjeWLboAGz2H5XRIEsR2jxaPRk
ZFbOTKJMLqZPVp+RuTepsiUeZEyQE84URbFaRQuCDqU56jYrTQ/A0QyAlhSJe4KHVL1DiD8d8esJ
G/PK4iPeK12N9W9I3edsQbBCgzdLb3qptfkeJzdu87RTxFEkZpdtWZ7rasTDsmqndurlt8CX9dPY
1Tno1aRTDoGpCWgJfACt2NX1gBfGXnAJH3rOq2VEInQyvx9AwZ8nOco54sPvP9H5gyBkFL57J9rZ
unPTcqyPrN3FS6kt4r7Ug/JTYKTjFFJAiI+pqdgQ5DwWkK+aCQiebpHrWGRiea3NVjex0Lfe16E1
s49qWP17x+KIGNctZ4dLG7SEFeVrsyZM6R2brSMYy8guNZhSwaTVL6wQbv2kp8r1n1hnDCIpOaYB
kTNG62EE6IbGyvMIh9dXZwAcWI+VEcFzyIdwWDSXLHvii3LASSnKvxJwzhQutTXwLWbjbIXw1TVx
VSJd3Zrp5dofhoYYefBmVB82KcYv6O71POK0UyC69RafPk1RWYQ4Jz0JmF2wttf1MFHwoXRl27J0
iz1+6Kq1PudGQgN/Gz5NoapdzTkgTilv0GZKvk7TrVE01kxAozVr1AsWfLO/HMpUS05mbfUf0RX6
zzQQ7Bf2FqiprucuT3ahpR8qfSqYYNXrKGjfFeSmKwMiT+j36+CeV+VU4rGbUPNGHf3HK9sT9mva
iIbaU0hON9B4jUAPR0adj0pa0o6ppxyGZbW1zqGJ3CVj58rLKxwVMDVzXFDWXhL+5d7T58b0q2uu
fsLskVLIzN5cxG7mdnVcedAcH/qWEQ66E2OZ5lB03GzR6AzdR8qkGoB9n85fzDbzqV7GOQd4lC89
ms/ZiMk2Y1vsa9e/I9S21fY0yqttbt+RYj0E7YR4GwDTt14RSnyuZJFlzzSVKa4tI7G8i1rqFMn4
ryD3MeuRBFVUZFLvGzTWIuzlplSumTm7oaMqGh5GlakgHL0mUZGQAu5fWUAcO6xpm3/UGzd7FY3n
oW52vc4I8aE5LVWoNdV8YVZ7BILc3Km1t+e9VQnCzXHmCRC/nr2qGNya7UMtbXySZQqyOmJtDOxv
Wpl2JMkWSnPjoECMcemOWfPs0dDL0A5Z/ftysmzm7WSIcSzUKp8stiGwxdWQtWremQDijVhL9QyM
VGsCt+tpXYbEt6R7w+z0/DhrDcfxwun6OKv08Q4Vc/Kxy1LAW6j7/OsS2HqPVnQYHmVtEyGpkW36
SYnNQBsYOUpc6JDWFz8R7QGedv65mpwZGdOkuIuWZV7i1ep9P8pHAmuMTGrqwmyL5NEuR5Wfpbmu
0OBIq0xjw0V7BWCWXgwPN7kj04ZqcgGsbpGlMCR2VC8lQWV6b9q0pjQH7N9YT74R+2ZJ+C3SQKLp
VtJ1w2zR5HyuEvK8Yn/ir4cWkTZ4B/IRrsP3bev/b+C/beOp/34Dj1oMiV/ynzbu7RF/bNyu+24z
G7Hc4T3ECvTDxu0b72geMkTRYc1625zlPzduw3oHcB6XG5sz2z5Q5f/cuDX7nWmiRgiQDrHdgpJx
/6WdW/e34fB/VXnMeegcw/Rh8k7aCn9zm0X8MMr1Skh8VZCXsSXoYOX1mGceIh8rZxXRg9QK8BAM
GhXqriunwXtP5upkH5EItc61UWos3F463hid+LZCpLO88Vuh5lS7mx1c1+wBs7XEmXTzb/6cHoIi
2xCj1XsOhTf25DsO6vqqmu8xQKcurbxEb05l2jRmGTa5SXzXauidE2oyJS6aUBM1PjSEIa2xWeli
fkIsXZFHlxTGbD6Pfot4AcOBaiOn0JleAkB2glA4XVVdDCvA7zCnadTf99mYSgi0ZoY+uRkT68tI
D6z7NmKMHQ+OhdScZnfpzXvONDS+Pdwv0PP4GJp7WqqrHTVNoe71UhcyqtQWv4oWYHL2uqV5MqxB
X8pd2uplF9L8HM2DQf+gCrOVaI+oFaj1EOtQTMVFL2CU2mUxa2f2vQyCXTa61QljLPTMbOySbpfA
6UsiQt4xIJQ0eTlC1GOj96AWGQvVu6VbzY4Wd6XSc1FNRXFdKLqPTy05NHn6VZd18Nlr+oYj1ej2
Qdhgm7pzhINyop1bwJFa2cjnDjcE/2doG6TPVqZD6e5BePqfU3ripCWZ45R87rsk5+w8S3te9oPE
I/iR7kBeXYneydKTsm3KuWZsaULZ0srrY2Vn0oxJQNb6OPHndv3Qu1Zh7KA4BHSdCRQ0WEE1wSkH
LY1c76uE1uQhMJWOVXfSxaecrj0WU2kZ+MM1nX17r9lNZ24XAEHAgaMQ+7cQcP3brMzHJOqKptee
NNoOwRIiqw2CU7nkOrtIyfsT/lR4iND7AG+GowrtLKqxIqxOGQb5MTWGJD3UjEXm9Af1Mo9nPXfq
S67RhHGE0Ro1lLEiOIxoYtzjADivJ5iinJGjMnjgjKnlZO6gZymUPNJMdLKTyEyaJr09tdYzBs6W
/obpLWpnzkNJRHNurPnOUlmKUpR2YnniNqXBzCAO/WTYjGvpqnBMmaPHTp/2GT/nnBCN5RhkB4fA
MHxwVZ8bCM+DfPqC+cBbP1s60zp4ogx7Tz7vLdvTqa7X41SSXMFFGehp9hj4BfaoNfVGb5dYa/Yh
IFHUeBZ5XwXPiZLF+LDQOJi/JF6W6vsBs8W9lHTgo2UK4Ig3qW74J1KaJ+fCcdrBi0l7RnqBqV7M
ayjphamda1VrdVf6WbX5UQBF3WorAV+XtJP5HeEmQXHQXdEEJuxrncNzB0G6pOHbeGz6yjQWN4aD
OLQ7fZ0D/VQMA9Y3FcrBJ2k+T2ilXsJ6w8FZpnKh6VShvDijWRXT3q60wo7NdhbFhxTF6YUsO48N
1B6rp7RbmBbNCbsr8mJvyE+SbmMV6r7fLxfopXvjmUR0+sKWqcrxlPUGAYLIqIdX3+cGvsyKugHN
21U1Y0gSGfrm6A8QyhnUUjF7h8woFnunM/PBFNTymj+ZJWmQUZ0jXDjrHkGNJ/B4qvo0zzAB4rEW
dX6ROkZCBEiZEv/bNl0Huxcni/gyUCKnD7XqEVWOs+1LEa9T3eBDofkw9Pf12nXyq0eR8aDT++6i
Fdr+BZgXw2It7ByIyowMo7Sz6/SEFFkuscG5YQ2nqp/GHdp7zcMmYvustV2nfSozG2Gb3qP0Jkgi
mUO99lABl44AAE5rizlKglDFsVMYiBXd4JHMjdG8AAxdTbT4kj6PDdxXF0OTZjLsutG/QKnbXCZq
3vokulXvKq8yXjLbXr44M1pqwJrdeGmrbCaQhJTw972dmkzAk/lWBiRyhRmTqtRkEFckkjlt4mrx
OpRWcgWWU+Igszu17Mh2K5OdW4LEfK5G228izq3zGuOCkkmIHwmUpKevQXlcR4bTbtib+gIcOHUL
1IPWACYi7FFXLjv6W924tVur5pgkjvt5qk0zvaydDKz3keuuF9+UyLXlUXIRqDpSzgYpLxAH1nin
fDOJUjO4pey8V4VxMWNGiuh5MuWgMbu25gPDlXvh2WB1R5Y/TOYqLGwGA7NDZ62UtRu6knAp3dby
Y9q64sxBDTz2kBpo4JyPqnFuZecfGqnuitYUIa4oGWpwYeMpWd0tA6UiY0RdabZxWdZgXL3Fmk5+
2tx4rfHUl9l7x1hosi8VHez5Dkv9GK90sPgi5Gs6a8+p697Qf+N5F5hYC5lPyNidUHHGu9Sn3v5A
ywvP//9h7zyW5EaydP0ud482ONyhtoHQIiM1k7mBZVJAS4d++vlium2GZM9U2ezvtookAsLdz/nP
L0oxHNs825dDHJ88uZg7G0MJDKC9Yhsxg1qNFOqBNLInoP6Tl2K/is2NBS24rDf21EVvJnrfwOOd
MEfudnYWuse8LvydsKrooWOJkn5Y1hm+lSP92Cic2NziHKt2Zlx/j+yiDGIDDVPO6kC853wktAzn
eNLVBji34V/28aLvC84x80ZZ9+ruOmP7zUFd3lGd0z9xNjxWSeJsvdy+Y7PvPiht3oxZOEGayuNY
ZM9GEuebkXe9Y8HGyA3iD79iwBsXuJKG1aiRqsJiaN3K32Inb/3o0im7Lsn4052neIuCEVul3D0a
RYyQpfAvzjQ8DJYZr7KqlDuK93lHPAizmrr+yKtMPc7xGL9yxBTHDmvQNQxM+23GKAUn4QoYtezU
XpaVESSi/JzbVq/cuj8vBkAg1O2SnkOEAcYqWBK3ZvapB/MCG5tg7OKuW9g2y6ZKt0NYN4GB6+rG
n70PtErNyimxq7KWFlcSWZzcaEk3nObrRiYVfnc5TZzCj7ZP7nl045m4IpAUTIl7PPXh6harUdQY
5Hr7rs1f28X6rOJmnzZqXFk6vyT2cnSBn/Hj1eeFORCoeptiCVVu07y8z2Lz0EfuN9XpgzaHLSlr
0Qqm33acpm2MiNWK4+IjNbJ2P8bR98ylNigZLu3GSRe7dPbfBgw/+KYFpAt8GiJJbt+Q7jw3YtZu
WkFGeMdNlvgIiPZkR9YpXOqzjrDBrsKWDAvm1VMawcBjD8Uu29h0ONQFXTxkW1wtzL0B/+HoDkzx
Cb4qnJ1AmrLFX9t/VktSPVVxqr9A3h6eGMKYP/wyDp9IFUH8PMnWOQxpdSuAw7k7+nUpspceb+N9
DvF5y5CISAPqnPjky0mdw5kSdWj7/qNnGPjiJl72yB/J773Ow52GLNILzlmIz/Op3lKCez9qqDl7
SZG1L2e/vuuLJXobunC+Q1iDfo2wn5+o7bP7ruy7tTNDNLmjFs3glfSoUVZLO3RBt/T6rYpv7tpV
jqXLZRpqCA5RHs4F29lS6YBgnIUUgBYz4QOySf3ZloMU0K2Yvq89x2A6qtp5eGI6mLDzD507H1iG
aPOGPncSTDSSMj1Kp5/s9yqH2nBOO8G0YdSq+pqAP3HC5mbi7poqL2EYNHNURnXgV8ynAg2111vB
LCTqPde86aqJ8AOwssxj8EEMBQGNY28+9GbfXkr3JnEgYZSToFZHfJfLGZZ46zGhS7vFWfeuDrHj
rgXqqCSnO1ovqmj1ztV9NwRt2/MYVJQ3+bajJPX3E3WNtfL6UHxWhvMl9US5UdYE9f1G2KZLwe3d
QEviIO1lJNgFA13FmiU7vRRTm2EGU9b7VHcQ9puME3jEOLiIcFoD2l0wrJL+geR28qLSVBzZEJ5z
V8WP09Q292U0yxPFsM1GTLxEO5iHqjffSuEgnWyYEycp9miVkq9da7+rvHaulls9FdB032Orbo/U
thzPHTbotg3XVhjGj9uY87qI4aNa3M8RNHNTjBnS3ySJCfAxy6vdFd2pqIdip1myFwpZpA2M7AJ/
zMeXmkE+gC0wKxVG8ZO0i3nLJr4EaZHEW77L/NZJ9OIBcz573yns81LVGo90FOZm9Id8ndA/UToW
3hrvX4ifQIUOubODaRx1REm5Ioqw4IjQxsGZpHmhHNNM2UsXMg+ZYrAAVo3rDmfLDdugaD2RMaev
4mefiT0+leQCTojGIezYH4RmibPnoNoX3fi9IXR2M3tTuksQuuPYi1dEJbtXdgeCPUZvm9+ODAjG
d4Wyv7uNHzAhIebRDoYZElgjksdIyh9iVl9Le3jqBS4GFh4/AaUfDIbB/9qFChCwTlBkVD2RFA1u
52VhfbWkzVlv+GKl2urouOw1GFsAWDn02SjV9kbi3E21vGuN7pX6b4YwjnZ1il7SWu9DjTVX3zkX
w8k+eku/KQzkkKqLa6iss89/7MRwwHZgN4pqXIVirvZkEOVHHkEAK5vDxQIpI8fQ3nrZeDfN2XM5
9N9nE/nwMtYXqq9LO5vdBa4MeFGYQcbP1E+/IlHEgxDMSWleYI0eMmzYsNGF5TVI+GidJ092JHc1
w1n8wO1DG5rPXQSpGS/9laN6+k7CPXatEaJ2VNW3WOCJ0ndJRX5qnwSuQ58YJeyDqZNg55HZSP0j
frQB12E1d9M7URJrsGROS6IPA7NuX5LIAYkFscTyLQ+6qn8Ou2LHnQ4rR5r1DpR1OHSx369atlnG
ZDnI47Rusw7mCScE09FwW6cWG4eR3vkDrEQx4+naDqm/0SWT3LqYX1MYICZZCwyyjXXB1JLnZKU4
kCPv65oH09HmrqowDJjH0trYZvMNbIP4NU8+LOgnxWQ+gxje0xEerVhflQ3pq0yn9Vgm0UPdollM
x7LbWzSvGCUQY2LrhhgmkWf3jUIpr3WbBU5qwZfIi949Y9To8C8lSRCZznyuEgc9oo3Q2uyJVQjz
5IznDP8pNplpG+bdYrtXJhgHCSkoEF6rAnuuOaRN7+TD71LmrHb5nBSHlp6ZCU18CG+zBvQ1r3bj
o4GTRr9igvRYufCvovwyZwXO6kISzxu92mremDdvgHLJ3oEOLhqfonzQL0jJx028GNU6NSGCssD2
7Hv13msTkyiBkBSRdCJqpmRyLEYqVaaKPuRBeEuNCiO21G4sL/UMcJDl4fNQTQQMFSVxJ/W5AJV6
UCgiD/gz1ntG5/O2UnnLPNWvzqZp1AdquWbXiFFx6Lj9KxUrpDDMNwuKQa89tODaOmDsbZPKYk5y
ay9DVgPlFJiLYzkQQjAY2/CzmWtav6wTRGzU84Dkikiwj67Ppn5DcsRi72H7czISTTmYGx865gRt
VSRbH8bfo5HCDEJly/BAGlDDQayeoWWyLpP5J+yScjebUKsiqeYrBI5w2xsDSn8UMQWOC7Xqt5HK
u71bDXpvO13xk1wR+8hUp4F/09B3OaLfxVbP+rOSZS7xN3ASj79Es0YWDDeLOM47GcsY75gCMoZD
xUTQy0LInn30FybUp6zI9EVZRv+GRURb7VKs1HEDcHUh8MP04Tz5iX8CwBn9Sy7y6FDmY8aK8pnl
EA7OFMCBUnY1tWVeFyv07+PYmZPHOp30dEAZL89LogjdtpeyPU5Fa+2aaDLvUkFVs8NyEJWHLFUu
sDIZatCCWWDYj+M+ZQRpSEk3/YxDt9zQWsFEWCqBckPizunZN6cQ17VWhpE+2MYynxNRPDfSWk61
ZUeveUHiQqjS5BoxeXyCCfRQLcNpTrwXq9XtobJuORpOi0wlCZ/jdNnyvummHfkBfcPaNoYDyxQf
e4wexAteKQ9h1NxU6Ekge32vegHt08bNDvd5hQg6q+QGP5xm52j7e57WR0F/MLTGO9M2GBKkcSyM
FjbkYH1pi/RK6GK1QZhJegGo2dopdBlAXiOt4Jak1lkOZx+2NRB8Njnd6Npye3NLgXqBBUCd76Rf
8ew8ZxSSAVgjAris3ztzdXEy/2gQi4HduAeLcJi3bQ6qWIQ+qbl2zJStGuBh4uPESelHCLTDcWN4
9A6pWpi4tUQ/ZZZI4IU11dUurZSBEEjUCs/3hE1P8evQY9ZgdxA9G3xpzmNMykhRmCbhjSoNrGy4
DD69mhHD5MyqwoambOycvDr3Kt57y/AkUbdEUf3QwmQAWzbgGap8HzeIiLrEOFmhfpF1pwKxZNkm
RIy1cQxcdwk1TA5kDBQU0OFhdJgekdRx73fLF0gfDKWm8Bkj7mmlrO7NaI1rmqEzr0FaAq3qcFVi
y5smEMuTvLvryRpxshAB1zRdgWc/q4Hv2Q3v3Lh4SCdrg8BhF83zYz4S81HcvGEKJk6rPiOIq7c+
DcM6ARdHZN8ZH+RbvgskTYc0SSui/uiHq4xME/c8O/Oli8zDEntfnBneq0pedG7tAU3XraUPBLDt
yoWJp2WSC+W1+0VX0JJDYQWuO15mFf+0Ik1MCwFWafOgbfuBbefBNaKXyG1+YrxyrMABIkkBkhX4
gVtZuUsXupPZbX8OmdcFvhxeebdrvyW7avY2VthzLwOsUy99aGaCSHFlYUjYkyAX3w9d9b2uBvTQ
kuWHf8jY7HWFg4rPu8Wrap1WxXqYrDjQdkTF0T5aRkMXCdtykgcLEF+l1f1oqac8gcCkbA37MXPu
x9K4A627uAXMHKGKb5lhvuVOfM3mBj9Mn4PafmHP12td6SbAu6ML6tH7UveEyHhdFFgw5/YRYtyr
oMWjI5mrVRhi/aXDzNp1oXmIBkMFWcwBWwu3ftUdkLuodLuqWwrGpn7hCV6Zsh57KHqdN+3xLjn5
AxVVE07H1Mm3nqpPGQkuSoGfLMJL1kuTxcE0m0y6ZfKlMH2bgVwdbTFXg7gJGgvCuBrt6kPjqElR
+RJ5crek1Wc+t3fAYuco778lc2fzUebPWdoi61KbdqqvaSuvTZ5A9NHTGpBwzfz+TH36njrpQ56G
Qb6AwBTdhwtHbGXaZE7DWr4VcHonRyjwBb0UMcTXLo6/uHXyXGXwjKeyifZx1f6oBnwUbog75Qyq
hiI5eGVeEIfgf046/Owye3ubO0vtf3Cj6cmJprtE82HeKiWcT+OwPxfCDKbCINotV3JjxUa8sa36
ubTAv6ey+lCF7R/7IiHy8lazWCPouEjLhymDlO4nNX/bxrB9WPp7NwQCsazqPhlnXHyI6kHiScBN
/Zw5+lVVo72xqmbZonH87tY4rfQMWoO6tautMqJHEKBvJdlroyEMejf3VnAuJ3Isof3dhsBD/WCD
GEE56/edIP9jtvsHPAT5OqrouRuHN5ZqvE9qf+c11rOX5Icegf+qnYxxG7vL4G3heo1H5J/pZ0SO
xwVhPONiL+sSYp8sL+OVFPLSh7Xe8lgsvJRbYAHGRtRDZhOUTNC+oWMTwUCrTKqUYR9mxviKGnpR
ZweI+YmZzfKoYMNdoKjq21AMwEGFXv9kJL04gGVNZyJk2m9MHIgVHBmPk4hnhsP2Jlz8So5ntG9o
/k/+MomvbavaD6CVz6GZgVbcG/AyxOEmRom+S+MEG1tELUE4J/dtfnN40sazN8hyRzDNtnJhLrgy
2URjjx/z2Lh7mtGrXZO7ovuZwbKJvNYv8PpqknEtMERCWeGi/LFYpSFBUanjA5b7LBMQj2FFS/Cg
MnUUTOOZA/KZut68dZiK3ydSwrWwUQZBCycuJCM1fm6cCUVRecsrxToUVPbRILBmVeXNGou9L3Nx
Y6Fk2buTup8V9XEA19IOZD00eysMvzAHWeeYixQ3m65PbHXf5tgz3mxd7RgmtRtTLXvEJ4/kkH62
jfweuxNmUASBSBe0QA3Zl5l4kKB2YJumDazXOqTUFvZiHuxbIzoZ9OhtwuubBnnAL+jZjQ0HvLB7
Q4l8diPrqgdx1zXWvI4K7eyRcvpBGQm9dm7ZXYSG5/CmNTZTdFqirE+un+wr/BJWVrO8gV9cC7f9
yE142zZWeaKvPhdnNu9EO+zxen0K0b+CJ4DeTzI/xNI5IMk7TrifrOKJGqYITZxDACugzBJMlth1
ss7Qouxcxc8HL7lXc0Uq+4SmG/6M/W5CEaFMddUW6af9A5ZBefYkhs79NDaHPLLiJ/ifydNULsPR
tlj0ljdOV0i1OYhvrawfDh8ybBUvvUbghWThtk5lM830sU8q4vRpaKzoTsBVPGlf0+9p0zLYQLHy
+lG0MTqJET7hp4+6FJGTzwyQrxXRcDPeO3lsA2P31kYWRfQaGYk8dx6ZbrC6+eadYqrhHgvt3Nkg
swfDrdT9zW1sTbReTGoTmlF67XwyWU4pAWhmyc+zJCF0OoH2lMfeBNPYA6Eh/Lt/YPA2AdQvTVez
R0hCQ8sJzGOVm7M4TEkL1NnQQRWTn/5s/YRDHBLkGVZm+ZhDoT7LoXKPspqtve8bxU9rlNFpIEuc
zB/fucV2Q43a5KJUWIMNnsFrir3nzIumQ7aUzcGX8XgUYWNvss43X4zIld2aHVC8SQQAQV63zg2A
Ku86qzJ2oRjGfSgrvROqbU8VCWY7HWGUt5r9Aleyuna2BRl498SkshGndgfzjqfUvxSykq/OrefS
Xs0DHSTNQkl8ASWXndwNY60OqidiafSc5ASAZeKFxURqhdYWg62FsjczdXqwR9GRxdhYKVx1jzM9
cTMdODWk7RBDgMCwvGIMzGhUp2aO5c/CjiprNeedhIjd+dlGdBG1+GLnfvUocj2biOgia9UslGIg
Pi+CmY0XDBHiOTGY8Stz2WxTMHyo12gcQYXQ4H2Hbuys80za79D5IxwQgTTzZJy+pHmDcZ2fmpe0
mDS1rOdRoyj7aqH/vkdHkC7rvK5SZ2OCfm3nfoo2mSbuNYJ+8Di3V8MDJ4lWrqUhaY2+hwsRJpDj
0ULZuBcTCWVhvuCRVILZrbrBQbfEPDJ/tJvGxvyoy0hDMaKh/AGfSnwPtT8ee9kvX80wt1QwlKF+
D0EiXmcS6hhADHKa8XtKvEudSzLKcrwM30WZTe8YQkKBp5zpIJzPuAZsVeG3E3rolLXMD6BpWA2j
QzZZyZoArK7bMaK+a/GO8t1BhhucV4bkfUYKDU7ixEl7H7kxG0LL8Ks5WIRa4g9ZJg7tScxmdYgB
W+YtqzF+8ejTidRTuYRPUXLYbPoq1MZORLPvbN3ewiGP4pkqCuZztsv7fpabWvpdvs59AMCVtkvk
EklbShPSILoxwhqY8K2aya5op3EAj/Y3SdPA7MwKP82UCmFdCLycA4LvKazsXBvvIfAt+W7IQ+OA
YPip3XZWJD0EENp9QCVFA4jTy94XOPPtXbgBcAYanSP3rXsx03dPVN9WnrvWQyHlQoQ0dlTie1Ua
DCph+7PZQi/vp21U9ICpdqToZvmfUDik096QqPDmJ9uHiLM2QnFGrzUSIYckAa8sTjGnrse0yS6a
izNEiPyqCTj4w7bhmV/Gqp+mi87s8qtG4DJxBzj0nZXgp5Hj3dgDuXTkezZTVzFvCf0fVjnbP8ki
I/htASjUJ26gePDiwSgCDV4UpC1UiMDwKuyrXEgj/UrqjrBB2+ywONBhlFUbawRGOvS+2f1QkOvJ
+lzM2VwjFXsJR1gQNjq0p9aHYgeSliXfikn19abu/B5/1byUkEIK358fRUdNbaKzxRUrSahbK1Dv
AD5QP62RosLDMR2DPJdhkPrQmHXRrhamu1B8jca88GX27TryE0CCLvKLYZ1D4aFTzEfC6aHBGtk6
csL+YjPFbs7zzZRvv8BgITSZqPpizUcORG3S9wyBmyrECmGG10dB25km08XQzeI+VZahoo1tJ+3V
6RfXWDtRl9oILSB23LspEvwNXRzHlx3Bst3xIFzmZXAsaX1TY6LGZ6B+Tl2kZB0uSMtBFCCET0y+
k+Fioe+htFkMDJ8KJ+TLZAx3MyizSw920oTtB081XeoVLCmkLKPy2ZOFQ8mAZKuUxXZwDYwmKjg2
/qZMtfEthk0qzzVUHTAQMQAsVVigfp8WNw5XnVPJwLPTeTs2lfcwGFWusAzNnAHCDd6uwS0/Bh/Z
xGfIVJihD70FgugTRCFN6oQ9py9kQ1jewxyN+WdqE1p9GN04bp4LaBBi2zlYj+AUGWHfiAYlCV/J
bZ0KKKo6gVTCvzIxPot7TusplNip1bCDv7rGrRhSBund1OPaEyuz4/9+GQxYvIHpjTFqwThtncDN
4/h1EB6glVGlOrx3Smv5PqJbXtaFFaaaZ5wsb3p2o/QcegNpRKRz+QZzhmY0LzJth29NTK8Wgvlh
u1mUgBuM/esfZtYYFjmWTI+C2bVnEnathKZ6pWRCp4wGiAFRbaXlGDSqyUbSKtFzBrav23wXYT3x
BSb07B87GOak26qhNAKcdy2icTPVUzUtCDVYVrNTrjzcCHUQMhxw+b1Kp4GuJ1xBXcdpMLf3Zhgz
EFkxuYLpUoC7Rl4OPnfTUN2PAN4hASMdGw0ay4qM8SJO7HXs9MNDa/I8Vwyu/M+oNo0LCtnlaW7B
anh+TELgvLtWFEgsU4xVA1h04ziIO6KPh2knCUk5JL3vIvu+VdhojslRnz3JeTVF1WIfawPLwk03
cLjdMRYz77EILac9+kE1Q6MpAXp00kxY0yi9sDJzhJIbc2Qe8LWVHYNrI88TdGz8+tXMJ/ZoDrhd
0Xc6g9ooDrbbnCe2pq1iXYRPcWkxFxKL6l3svxSzXN/GqG+VSYmE2Yv8eV4zjgrjg41CpjuNBjtL
0CwhsbGDn/JnGHqnKmh91JdBAn5TPFhQGs4uZwbR6nOmd+bQ1R+lKEcJ+VtidosBF0GZdpSK5AVZ
JiZ0peqQLc1eSF08t/nEfuIt/kAd2yVfpW2g1aVDLx/y3gcZbwy3ZSq1dEi0+n5g5dI2MzKBNj5D
nK184mzxEiWIuSulzneG6NWLhYgtYtZScqDkA2tvY5A0iViUj2C6hSt7uLVq1in2A1UG86RwsEKe
Bo+afSkFcrexHtQdbBE33GHZ52sQCb3oI2GFo4+dqIxmxumxJoQkoWrH2Xly4aAsTkVrNMao2olH
JwXeLXp8jz30Od6pi5NIHOMKcC5QUJoTBVEczgCk9TbV+6mA5xu4lRbzES7WhGFEPo4ZYFitDFgw
N3FufYvpjvN/cX//V1cMiKq/MEhvWWY3oqpSpo17hJB/mrVTURWk7QINRV1hfZJSTHz0lBk5btJ5
+aApmZe/8cf4XZnEFclqY1H+p2UVZsl/GqMDnMXLbGdy3TXlskVVPuxdipsNQdTTj1/ovPf/JML+
6olxc7z4b3rsPy/lyZvrlPIdFDi3m/+FHisA7AD+uZRyC/PR9cA0ZdMo5jUV4dOWCVM+UvMaTShM
KRstwT+J1f/rw/3dCuR2fUKpEPAQgufZwv3TKZBeLUw62dvElSMwqNLhB3wQcw0v9S1uzQfOtfxv
rvjvD1fa8OyxtLvdtLD+8ABpiylWzTDaa6YE5ZryaFlJ6ikoa0O3++uHK2BG//F01c0JCZcT5Xu2
82e2UYQsbxzAdSlkZhidXGqOmo1ouN3GwDui16BrWUuRNbvIeMD5Vz0GM3/zOf3bB+zdVEsodaSD
donF9Ps7lgNMsLG/5WOLtHmLJy89Lr0S+AnQX1e5b+z/+rZ/V0vxTrkYQi6LJeOR5+T/8U2x8usU
HQTFstfIdGM0CdSwCcTt7wIL/ocLuUK6ZBUg32N1/nEhf2LHg+PLCL01hydS8uK7ScH2/Ovb+U9n
3t/WCD0VmJeFG4+pMCH7g0Lew5bFe0SlJF/bcltWqbXLBEnKY8JZ2gKoBFGLZpIf8TqXUbiB44AW
SKGPdT1s8sN6Kna9iz7hr3/X7z5Bt8f8+8/647WWWcjNDsi5Z3IXX9mq02Dpi4jvyMgCBOrdJUO5
cp+HvvU33/W/LSGPmAGI9QSR4T4q/jTeXUYaxDqu5VpYbX5nmQBnBuTWdRZl3uNf3+S/vWLfwovD
YZOQnIXyT9dkXBosPmliL/JYlmdC6/x72M7u39zQ7Q3++oaxWzJvWSa2UESDws78fYVAi4+RyMQW
YFnYlitQBUGhKdut6g1yIfC93M/N31zzz4f4xzWt253/svOagBQ5kzXBwB5aROsl07VKAdC8NIzX
/7eHSJbHbatzOcGwRiNw4/dLtRJaOx7zKVizoGpCPdPC1p9qd/ybpfLnPbEQEVlwdrkWnC7Ko98v
pE1oL7rp462YUERebEx7HpUzYVVPCpg9/PO2/r8o5//dBKh/JcrRWJ49Jt9+l+Xwd/4ly/Gsf/Ds
bZOCnyw091c9ref+A48LB8sM5xYJyQv8l5pWiH/w5shP4wwmsQjVzH+Jcmxc0Yg/RsWDJAcHTe//
JMn5/TSyyZex7JtFoCR0lCbNvq3FX757FIpoRWY/2xq68s9GtnWGQpzw0Dxj9oMPA9TkOveYYpZe
fE4kJlUgsc/kV0fnYR4vITvxwXKbe8sw5r1M+i+4nZiB49XeOiuQ5XiU6SzWch7NE0yhK2Ix4839
/ssD/x/KJkFSL7/zv/cM7gPNMUc68nGXFFq8PX+/DwdIRcdNZ23q0dzYABUBJCPqXjgI+2m07mkn
1DHCQDjuQu/S1YXaYNKYbkadv6UmPgHdwOgPyvfRLvyjxI4SMo3AzAlvjgBp0M+MyeMpJ9KDOYoJ
TKHtNczSk+8nb0aaiDW+1ptljoZLES/n9Eb85vw/mdGTSMilgdIUrVKnKK9JT+hAM5iB5zKQSfvc
C3qH7rOC57Hz6OBKf/jE+eZnY3ffYklSHVKZ70rbb73TG5sYl0mUNFkNX3e+erl4cGVkXOGFQVzy
qk9VKf1meMOL/eY7hvNhLMY+EYoEaYxqGKhg90P2Ag4DgCIMIIPW+STwVCI4hRVxwffCpP+ZHeSq
S3QenewlaeRN3MOVU3OLKplQSEedQJPaTQFAtmISAg9NrULX2E0aA1cwDPjbI7qXJNkxLs72TbM8
T04ZrVVJy+ENA9yKYuNowAY8CaoV9gTZmnJ4E4XFsvIgWG0HDLEC2cdfmLwlDBThEojJ+bgR9yU6
5XU9MQDDqHbvHXp8zCZ+zsVFl7hpxu5LTDQmlkjZozxbcLQYowHYW/aJacGCoUR0lX54H07A9qKe
qYX8mX41jfL1uPiHqkZJ6uFVhsqWLDIO1qu99OjO5rHbkYnDZLs/A5u+aLc4Z8smdK3h7IyGuZaY
L4x01ZZCSmMWSiF0xTSn7it3NdBCodtIcEjyCPSpVYzvi2jmbXhDZbXgFhRjZ4MGMGAenwdDJx/C
pfqadSG1TO3lFydVe8RT97HoffjtMNFglneB8pu1IJT8kBQhpLaRCDkojcURjLBZ+aUTZGFy1PAt
zgJbUswmiuGKnheFbdGsSnxO7zWEEg3HeZPENS4Tg2y+Yum2RUWYrm2CCdYyBqeyinYLuFuSWbHc
/DKqH6NVvGRgma/dTzuOn/FyvJcVhg0hDCwqn3SbdBVf22xCjC9zD/EzqTRHAVkcdkozLBuzGspj
T4Oxr4gqROYzr6sKM1C7I2UGLeyoN7K1fyLSjk9YV+yI+T17vOX1LI4z8seLrqW+a9uIQBS98Yrm
Go4JJrCzPFdL8lUo/9II5zXR4iWU3btj3eGYEqRDsc5K+ey0sMtAleR8GIcTTl1J0NsOoEiqLrW1
MPSdbEbcsw8c3b4CUn3UykR9UX43TZP8lvoBzRL5peLNsup73esXuiNzVeddyUjkkJcleSYm0zqZ
c2GXp93G4wtQ1B6bdJaBP4xBX3io09zzGK4JI+Eb8B9MQOw2cdi5bFibGWVj4TxMCZk9HAc710oO
oAvnThgorlR1Mv0iZ6eyvhDNAAtG6ke99PB8yvIbRhorxIlDU762iPDG6b1pUcNUVM3Q4Y+VS7xX
idZPFnKVS4v5uZm6gRDVYxXjIrgI2MiswqkMxaGK250593ZgxosbhMVbJFm4UHS/RcV7XI+7Nqzj
ILW+JpBszGgeYbSYeLp05X7x3XuncGActSGqxmY/5eJUEGGrM/XOXOhatA7j6brbhG26M+CAAuIQ
0pOlkNEc/TwZLnhLMGH3Dwe5Chz2n5VzUxSAq9fsGNsqrz9bJz7HFiJ/erfPcQqzFccTyEjZMlpU
n2Y7vjPt/1YV6clFPgKgYokgQ7mzKW2wsZsI34mRi4X9nUzKels1TOoSqb82JtrIpi/CTRQv4SZl
F6pmQ54wXWj2Lej42kGPruro2WJkZxSevyG4i3DT28l4s6E+UFcir/KcDM+ypNtNCDoX1aGVTm7k
FoOAs8Hppj2zwY4/hndglBnRtqrzU1V1C1cchycXGIgtSPvnzMcmJppizlQyXGtYPmKAgEdumbup
67o4oD1DVJjk8TvGBG+dIdqnCnb3yqluTREZdlk6s5veFDnJFGLrU44EqruqerAy0GfE6HLr6Chi
XCeORZpnD5mVHyJQyoNnYiHscjd5UcfXcinuq3liORKqtBe+fOGVPdeeuGcxYT0XLofFnuU9WbP7
ApeBh5r0tnXPzo6AfZDHqLWNjQGU88V1onPTLslRSt3s3A69W2jAoyfOfXWrTp5jv3TXdkK1PDAj
XaOsG68IsPpV5lXZe9SCFBsEZ1+g+SHmVyWKxSgZNkBzMzQDSZvIZBM9ypDv3S5ZTqL33CDNfALV
PcR8Ea0Su6mIPztmgCtVmcMj4QQLdm6620QkDq2XrDKOSUg0jFe0j6VoS1aq8bz4+kADtrzOITEW
S2569LyGt9ZRU+80IT1228FCkQqg2Xb2KA+Y5BTJFS5HdJ8mBLaFhXh0xX+wdybLbWPdln6VP2oO
B/oDDGpwAbATKUqkek8QtmSh73u8UT1HvVh9YDbXlvN3Rt5RVcWNyHBG2imTBIFz9tl7rW+xyo7D
LK38+G22CvkUzZUKn4dioI5XoxT6HiL75iaroBtR0c8rYibCK44pZxhA4UqT0U2IWqlP9Iwsr8z9
EGTPSU9nHfsOxuDCsoqbbM5qpOXE6DFXeiS5y5MmsdNLQIuY/NpdPYS4Lf2YYDCRqU7SnFIgKaFV
7+vqIWdev8sqHu8mh34WR421asdhXSRwIsCmY+nIkhWwpXtpaLnRyiM3qrWS0uxAkAutygKqvNwv
gv22weJgDSoDgEMbgheJ245HUC9XeWeFnqX4d/WUb8PZ3sYZ8XZZCj1EHM2qOZiBjOEh2Yadxl8m
aFHrUYZ/8xr5VLuKZ8qOqXhBKbIeTAuyWqisIXoSJMXCzvhwZ4SEpdgNrffAuDXICK5wUNd20bm5
2o+oqlPmkb742qjdIS7n60BVvlol1aRdvuUQ93DPISZegqsULDbLAHydy/S14x6lK3Ff+Am6t5bo
X+YdZYgL2eRoJyG2TiBPuGYVMWCWV6CNY9ds1etWTx87WrLYG++UBOFJrVKKdC00yVhn2IoIwuka
sQqiYNUp9VEpddJQCAnqe/lrWWnv4G3pfArho3pPd9yj91XYUzpiO6rHHrhivNVpQ481Y6KaMa0W
hRsrbtxcMpjoSsy7ExD00ELIPGjtc6tHdxkidSceIwTpjAWDQUP/be2wQWcuoPE3v2/eEqx4hNMk
MPTy+HpSxJfSLPHgqS2Ji0mi7Kvm84zKeo5vxvwbveITHQqQtEIsOoGDFSdwuGvLCwKM3UvHhqyH
V1GR8sBM4H5WqXWLSXHHltFJWTySO4VAQo6fRsk4Kc2wrafqaWrQlYeA5JQp+CLOlUKXZ0LSv4la
/0vej3ej3O6q+lEt49co5c0k9njPcecGftoNT20bBciP9Wuj6cDTsgUmARbTaAYUiUBB6YKtnUhM
G8ckdMaxJy2xfJKbKFqFBeJu5jOnMr4Br/c4C3vTpbzdvFJaJ4pUxdHiGcsLctAI9a2L1IaBUsC6
kpIbSf6VYyQUy0ksn8omGIhmzB7LmCC+up8gErfTmRbmCXcZjix7jdl9bUhQ/KnIgYM2V1R4kUf/
FtKbzztRTFO7Km17ZYjk3fcb3SW340C7Q3WznWBWi7ku+4KjYlFEIacgMWTHAqioS0wlt5Nu8RuR
CF8nEkB3JdIc1sR7bRrn2yhh18/QnqLqi2eXdMVrKke2tg7a/9gcINmlp6HHra3UFsGSSIf3bc8W
7eOOeWq1PkBfEEfITbTtDJ0YnWQB5s+uDoksdyelSK8XpQ6iUP0Z7IC5mzRj9rqm054Tad7APXwi
9qS8HvK+vS0N7ak4iKTwn9JECa4NmvaINfhPf/CVFdHQa5GFuxBYi9vmzKncbASTKPTxmNk4iI3K
P/m53zH7IdbBTCT7ZM9+43ZJPm3kUs/XtHorr+YMcAqsnF8oh92iiXD7qdM30/RhNUzBIRBqdy0N
OlHXwrNg29/V/TeyrhoE7HBnwu4W6UFzJ/tzfm+f8WG90bJLjlNiSw/Cqu7xSbWgmK2nABjDVa2O
/JLF33KQctthiOJzoC7gVL/Qt0bWxefL7/UhQU3p7IwpBM9I1+O1FrWyZ/v6Fll9edQ5mJMhMB/w
v2/7yX5CLNVuA3/Orq3CuhFzc+p1+7VBEe9U2fBSgtt0+9ncBGCtORLN8ouZMHodg7g7qpS89TSA
ygptH+ymygEV/Va5SEHEqKS7au4H0H3rTKqfi6EyrwcUaC7ZWk9V0nWkw5UcNnAwQZmFQnRYUHpr
pRelVwJXgKVIdaQwGV42DH2fqDG7szEeEYO4E9y5DRoW6MBQUCWMXk7SCu2OitfEG72hq6Zxj7o5
rnrSTBV9RfDdfVyuiiyJ1m2QHUXajreTj8wWMCewYuT13uVHc8Z0Xty9qxXsiKw6I+eLNrKQtJ2s
Yv1gLL++VGuR3vU7vnTSVV957iIE6am5bgjfJKkov0a4AkUoz28nVXJ7JRlPrJ05g8ekWU8pAw5H
zNlIvqrI7rXoMQnGTZ/H2bWfKxSPWY1GsrCaN7jDAsXdhP9HD5t90jMZ5+7JM/nExbA8qaGVQSBh
sk7Mxcnbq9mml0xt16MjcjQADcdal29kRb2xl0KzHQtOUOiLMu6+a6WDE+BUGlLlRkdJWEZlvu18
ctMsMjtWaCQCr4+VZwKB+T9yGAt9bC1i1RBk9JR9zUm1KSpjH0o8ist5NRN48Zreno8tV3EsI//Q
RMENadTKPXxSXiVed5o+X01oGohou00DTEhq3+99HTvtjDYwbOvN5asfphwyklFOnlXVb/kckaMW
JvZmZKrlgTajlMTPv4lYAWZ9MrFtgWdJUOLvfvseNYqBbERnERsDg1RSVSO1oeahEg462GxofqJ1
UIvby29bpt64ySydCHbUUS9xf+Ea7D06r8g5GQZ40RIiVU4+N2XtSGOmgjAQ8RoR7Tv4q9TNZ7Nx
MajjtMvgWc+pfcjy6rWJ9MGTpfvauEdpwUZZ2RxLUtlcaQH5j5f32kA42LVU54amg0+DjOlRHGIt
6tAImuXcbod0jJdSgd5TNYZ3EBvZWCf6UlnYP0paSYlQpc86LICzTKgUbFwfsG7U7sE9dK6Ggu4a
Re5VKM3VpgNYs8Na5N+K5WgwZvkr7UjlABgm32iUzrLf3MAFSHF86vPyfe1EXywILo7UEEweS/Jj
r8A+b3uKdDfw1as8CaznKa1xUxnK/QTgy1VE7SCgRiuYYX1TOlk7isujKdBLZKHsO1kdQ5pelgR6
+PG+9is3aNv0zszeK9+2DpeHXDGMQ61lyQFaGtVi0eA/s58gkmw1qezuELKglzZId0OSZqwZU/fX
4zzKHMnQDNp6W7I6KOYO6Oa3y/s3fKU5SZGBN+S5GDnzEDwHP0zv7gT+4kO3PDvZzFoW5ixLxQjg
fvRD3qdRY0hXODpLo7SHgEMeZ50Q0mzP9wTaSHgrjFWhYgeNNXkdIUo5jOZdUHmomzXiqZg0hTW+
RH/pS6DY/4pP+CqB7uWpRm3fsIRnlAOdvi+kuyQwgpWQm/6q8rtVL/RmO1gpp+3yRIJzt5f96a1t
dflQBisOHpZbpol1lPWi3LQkYLpqE5zbSsbUPJt3pqxn23G5yhbyFylVdo1fvl6uPffZUwOD/ERm
2HI68/FamNGtWg0cPm0IiDhp03GMNn02HQNbeQ91q1jLy22gd5m2laVc5u01YocydWvZVXGdSiTZ
UkSftJkswpxYRTbalarM+Yak2Pboj8m9uvBqimjqvKYs41VUZRsFbA/hqm2wmRXManAKZiTrCTgT
KOocoDmJECDfRbQblnVbD4u9ZRFwkBtt4I1+oLuR3dWuHOOFBR3jn1WE3ak/++A9mtaLCaJPLGrR
dqiyVxSmlnbUQj8+2HKtIFhEElSmrPBaZSD7i2mSVelXC4HvDTle4KZBCpfjMO2rEgt1WmpIHQuD
Dt+ySlBglS/AJPfGZOSEHET2IZ3f01qTD4kRPFdpO2w5e8X7sof7LqaicBGzRW6Y9rmbD0PhIgby
OS3D4fHT5iZAiImxMzhok7wFj1efsLxapTTeXtb1tBWrWk7nDZsMsXnowzaRNrTu5Qu9PDESdXU8
JGcZL/yGqI50o8nxgybTnwzqfA/5I79V2Ic8gLzWwejsQ2DrycomdNeh76rvZmZaRtJwH/TdKW8I
5a5idWvYOfugbxqewtSNFlgiNoMPRVzrpXiX5QHBe5FWe1YWdisjRSmP0rM5DJ2xCltcBDQviUmb
I9laVVYceJenMet69nETFJ0U51t6hOCM4pyRgJJ9tSZgdUraAZtJhvJJFVe4BPHugAC6G74Chw1X
XS7Ce1/7orQG8qMY6ehg6i9iKJurlo3UGUkMA9RosLBzg0fjElLeiXrTB+XXZO6Va5IQMf6mtGJt
+i/LeqTOAmU5Z//frqjUkaU3tkO3upQUEvpJ/FfwPUcrtLgpjObq8kGsNA03PJw3itk3L2E70k+1
1XrFzhR4Q1ooV3Ed0XhhaLCvJBpvEaqQu4r7n9uvKK/GIch3ElfSkUVdHFsprdaxz04haRJuvtna
Z6hWBTARE/bHwPHQN9R3A2rmdUXW5XWB9309Zz3Ua2zN2yToNJcW2SatRXIjsVacpbK+Bori9rU2
HGo0BK7O8R4lp6xuuY34fqLmyU+a8d7e+cuaFejKLSLmHr7jMRQsJjRkboBEiaspmM9aQptqKV5G
3XzhoN7t6flrnlyG/aoYpvrEkrDzA7UjK+U+KDX5kZYZYAoQ9UhqB98B+ji9JsO3uS5wClSlfJub
CllutvSYADNz3CmQizN8F7rvBoHGqVx+DobEi+D+36oxitkeFbVDIOh8ddlElaLaIMgKr6Ov4N3z
49yQYj4R2uBIepVdAemGwt/BfvV1CMwEs8O41qgMLJVWOmvd5xLvhQ9tcUNk10z+9JQi4rGhKVVD
fkRzkSiVcgBa/pbaQiFuBflNFPqWAxjbuTybiPajjcDIkmL3S+tG40tHj2gid/D0OnysIZYn0nUR
KeUJmec98KIA6/og70iIF06ZKLwIYj4csq1W0GunuRwV4T7Xo3rbgnG4FJ5TbDeYGaZFo02dZ0qf
mzY/FvSUvcttnoeBfbCX4lHS43oHYZIJgFQ+xtbM0CXAqhAl8VbCtfEap2zrQlUP9Pj9h6LMiG0O
idwoOLzBjPMmLfGfab7T0U9VTyOpgYTp4ZTTk8po7+/neXwNB1vaRbLNcVgp7BtWVeqNQKVVWynG
nn23RlOfhdvG0GlgWua8i/RWnOIS1pEoTHSFT71dtye/SN5Iq6uvGwX6wKXEQD6oPRgVL0YD4PbS
Q22lfIf1t8ekm9ucjxWx6YCvCjwMrgrWaiX8/JzZw0EC4LBGwXaj9Jyj/Sp4uizNbQWVPNGC7BDQ
+INB3wR8k6sKa/G1pKIlzpZkUGimN3qlj7fjmA2bSsqnVUaUpIrj7Jp5Qk9fPAaTNykF+IKYpCC6
uyWi7Ud7aO6CIbgNaGruo9jg5Jes9A49/KVUSmxrk+p2cN2u9eVe0T8zezuMzWwTRIGssAyBfNkM
Q2ZRlrdZn1ylGEtvh4S5F0o7DuZ6uin0abxtI5zijcHkJUPwv8lUOWIjLTe0la+zuX1LzFlgyOUo
NBQk/CLmOeaZNrhFxNG1yfec9LR1ig9e7xt/A0Y3cQZ/3yV1tjZ0uvvGgOcqIKXIIRi7oWEZYpIf
Hk25RO8lbHWFKrxYD2jst40oaJoYq2DapJVSHy7FO0Fvxnq0VrgdoCUbE2hEP9vXTahxKmzetWJW
t50uzpFeV7sqjyZPj4x+MwIQyP3a3wsVGEfUWesl3dltteahkWhnsHwwBl1qNKKHQ48ppU+7wQw2
lxqeIZ5MB6XsZhyubber47B3DSldmb1iPGqcl70Rt8W2Mz7TzTEeimU2US9SR7UX1a7nMLRJlSDd
WRR73WKNsUmhvYZ0Bp5geQiARt9x2td2SjWc9GI6SaldvgwGx3gUjA6GNXUbxVGxYq8Pt12MdYPT
06XEDVsasv101DCLuYWK0e2yaBVgw/a5y22jmXjnfz3uVn8MzoKiqSDOg91AcCeKHw4RPw6758A2
gblagoxsYzuOynhbMzYwzOiEHR4121KLQi24SZC3e9mAuCxfNuR+KWIu7xGsV79WsbZsRuZXdCO1
K3PeT+CBzgNjqcvb/UfCkPsi45+PaXboEv8zAe/fEtn/L+SsG0vW4r+XhNx9yf/lfKnbBdf6v//X
95j1yw/+gWtVP/2JWAd2/Cdk3VQ/QbggRl0Bz6KhyUDr8IcsRHwiJ01WIbPrQkUg8qcqRBGfoLIj
NQfzSpKaJRv/RBZy0SB9L6ewTFOmB2gAahUmgzHkJ9/LQvw2wNKfDIAvYbTRHWBiNKKup2vwoFX5
Rg7UTdWKb3bs35sR7kN6ahK5N4S5Iwd2os44+x4p2/LtEKvCy6nC8gl4Vty1jy2DBzctghuDcVes
qFeQkGY4zO+xrKUesM9kNVbmIw/evsJE6bCJfAtt4ggmmRWxlsWV2SPv/uf36L+9AX+4Tf9fiwTg
bvjVrbpr0i/Nv+67+pV/Tf9yv0SvRfP9HXv5+d/vWKF8oi9skvkKY0DVQQn/edMK9ZNuqaYqq5pN
Tp+lqH/etKryyTb5v21UQyYM4SU04I9kAGROSH9VxquWaZmGqv2Tu/ZHCaZBHIQwKNfpoHP7Cln+
IMGcpIks4XYO1uqQtI9TptMdJ0cNT5DOwLeN3vs6Lh/hqqLk+vPh/gv50Y86u99f1zb5fCqZuIiT
fnxY5gmqfinJwZorp3p9o9XneDGa4R3p+r9Z+5cH7/sHc/mMLCKg02BtmUL7oNfiUjIv6qdgnVpM
pawsCmAaq7P360/EN/LTq9iC1YmeN6GpH9Psmwb9OYUyn8gShCA02bAWvpJsm9jIr4ZwzA5S4a9U
fVM3Q7b79Wv/qP68XE0w1cYCybFZfJYb6fulxxi6YLaglq5HZGsrETLxkubrQu6iNdlmyqou9eK3
p//fyt7/4gtcLqaKiJbBCR/7x5fUDOiihZwG5CvDQ/dzmRrKYuJhVEZ48+tP9xdX1kTVZ/E4LB9u
WcG//3S2Ta9vkCQG3w3SG9Uf6eLPebTzGd/saQh/NhJ5D7Yk3aataf/N5/ygnf7t2jKkQ8Wr6Cob
iPbjq2PQSnhtxu4l5lo3LMWMqqMCrcVpcJsNhJqBtBGOlU8dARgzs6O2lzwF/Z82J8+2gXM2BFH8
N9fkry4/emKaaNzXqmZ+EMTOihEC/dAkSBipvTYrJukkv5ROEHXV+teX/6+ugMDPwc6qU+Eu6skf
rr9ScchOdYhxPfSmfdH7xtewsNLPeV8ZD8jyes9eUN5yTM8nOUhVJiNDw4yFtalaz307nxLFh1bw
67d10cZ/eKxtQmu5MSjsWEY/LCFNhw/N0I1gPQ/MadE+IToZZQR9HhQJpYAknVr3aTApRxIXmPqV
wxTC2QG3aBfacDUsw5eOaJ/MmSAqsYuaM5HGeVkd1E5dT7kmfK/NiI2sLf0QBdLXLBk1FyqpQK6D
7WrXQ8d5MuWMme6vP5ry8/NsMdREx0rlgtr5o/8gEeQWKQbfbh0Sq2LA5wBPEGf0WQt5OZkXofw+
4jdxrEkaR0/TAQC79sTEtRtzjs813Z7rjNEviJa+tJ+yrDERdga4jjE3TcXq1+/3p9KHmsdgCaDC
tgyNOurDVwEhA3+RYWIcSHJjn2NVzN0iz2luG3W2j8NCOTdpuBwRVbLlQi1OPfgL1lUezGJyokru
HuFxE9IYTzA8HaVieC10rcXmO6ptgMOkQbU34FiHvASN3B1Vpl0O2TF3ZTEPt/wN4an2A/LFJCx7
+wgWxS0klfTMpMIN0nwd0GxrPR/h46aCeH5FgLBxjkyQ567S0Gb89QX5ecdZQujZmgVHYP79YT3W
eqOHtaej3YJH/ZCWk7zJLTwz/5VXsdjRbKoHW/6gVS8Be/gS+JEVxM3GWyauxHX+nUPl5wKBjyL4
DIpOhW0s5cv3iy99SHQ1xuCvlMFsPSOexXOtQngKAuDa5FQsqr4BCUydq3+zqV38Az8+4DDPWLU4
sTF6Z5X78aVrvO9SGGv2KqmRPji5EQpGNDOHeHXCxovBs/+MzxsGPGbqeUsuXGm4XawyjxgtUR7A
609vmF4P1ZA1HLr9sYWFnNb3vhpL+z4U2v0sBcxLzTwPz+hEs1czlfQbrbTjW9jv/ubX39dfXEoM
INQzCpgJhdLtx88DVtSeOJzbq97QSLoJpwTNb4Kjii4ExIWHAWjKI5NR8Tdb2M/7p60ohiULTVY0
Aqs/XMex1KDklbK9wqvcrwl1sO9Kozo3SctqLsYOJqh+xGMLg04ak795cfXnnYpX52kyZUvWhP5x
905mXZd0ubZXRVJ2m5bZrevTCUNOUwrUJFV/k0oZfJcJQacUF2yn4PrXyMJQwan+tKKn+5gIH5Vi
iGlZV8nywQWYb8miMVc2XDG60xy6Srn8FmhG6XQZ2BYS9qBzwLj+9Tf4wQ63FANUOzio8KAJ8rrs
D49cQOOgD3tYO1WgivOcaMLxdTvahyD88egOteoyPrR3CGpAsYBn3I1ZXdz6dRM8/hfeisaZQVBF
8wX99K3mqUYMRsHdVCc1u29Xf+kxTTsm9LudNSvSjQhn2akQpDpVA/49gXamaHV7/ps3sixmHx5T
DjAWvRUD9wX14I+3tc23iew45I1UNQJTdTfPhrzDvhEdKMfgFxCx4hL5e5gaCR522YANjxm9l+jL
/+Zm+4s7nXAFvibTNCn45Q/7UKjRWZOo4lZVU2gPhIla8PaiYd8oOVwAPRAbEShfbBgEe0k01f7X
V+IvVn2Nb4SFkmULaeKH5xsVaCti2qer0YajBmeEDMmMTu/lVf5Ra+j/z2O3YvyyQ3RNdyjKP3iG
Lj/zR3NI/oTLkYd/Kdbx4i5NoN9D+EwOzRym6d3hAKINtNTLf/SH9KULhBdGk1W20sXh+vtJW9E/
afay6/Gka5ZKFtA/OWl/vDswHsn28s5QUvLX2h/ujjyZFT0P7NwzcHF4EXsuow5kr7++B62Pmwwv
o3AMpCJW8BXSkPrxaUwb9N4wzHMvzFFHQJ0R/jae8hFwJdnO95xa9B0tbrEeB232wqAbnsy50b/h
kPe/lJKgFT31uYcE0M7Aa6rVk6JJm7wui9uSJv95KMh3k8vymRmY74iBmWqnDraHvSb/XHWNfF/Q
rP7WlHAQA1GRu61xQBg5K+zJ2QlvGvzSaC+MEO0VLEu8Dg2bT13wd2VAGsB5WcqbmXXGM/6v+nbq
ceE788gsoYROT0eNeAdnjrT2LpZyBFFEB71PrCmVUxGRZiDW0+VHRQUpNscZKvgB9M0JQQQ5XVqJ
FVsddc7CKosn7XHDgsPb9jDstL6xdswmJ0q2YH5GuhaRNJIW1yBP+s8+EDSaasOI7NMOxbqDlwGo
vG3CXWEn6lsKzG9DrhFmH/m29Aflwcyb8k2L5vZRkwpkMxqNva1QUVmPc8nsKy05RfRjXO3MeomB
WJCyzxYNPARdIyThkKyc1/9eONpp9/Y//wc70p+9p58SPP+DfOyg+0Kjjvby1+7tyw+duj8dh6wQ
S2sIgxlDPrK+ljrmPxcPamD8axo1zLLT8Wj/sXiITzgU0WzRW2YbI+XkP1cP8xM9ZU3lgaQnLJb4
sD9SRn/vjzUf/vt7ysFP8wtkYeyw9HiWRg/Nvw+VR6eWOWGd9eQR+C1wIXTM9SdrKlwBeOgrJava
OUaPemKQle46n60M7cSw4OgSKt1dHwXlGfHAsA0tUb2ZlhGAua4sG3kr/KKvieqnG8BKpE0K4v2O
313x3z/N9+/+pwMiqjhKUAz8vHOWpo8GdDJPECwUxkDIhzF9GUZNvUtMA9MFriU8MbZdP1JYqeAF
yeAmy5I466hbT/IAyJurou94gsl9kegFIBLRuVQw0pJli1dWeWFb12SZGA8kAEX3oC4S1CQxxhss
U0sUPfAzsuzrzokzKX+eAy+XbzgT1qEj59Z0MuM4PPhqnuwwtaVk+2X6GIHTTapNE8mcqX99LT7W
w5dLQWlC4YZXFQv8jwu00ul9lprF6OmKAS2oDSFBjzKGwFI2/6Yc+thGWF6Krg0FJ4dQm5v7x5fC
K6MrLV0LjIJTvUrzUr5qJF9yVbvHGdP4YhN0+em/V5nfVhnxy2Vmlf7rjpSKL29F/f0Cs/zQH55m
8Yl+N18GMjMiB5Xlm/99hbFlhgSLofi3gODLZOuPFUb/BJZI5g+Wsxu/Urn8UZ9onxaVAwFpMosD
dcU/WWAAH3ysUOgf20xJue9UcCqWtfz5d75mEj7HSZtNYx33/j02C3JhULY3T4D9jnipIncyasJl
hXpsR3/X+/ox6wM0JJFQAJqVThLDr82zFA8JkagyfGI7Se1NM0BICgeZJ7ZqnD4mGywNgzUh4vlG
1CExmAtvKa0pJ+oZxYQdEQBqCmkVRyrungXkhAzAjBceqfFGD2qJ/BbHUfIjF3/KvWT5L7n5NsOF
QofYaKQ7iPvlI+CsfIV3hL8gdzOiDvsiubIUWrck6miOkgh8XxrFRa69l92x7tcdbqbLn6lV8DAO
Yhf5pUbsDHSIBI1PZww22FTSBrsh9lKAhVkz926VjjaNQ/6meEkJY3jSp/a9NZLRE2tY7dqa9zh0
VyrhD8vbGluUTolicE6iP9nD9DfVhS4y7bTcQhGYfI2JQOaQWw7YAss3nI+fkcbbsDHQ7CrLcS5p
JiqKYRWHxuhCKPoadrkbzDgyGlshYqqeArfKPptmHTu1CL9miGgcX4tv0LHdZ1x8iOuM3o351c9H
2Ge926Fx7L1Wr++rMngyByCscECRWWTxZ4hN75ffqezoVSpeqkUHXGjyc8W9kgX9OZjVq6nyC/Qn
rNTIYvBbpUfKSLjq4dHohLaWYgRWLeWOXrctOcfmhMgC53woP2fYMbc68QVGfhwFZVnY4UCqCWxo
Ek5yNsTOsvbf6AwegiZPVrKMWrd45QYGYJjp99bcPSsZ8EQyvoCoDQ/IiCxivl4qqx7djLOfo9nD
VyosZwBS65AgUjtq5ntlCi+SPIlzkA6yu27VtD5aXDsHN9YumrZKZUFXJD1Jk1TQoOA0IXbNe19A
SwTnKuP7U8mSRyhynDIuGBnO2Pj2YNAoZvEQuhFg5IGtajAIpfGL5somTsCRm/Jrutz3CaM/ojh0
a10UnYkx48xWJPZMjr3M1jGHoejERok1OCQVmEQV7JVJYO8Uet5RXL7LsVI5TIVrfCz6S28QGYcy
9SVVCL3JcqRkcUrwAPoL/bZotDt5ynd1SVoTkrJ4Rer0rSGjnpkwsPF9KG5X24caU4ob4rBxKvy6
tH1PhF0gEOYRdc3hCajKExSvlNDFBNnSWyyhjwyllZ1vicl6o3WSe4U+79AlvoxLGDJzgF1EYoyQ
kmyn6P4Zb/Ar8r01qcXcwhFIXuHzjWflDoAdtpt6VS36KjmNi13ZuoESDtfCf8FweaIQC+9MZZjw
MGP0MoegPPC91/iNkFbjvtS5+4kKWWKU+7nK9hgmd1FU6Fe+jxSuNrAAZT6uwjwlMbkf73NWorGU
nxVA01vLomrw++xtiIZ+ITtY+w7WOQKy4GHgXFF3oe5lOohMmrvw7UmF0wj1wHlJ9kNB4rWj0bay
B0CkYUz0cD9lpF1gxcU5cJUhBsI5y4yCL8RAOAhquoRqKYx9GWjjuurvzJ6DldwPT03ifxbktHTx
TaSlGNokFt22yBeXRPGSJ9d2PH6ejPTFngIwq4EnR2NLyg+IQikbvGFkFBQu0LzBv8cpsx6xdNj2
eg7n2plQIjQGHRlwCUHRe4bEIoYCVVnbXejKPbgzi7gzuuKWU1WATfVIN6hMxq1m1WfdAhir9T6u
tVAz+DnsKhrqtkGarZXl44nTx+qUk1bptegzdTV7AxcH7Fip7lsL/LWObitssLHqfv6A5QVlvNWe
rIgIPoPwKWELr9CyftcF39DdkHuervUpXdqlx0aNEPaqZE2DaXOUTKKPyXQzSedd2WjkwpBioFu1
Eyjt7OgifzRD1T+YEUGESRW9NLmBNNDIkaYxZG7LjnQTDnuOnUYngroyjzByqPR2320xsRZuN2Xh
LVFXviNPOJ8RE3NzskOtpW9FNm7kL/gJ4OomkoOwhJvIgueH4IJlgUCWSlcNr6Pd5AZOlI2PQtaD
qwH1tFIs/5/aoew1ldvQiFoP06SOpDm4BbqI6J0guwri/Gxa76JHra2nVg5dAyd4aBHHgRYLG9jN
pE93VZW/mvjiVbVypLbc0jc2r6ww91dJ5HsgYOejzkx4MWo2x9liRqXYyQ36+smlPOnWzKcPAaZX
Ly6DfVhO+ZoZXk0uJp+ouEqHt1I9t4OEO4I2+sEK4x2K0+muaOxnsnBRb9NJ2CyY1qSL1DNpdT6U
gAqr+WQW5wR/G/JXCygpdm3CHKjkH0ylCghDwwZXapobBRiQzRZjSmo0u97I0kd79FeW4Qo2NELf
qzs9Kkj9khkxQNBq9lOXfLZtI9/Wcv1eB2WxM9nUjQyRfDPPMCtIcVLJXN1WS2xUYq1wouRr36pe
wO/tbQw7vnxnEOgltQoTeX3cNggQnK6zNr3BRmnSsLyvzejYEA0xZfE14byWY2bhS4sJbTWrxQbS
snLVhdGuKaWTGjUbwtDeSpnoi0uRQOS8NBJdMOL7XRUM/x1A8I0T3fcrMhcMT6+s4JhDLmrlAWgq
k65hnFxIFqveV6A8VKS0QPiVPD28nXLrBhHs0UAm5Pb4uFf+qN2lOrLvxjYOLQ+yN3bBbjK6w2Lk
wOUdfk7CAbMAaQ9xZG/tsl7Pqr2aipDzTZhvUhX7MC0RLAKF/grpUNmQPymXR0gbZ9WsSrZjkzyZ
uCV8JXMLgn69et1ljbSOogyZdTN7WBf3gdk/JeRieLViP8+1hiPgXDcVm/AYeUT9XOeQH5xgaAbP
z237gbhI0AJsxdbYeIggIWL2+wpBpatcWXI9Y52mHUT4PMEGPrMkiTHlWkhq5fUq7hmBH8srggwq
efaitjS1UkKePOwuAGtqP99OXZVsRqNZjVBQ0rYQ77m8NZuQZI2hqW4H05cBSIvGi/CrejhGYccu
Jjs8Szi8HixpGPeZzPraFtdDHA47RZDq1WprtbPeYqIMHezFgABI/Zrug1y3XZw4+6iX3+UIRSYr
k2PksX/l56Fxk43KsYvnHQ/amXyz97jon5hvvMzgoJGCnMdhwAPdM+Qhz+5tNpStRHHm+TUlh1F/
g/exH7u6WXfpWIA3BqF+IZpSxvYdQ21g1sBf9Oms9jpxywpTMDan/8PdmSy3rmRZ9osQhtYBTEkQ
bEVSEtVOYGodfd9/fS7crKiMeJn1zHJagwyztCfpkmjcj5+z99qI4D9dp2dlN0i5qMwecnnFbCd6
GVJZUXEQGR2UzkNN/PZY8/0bPzHxYknFIIku/arVW+2CfdaHb4QL9tohLZMqCH2rqj3ak0VmUHaL
M3Pb62BXAX0BTEkbQG1athvMJ5mP7RoyPGkeeC/Q0etEQEB16SJCZrF/QJJ3/bKdwbnpP27y3DN3
Gm2vFLrAQ8STn5gYz03+IDLMdby4wGUGqZVwmx7HX3rORPVMFOhq5qdXTDtfukvZRW+2QiKYkTqP
8xh/EpwIE8Teuem5lNPFdrVoH75boj6D9rl0mX2Gw+rsYyd5qp10n9J3QPQLu1t2JgRxPrwMfu2g
fajVdleUlFZFEwDJB3B+ANZ7Z3eiP6MbHVaSrfqgtcxzY60/aSFOAzmjGki75JBU4gM1QUaMJtwG
kd732cDA0XDLrWotrjZRvrpXcg+Dg3SAV1j5OPEnFFw9zXPZhOJuNAjiDEShbpPwrZEEdRhmr7CO
68lB6eujCLv73tZ9QKiON3KP11FDhVVG9h7r0y0wOQWEOKHXDecOt6Gq4h0j+rC/G4LB79Np17nZ
MZs4z/GixWtzwCScbe3lrKBjpl07xvRlSkF9zhJjhZyykP9Ss0v1U5Mhty3jZSAYhlIDzWxCb52t
UW5I4CX33Fb6daYYtypQHMiqJDwRJrUmfBeqqrXIjPV8axbt2WSgxxpfrLIYC5G5FH888I1ntgx2
jcH266HF5QcadROJgwrG2NO75LMIQH/gK7mAYHXZaKORL0YEpEkWag1QlsvE6soXRyTZUG9QOqkt
bH+3Alux0L3Vyj1Spf4454ZySJEms+PqYwyf//xsRn7h6s+V6Kt2XGk57rXoE7/v21AMxzKMPqXk
WCdKtnCcVSkwHXyV/E6fKtwHfjYTFqiRCcCMqDCRymQ8q8qIJUtTD9VgfZVEFOT2fF9rwQE+qnGI
tHVL33c9K+l01FoyBhlfqBuhJZ8Wvtp1PvXdJuyJKGsHczp2cA7C5UiAjL99IObs3Ktg3gPVTMjb
UK7pCOI9LTGhK91dnSX6umlgDzpyfjJzx7mnuXXKXG6CioOVsLwPUwFuNCuL9641nogjW7kQCdQk
ne66vN1UfcGfanPN66hsVal8cV6A8zOln3/Om0BBiE5iI3P13/973cXkPA9hR1iUFu6mVlX3tskz
03d1u6m1fFHNh48lvcyymoZDM1WnErEI51BgUR2uZusQwcwhSZz0dQThk1PfQbcJ89Y9WWl9Zwwc
3eOcDDwZBMQZTTp+cFvHWch7MsEF8dMKfbvVk104DcZ0LoaEMwbhi9tZSInH27OJDeAtka9EegQH
W5ysmb5YX0w9SX7zActfuCpVB38FF0dO93jpOozdzG/2hikWexQJa/q4CdP4M2rwK9fhQ0rLonDd
m5RMDfTme4i/tXYQhOLxqvW6frEG+72A8bvi8NZgxzmFLeORgqM7+3bPCJdHB50OCPpBxWhGenaE
MDNWWi8qItKzuNSELoDs5vl21K5aMTyv1w33gsCDMTnJxOQn7U3hhBdKtJsR8FbIULmlnD5ou5zn
nM6DORAJXQPGp/gW/E/snPW4k+v2Oe8+Ao2uqIsh3woyUk6V2GCvCm5Wt+zcywoRa/x/uu4yHLF8
rhm0e5oWMZGY5E/WwYjqiNdB1VlHuib9tBux1+HKo/GJ9xG2C3qdJR9q4mtQAhkZYMXley3X2uFn
s1B8KcTgEd3tbpOR7omDbX2dOuFXOBb7LkAuRA73ixqTzzOYEAVmrV+HtoXrbp9O8UtK4bI8nMtz
iUmdk5Nsr7Azcpn7y4JIHMFZwpGsimj20QvlK51ToCXpHVnYN1fLnwokkdwZ75iqJp8qBc5/fhwM
oRxDllWJ9k7Zw0hfiiRWWBoWODYJK/WYJZnYAY3VaHMKwzHMXV0WhJqAABBEWZ3HuF9Ysrss/fzj
x5LNvHMqztw5ARJF6Mw7RbIWlhNpf4X959ooBkudbr5WzLPWfxynf26HuXzmPLqZnfFROXys5UZU
jbhpg7JeIE0VUSTrQkuNVU+CT2vbr39aZnHGn/tzfaelYzYP5hItl/hZ251Ha3yIUwmrKCPi3gSQ
/+JWyYcx1/dpNKYeKrx5lzqj9OBy2xtrwF08mLAJCOsqNmqCv0hVmn4zK9PJHnmIxVjPfuMqt2zi
WVsWyD8L9ygrSrL+S9g0g+pxiZb3l9v/ZwsYRQuFTVp4TBZqG4D7leM0V8rRnaljsJ0WOLcSDMnB
bDgYFThdVwVQFw9grdyxnDfsy/Qll9cEzYhvFdADIQYsK6uHXaZiqUVM1DdePbo3CPYfZdk8JYuV
9e87/Qa93n9XRphINE0b8iIzG1q4y3//l4aqqO2mlIFp+bjPVv0UQzEjrhvFTwIjwqXvl7dfEQ+c
OdpncP1405amYVoGt+WTKTn8u0S+LovAcm9NN/122kMxHca8ulaxta94CKOOp7JUNks7kxFCvx54
8/FfnWNDf9CD1d9/pf8msFi+EVIiHWUikzL3L8MLwAiu26J885eecDZk1O90xqzos7W1LUEbryKh
mTjo9v7v/90/TOt/E5nwD+vwNtHL6sA/jL+MMvQcXxSHIC5lXfkFIQ3Me85LG7iN0QW34myyLC+r
SDm7Z23Z8jvShLI5+rTAVrWl+8bQ+3NSjyJqnkPYhJ2e/ZhLcdPxNocyIve08Do+OOPEz6VmmCo2
GUx5f/9F/tskzOKL2JoJv1QsI72/yomNGN52OEWWTwIfnVo++bL+wYG/b5SNcOLPsq8vPPP7KuL1
taHurSrqDiI7aexRepisDhEfq6GtaxO+EhfnZYlPWIE7g97vsshN2tdssWciEF7ZE79g/LMQMk1W
06WOaQzncQL7vly+5V4CXPr8803/VzqV7U9x/sh+mr81Mf1/5nNapCX/72n05qv764ho+YV/mkWs
f2goHd0FMIsrA2XXf42ItH84zJF5+JkCIUhZ/tM/R0T/MBkDqa6LAcmBlbs8U/9nRKRY/1A1fus/
NWImuMP/Ffr2L6//ovNHVsWD6yLLXKaK/76glfbU1i0SeA+sR3BAOEHysVO100c/ce7gDGLG+zgN
G3PlJlLouJsi5flfLtf/MEpeVph/XQgWKLvDCmPaWDpYW/+yArlpyeM61nwERsde26rOQ0hz5Ujm
OI177VeVJDNqilPt/v7fhSH8l29v2RZtOTSwiFEFozrrL8t5Cy0TpmAnNyS+jXvLwEq+IuUqcdnC
uvxxntKZ8VTlsBDGsVfYpXWpEZsk7LEFjjB4c7Aui3Tub2qErXZdDXVRr4zCzZ+JjpmmdV8GzUtT
6/FGKCWLfVcxbAo74o5X6EqJd1qm4MEKKRN1RFwbxqdoJfngZhp8Rc0MgMdo9QensuenmKi7Y15Q
4JBPV7D/0was6WjK4SWRGdTAzm5ewIxo/oDQkZYKrp8vpRyCkFM7x6mVWaFLX7dtHVLtDzLsV5ZG
OKatlPmj45YDTuLKSL/NsUxAkEltPkp8qDvYQcEZqob2acJH3UyNEX84pUNkR2xNDy2dv+MENw+K
b1W7D5NhJk9kduToKWHslabQ9n0UjS9FlZgn8lWKC92xEhxtKDfCqJzfamLYBjQrp8jMuc60ePLg
AqSgeA1Jn+bII5UTKvQC5IsW+0AN8JebbgE9oAkBo2eNThE72+19G425ubM7Dh7EmdiDP/Ovq0xB
QudRFqO6zcoATSduE/W7So1aPZpWSY9JV1NfumF6H+hNfSYxt/sk9DU7mVCx9mWe2XcMO2i+QGl8
oolDs6W0G5rzRmh5fP/I8ETpFOG9MujNmi1Wy9u9HeIEXnfsCGVyl3e1NntqEjb5cE5bLRjfEmMm
kGxlTYSuBic9MMSHsIU0XnVpgWzdpHZrq34WucGwz40Q5h7Vo/IdFipJKohqO80zAE5+uVpXvquK
qtBXbYyBZjTl6U/bzdVH3QvyY2sIv+eiHqNn/N0j8zWHjL40aU2eQ7d3d4hLbQ9kqPRbWNHHIC3U
DdDZZEfyuUo0rqFTOZfKYbbYwVI5y02I4v+AgQe4AOnIN8wszYcWMhksG6U+2BrYIgtUKAQugx6C
pfeHgPive7fHxtBXdv0adLp2DElnRHOuNJRzM4Iugy4Bjbwv01LEtB9RCb5bTtPAL6tKUln60WIJ
GgwoeZHL1+yixH7rdA7R0u6d42jL4iAqxSFIUEaJpwil9yERkj6cOA0KuLH1ownnPLEaOrfPEqtO
lDkEDiLu5sjN3tlQC6h5Qn43bjs9NjHyERq6LRWbMxTVPuuG0pvHufXtiONZEBZir9ZZdyMjCLsC
DBquKmlPWUIAeVwRMlWjoj/lusNIMqy7+dYNbvk5KtIB42ibJH5PCB8TTuHGRCdc8oCrZIGSkN1M
8EXRMO5oL8R+MunZA6hRI1p1JUOYVrHNJ2KDjFfafs6pSpzyk7FqwNi7ZYqzUqPSPs51rd36hh9Y
0qeLWycdbZvZonsyBPAeuwY4QpS5+lD0avMAEMSi7Ua+L5nBFOXWXFG+/gm8Sk1nfDS50aesr0DW
NDPnCKHxABMZla1U0beP5dQ2l1QH7WWH0XyIwpzMkPJPpNYS3gpoqA6V977W00u//Ouih13REW3i
DbqGdlw28BSikcMAUt+XIYnlG/Pw/i5X1Mla5cyYN/rQDYe5EhkZ3DbZaZVhDT0tcEPAC6qyHbe2
B7NNppBGEJ+PIzlbd0kCVUnr8vQ4MLyl+SODsl81KlhyDrsBQ43EremOWKP6Zs2GcQrJmzuFmWLd
0iCW+6FQ8u+6q9kSkYXNp4IbsxDT4ucgyTtP5mRSeUkQgqCwyyr/TK1s4F4HBb2uuR44lozmSY1U
61QYEVMDqF7WZ2/O0W2AobcZx6a8g0jfXGuzBaHSJ6DJ+nyGpsWLcGSeKU+cv/qnOEtLP280Ya0q
fZ4OihkFMWaoKL2pKT/KPpQbW9fMxIsZy6tuJjCN5TJ/Y37+2NmD6ushifLRsEBJG1YLKOmZ3u6i
2jLBZ3E0xHdG6qJTSyaEjQvwaqW1neHbKX6vBMR1hS8ptC9BViL6IH1HWaWAwY3d5DgDDV1iud4d
vQoetbGJPru5sKqVllraoSyd4ZnhDKQKTFd0Kfq2JYESX9tZNE4P5iO37S+LUeKV0xKJcw54cmOb
EV1FI2Pqay8OGpSt3JhHWKvmNYBsclZEF96nTkAOHuFLFpzAQAB/N3ljq9BpjGNbKsqWPMT+Lgyh
VGUSYPRssc8PucMBFKavHxAVt9bSwWX2SDjMHfnsjLq6pDgTB2hD0UvCB8Mx+gOtSwRq7lhuRkv0
P26udY+TRsRJDwV5HZJRtbGX0DK7GoprHWBB6eNC3ss2azZC6smlymTyHCl1vHfDSt2KnKcog3OL
GqaBSOi02a1Xx2kjpnzy5p48T3KwW5hAxE59zLAMVsMgutpLcN99Oi1DlroichbsCRnGqxwSzyqt
B20zEu82Nsopt9IPkREyIGKgDfnVVDlLcgqlhcNE7KE3VSB2zmZwkWiAsIrzY0h/I12kHWxCyXsz
gRXTdM+0NHazcV1FB7W7K4vLbOrrvH0AC6eWzzoKn145oUBRsbWbJ7e5jvqzmt5odTbjlfRRrDpJ
BYDUF5GXd8dcHkqoZUFGb12hv/tWIvZrfqpynYKipL8fdFczPSj5wzLdgdhmaa2nWDqTHeCT4rOI
P5bzW/jZZTNIiXHfVbRChbohC9BLibjBINZYv128zRjr5WwkiA8NxI8JbSGTCuIyGO26MsQWzAr5
KQTMjbscoPSyzWPOt5tNzsp0HhoDhBrMrSrehEZ6r9oTOKv4GKnnRL4nAWGF9cywlCxU3Chme5nh
3bYB2ZEIduJDI0EE5egdiDfXtY1D6EBlaGsUqi9mXXN9X/X0KSX+OBUqDsXd4DJcsrgj5OMkrO7I
uif00MGgfM0BYc2l9hMyj2Mz/dHN2OOZW3UTGG79fkDalNxYvntKOP6cszFA/9iK9ewqdOUGsIOt
do1EsdJTyWP3WobCT0B+GG19NzKu6iZa6DDuhpKcNrIZUVK04Z06JI/0N4nTm9HUdOtazV6mYFrr
WnqaFPWY1Ywwm/RhIXC3Q3Mfuyov4HBhBTkSQs4ej58Hc19FO5Ns8FMJ+D/J3rOouWVZ/QJicdWb
jAyAa83BM4NcFqOR0PZ5QjH1C6ztDLeUh5VFlaGvqp515An4ch5Tt9u6cYrUDBYt0CHLrDcT0bw6
dnNMbX6ZfcaEr2bPCEoAMEV+3gHSIpFdfHcJqNRi01gU8e2wB/3yYzIRVi9hEXv25PLyCsC09aEL
RjIiVARsKLUg6wUWAZ6KPMsihf+yzA/IqC5IJutbX4vHe2PwAx726KCx04Kk3Udy2os4hAcpYWvz
NhpRdZ1IgYtz5azOx0zpvVnJ/JxOdmFZYMoIjIC9eGeyNaXS2JhN8hVWmd8prS/jmBY4OvjUAV7H
MKel0+xeYdZsA7g1jYbITHu1YfDn7lYledwahecU1gpsI+GpKsGL1dqs7fPcqSsDBYiwWBs7INDl
h8vhIzHitTqig9cFcM1LoUpyL/srH3mlVC9R/G2r32OEymEmy1JW/uCMCPfTa88ukY7Ddma8P7sl
9roeVeFE0HZ4IWRxBPZsbqOxvMsYD+gSZOzYIHZKVgaxbVFKh3lYyo0nNaBon4O1LGxPBR0tCKod
lEewqwjFVOjPNP8oOJv8RgG1ckThDcUOovDOVrcpOXsQ1ndFMIOsnLdg4lYRUPkYKwYufS7yIQl/
ZgLD3WKXwEcLf7voGb4XmM1Vx93Uj2UMJ0muzeQ1m56b9MkYAjACSJ9YI9+i1vQLWimcHvOVqT64
coCwndF2VTveJLqhiuojOQbwod9aO/PhRECkP5IrwgCLSxxUm6xYYoOhmy5LiJqujAqG0j1kWQYV
6Tojh0zW94t+r30eIxt3mbsh44oxXU4nPIXkr+0qWLUZ2c9EAa+D1PQHCn9OG5ump4kNu+ZuypLa
J4ZWYzlzfPC0lPX5qmqu4PBQliOR1n6kvAg78oDp46WDI8lRi/JyPaW/WUnUiHqs1RfNuXcx7Vk0
vplcxPm3o56C7oOYBMEMXR6VCpCks7XjzBdYz0AbBjosAgQFar8LNbRy6sbVX51so2BZW8IF4kLz
R/tKDbvrstfe2DAgC8bnHGSilhPm8F4V+5wxDvgmOE+0PV/zUVklKESG+MJQL3F3kkWCg3liHeO4
OSMfcOLoAso3Fje9nU6VCg/0rRAYO0ISKB+nxcWKcwXmIARBnm9mz2MDjc8GI9vwUAftZkCxVLMo
F7TeVHRfZQ2AMELep5MNh7dNOLUXcvDpegSqbzlCWFfh/2CZ6RkSNXlO0+Io2sibRuDKbbcG57xq
K7DmRLQGEaDNm0wfbO0hVemN/DQxieicACwuz7gIoGYwVe7ZVp4VYnOFVh9D7TbkYNyQsFfh92D8
UK2sU+JdCzImiBLQyPvMJa783zo72Qg464JZTVWuSvfWWdERo/jKNl5T0jn0zo/dO9VQDiZVD15+
lO8Dwx/dz2Y4UxJqcDHvTISKgBcnM9wIO3w0u94vQYbqChN7+UXg8ugyMaHBMKa3tPvp4mGjRdFj
Fp1GXluwt2unyVHnNYce9ezYfFWSJM5h2ii1CrJgWDfjd1gOHL8+5ppFPjyZ+llFzTVMX6ScyKBb
FYjrAFtC+03XnfoxcxwrWSIK1WYI666taN6Y1lNaWwgjnHXmJtAH0TSiXVaca1Uhc9A0H2TvNqfw
zYTL1EQnMse8Zs3BYM9Phn2gQWzmXosh3jj2z4hBS3tVB+eQsiYW+n4EtFwsyFLnN6oJfCie2vLV
dH6G4LOAQcxhHD2x5aXzHc2wanSeeu09JGmGBKeBfKJgNoBhQS/OblbxYsDHErB8LVIDkAvjhnS9
kqMFpg4v4FwxfHfit7Uuc4PoLPgYMx4XaO36bxm80qshbrea1ll233U8iLa86Om0sWHIKShBlMEg
x8E5hBGQu8/aII2pI5bJdtYamI5ONdcacoWBK8qSQzMdyUiFTFMGp3r8lbSle+UWYh2JqLJM5dss
3oP4Ievv0T8vopkVNc7OAeZozoqnarOf19+juYtDbVvN4DCNnVK9VYwC4/Gpbedty8lFNBSvndhC
Ou9TjnfYp0ziayhEM+tLtd/N6DSPhJcgvB1dot81aiU+Trjuxjs91zcUUKREv9nWlwNaunNdL2AB
0VmWolAAX3tI52elgTXcxWRZ19SjYyMGuEl4WyhY0DbSWpPVQ6zS/6lJhlmOYBUno0pcM4VIOYEk
TY7eLG9pg/PNUc/QutHFEaJsFJ6mK08GHopISzd68WY3P3Va3adptZqRQ8ZKvZ8pWzJ3Lxwuqhn6
Up7C+qExThl9rbT9LEkQzsxhF8cPLnpOG6UmrL6XMX2XUKvz+dHq9Evvtl7F4LOlzRGjlikYlSIC
2aT6vCEvayXs+JCnr8D472BUMMR97qqLG2m+Cj25VLF2f+eV8RIW9StseuRKW3iw67lhcthkd7Ha
eQV0vfARyRjE4c0woY4/SCoMgHWI1CjdsaCz6QD1hJofHyEC3snoEUg/l9xm7u5+WcFI5gUQZFQx
A1EV2b0CSs0q5n0YQyTcmzKgq8fwXVeR8sXnvi38wtLOVVpcSdtZ18J+GmJzpTWCwS/Kyq6h2Cf7
qQZ1DsUfDqfn5IGPOQB2X+cNU3tPNe9LnTUefHM6mRu3dFacbN4ZVPoRVnevV6NnkQRfWvWSOWdw
bqug/RqR9+Xf9hxsBwcxnR4tYRP2u5bso2L4wGZ4KIZ5S2NxVc7ibgIDGc/aEUIzVX4UbDvIf7QI
dooQpxwl26CyZ6a2V0W98PR2PtCbOpAZsXflNUeqRZryybAwFUbFOSVOh2qcqtu55UWzTUW8wzJ8
MFDhIt7bDxmx7+7kIzDeqdrJbnr+8xKz2a8MZcDNiBMiRKRmzl7KVtnUnxXDwpC3Wxp3DueXXj3X
M/cIZYemgPllim6zmpZ5c6iaZIP3YeVq884KUw9cNBkLPmo65qOUwgloxeyBknMs3ENq2pvOXOzZ
sG/YkrtqTYCDDxteghirvMHFgzB3b235LRQOK26Bwt1q0dyRYOm1GK3JDBXwe83dHPMq6ldF+2ra
bTPDfIlzJF+Vn0+CNRfCBswcICCgZ521uTCQMzC0hr2t0G27tKLqApQyB4N65BAm+g0c6i2D+s2k
sSN3HdDW6ZxZpRegyQtdfk8X+9bsPZxeJxoWL6acrxV50+tQA909jc+T9oOszV0zEXY9t+zuEHCe
6WWSGP6OpnqVZWwhvXPpW/ndFcMW/f9Dj46J957Kt/PL+EUwYFzLIb6RE7osh81H1qAUMCblZ+ZI
6XKDgtp+6jMOjpqEm2vlLMcTueayCG9EBtX2czwRF9ZeIi3eDrCK9eArq9UnXcN9lWYFSgGTFAbq
yA8M/tYFAS/3srLHXTLNv7EibpYSQlR9w9G+qcVXyiFRn/R0XdV426ZUPWVY6dPCvi/TkUC4BNi+
sQeFZC1nrdJFtNfvg5GvUbeLsgSo5YRegMbm1m2Q0UU2nao05hwPvRLZ3pzpb1ZufA6QcTsT7XHT
th6lzDULrYOrJepO0d5xmxHQEx3HGRGsGH0Vz/Zm0Ln+4XxNiExKpVgX0l1NESNvrTwEffwqyujN
bCnaUCbPLkLwxEKZw06ooVYHWURkSAKpINo1nfEdtYgvI4n2H2VoVCN+moc7q1RQTc7fEWWT1bqH
vCm+4wKRbfIu7JGHSOwqqXp5HZzRoN/VTKeG4Urqzn2sVLvKOI0sePVxRL0X8nbnkwmmK1uj1ju3
8tPpso1efXemfhJ2v9YLpGMOoQyWs1OHj9EC302tOLNws6nch9TRtnIx8+pQkJsyxs6KRua+kt13
FpS7iSOSPtbHOIjuokqgJw8PzuSc3LFAcWW05SEvOuqPvovWdYGoKh0QPgyRT8HiB7yZSaX2yFlK
xOnWgdSTeD0ps1/b2gVDoSSbh/NvERrh1nYI9IqZWPN5davfkCp/dBg4+IoUr6SE7NqWrtBqtCP6
OXnY8lBn+SegJ+3RwHRDv8M8VEk/EHVUV5VXtpI8nqG+GESEfCOQQqQduh961sbneSrS747G2S52
TJTvGbMLkbTfhaWw5Yb1fSPaPXoYY52MUTk86Tn5iFaJHqTMDJOOJquBakzdFvy3wq+H4VMHF5GX
uv8ZLYK4OPRbxQkjjnE247h4JIXYvXaJ4rzpSVls1ZnYIERm9kcV6M+dqHy7zC7BpPpLsAqSpYDS
tZ+UPWJa4g7TngAGenvNWsWtRkoGnCZSkR5RLhuXxrbio1Y64FLd6qpH47SS8SLqzYvH0ESJzOtS
efYcnWsZvNEw4+U2VQDSZGYRo0ByT+8i3qi6eK04ElNqQn+mTdRxY0x2Qa8H/Jqh28FamDkqgnwz
mMQtajiHwlwgSJ84Mk4EuSEDGw+WMVwS4RybqDPh3GjzZ+kuDSeZHIDrPIue4IdElg0zKqd/JCLC
ABNDZaLjSFgHFdGHTcxWO5BQENEzKfW0OUVpOm27OKKnUYwn4XSPxli/59n8jV1NEELU7hISL2Rc
XCJbeEXcVvcmCXh04sJh7c5qguwT90Ip4v2EltWr5nh67YnEJuwkXDCxi54b2/OmFzEnPrckFydl
80k4aPhaanqO0RUod8ZdIGY/1mpxHMaas94kypWa9g8w4u4Sds56CB4zU7wA5j1nU7gZoY7XJOKB
R3dwlrGXVo3NCmXgzXeDxVSv7kqO8hBHfno1iWkwMmKpZ47/qpieOkWHsD7pLcp4jth1c+xFxNKl
bezOPpdOeVURK22mErFm7BAg4Sgt+wNQl+1AwKCXtPV3glOFS1n3Xhln322lPjl2UG9QLJHFwtXP
Ymmj2DJJfXTRZOXFyQ35YTdKbb+U0b0dOncpS1Gk0oppE3k0baYLZMsZXpfHw7FrxIL+idVHp47R
nTuENqh1DzVlysqLIjDFtJwyPWQrJKjlRUEXenl0EkbCtM4bMqemDaMLjZTsCr3HnLDyM82bZqR6
+gRwt8LDg7xbizynzOnqoXGGwVCt1B65kdHN+caipW+nnATHNP4eBz0vdgTgmc+WS6LHUGJdvi9g
WVfrquij9zrHEkiRYRI4iZzLmXxDZGQKhELSgtZ6wSktM+OfWh0tmhphWj0C0zXzk1aOxs4cNPce
VSHhQnYpWWuItRycD7fklECl5Up7k3a5oD1Mh//S1HPn5ZIJOLLg/G3xa4HuRhVXzGXh6zSrCdms
yZChbOEU5M1sgXS5WuLvcGzx/vbCiI5OvOx6y+AwfsdZgpXOZSy2G53lTD1gH/cspFl4NoCn9h2V
EhOxY2KmHSVZ9Vyn5WHCwVPlyaNm1QPPu2iPZeLyIgTJI3rcX5GbnjZhfkzEfq7GzZiwqUV5fjbr
/MTB9qwk4zURHejt6qMcyqslmUOMxZF5GlrZLtwwUN5Gxehzm3/RKt/Ic1gaA/LVSUfUajXGFBdo
EEbA/k3y/XslfelVuTysvqU3G1P9JnrgW1jhkaQTHFky3Le2VFahqme+mqBuZ6l1PUE/u1jA7yJL
JKthfiib9IqbghOMsSEFgSipwdcwZDjTr2Zlu0TRrklscATDrylF+4yRfjj12DV2oBG+4tb6IHDm
RS8lGwhhdW6tHxkfrcyFjRc1b21ifoxtdxib5JwrXfeRxFF6ldgsiYi1e53jA06OnHNSUo+vlm7X
9aaxHf4auX8TT3fr7GI6xgdlwdkNemGtx8k6GtPkR3Oe0v5nahYV2uOE6m1djvlXAQQB6QF/VNjz
OsWQ5TuyuzACq1YjwLezyzJ1rrLFrOmQ7PYY036gZxy7ygFGz91c1bvRTH6dmLR0V0FZH0QnNW7E
I32QwteqTuBjWkxVEO5QNNpXaBAdDos6vShDDX6vnLa1o7/bbeUtWUEOhwub8RFyNGqnkE/ZqZ+u
PYTo/rI3yqpr7NjTSk+0aW9Xzrk1x209/cQ1vaSiM7yhLk957Z7Noj9jz9zDTxUeduDew8zqEXXL
ahCc3YHnup3sx0qJL80Q+qNevjvEpF8zLbaSfUg0KKfD5gOrC5Lcpi1Dn0Dhx7LVniW2mdU0y94r
gppA47LpVg3RHssvze9GPDXknUd0LeOwe8mTchd2Q7FPLQJvgyyADB/j4Krxkyk9EU9FxoUgIsTX
BXJ6h9Y0AyGxJG3Fb2rU0FQnvrExj4YbgmLQkxoy/jA/G5nefddGifMmLLsNB/p94Rh3QQBeXOiq
J3t7F7QmI+/0aaDwycb5OPwHR+ex3SgSheEn4hxy2AoQyrIlOW44Dm1yDgU8/XzMrmfG47YlUXXv
H9VnZXgOAdI0Sb4JykgI7vCtNn0Ccdw1ln2Xm2FFp8tI3pULomWiE2lj5bzAu8BdPa7TP5TO1sCY
e4/Jz6EHYO2sIytiM1WrqwG+2re5T2m3vVPFOLiEyyLdyCivmKUvuxysl8yOnkejvNUJljZHn7aD
EsLUDFtzUnyC3f0R9bCVcdmJ4dpL1ScrJedvsY9hh8uJltEK1g6/nQn6OaR7fCjPevnC0YhxBkHf
iF4Fe6CzR9u6c/RS3oxJdm3r5pig39Mnc+9MdsDE+VwCM8756IliOiUy1TusUAJVuGTSMJmAoaTt
FRsLwFX12k3Jlk4CZMjHvIW96NXbENdHVNbMmnV4ROGLVajfyt1y6iadI3bamSM1obbxMYTjpqhP
RgGw0EhukeqeoYye6kAyJcuGmF9KcwiDrQLJ/JTt7J3TeJuacEXyhIrxhQTHiw7JXb4QOkcJNkOw
vaX4YDOnM5qaXcn+bFAdoIgvW/5IHT9Z3vL2o1cf8MYUXIT5weGuFjM2RHoFm93AXKxToNjSNd7T
GNjpuHIp9kkh5trvqkTti+aqKT0cmNesehk56grnn24aAXUnGwdrpy32okMJw4aartCH8znW6haz
pksOvG1dLP000IAx3BR1L8F7cmiIHJeC7TnaEQ7LAa+L2/fG/miX5zHCVzqCf421P8fvpPz1Rhto
DBnI2TZ284v1nsf1uZJfsPrzwaDfNjUOetUeJF7rthsYj+40KNlrLUGacKntMxpvjfZLdx6GKGmD
AR7KDFeJeVgL5tW887MYn//d0F5kjY0Ooy/wTH43yPsezg3ls8OMgenJdBRarhPcYdvV2UYlhyvp
CgmdJIVqBDHpPFH3LqFuq28RvftD9ibUa1+Jba4dRgo8WpsdJ30PMwmJ+2/OOKDB98vduU52Emj8
2pFXUc0+r2685cuRnyBoAmlii95HAHJ2fDDh/PS/ytk7QOjd+Gd1AUrC3apxVnhVMnnbME/mbgYS
UsiyJ0Tp10A59iWNSGpqM8+O9lnu2qKhEAxIC8yMCYs3txK/1YTyzP6I0+/RZKSHEaYwqciPEdID
leg3OgSj8Q4YTZU4UDdkmy5AQwd04ELxEpRHVjGAy3S+BQ/W85uAJmyKhvSnj3biWXUkrwbn1RLQ
ItC3kW1wXRTKnIg7Po7Zpzrah4RwgmieCIwFx6aNe9Z2tIQkBhFQuyaFnob9xX4vskdnvmrZJUcv
Zr7ac1AufMQYYzC7DDovHaUnjtjoGLa7IflrgPR7Hvc+Rib8Xs7fC4cI1Z1ELQdaehicoDK/Esk8
EDrDY7BTxOCp2kusHwcMfH1Ms/HwRHfjFmwY+JRiOFxf03yNNfIo2oBS+tosXo3mzNCzVQjvLTEM
4W4EZ06ZlbdZp3EMKJtG6qkv+qYvyZ0XFWxRcwuz3eb5OZyz/WC/2o72hBgCly1CAjc19YNjfFDy
rNXKs0xFHG329aJeunH0FawMlfojV4VrkeWYymnQW66Gl1lD+6YihPTKfjoTKonvZ+ZQLXMg62oc
z3KjHvpl9GNzhWO7vcaEjv7xzEbjzbHY5QJCeeLoaJbqOOr9Ab+L2Bdtc6chA382oo9qfcgpB40/
GZycWdsTpezasJVqFpAs6qrWTyqaHVCjNDMSYpLIQtwFAiQnVjrfSW3yFgFA1ulk65jMXHD6xEA8
FXTc5hyiohyCmq7DIZ59HmV/WctsUKd0BvWr9vcKfSvEqnCKt905IobElnei+gKQPOj2QeUky5iR
VOMppxGKuLFe/rKmT0WUd80iG8JQt+2q/6KKQk+srRJih2CEV4oPhw8nMjM3T0YvdvpAsWeP0mpC
Ciyua8stcj6Z+YvRvTnO9FRzLPDiYDMml3xIvbXHr4Nf6Gp4CJ0GetHCLs4uSYZEdsL/5MbTMH+3
XeatlfNx1+2URIPShiCcuktMRVgVtOKJShviCWyMaCVejNxmg7pXGBIzDtkWfFuZHJT5vJ2i3AJX
4PXExUGFe62e1J595FXIzxllQmyj9BXtsw5po67xY/it9tWlaEzI0y0El6L80w07Kfswl9MEc1be
eRKLftxXRcR79zZkr71Zb51OcqPk3EMlhcDdDZZi53uUvp31+YaTrt6k0qYwdvCW9FlAfE/GizX5
+oxBSUufuuZTwekTO2j25WOjBRNAeE/lljwtXmfd9GjYNOU2bvcNupsyJ80jAsL8FMpbQ6JIyikb
chLMTwuWKkf6lDHYCuURS78aPnZkcR1NSQsKpXmbj+aO9GQXc54XUThVV8OBbFiCxzEXN55s/RrR
nuUQmj9ooNMrKNAe1Z/WBC21NYZziZOt3NwaEG9jwluyT9u3Mrd8aYKPbn9DyrNa4FvD6j0UOSxk
m0ralilAOF3yUA2Z8gABRhUYY9QuuGp4CcLzmOP3h3utWcgVM9uPA12eiQZmpuO6lNHEfDQwDKZk
UC11VPihQuNmxrDukLx/ZYxKotip3VuWPYfKJe4BsfpvW36TANkItnkinnorFVG4K0yyMliyK7l7
x+X3FDJwTlHo5owHiNByN6lUnjRrR7ro3bSFAmm7RU3vDlV2K+N0O0MB2bkUiJkkjFDyMo1T/t6W
xNu+xl2xadttOT6NyaFQSEptPrrlxdJuufHa41WTf/X4rKynbv855RM+sZ/UKhAIfZhNiXrFS1WU
OqRUm6w33NAiO9FLO4agkwpO/hdRot4p4mAWKa/n1Vnu3CRuO1zqRt2QcP/QIhwfJlKDvkTgsEet
4I4WKWxPZusnvBedij5cbXaFY0BYXLL0qdJ/Fo2WsMIlPQrWpyDTTHMj2QQT4WaufCNtN5OteutM
UWNp1Ui51gWH+m8pv479U4G/ZLiO0k+RIeD7pxP/ULfX0bJ9Yg0X/VzVN3u5CXhekGAdAgrc3U1/
2O5c0553AJpsVJxMNGYbHD29tygKPPOzSQUde77BI3PUcXk79fhElYPX2TJKvAuDgpKeciuwlW2Z
Ny5trnV2mMznkTZDMlJYZ7ZD9mvVL418UAUoYejSoPpazJ+5NGxV9Rngw4TFI6S1bFNvoJyrDH+l
5kw/z6aLD10o3ev2WA3O2v5GhhOW7WxLYOOm56rqjHynETQ8D1+dSip80r8t8AeFdjJqpDvOtdUm
l7A8L25IrgSU6NKKI+8YJkVQFogTJb9bmw3NnqQXdidHDpY+wlBP0xXdu+GS+Kr5WGVCStApaHOx
IhQMsjn9EkL2ZhC0IgajHLtDjDTRMJ7s9DyZv11HvKMl4fYr/GJQ2RBbRoRfR522E/ok8leQ4jLd
3hvQ84EmT2B3jMTra6ihvbvp2qtuAVGZW9W+IO3nGEgaSGHiYlDjEGwU9DKr8lviRPs0Gd21PQrS
oqwPwLBupF9xm3tcOuwhjKDNoWVopQPRHQUPcpcxqD/MCGNsTvhQfcmSS8OINpqk+0STqxuBlmA8
JoooElyWPUEZEJPOfpAOkfpGWEtjk5Pfb1r50zE6b1BfGrar5ZM5vEUUab9wwqYsmeb0O1Am4ES7
ODr0A62DhAxYe6Q56D1dFWlPu3xYWU9UJpaOas3O2Bb2WYVgj0bmaTWD4p42UbMz08a1kDrzaO/0
egI0ukvEmKihV8l0idTvA/HvRP5fzVZ9z6rzItPMoWjboXEORmJuZdXv20+p4cQVxtEY+S4SOkgj
JKlwntB+o06G2hvxSZVoOlo6I3EFbGO128US40U+fKXFRHU7nZ6lXOHWTjK/0GW/B2M1UB2aYElE
je5lW/w2IcqOOaVXKxbPOTXiYqHlb6HX0iuTlPwgvfoQpa4yk9KEaQED+6ljUKzgdC8G+R0b9ud9
085h6OltwVSRND+EftPQOy23ooiRNMR/qa5cJrOsntG8SbultE+hld/MAvikoLl7QhAwqWtvd06/
t1zcllI6z6XJtUW0a6Zo+2Qxd47ZugadtgnPQFwVXrc4r2J2TqCudsf5lqCywnlpw21JsR1AL3BE
4RAWFeLJqThISBQhyiAHRUCMmkcB5aHs7Y1cHPMch3ujUPJZKjj1Y+ef1XZB5xTbMO/PLfUzbddc
kirfAULtO54TApzeDNu8GWs0alc8OQqjGd140Mn+bKCwISFBFKzw0aRxwS8125Y2e4NhPYqEc1Ll
VUf1gsbK+ad11aGXqY+vl88+EzdllIgnQmK22Lj8E7eHVrZ5CjV+Aaf2SL3AFRwUJdf0tc8+jAJF
Z+2mvA/hQIcyk3CW0rkwarB/+z7eztNhFrlXLFEgYtPTK/1LTilxDxO/N4862QXJusvj64UEYcrD
8kmpLidMm+5SsrPsMfQA+HJ1m8sYfEC+F9j6zQRDsxoRuscCGr6abhsiv6sQ50L/x80IQUMnaqXi
eWg5/WEp7U9k8COqPG6tuTeg9926fmox21SURvM3HtkFJOJwY2rgaWJuOJGrg7KQsPaJyFGeL+hR
DPvLIHgo+uuaQyFeSTyah0tnnClrreKzWPZoNZvsUQNxzoFDckDcNUEOwoS8oh2uef8ekjPSr0TT
FhSsLw8xFS3iVnJ8Rbdh3KkhUSBeVVzN8Cz/FujU5mehbhEUCnOX2KeuO8YIaCxO/JSOao/zpTOe
aUJw+dHsecPIQ+gXWVybZT6hC4HZW8wD4EJYbKP8OWF8bY5dtp/Hmyy+m+aCK5h5kKXQ+clx1yP4
NzN6JZffWkFnnN1G7ZmPLLSpqj6sgU5VIDuezL7yVMWrP/lXdRYM/TqKZunnJF5K7SDH6I2DjA3Y
bFqUbnyoGfQfrUN/6qc2eFQgI2SVxrs2fGnFzxBflopvwKLT+0tK1I/izX/CeCjOyzISUMCAynk/
qKBRexPVk+P8qfquqnaldmdFLwqWqG1hGT6pQ0700amXuvjXdoBoHyXxZ6NMvqeOqGZfhl8Dotz0
F99Hrt8JMchDX04Qi4onynRMwrWcL60kKYn0icodaTmkl8A1KlKrpj87IZmoRBRAsYhGrDLaOk27
6ay2SqNCdipMj75KRg4CHYG+Bd3cXLoJSmqSgoz8rBioXE9h6nWviLGcCWXBV0X7QN9tzH4HcqJW
FxzRi7Q3cv5f9quJG3iTZvB4/dEZFJc6IzS87KQZBB2yj/KXFUrItae0O1KkKFeVm7eFCTK/x+AG
gsWM6MU1u+LTslynvwgi8MbiM9VW4fKzTUm6fG7EJqt/40TiwNp19i+/lpo+SylhgHuz2jvNp9Zd
BvkiE32S81elflc/WfU5kXTc75+gNHb/jhOjQicmAVSfSbFw4Ayw88UcBWUHKHBEeTAuNpI8IoZ8
gBlpuJrlMxcGfAxCXc223MY5hwzg/6AxjhqU61D6ayzhIjsAzo8mhjhlrrCXvV4chpQjU/0Eh8AN
sVg7ZCTLekvXz4biKSq0wa4xrxJwsBYeCqvaSM5LZ35o4AatcZjwMdBMJN8IDrJbhDqEpLGViJNa
vEccfbNNbNg2FMdF/lyMx9JfU1QcgHLZri+CHGkmboRNn59z555riDSY5vhnMJJUPWcpQEzrWYgb
0YMMO6cD7VNolN0Z+hY6Vs5PSnZgyrHCU4Egr0pPIciMTSacF09BGf7VcKM1CnikqI75M9rIw1nR
w49qLoI2at0+dwnLwLLopf17VX8QnYQS/KSM35LQkdmcMhRNxvhRKMSebC3sc+tRg7d+/sM3H5fn
Et5Y+01ZU6Z6X8nUeLe+Zm/x1YQENwF+umrzLM/3eOajnVQuDk8w6n889hMN8+2vzmAet48JdWif
j1gBjhnwcvKRQP0CD3T5Z2P5cJLluqz6xkkuAexeK7vGtYAfCVwnczYa6jyVrAmU2as7hnZSc8Jh
sNPDHYIO8hpb1PyARW3yXo9XYkLEOSXeJbxamblp62NiBmhvMy6Pqr1nmp9C0VJqWpyRt1XCX4WC
7VbRUMNc6u6M3cvLMpVlZNeLPyJjNs15ZPnMMBnaHdXL8w9dDNw2lVfQe9pGs0tRstozmZCtCHiW
+3FHMJThAb8YWEpkOkljnkuuhDcnPcC1GOOp0HkuzcDQn9iFddyrS2AjHRFI04x9ZfCKKOdY2ZFt
YLFJW8ZbvKbZ1DsjRWqMxln0T9n8HSIr6ggDwq+/FROhH83kxcUaIlQhQKyeOlt4TWE8t7Z4WwDI
arqDiK32W3REYw9wPa4JrkbGF1uImTWCCPWr2cd0khnazs6bg0VEvZgGPyLAQmvLw+yAgeGt+cGD
c8yN+uwUsWcMR2wrgkhLuGTEC9QV+6hWEBORoRTtOtB/HSq+4jOnNbvclPaZY4WbYSn8rhi2cRQ+
OpRT1IdRCFJ6Co2809DuCtzAMgkcTce8Ck1OaijwPVF0g7KBFn9VNeNfWKibdD7FhquipXEQdw2p
cs/TmMbsaM3PB81Nhdfn3I9UWafOQQXYrw0AiMjc9kYJM/Jm2aGXcP5lnN62mZ0tSxwgHrdlqQRl
Ntzm9COU3xF8XVOQFiLBkU3XjCzdrozlswloreR7TQgECWDv1U1egxNtODEiqkPhMsuik3+XwyBa
DpLMOUz0fpJcImqlSs32ow76hAK+0F20f6yBWVccE87PgufcNHIvkj/l4neRbd8AXJzR4U7Sg6RN
ai8XxH7LseVpGiwkoWkWyNSECDP9joss0OtjJP8sDI9ErHPfyF6dhE9mIZGPayC3tNCwHoTC0aeS
AGv9G9P6pQWNmRdzz+Djq73saeJDbRUC/LatJJAwwoOS9TkmBblT9oZcv12tI+mRYZXIT7sbqfjB
xLqjuMZ1ZGBHp8k9SUWdFzU9OwxCLke91bp9s6f6rbO7w2TQTjTI5y5aSLFMXK08iQ5tnq5RPZQQ
ChosmQgMooewKG/nunCnxtg2OErlprx0WvZvgkOiT+/QCzmo2E0l5UaxwTahu6h5TupboaCnnyuo
nfIax4OXISpazK/YHqiR/9Q785SVlDljOMBkHjTljIlh2RdsIw4xTKNDemC2Dq0y/SsL8W5OMKGp
yDLtmIuWxSfHyqucMnJ9EjoZcUJvBt3wq2Y1iAD8KUiF2f1xDgbwf+6yhHSqsZmRSPEtEU2oG0XA
F1wz47WLjd3QwRj2wkeXgSI0JlaM6Vs8+HRZ9T9EhiYINVGVPAEkACO3dYabrf4oVYg6gNXaicP9
HPMAGcoGgpgBL3IRfYf4f5OtrukbCD1s88QO5oMrMz1PFraJWFG/Y0TrTYODo7U2cwnDBUxZYquA
0+6dR2i5kfUoec/R1QcYE495XD6bGfkyrMNlgx2UHjja7F1VfFBzP8v7pa79vCHIDKbBcrazHblS
yIRWMw2kl1mq0TJZATlgu0ggAdRe9PY40y/MgaezE2Y6eIIMfTGlwGswMBkcCHGp2wjOCIdwl8o7
WYZhBdCp7Xe9CZ/oRSO5USDfBZBVKMceYIVIngtXqbxD86EDC4pLa4zkV6My3XwAMBi/pOZW5a/W
0G7VsDqkiu5pHZ/8uvVVo/GbNUBU1z7K0rqrDpyX4JSLrC8zYdeumPQjHcwxCwRHc4a0Ph4LXzRR
kMlJkEvxWdegSlKW56yJX2tZP6xrqpmfNfWhLaDPXB06WTN2OL4a8wetFx7la8CC13FM0OifSpHu
h5F8gjXQgJqcnYYK34rNiTBc4Zu8lWlWeyNDbD8owaK+2An/zTSMR1azDIA6EBZN8payQ0EO0AGU
XeF7oIbxSVTau6wDRCDOCaZ+3OWkoQiMD3QFYH38VOf4UHMoWkwQwPhMsNHOimUaSYw1qcvTSucc
p8nWTgj7VTreULHDe81E7JzzCtZCoDJC+pGKdua/zfAa2d4cFH/m7yIXEEQc9s40wSF61xznrV70
YAvxx5JZqNisu2JaO1PiDLeciS8YN9ME7DcNWNMVt6zqZ2GEKHUkNND8BGHGThZ/6Ln8HonwhaAQ
lxDFvaNET4vNrr/Q3h7p3bUj9jOHvrAhx6KmOLe1eVI4frqEmcNAOMm7OsfRWZLTvQA5MsPlrGj9
PQZzxM0TqMQxyWEcqLFyHaow6FCz6Z26TyPCu5f4ONYwnzEzRUfujM0jVvxQcLwRsc0v256Tsr2E
Fmm0RJjLNg8YeWgiYlgYiCV2NkgCd4YC/WdH2xrqblqTD3Wd4PSnFLNkVcznOW0Pphm/0Phzak3M
tZ2gf4InJCatboCvlPC1ZMup4EYthl3bc1kmN21ugrAlWRlDvDEHCzTv3PJ8CfIJsXOFYg6sMfa4
356MMgz0vj8ZuNum8iNaYkD7gsGmIBgM9YUTeyO0SAlfY6bzhS8/9Xr2UGyVIB1rUzkGt4G8VeLJ
7xZctGUGyBkdrPLSkiwUm+G2rJVDsnRskzryUF3ALfRJutcz61siQkwI5stq7B+6MgRLI930BjyF
hvR31eDgmIk0cg09UQI150/gYIgUagINu3n8qftm9CS9ZmLWyr8hG9dGtAFgXkcHYds1mh7kzlap
J/+0aqwPgInKwSkN6S5ns/LcWetFZ0ACWAmzgAZoVqFEVa2zJkmLL42wnVIyf5UaOhoW91r76eTV
oyobr3mWXxO5RULsREysEkSjGFgCK7yWuURafV1qkjcM7Qf1xJdhdkZgQYYOp/5xqhntKxG8pIvL
ZGlKFIHGOfa0GYJLIj01kOLMOvSQRjTm6G45gtGaC8IYVWIw79PRht0Kv42p+elsc6elBBoyQbXx
cJhbx9xEnf2WptkFSM+Ne+zIVvIR5UoQQ5R3pvSwQ9De0FIyvxfpjVogaCAslFaXn4QWWOFr39d+
WP5qDRx/58kY6TVCtEep9ST68WzuygnJgNEwXszpWVgLToX4c/34zhMm9WqNupy8hjTCKUViUzp+
kf4bJ9UrpnbnzA+1bp6UbHjumq/YemQKkXAtGgjMjJaZ3Kku3NAiS772wWgOM+F6kvmnqDsZdSy5
xbrxWdBtOVbDQ0XeqxiPTpkZbv14+ksWDmCcvH0dqOnIszrFDQl7zIfLQogMM+pTlrS7uhZ+QTwp
89/8h/odSOZL2Mm9UM66fihkNJ5MchUizkXrj8sIYZynPpUVxJHcHQeLcOJH+Fhm28KR9za0aJTb
l6p9Dkd/bt6lWMfwgYg7P+Zqj1GE3j7ZTeZDhj4h5CzakujsSpaGcvDXKejhe8g8DFm0l9KVW2xu
oxJfoY7O6hSetL57m6YjUe8YC/JA/z9us3El4xomHI/8Wob+HluNP3VtYMmA8aV46AwGQ+LAPnDf
gm/QrXvGSIW19bme0i+V4yPH5zNlMP+MZtjxn+kBZWtFVNsYmxnT2DLdTWYspM449WArIfSCznxH
nOpN49qj+mlF21l9icwvuzkaaupmrbSRQYvC/HUpFziPvbIwebENh2Hlxb31KuVtkJp4nkE1BwsE
hLT4uOdoG028qK2GgPEeCSKTO3U3ldAtYfgY8PxbnNdFLh0NB2Qa80sdRVtZlKeF1NMEc0w7op7i
BJsX6VqwQCj4tsejxLQcq/dceg/1t3F1Bj0niwoaDBKSuHmBadri58DKvx7YylQzA/N2NV+zKN9b
hBEUNkIUf2RV/AGYfYw6qP1aLgNbymYeA/M+GcLvMVYRS/TVZ9Pf5PQ4xLQ9S5TPN3kKUV1vi7kF
NqvDt3k0vzPu+s2g9X+C7c3KKbOxSi3z65Ucpzb0LVZ5Wy/9oJL2MVMYClWtdPKZGGNWke46o6No
W+ngLFB4Em7ZkWnQllHiY73DTrxZxaZlcVqy4txX+l0ClJicNZam2IqxOfdlRR1Jd0pDyiwY7Wfp
Q3LQD2dQeU9C/pdzOo/jvwwHe7G86qD8g3U2MuO5N6j4VSVefoDQTawnrFTZuaMtQOliMKUfFXWR
EEx0ZpzDPbfFQwN7LG385OO0lzEN8fQRnwrfw/AyMvgP4DwpcOZcTQeLFcWJVC5YpEHVmoS7MZMn
y5iuZd/eS02DvwTbtUnsN4lcGPrUaxTj1FbA6AxJM3ADH1u9HQ6Ikw7R6KCuKrdNj0yBZzQR6ZHG
0XfSlN4j+GwamrFV12RMWEciPwKBLcCKiXxJoyBkuG0qnnTkXVUa89TsBCtOVchBVFBGB8BQqQCA
dSaITIrAdaUHvub3yQTUVBd4L6S0I7kWy3tlpW+V0zyHLb9SYw6vjcUtAssQw8bZDzS1lzpZVxT6
H7ah0aRBx666rpoXQ3WwqDvZz7QU70OoMpwtj8nJ3G4xhTd0WeXO2aCdFR2nkyjam9nbr4ukXYTV
RLuBbCK/y8QH9oZVkbO1y/JfVHbAzwuYo8SYm4fI0WIB20BY0VUhzitQGtAlbaq/s8HpN2PLEq8s
2U12prdC6LfJXMMLWi2Q2jYYisxf+z4u9VQ8hT1G2FhzXgdFdp6s0nzRs+InS4FFikx0sMpQ/Rrp
a64iXiqQb044Oqh8Af4+fKek8/Yd5rE+t3ZoJ3Ecx4dQx7OHPj+16DeBpneWFzSuJ4pjkXmsdZ18
4udjxS+DrLtox5tOfHAEiQbiKpOwrMBvdP0OOzipKwuHm5SDNlSuM1QfXV9eovxLALD2c3qYqBTg
WCzSdAa/D4PExhELa9JIZkt2bLxLpgLRkxG0OqChnRUYIoj1UDp3RvvNsrdxIOccNdrXdeY3ahIo
tXPsWvlWgpXVsXgPHVJVna9sJKAs7LG/Vvu2hHIHm9LUiW/B2MKf24lAKhH+Le38k8jBvBTnEq/J
yJamNZwX11rleSTfEaJQA+7FXKH8ZLlyTgmB37RDshu7XyTLTc6hXGSesNotPX+wKOh9JXFVCjIA
YvphbN05Ld0jJ0KjQSvcNilR+OFr1iW7JNaJxiTgg89JX66xGTYbjXyMcfyWyA7IpsF8Fbs5wQSU
hgAVRMdRvirw6qIGeB/WIGWAQB5TeCQUiRNXSBG3/sCRXEQx9AbOTeCgolJh5ZNNKWd8tiHuSavq
tEdBuHWk/Kvk3INYD/TipzGGoAr7z5YQ/QE6vD/nMEPTStWErwQVs84rfgEXpPLnHlTU0J7rNKJM
BM1iO+Gpjq+ZNWwpDYQIQK5VIgakebWrkH0mTB1xz6j1U6DuQD3v9XGLCoY3vJbPQP3NGO5G3EEV
5lFVI+4+xfFOg0VOPK+kbRO0QCmfM0UxngSUlCIhCeelr2l+Kgv5AIRwowb12pIeZGDiyuoZFaCx
56rPajNavbFQq2u6OoRVIa6Qnwgo+cni/mrIZxVOZwmdfw4I6tqcpPG8pqTw9H36lOJuzqp3wd07
qUd9KK6RDPutqcc5mbDnqjDigMVG78/Fg1Y7qSN+ZOppyoHGRbpkD9YhVm3PnsOdAewHa0AL/HEC
O0oBDKbZcmdbZ8QBgsvJ0QO7cBjymYlP42Afrf5Pmf7FbDCV4Dottwuy+6Ii+SCOuLZhKcrR7aX0
JGswzXSyR61ywDL0piaMebqF6ZitJM/oGHJubQI3ElnYlRuIHXshC90CO5zaZi+m3y7+DAkyq/Tx
3vHxk/vuHmnKtuHrTfVSUWsS5jwS3fgWr98Op1+K1cQqCJ5f2Doi5To5VNmVaEKH2s2orLSd3h8d
WAkj87tQ2SmEj9moSiKKPjQMzJZEz5ADDilluxDPggls7yjCHwdwS7hQSVW2M3oIPRT31nbIdEgQ
Ir1Z0VeMeFIaaGKGUpXdJYOcRmTV8mKq6wKGZS3LyWrio2qT0NcJ3ikCMgxb9S1Q85aXJWfYl7QF
c0K4hR3m5WU6j28d5VdaB/4Qz25PJETXbENSqlT534RYQZEUX7Fquid61FHY9JBmLELlCICNhBdZ
kpsF8dG0F0eK+FHnIF/EQWDWMaFkSrOFxDhhe/yO2u5E5Q3uGM1PjHzf2PE7Tr7IVVEML7bD4pJA
9wnge4M1wtfC15yh1pDrXU+UVkT/VtgproaiJwbfmMhwWDIJqAxzT2T/Sbr8r5eKi2moD4I9L7JI
bmROvUgYFjWgK8qLXNJgX6SkJMd18Po2dOdZ38vST43bFj8PGwhcZKtPJwP5COlVJE8lnqgHVOTp
vG1isIgIcDhNjeeFVBbc7qTKdMwsGBdI/umEH+nTzQTMjyHoizHbC3lVpJvnfF7T05zmkWi8Ngae
XzjKMDPJlOoP2SyfjdUh+7JKKjU0hfZbMUwYFD/7EiWXZBE/vwvxgYv6b7DvrXjA86Kio9WJd7Yn
UidRTqCH0aqQAHGtEy+sdkJ9WrW25DVH6YBn+MOpKpcybNZ2gPWr7DhA9zHonMJcxX3MOpErOibQ
V/6vfvym3Du2E9cB2RuVD8WW0AixZSKXi4ctDgckkifJWUvnPom58BoVBXKVbdMiOQvSBKb0tRob
ZAqM07ZNAN9/nJ3XctxI1nWfCBFIJOwtyzuaoucNQjSC9zbx9N+C+o8Ykeqgov+5mYlWj1AFFDJP
nrP32jSD0Cab/ETBj6f3oXvjdCyGSA8R3lRorDx6wuPIzA3Bjp0PW4TEJX3QyGULOeiAE1heqCV0
4rBsUgls+zFNfzSAh3mCKKiC9uzzElbQNKhM1Fs4rFWHiDPQ7zHXnqfqLUexblUEA2gYdpONUjFj
95RvN2003hJ3nWTnyOXdLKFou+GqrKNrI/tBO0WmOz2gqC7Sg8YBTdkgx12FOm9v4GnVP6Lsp8/N
kTMbIuH3SZNpkoyWnewwAAPnGLoyxZ3l+xd9eG7tbeh/5P0zTpeJg70wL1lo8ukhZmjUrPvsWTj0
LrKLtr2z64eqWvnR2RrO2DT65hxPF62Gy7e+x4/lgbWO0Uiw0/WcSbOfVbFh4h25WydHvUMnira1
KkmceyD7l9WW+mPW5f+YGlaAbecc6TKVebwCkTWjk8R00g1zPdb3wPQCOOvos3ufwwQNcRYdnZ0M
R0GJdK9urlzTWuikYpkWDv3gzk5vSVsz/MtoloS8Whjms3tS2i56O1g63b10lpLno+gSYateZBwd
EnMDNfsioBSR+qpCUOrZdxluUhOxK/Oo5ahd44/ZJlRGQsWbmr9Ntegunlkut1nyFNRMEwEmlP0j
FZ0dY2igku8u7XIhGZo03TkZX0z15qtdL5F7b1V074WokNt1hhA5U+fZmRVqu9g/pZj+h1PCGjhu
swlr+4Uf7KBQTR5H3nMSHeTwA5iGVGfpPRa8kOXRZfHNtHMKfVO/cunAedB3o52OhCNgAAoHK10O
Ew0FeO1N+RJ13tFGGhijjZM0OVxto6PhhgHAIAkIHib+eG3bN1WBipWtbGJI38xiLI2gsi3priDA
dpW1GeHPpMzZFfVvcakrAEkgb2yUgw+tJxAuYr0joystz07wgSWqRgyd8IYjX2PZ0jk4Y3zlV7TX
5iUc5WR7K/qzjwcW/xGgNTrvgH52zHeA6ZAYmzz63Qp9jTO9mcOpMg8TQjCjpOciF3mw9mOypjra
PnR2yOyYdfTgnxQCVwfqrb7tOGG7g7lTamsZD5Y4qvI2TS9NfINxxolgrbIPxPle9JAN12V9Gbgu
UJG9VFS7VPkwG6dz576McjM5FCnGLqv2uSzW2rgvEMd5T46aOakw1fqzpEvSvXf9T9Rha0mj2EV9
l+Es5VGhpZyFESRQG/GtbKylrJr7vjZXdugcR5otcpD7WV7C76HIpqfatq5ykBhMqR9raS0gPrzA
ecX8kByUO1Ne2usxAm7k8/qcoQYiS10aBt534GYI/xkOYxFbaJrGW3+sZLBUEcv4kwpxyXSUgDcT
DcIAIV3d3qT04CaTKT6vXZEcpnyuU26kN2A1vR6TO43KOZozxDjjh1nMK3ohSRSh79eHAGLFKhgG
aGZHjQlSPj215WsvMB3FtwV+x6R+DvsfjbaLmJ1ZFYNCa8bSXE39k0ZoQiPAT5Qng1oM8ir653Gl
E9bUFMe+eM8RA3mTvazDRy+tON0/9tOFMsrLIuf3aOHRdq8xCTlMrfUE7sMxZ3MOp+2YDouU56Xs
B5IhxhCzdLaLx7tWPtmddkMy4kWGEqIzX/KJ3Z3XLTFIVaQs1RI4U3uJHtX8sIdn6ZtLemQwrhJk
3Me8/REE3Fy8XVHfnAwbVJp26kbmP1tJ6EgZgZi9jgKB0ouesHsVInZNPJON7ikw2E4ig2MAJywN
b5pOE8JqbyuzXJkMhA33qmiRUUTqIOfOcsqG/ta30yKnQRCWGysaF43/7LovdbyJklsJC5q8PCxw
5wpVcM6ToGm2DBKULzQ7tAPmbc6aHNFQNznevVTklMl9xywymw/hlDWm316YFTEWRvfEJHPZBBg3
uJdF4S2UeSMRxmTYjIxC7Y0EKSMGBif9qLNyF1b+MR2bfWJcatpPnYQ+ho82pxNRrGluOH7AP/Hw
NO1zVKrDzGtmyq8rsuANVnuFpf+x8tZ+Gaxq53ok5Cxs1+64SyXKp3jNaBC1/33gPRHhtcxK1nC+
KXj0hTH2dNq8dTjj8nK0tEb7HEtnISJWw2FY2Bjx25KiBRZDw0paI5pObRL+oqvS7Q491Tswq80U
U7uY3UGVBfM0yB3UWCM5s6K8BX11CNqNdHnqNTJzD584bi08e16qIHfJHaiowwjgTwvbFRMW1tpZ
8o2yAk/pqm2T6wlRrYp+EOkGJowekLsIsUF52k2AFdMyqtNIC6nsbkrwffQXpWaRxmqv4GfmZJ7G
aN3KyFsluL00pr4VKuVhOjArWHYucTyUPRn9zYkl28QlIBiV2LPNxltb1k+KPshSFX7O9NYPwbFD
0onjPXEGW2GEx7BL11Joe1faKyKzluYMoqrEEuP1FmMsU70JfjfqMUJSVGesm1o7gY5aVUgQws5f
+oS51Gg6zfBKiAi9L6KnTj/q7VNOs0CP7yOx01KGt2QBu/RTGut1wKZnNtVKS06Fww2TeKahXTEZ
FwSRFlg8B/6mwYk3RVUcOiLLB2W8V9VwBZYbzSGlcjTeZMqFKIN9za94PKm2cmS5aGAfBsNVyk/L
DLQdldE+gnXCcrX1hUvO5BEq71YFO4y3zAUEpMd2YWrqxgBz2xL5WPPgqoxTmh4kxcq3nY3tU895
r0YyfkwxrSzUO2nBjC+SDsinCS1RlPvaWSQjYxVpG8iAfZ9SLiij3ZAzegikpx20LsLYXioamklQ
P6ec/A514fqXvSNzcpuKmFwc03+AC9e/6kXlQE/VnZAxAG9xqceCxBLNvCLAIqXiMnkwpEBjaPYK
5impohugQiI4zbxc16l6F6ycd3kPIoAw9xPUo3fXmSC3uuauT/ila30DAymcZ/txTLyi0LQsWUSa
R5BEF6GhI2uKsa+G14vCmqIiq5WFLBdlTzuhTo+jekDITBSQm+vZpu1mBFcex6wSQ12cHCEjhm2h
v+jkmCL696O9aquWShnMj62zi3q4HdYyi4D1xTM/2sibel0aRkDmIXNMP6o0f3are8vQCcyNiV/x
WevMHLHKaNGDGePqHGlE5VbpZUmS5D6ESYKdtSqvoZ4fhB5uvRDdUWBj3kh+OjHL2rpxW3tRZkb/
6mYtAFiN6JhLtyx7BgF52mxlxHQLKTZubDLjAiA5HBgAi06JT7fFtxD1y2DLLCEDPdU26jx6atxg
g8zOVdN1hwKL7ZWWiXnSVrLlx02lX1I7YbIAMkIuCQkbFv2YfV2l0UnYCmADHuMcwjL3Ko/dYAkb
qbytcskzsogJSnLfuuEbw/1LYEthIfPmMWtvDtf+OM6bYYHiEseHlV6ovmB4GXeT/UZT1ekvHNek
jdxDozbpEiQdU6yeeSAb/BjtY02HMFsERXAXW/Rf+Vkwa/wHnFZKTpuVWz7icAmXZWB324IT2qaO
PP0yMB0EosrMzqHWukwzmtJj6e+tkww1DXJkT8eV7CW2ws5vAbO2XtOCunGDsEdUGzqPJb1FkvTc
LN7xGII73S+psZoww49YeLD+PL1x2rXSPa1fBV5GW7RwTPtohgY+pz5PNrU0veuEpu/++1QH63Oa
hGfZtiSFztANncEuh4vPgRZFMFR4oXLSJFpBr7LIgCDW0lgVBYDc7y8l5niI35IruBZdd1snwsbj
ObBVfb6W06rB7ZAUYF3Mh7XZN82qs4V7COmAbDtlNZvY6n/2sS52WUnEMygCYo29ZKQX0gzTX5J8
jC9BGvPHcRzdMCzDJSGELejzxzEnTOihmQqEuBXbYN9ae2PuWmUxva6STDZg0mxZQ3geBV2uznZ+
Yn1+xjFXXMT2cOel6YGZGOpof7BZW5Bhah6dZk82L1GUvPnNCMcpo2bBR+jfhC4D15AQQ3GhG2h2
tEz/iEXanf9yl/V//V4GX0i3ddu2vS+32SRJa4g04QDSLCCFeUwdsnfVGIcJzMgS4BBncu09NvSD
k1sXwsMzQ4lHe/jCV/D6jJcAwBGR8XSDmc+jdTdHxDD9WcMA5BfhOurv2u6xkP56gMkc9dhRgVfY
7VvsHWwPnQjAAHQ6BZmr45EYLtq169JxVnV1cM0THD9EIC+1ytYwWQ5azbzGRDGGUstmUF4++OO2
MOhklYTichqwaKH3ncdMEE7IuGcMcx8wDMsj1zxEvlVsHJWUK93NPtRAz3xuV49ud9db4VtQVPN4
flkUz2Ed4NJhIbA5ZeaUeHgiYre7SmjkCJwo9ZCy2WOmdxiZkRZ3kiWWDoC9xwnKvBN2mxg/aAqu
P01mfsC4dJvhWM0ngiS23wm0oX9CO2ocHjtsiUM8YmEOc1LXipM9IlwOXQRUCPei1rip9PSDEmY7
xtrmLw//X14xVxim6zj8otkPvzx7lVZ6ONZEVCAXqtd9ZHQUHWra0iWzjwr88zJwRhPaR9M9RqlK
1yxU5X4ovPCHEUdO9rd3bF4+vrzyLh/HcgzbsnXDFp/fsTzIjLrLyMOOsRfjcxoZkJFWUx+JSx7u
RIQpr0ht75TkTnzqjPk8kIBlZVnQlrlrDAszc5C54QZfN4nArqps4lQUqttW+fGVqXR8AkabKI48
ykJ/pErksFaPi7hkgf7/WME+fZ359v+WZyYLI62TaM4LGBIXulg+wB1k18TQt4rc6oaNFJjAcE4c
oCjSZZM3TVT3ObOt7x80a/S/3VmbSB7WL8tgL/r8UZieuZ0L6JQXhW4Y+eqk+wpSE+AnsXDlp5Zj
XIT20400wKPlU9E0b6TD3voyvq+TXFuFmn9VUHdfFBY9wYGzeVn6N8DOZuWbzmFMokPW7I3IzbsQ
AH6qu+mqazJOzcVmStEPyp5mbGqcjYGJnD4Bn9bPHtYe3hRV3bGJolGcMQ4nwbyxqpcTvmms7LyE
AjN2u4B4fJG5hxJmJYzRhWNW0GD2oZQb32IQiK2hFO05rj6kc5Vy7o7jbdmigfDofabXtbNG7R/T
6rDam8l+JMaBFgGTKmU/FfQDnWAHiOTouzXLVbRVFmNzoZ2wloIJBMrLMWNO0ISvvPCYdXs0wPMY
kM6srLVxbatuyc2/JqKOBkiAwY8irLfsfdJNC330CaaBhS7by8hrWGmGkwERS6dRk07RoxaoJ4Ms
Pj8Z1kXDBCULt0nRnqO+3qlgbuH6/ht/EZ9dYIXr0rOJQ2tN+UmcoCdeh9Y6Nml47Prk1muRr+um
eUaVsJpGaL6AzTgSWwSOB2Zwq6nkwZ4OWrxtvURb+Pn0M2y1l8R6F8MuzB49+mBNpo4zWGdqj21H
yqrL94GVKzlM1CixIqPe2np8bSXViyfpipL0qSxOvH5zrP1dMT5w2LG4l/Iey9tlHiccqSI8v0p7
MPxVrD3EmXU5GA5DA/ux9GEvof0OmTi3TxOOkLk9b4HC60ukpdVknS3aDHFqbeu434xmvBUs8I3f
bKMMKMe4zGz4+xoxBN1DDbgCFbEKRqAi6R1x9qhoIIsAktAIVYfSA0OoQczhlzY9D9q3mJ789EeS
uxcRPY7J32vdTVifJuenkd75ItyYHH7tIWMntLc2buGAqUNAYw5B0M6MzMshqp5y2S0qTm22fel4
TPAmQkUupuCnFTWrVudDa/dWNy5rEAlwNmc7HjIQidUfkujEOkeH2GEakCofC2qwK2qc242Gv+xR
6ObGb97j7Il7BlIC9pR4yVFDG/SFaOqdrSq/6ZQ4pcDpw/lEi944wCfe2XcWMmRSI5hRXRTMCME1
bgLvnGEPgc5GU18/xMJajbNpAO6AJ/wjCbsXJgedUdgEoSLYsuzrZm6Maqee/l/nPJPfHnXRGurI
iqjWZvAuAHosRUe+uCEXUwcPKKAYT9Pmo5ieM+aHXXBXq1PDWoOU4aKmcJ9bNINlPbNW00a8tCzG
Qjk1FOMN36T5iW7StYPb2RM7wCxLvenSTtyFZMgyOD8y6uYwJcY2pRUNDG4c3yeRPAYcaKLAYvGA
OZsllxLquBsOK1/xQxrliqCZLabfs69zEkAUs1JoEXAHWZsKnbXtZ0+apS59Bi4xXPq+owmqouWo
kKpX9J6o/HAmQfXXjPLDjJutGUPXjnpwcwrkfeohRWnctWF2l3Fof+RTf5wPJbE6EZy5tdoQo0B5
Hwv0+Bk9/AFB7sjEpsGHpJIPmNK4fAOE0VBdhyHgV1taL0MZY52zyRzh2cYCCEvHlMDpbn2E3ahW
xzsVgbGiaWCZzkMPWklQOrhTdgAqGy7zAQ9WYjNUTivvL1ubof+5Vbs6IWqeYaDeN6kfP28otH5i
E6ahAz4Azbg9wUlLdnpo3dqOexDKgSRlbYlsemvTEN+xerCDGy8FzgZw7sLSxCXl3NIMZhxGvy3d
4F0aFr1UBpt54VwPXQswyj2XEbdcMVA2TbV1SfS7kLVDe7x6bUDKJU1xGrH3Bh1ALdMB+mSumjI6
ekG5yrV5OJax8JEZGuLKD7pNiBIWkhjZstNVBJ2ox4AoNQQMgtkIK/ldiI+yHvjveqBZhdMq4GWu
m3NbqPuhf2o7+lqZb7/mUM6HutpNdrRlXm7To8P3N43RW4jhjzsBNCXkoJJu4UI9yCim4MVplV4z
atoY0zxAda7zsr3KWiLSP+Bm7hM33pGIQ+k17LqGN9akzBUqWTs2Lvc4tWm4mhAzLntjvGUM99g0
NDUnbxMrhWQJAFYLusux45XeJO/EYoWLvu/qBW/PhgryMoucLWjkJShZMCe8oRjOfBo6Tf3hAypM
OZIbnI57vEqQRGNGYgYSZ0cHldcgUmdsTY5bm6+T6iGsnFcfuKskoMlGGklIAndlWwrtxRTxFvH+
XVhNOChwMjMbh4x4rOdcslfHDJ7nNVwPToV2SsF1+y2BHYkNezBd2Xj60Hiv7SS5BVPgxuuOxJLM
BpfHnYCNMIRvurshY2iLLv9IeNsFAYoLrXic4uSN1XvH0KDQqgOFvc90x2/0rZFHNxqtl9LpVzhM
wavzmn4oTMmDSXuSpmLt3AsxbifC2khjw5BkMyl4ypgiy5yTSXkftIRmoWdNiECz6dbx6nkshJ2j
diNbM6I/prJG+URyxQHC2MZr02WS0XbTnr4v4v584xyiQgyBKEc6Lqfvz2/cpBUT4nySHGu846ti
wnzbBV12+/1VCNP8WoJ7BscBw3Wl5N3+UihmuT85Rc+RwG8Z5fuDB8mFFh/HTw6mwGK3//1ynmnQ
q3MoTv84fcZt33RWQ0NB0+LsZqjSDh8UsK6alMNF0RXdXyrhPxsYjvf79b7k4iZOZuexxvUSiXSY
ohj0W2gY9BPKv5X//3Ynf7/UlztZpEOHH42jLYd6eYpV2xKDQtxJ7xbZScSMN7+/lb9Oa19OT799
N8hbn38gtsZErBeOsyzNpr6O8xxtqzStFqxbb+CYH4Czg6GXPxNNb8a9mwaQYDw7JXLx+0/izlf6
3yexMZYIjEauaRjCJGbPmJ/CbwcfMiW1wXYTMksmhuR2tNJKRGbAKQJUKY69twx/C4p2x5zkimz4
64LjPNOPa9W8RmHF1KO9Gqtm3XFyFyVgChZP6fjLGj9c64sN8YC4Gi4xAa+TfO+TWW1n2LuiBXEk
wNiYPPr20S1H1NXxcgqnx6Y3117EEN3SDp7WrDShsDi+x9FNoXGojQxui9p55Evo0rtUkA0yCsIJ
QzY2i1Uksf/32kUMaDGUPwkiWvitd2jB1fOIF6El1hzqY2IMjQobs0wiKvsWTcK6jqDnxcTUVUe7
ZgocZfuk7o4OtCN7NHGzicfIAK1hwbXQSzwNzl/eZjaqT4/Com31eZ/+8iukB1Ekk5jTsAYgbCI/
FkXcMEAZNkPPia3AeFk3NLulcRvlxh6fAvozRX7ZFf35XBFyz9D/qSz1ywwdrZ0zIVHwsz0tfGpR
VSOsW+XNANqrAoWqr5xm+mlydI/KH2N623H+CsEepuIHERYIrAghIShKxIgCsjcbRmiFnajwgk0k
73KdLAhEI/1QFgu0GFst7JcBGnkTNgMWl31UpztOiwttas52Ya8qPhtRhgddoMg2i7dQnxM4Q/WQ
lP4PCQ8wzNMeWQjtcqsOr2QxvSNYYSaoI56JzdbinuC1LyaXHABdMRxXHDPcAyadBJbFzwxbi5pi
dtho05p4ix1nA2t7L7JipzM6HyqxMdObGJw15NYVTZzVxERq7DMGo/D5wONBfu0gJ1oCLD4JXDSC
8h43To9aIO/XFo3gBuimXxVXtGcWWZEc6zRbRqW2Kgvj7AdMOOP02LMWglfB809SWgH0z4A2YdRJ
CICfY2nRLDQqGxIOt3XiUBR0K92aZ7nYzLGEPwxSXNu+/xLUb/l4L4OPOYOuVsENr8qV1cKV4l/g
iz3TIIBpk2Zg4rvnDmVd2sFDtAN00JZ2/n6NmH93/1sifv0uDalLeuiOyyL0q778bYkIKzdAAOeC
PY278gq8N4p6a/aXBaZOzKmR3ohKEuARjw2CqbL8SyN7Lk+/Xt7TkTIBChQwT780snUx47kzkpnJ
9J1QZXL0z9DqEAsxG1yzV4re5C9bz68N+n/X/LUqGo4+d9scU0oCGvhMv31lU9DUSib2HnP0n3KH
oU4TN++q63aBN668tF47sltJ0IVNm62zJoSND2IMPyaJcSfqaWijaFDoz7VjeUtG1cOIrfz7x/Jl
E/n1IU1XurZwTBrv9q9Q598+pOzoAqogY/+vZEO1a8qR/E9l7HVHr95tGXgba8QjZNWuhZmfSqRJ
y+T++0/x+en88SG+ljoqpNMnJPUj7YViwwVmNbH7Dm13AHvk47Qzlt9f8XN/7J8resKxCctmz9bd
L3VBpvm03griatMIVFTlWv0LExWOvGTyXkzMBfflRCJHP1nDX8q6L3OOX5em/KH2IXScm/hHEzaJ
CmvK+LKaLqIP01Jin1l5TCPC7N8g77iIZrLq0A10g+rBSA+OwSik6sv6bpKBffr+RnzeL359Gken
zhQ25Z+n/xqD/Pb8U4eBpGxjJIBdhiem5HS84w1G4Vnn7hj+5bb/eTVpuZbNeMe0mC0585//drW+
qH1Vxc2cTp70RwkJbl3qMHMHwlX/UpSIP67Fc7UMCbGW3BdH6F9OrF1bjUOSci18c/0VKYUGzLMx
vKok0Xd6NVWbPqYxOwjBBLng1x24knQeqx3Rq3sCzUAb2VfJrCnCfGguvr/vBMv/viJx4+dqCRK2
4wjPcfifn29FSpwIzELLoK8yGOQgIXjjCyXroax8gs5qhoo+GnnMt7Gx8YMuhhelMehcWU1WPOnM
joNT7eB9IcHzbFhYzcYaSQjM1+8/6J+fk2XbMU1+Gpbuiq89ejeKwEx0/Fwn5ULcMcBuCcBc+17z
qo3deiYy8ZKjmsRK+fj9pcXnI9B8j7g2SzYmIGaCiIw/36Mxdd2+T1i1Szftt5oTvXpwkRcyIxJo
KHxIgCW8G+xNl5k50HCyaM1UgQYZBaUSHC7IEmlK7uH3H+vPhX3+WJ5AnO0YOv/5MrYYLWlFTh+z
XAUcArumMdd06ybCGWsJ9QuaF1zEcSGLVp47w5D0RmS05uz7EYY6IYNTaq8dS0P6GyUZDcXA2E+T
0W2SISWlgLPscNtk7fRf33RTeiAmdM82JC+792XJ86csmFyUE7R5XQJ/0Y/scn223mJL/8vW9+dz
4+ciec8dxzZMaXy5QWVYjx0qEAz22P/PMHPtfZv50fP3z+FzScGvw2KEKfgiOmu4kGI+kP22mLSa
2Q+uxxdKOjVc04iVCHYxOwSetzP7WntN8qp/7RoGAm096Q/fX/2PPYtFXLfZ3M1f83HP+Hz1wUii
bsSXu6ylI3bG0PRL3QKZWUV1se8ELSqEoH+rKf54GeevLIVgNeMRCuvL+pn1/VSxLzvLwk60Ld/d
vW6CtNnrRR4fo3qCBxSIYluUmvxPBdT/u9m/XfnLzVbDHDETjvT/7MH+mGrRHguzqGgIKRQUhPxg
fE/d8C/lifkvd5kvzNtvsIJ7rvvlOCMn1x2c1EN+XCMGR67YNoi7qCVt9Ildne+itHePQelCIJjA
ZkzMCY6lmbrXzPfJ7GaO8VJoVvbYM0082FUkfpTO2KOcjWueHKAy3W2yVVxO2XMhGsJxMOdh1OgY
7vS4zYyBMlWfw3w43coK3j0BLaOYVenhNld1s28VnRKrg/mCF8O4S3WcPh1n08xMYD/bUHlcm8np
gI33Wjc8ons0y4+3JCmiVkujcevggVjPo8MPBjc4rLG4QQr4/sc6P51PpeiXH+uXF1KD+h+4NaVo
YKGE1MggyxRs1qTmPKRrmOr/0+VIjNFNg02DtZGIVdv9crkuQS5hdiUeI93CMhDRHb1omxSfsSYZ
TpW9jNffX/FrVfXHJb+8jkXnEI4wxN5ShP70ms2d3TB0XmHuNrexmbgXRGHkC6NpzU08wpVLBNNu
dKA8Ga2v77//NF9+tf98GIuDuOVJz3G9L9+/Guo6tFTuAhssA3TU1FfrOI7rxwra+8kowvpcNq3z
l+Lq3++BY82eTZZEx/jysvTlxNDBc+nFC4tzfRWjWI1rhSNcRhFn6gTTiFYhiIYOa+6VrRP20IZB
+ATKKsDk1BbiL1XOv90INvD53UVwIOT8578t0eZYmaqPkGeSGjmcclgv99aQDgfJ3HnBqzyeMYWZ
5+/v/pdF8tfdNykxqTE58YmvtwESWePXJey33AjJN6jiF6QDwyPU2XIZSddfpU5HYAWLyOH7C3/Z
9v65MLUmfXtOUuxNn7+tlhDW29BJWuZm2RzsWkeH4OfEanx/Gc6en1/nfy5ETebSsBW82l+28oI0
z67qdH/ZacCamBPruBK7OVpZ63aqiLY54UUJscDiqkRKrFq89WhhyfTRXLAI1VscpoReQzPOUfm2
pwQBk0R7IbRXRCCwXXZufaVjEEugApeht+qK+a1lLm+/DykOnsvYTxYuvRmBikFSZnlQDemr/uB3
9yAV82ak9cyLEO39tOi4q2Ntnob4gxieldsAp/AHXK9YcbRzZR0ma0TFMbSLDATZGCJppGWVK5Iq
8kNFmnYYrl1FxvajRFtVg6fUYIBH8lrCtAQv6SDKLGin1D29qeTsGz2iwo6zJP8Yk8OihftqYBRs
AEp4NCdzzAi5u3I52YK8wv4iMJMH6kjx3frHUtMODoCLrEmO5kQCzIRGseewEH0k7Z2JwK+a5VEM
cNa82mlyo2unMXyMCGefLHS9sxza4A985t/lVUrsUFcfKNQhMZhAcLyN4+GiFW+j9jSHemihxDGp
3SH6XJrtm0M0JCbGVQrAvsMiMCPFI6PfhClguJRmMmN1PFIoBd6nxjgTOnmtPCTvNeDrYet39qKV
AfKJ8JDhW0P+uyQn6pcpNG/uHfFSte9lb697m9+LcZvj6CNaAq74fYN2dCosmmxPkh+PGNEbgre0
QA+6xo3tRqusueW8tgiby8K7d711Wl3H4j30JlggJxdIWrjvDDK9gIUQJQCfYDg16rJxfmo0zKQO
8m4b6U+dXq0c70XlPzNDYWEzlwFTGc0VJCXZQJnCVaZiKIDcxeLBq7CB5AEs1R9SmpseMi+xB8ve
wubBUJlg01WFpxDTiIf3hrf90paYa83kRjUQdRBMA/uLNz2i2eIGQsnCrV4skocA1izRg51m6mj9
Us+SbXcz9ivNJvfmVq/IlsOJAFMeCtWlct6AAQ6cc4hx9LWtbgpkEOFJ1OW6YRjEIHbJQQFjHIS6
blOn984EqK1vL5yowm2MppXS9ISYdd9NpBapn/kIYarMrzrzSdW32iQXw2ithB6fbLPfN86zFQDs
zLd9MDOZUMbg2wd+VJSPHfKbFo+qXYpFMOuzUJzQue4BZuCdN8p20TjpqYuMDa7nNbvwrDH/y/Lz
L2u6JTkLCo456Gi/niOioO+dJoIq3M5sMlE3+bWuV/ZDz9gdcr9ngt6mAFCr71c9U/zbhc1fW6ow
DPqjX4rfeDRC04R/A4+mWFBTLGoBp/CmUsiVBXl6OZaRgTVlfEo7D1PJNXCeixHIJMEjC7vW1jHh
IUiOsrBd5A0GtDaJb/RC3JilbFagkw5uTc+nc39BZvyFbGnNGu8d+MmIMPfOvLQNjPzxnRG9xpgf
fEaDo7NH7LQcxhuray7iRgfPgiVizjx5qFSO3KMkOAchk06ymmNemCgLdcx/eCtly/8/Yo0Iav3G
MJttrPiX07LctGjerbkZLkOiAu/7algn0L8DY2XjGGE/wad+odekW7wO4UcjSEaUj+Z4PdR3gfYc
IGRMWRzdTRfcFmDXcufKa54TeaLLtixA1YMg8F0sNwxjHXy7BGTstPmFmzkR3rgbm58EWG6bEHxx
NR0dq7rLXD62qt/qLD5lOfY8MovNoQYmhhVZOs0zUkcygH4AutvphXUYm/CYUI4Rn6AfipAfrXOb
ELCFpvCsJ9lFj5KnGQm0CcQqGg2wW6CDW0wPSfGczEw0r9v7RYubolsK4pdNEseNwt1MTcu42tob
rXtfd+I579Ndix/Ikc2iZw9UPTJw+1zaDTHJMcKQR6d0FxHh3FPxotTMvHm0jXff9XmFdh45sXGO
6HvYaMUPq3lIq+bQjQBqLYLMwBIqUrbthKE5zlvVRNe1jkiqrxYhdMcqMsjpOWftuBtMUHXtuhfY
9qZ9TUi43JJwdxHmbGuFOjCxWojgSSEBJop2kwqS8cScI92uIwwxaXJnIS4NS2zTkDbcvj4wT0Op
MBCV1m1wPI+6Asq2xQDl8i8M5hzjFi8j50onbKx1fkVWuR5S49Ymt3ZX2B8DqqKJfaZ9dNSr4OHq
9X1MJrca9ghbV56A9LsJMcu6Akda9lb2pNnj0pjIQiDtfVWpdw/lYgEM3Jl+OJV9rQkcyJillHXF
59asQwYTH9MXNGjNfFTJ0VNvJFcnalPqvGNQ8H0TdjQ2W482+60s0wsZ3kAVX6QxciiIpEMGhAFc
7v+Rdh7LjWPZFv0iRODCY0oPelKUoSYIWXjv8fW9UJOXpazIHLxBRw+quygS5h6z99oZVFkTLCSZ
llONUfnfg8vj0XHFb6ac7CMYDfMuWBAUQqYsYbmAcdJ1JW6q9hVIx9G6jgRE2BNgjxgdDN84NqVq
BwTR95waU1VULvTg3oT4xaYQCbLTT5QuMsUnPk+N7NP8O9e+B12cgk5Fr22caq1be9KyZ+w3xM4o
YTuk0Mnljy7krCiid6x9C4GU127Tl4Ds6JEirCRXia5QnaykxSKzK2DT9W2Mw7UZBuh9z22hvgzS
PnJ3pXzLxVpyiSyt97557wcAG+XcMN4Qg8+TKfW7+1DMLfDEYtgVyLvsC5u7IruURkxY+8rk3z4C
coTwMfAaIZtx1pT63AgLKCog6mJrZriQ2V/Mft3E42rQAJmP1zHzFpYVA/a8D1q5qCu40Tj0fQOS
T+2irQB+C/qwGiYXb4X+Ty9IDO9XafUgfQ1mBaBxIRKwbcH7CACux5+MQp+nbrpZ6uAF06fPrJVy
orgM+TGktITpptUId3uyG57hnm7ccLxI9rgPTWj3i7JOZw1+qI5fdDbY5Toh0cb/S3f4Hx2B/uvJ
8WN4IUWjodcJ4iVUhaTIiCn2rHajpUaU35pzY1rVytlCV9ma//nUms6kXxrvqVJHjGWalmHowtLV
HzugoZRAExVT4IKRih0haGSTSWgltTKSnf/fR01Nwy+91hBJ2WB1sb0YRFPMtcxsruG0o5TDuvnL
R/3n7/nLt5oaoV8+SmEGNBCrai9sAPJCqomWG+XDqMZvNS81hgzI5MNwfPvzFzSt//w16XjU6Udl
9PqzwRqskO22T8paqDuNCyK6VfdGv4ikJ3pfjLCzUL0ojRNSNUsaYGtUiJKakzbGIYx/O4b3SEkF
IroQGwYGTkWtOaoYkQpu6WdJeZIVx81xzA5zu3T8oNoowLTTEhfjuywQFwzvNkmYsGpEmqwJIyHH
AfbiFMLlzkrPBpuNE4qzU9qqiePhV1P3PWQTkgX19JiBtsbjX/Hfbeu0CJpSKss6lVce/ybyXWe5
+i7VR62KFzVVulmqeJO6mV6dMGys1ODdBZ+mAteJFGYZuG5ZPC6DRt7Gg1NTVCqwNFMDKqy8mni8
+WTGwrs3MUGLKTtHb+adr634XsDO+jNHShu/ly7cxD5dtCVeiOY84GgghQJy5sUa9mpL3uyI/ZH/
UTyRrkGEhDxIWb4TmEWnLPje35poZDsiqLoK5sCEeXThw858dAOWCr/NXqSugwSD+C9Vv+JZm2vj
AwLsEgtE4t3z3l4WxUNhnirI70H3bQDozGhNVPfVSnK0y4jPfe0x1MxrBpWmM9RNo1rbPj0AVfLV
8QgImnnbe6iQgsMSL83snRyGqITnHn3VrGFZEh8UxNb9RerNTd48WXDaPJ31vLyBhJ401tIU0ClM
py0OVLRzK9eJsUEk7FPYj8BhF56xk3TCcZBV0LJZ42Kw6VemBmiCJHvnFPZp1jz6KYe8ofHiHAhB
wvsPxzFXgotfvEaU4rF5zKSdiDaN/6rhzDczFdLOa0WwiyYLp9LNq59e82EAyZHiI3CdvDrlefnI
FZk0qzHd66Wz6x0NWMkvbhFdXhtnF/4HaWXI5Owvhs5oQKCL+EvSLUEqk68l82Xxv1ERNP11ijbM
nwV4gFGDaVsDD2I+VnMisg6le7KvoQKAazjZOHyqXlpaxmMdPXfqkpyuEABJXmxxFYAy74ulR7XW
ZD05WFKkI3yAW95zjQ1/18go7ivPMcivNzrYOmqxpCv5RlRGMN41NtYaQLe+hLgjxEqTAMjEd8V0
NDpO+mcMFIKVF/z5eNB5knlewhNzVe63WaI+UA/L3rcVrXSqebUlsLm62uN9BO0h2LGDFLfkhSw7
KdEYqv6pap9kczrsg4EmOlB1Z/imZwHkHOFllFnui11VC401TYjWgiROr9EPWQ3wgUhpNjijsati
BCZowbvSQVsZkJkqV6iGC5IOLGJRvLXNuE12eac8t7XP+48nhvlL+lnr1DvephyWnruWofr4IamM
GWOUM6onQBPRLI0QYttTRjKYkPzWFw9J3M575d4k5DFiKRiEeyrBoKagqXXuVh2ICkQ9D7WvHr2N
8lkjB8VVQbM2lBhgiFZV90bV2FYn0VozQQdC1B085Iw6LK1uJuxLWv0MCr5Afi+RyUHkIEHrpnvq
qusUDSsYyqiELCC1AUWz6hpgnoGBoFReK/l7aUWEKQnoBCDQXO6rlkjF5B5FZ8Um/yQyKVHrjY/i
Vi9RNcPyBaRGAJqckJ+g7qlru5ZNnnI30w8oFeTYAQtH77LwCNwtwItPynF8mmW3gj3vKdEUmosd
4Y3RGqOjHRIKyDTBvJUBB/mPKhWgJOZ+AiZz7dXHARN/ZsISk98G8S6oU+3mEAX7NN2K/jKmeMkU
blyxjaV4UybF3dAwyI6a4/f9i1sMq0iYj0FfHmNxm0hmgLiWMN+Bb5C5NeCi1qCZAAlQPHC8SjnX
7O9K4UdqC/Z3qzw66pORT3DjYp9xZWsRkcvF1/Hko2pgPi9vPhBFoIBmvE67nWJA/RiJqVj50n3w
zJmZRTQz8TJsPocQZTEz9C1kO7Ibem9XkAxekyRkrf10TSgvDEiDtCInkRzNO0rjYw6pJNCuBCa5
+CuqYqQbVB2/AeMxyKTe79Eyl1AvBsM/xAqQioBU59xbG9497OMN9WzVzAheZBCIIZjI3ZWueNsi
V5bkf49wegztMacP9VPHwihS0Y6m3WEkJ8OLN2ZHaomYG/mxGRMWJdBXYZkXLWk8qH4VK0Dq+5EQ
VRDYPYAFHLqQLAlal/0dudt0DiYvK0hqDD9ERxOMuqwOTy5jFAlbt+J9tG2NNuwlnFD+GOsM96ZN
2I34w/KVjQbCJSblLxQ0FCNpf9BwIloQ9ng8s1ev2pDRPs+MDzfJ57pyMXWShLpy1SN+GTV7nQ4K
j63GMTT3bOjJGaca4C8RcroSQC2bq4L0z2zrNdcKN6hM357XX0Xx6BNpXPhfimdvrLGEE3AXyTOY
SEn+7vJzZ5zr6AWAT9c0JPAwXqL0hwLjTZwvyMtYB+kG5q179H1H1Prc67Ycca7/SQXXVg9mdUNQ
CnzjEHC9NBktsJ2vTfWDlPBZIhTG3Fs0JMFECWUKFEfPLdoi3yUniDvAKMvHgZ15Wjy37aPK7z2q
NixrHHFYa71vzcIs+Q0MOonffER1I/bORnDQhY8eTWuNQYtTxGTOEuHUHJqO/vXi4zNxq2uWqbc+
RnCfkH821e+kfLBx4/B9E5htKOmXsXsWrTvDEwJd71hxRUDPggUjT26qNfY+IeZKgKEyQBcJV6FV
A4fYxg2MzJkkx045xT3kU7L3soc1idcXf8Ky7glYTSD502aGGoKlLJlF8q6i/mHgoPVi64fDfDRu
Njj4CfisDgx+8dAs9aRnpvacyA2I+nKaf3BDdMss3xpMZCMNizcrMTt9YhcI/BpC2XBtGpkFyr7R
P+yQhDtGKgCvRfQOgq+qWp6p3TjcDDqkqj7KMVr2rN5hbwfUb8EYgWQuAqeIpHe3DXhXd29d1n4q
3T61IHRonyUMj5G4EDwdlncuxSHgQOgHB+oEvV06s/ySDErTeu9wszKMWY6ff66t/2t3pGuILGRF
Y0LH6u7fJT2rIJ5Mi00NqlAYgTKiVyKhw2Wfp/FS0op0qXVFuGvNnt90VGCWVz1pCqoNLz1u67/s
ff/Z3f/sm3TkOyw5UItr5o8Ow+s9ESchoR3ECpjYJ7R2VeILAfrUje9lHEhL9lzIxpuOvrbEAyKs
C7uN5DPJQ0GobEi6i0TCqyYRbNP4pvuXaeTvnQg6QgXhHH+dQDn3oxPxAckEBRdk0QSyDbt7HEHW
JfI8Rkjzl3nrf36UhniRZaqm/7bzH7BOZU0bkhgJv5znEoTbPK0rSpO6lJ//fBv82BPTrvK1DMSA
iNPIGLB//OwtraqNxNtirRIZa5f02VlXi/dQVnUn8NuPP3/af36zXz5t+ue/tJGsDDF39I21aCuG
XK1qV9Tcab52Q1X/2w01XZB/31B8M1tFc2bqCGF+biJNwxtLq8ylRWtAh1o1RcrqrJSSJsJiKPwr
y7rsYg6quzdkySIBhdGQnMTeu20Gyl+GAj91TdPPrLES0A1VR0eEsOnfX9xty9YKcr54mbvWJitC
nnu6RyaGEyirHkVNhikxCIU+yNcohZ3UYrujcqXW5SmMVjYwjk1uatHTn6/IdH3//Sth7eK5Eybi
Evv3X8nDql5IxHhKmVU++JQzvO1rc/nnT1Gm/eRvH4MwwDaZieBQ+LEW7nldW3Y04srA0YOxWNfX
sTZK85h+/oCWHg9QUhg7ufCgZPMAgA2UlXWNQHvdsD+epQRmLFpsAaT2WQzz8ypeilKClVrB+okr
ucYFK2oHOl2279VSeiq0UfxlqPT7s6LxCsDFImxkceDW/n0RW7cpIOOwxR/KLlqHMpW6zgqUeteO
N1moGn/5vOmm+PGjcVFUBUWBiYJL+3HTNGEPYUV1zYViJ16IVjuM7xpemnkb06MR2k59kDJz3YWh
Vp78FqvLny/bf5wRfOP/+wv0H2eEEQRYsxQyGDl20yXkS23u1VHE+Ya5AUAIOSW9bIuTCGXGj4VV
qUuhF2xTSLLHsY2B8C9/0X9dAo56HVWUqeqM2v59CXh55IhpOLQM/hawqCY3yWRSZI+QxoDboOT8
5SL8voPSUJTaGCFVg/3Xz08MXMNH1ovdsetk9pkDQm6IlywQQ4FFvh6l+kuv/iqD+q/vyVkIHQUs
im7+1GCKqPXl2kQHmWQ04XKNAQXrexR7ZKiTG/OXX/Ufz9fPO82ymFai3ECD+XPMBqXZ0kOvshcj
vvvRVWcGPVVBL627aMO1mW8Ujm5071IMHsDSndKlBOzr7eiNJ07uFzE5hoNma9fNqkjphXGf67Rt
XXLxLOtmyelKc0f6ieau9w8CL3AQQrfUV5VCCrrGGoApk0beLtO+RZPjXWZsXcC6Qqq+4leatSYg
cnw/Aumu0UvM2oF5t5upTO2MdZU92KWyMuuH2jRBJRPfqeRLncFNFl9Me2F12amNbzUwHSCv3MwA
u8W1aM4wHLeyu6mmSHFWcb596sH9YuAI6Z3DFusCdO/43KQ7kckoae5tdw7ARvdZjq3aWhh546ju
TtbGRUAoMyyTQ5M5vrET5MvO4iaj8VTmvczQgQgZobCLpP242sSStGq7z1D///mJ/f11DiAH+bMl
0HvaLKb//Xxo5L9GuZZJCy+wiJuya4mU4Lx7/fOniN9f53wMCr1Jkchb/aeHwJeGRo5dKhQrlJBg
KEMN5ItcCj9S8X/hYYRoW2kvplQE33HvhzekUBivlSqvNpAVseGoNVCVv/xV/6iD/30bAy6yeVw4
ZTVIWtOf/Ut5gS+2s616itruqRxFSzsnIdnolN6JUFoAbgubhBRxuMtZXeOSKXeUs/s2NpYGMxEX
rbXmoQpoGPOYJZPVVjvGOkwXJUXP1oRytWg7RB2ppzEqihe6p2+thLBOgu5GMoqSDwGsfNQboqc+
DANwhquTlo7b247aD2MU86AO1phg1oaPHz8pV52ckVKE4ZRtvyDAQVJvoYzaQzmWaFc6eFFVwwyB
2JXAqx26VrtTkN8AojcKksJukV7MKxrgVtA/MVsAcRaWL5C8l0AFlxHp33JCjoxPJgkKjYrc5tQ2
1qlyaEvcntGzPLVSePX8Klj1ycsEANL6ah4VgEOmFFmdBOl4ZuYIa8IPDQclIpmFEOFOIgbOIOpT
7c+B7aMGGVZias1tQHa0HXOY5zMYigviJYD/khjeumtLk1aBJS0b90tlQNknbA07Pt+CaNyT65fB
vCbZrOa+6llx5uWr5vc81f4icHtHGnc6ShdFJ9O0PmEDEEu5AonF+diZaOlLll4KnPpkSmbREY3b
Ib7BMio2octEQFWXHqlKfZB8yqDYFXMvo1KRx/Ip4ySn6yRzivyIKTxTBQTsoX+BNHAsh5rVXJ1c
0qI/KWLgEkVTeHMC0NIy29uIHCd4SzEX6wyubC3ZV7jcMqxcWFn4muY5ka2HOq7f4gYhTxosyjZc
Qtn0G7DUXGMFL3mdNEe5PtZd7dgGejlqVnTtQfoCm26hNMQnJPlK8FOplrIKB7GI4UmQnwBjggBl
cY1LrHTT1IPLBM5Jx64NYu4vXcnvRxI2LgVPgIoC2zD+KfF+fbiglHsMQCbQIbK6XFeDT4OIee6G
MjnqhaH+7SXz2wcitFYUjACGBh9Ktn6st9oWIn+nolCqpLirFpJf6AclD+XzBGS4q6WrWRgAkspG
cyB5q9RSe2ZYQ6BsgzhqKZrkBAKH3Vl3QiaRygk9Lji+mM3/ZTmmwEX7rVSbXohIAJE8yuDMftS3
QMmHBJGyu5Anlmgwrkb/MS5JAuaWZ3wtRWy4Gyce01tjNMncMBnZa/pdYf5ads026PZElmehNrNq
QKmGenJdTp/8Kx5fEXUCiVYXukzukUaWcaCgNOT0RPhCDtmgPQiULXFERRghYGbd1ObkFXknsgHh
23SVzVYYGzB4WDN7DniwyiLfZbLGlN+FbUj8BQMUCZWIprz4fkwoasht+B0xzh48FLxmePLJhk14
sKnE7Zh1n3vtAus8ykTFRityX3kzMfREeZdNVsVoUaALcCNgaXq3hzpdZPWSeJy5KXYNOAErfmyK
pZrxYJFvpvW08C8J96vIr6p2S8F/GLqP4s1pBSN3SLUBmpBqabGcGHVC2R6wXNfFPUXToZrXWCGM
3njrohqYw3OsvBUd5IECjL3KvoFdmvpoVDAtDX5jcbW7j1BzLH3RZFCC7VULZcWrXmLvEkwpPckU
VgbNrQayeHPZngTFrc4/A/hsuZqstAhkz0svmG5qn0P+qvQyqKWWsCvi93iq+YrgzOLsI6uYC3bA
ulkItrvY3Bc1gRhmttSyjRxuTUQ03gTESbWln064bvIN1nL9XoNIKBtKZ6KDZfaHHdH2+oUJiMje
1PpV0o4FeSVBJ5GN8OVm48JEr8NY2GQ6DaZvhv+Eada6MUgbhSaBERAe8WXsuuMoT9GT8J+gxjaw
0bUpTF22NqH9XoFP5c3EkBG1I3tAW3oUhvLYIAmyQLJkiklaGltMnSSdYY4MZt5rNzz28xE4byTz
DkNnAwnxMIrvIkgO5G6wvsF3zz1FishBqckl1sAnoUYWfrRTRyCagmO2APEOqEUCNIr19yb6ZNPp
FW7pfUYEO/35DNm43DLOBH/sKU8VhaOJIEipD80klXkj8B0usZZyaGSkiz9mMmExRsjIfDvQgACn
i2z+OUcYf5rvI6yzsTVBPCjYwkrrMXk3W/ZiESB3xJsQ0I1ornbfar/39I+g36bZRbgcSA5W97nu
j0ucWapPlDMsc0DdWYkVxUSPahCFmuxlzjgkOlridFUw1xDu9HW4tKWPtH4RPNfIyrAW8Fk0D+23
3KsLVkv/bFzQlsRovYx3G4evepaoE60BNzcrBYtl2iB9SmLdKGQAXKMK2hFGeP0yiNU4boz8KRIn
xBAz1UA/uJOm101x6+VnExVk6x31Ad1bPJ5c79OllFH1igwsVGtudVa5kSUVpavLFpeNINglB14p
j+Vn7pKI08mON1497W2QIFMFL7HLr9Bz76lkrwj1PKhQU8g9l18H71aJ6jk36rPJkDtXxq0Xvoo8
d3J/i1yOUEtbEKXZNt++wAlslRNfTIt2ihsd2oxighr6ixs4RhMmsabN4DYnykEhrmPU1KtlvvgQ
W7QacdpmLC6o3rlWjsj2dUCG8cZubkO29qKDGNN5VO2NrJunEqQWj+IduEiA46/mJTPn8O0QvZEy
rb3D2a1jeV1mZOUo+z5am82mBD5mIlMjVpgbqNbe5frD8zsyPDYdmTYJCKmQ/33Uvo0hP2LZkuKB
ujTgrcfmYZf3Dxqrp0x66JUMm/dHHFwDQfaGdzBZRwlH+Oc6AynYnjBlkaBA9IZCkWTM4NXN7WBR
lZ9lRxymB7/iYEUfQ7S1xTGLjwKeNZvt1l4XVULVMG2BozktxUKyDna7jX1UtpeM6GS7Ozb4SVrS
qIV7UIKN3X31/bY0HTV607K3aDiYBGMx0c3JcNCeR24ygxxNchHY5PuDth48ZAPdMwvEJr3WsTYl
G+tLveKFhQauDhVYvO9TVmQXPvqwaY2INsrcqNJLB/HJp3AUfKMoAyKtkbWTLmsszjlkTHi/W4TA
LQJzbSiAQ7/iA2cPDuDfW4TwbklXMznZLuEkh2s5h4Jxqcc7m8JvGMheYO2QoO8zen/JyVN7eD3R
MAzFImwbRv5nzfroWJYGkFwVVAL9ElsIZNsM8R9yqhYG9N0L7oH0LbGdC5PnwT6lxVnnXVo+Btwr
01MKc01UbDXYX89imSS/j9Z2Kvuojogr4VGbGSjCYWaRRSn3+zD4ZpZfCCcr4FsWPKVQaqjBhmNC
2GIwTG9HxGnrIfQXieq4obtsFX6cRn+DPjyLgi8V4j65BFDulBQEkgq4goCB3tuowxfa7t1Yp5fQ
I3ZehN2T4OYTQMISVDEc5ChDYqNaeuVG+MBrAe+zWxjzjRF1gOXqvcKreBJGVB4LyclzrkR7V1qU
CboKVv3+ZxM/JmDQ/E83d7nK56BHta8/offZpUX8FJGYYE/ZVi1JC8azNzyExWPKoLC+RNHrgHdb
8UZQgP4s0t0VstURLgYDnHkOQq9kfSbk12QY1yxGOIiVJS6rZa3w78re8oQcy1he5rzE6N7BSBBf
jYknkLIc1eIUVRC8IPVFXM+stCMIlVFbCbFdbwj7hWYU+N1exNUurhy53ZCaqtoXt/uUitERZTgv
B+toJFP0mQevvjpFfspXvfYtGAZGE3L/EVtHJXirfW6z5jbqfIfwrZXfKj9fFQ0ZEqSoqIZ/HUW2
rAuEP8JGgHvVrdfOJ/9a5lKjFr4Kfd5Iq0g5hzkqu0WGbO5YkprMDqda8ehL9hoAeakzQjhXqBdM
guqhbL9F+U215lKOYmhBmpipoBsmWGxAVkmUq1hCaehIM373i6fK/BykeQD9Wp9Hyo4H3JOOhcur
ZuGJFVHKEPL2Qc2efR9yV+bjpkPFCdhbj1FKvMjGXkE9674BhEujPWBhHiEfRIVVPTcYNYHymVfA
ELg80PvP0Nir2T0g0FcGGIGw76xS/ZjvQ/oQRyedUGg21dWqkp4CrPs1oZOzLDkr2s0Qd6DYPBoU
guyX3Wg9dX6jAi1/bxUbzXJkYNBJv4y1u88zIt9A43dk5UIczK6B+V4OToU4AwKBkqwG5CnqlvRM
LzAnQ0iGPiRbhj5ZA2ROx2A3oO+/xEixSvMyID7CNE2LrCwKEg3hk8Gnj2b5oC+66kktF0Xg5ERe
msqxc5/VZu0WRwQManeO0LaO54ruOCFAQZ535MMbX4p6j2N23TOS2lz9iztbZUGmsmrmVVbTiinp
wjCeVSMhkfIBfyFWRKUC13GQLOLGMQSdiNDNbnwkorWcV3EHzAPNrfUg59zfOvvKhV0stXQlklWt
H6z+Zttg3Q+QznGSIJke6yMyLpcSYfIaIAwbN5G/7jRM7c+NsqENTFm/d+jAvv1g6TZvNNKzEs2a
Zd/ZiqB/uNfu1kt2ekVQHICTTRCu4RjykqhARNaH8mzmBx6kId9X1AjlVlL4hIVfUfrsomrL3FeV
7sbo8IKWnsMIdbD06XZLfTy65as83NnyGyjb1T3iYKN/YMvs6sc22piIsaNthbRjvFQya+d3hOYU
Cv1rNz4I9aYG2ymNOd3l8etISh7WpK+GOynzDyQuAYQux4to72h2BsthcZy3lyrcWkKCgz+vNIfI
5rBeuThS/Jdosvk4A5WMqgOqWUfFEjnQCGrz2Wsfs7ie2/JOqXrCc55gF3NMdkSgELepQ9I85jUq
nf04cSWRKq0s9gvsZBA4c6W67dAtONl9cg5UA+XKi23tY3evqQ7+78Kix9cJSljUkZ8stGikPY+A
xtT2Mw94h4ov8nasM4xm7fEMGLycklVPRB60GH9viBeTGAZE7mwSrJtXPFjBiu25LDb5QEjRUkIf
km5l5dKmM6wtRKPOBmVtcvSOyzqfNY/aNBdaDgH0y2ijKNQCEY6DGn/TJenamZ0ticEzXWVuEW/D
WyUmoKOfR5SAbX5EPkgwXpvsXOY2rFIGsPXzoXTCdKZbR5SMAydhAjdFTI3cs0VcILklff8gj2sE
crlCfTBL8KUwjgpsfttHNyuWOv1VtqDcM4jXi+uLkq4DHSvR3oP6LG1TIlf5TSqNwQHX901if1Hb
77X6FKZzu9ohPcrse5/9kwmhxAgK1n7D5XIm26LW7oXbwEwmap1kvycTbG1Le0YK3IklfKGFSLFM
hESztt/xLmeYPJW3snRBbWEZh7x4zNKDSlscH13McHb0iVeXh3cZws3LpwaEhMJjIZ0p+n0wHe7a
jo+gBEKeIelG/ksNK1p07GO9fWgtQzxIdfeMhQKrE/TnFdoKP4XQujIaguHMUcJ6WEnLQn9uiSQc
lrq/RN/haTz/jKXnUyMOyVzqdqi5aeeT0kl4fLm0of8lFw8MCKvkSSkxwk3aw6q+GOikI2J4lzwB
lBYdU1WD/3BzFPXWaoAkLsDU+1R/0H9wkhC1vSHjQrVR+qxhm+rWknrJTTaF+6x73EpLiIo54QTI
wOW9J9YqSSw5ClN0bTOlXfofpXrM5IEJ07yJPst7R6eLq/eMYbA3USNhcd711gaHSMkgAm1MvO2q
ZV8+pfGnTT4DjUZPLMDKt7ec4wzx5uQKG8NFAyBMWPjwggJQWPM0eEH9JaXMNjey6gT2Y08Co7LX
uzeSrAwsqgLhD/ZDRou8sJLo0NGwosgxlJthU/cTLrIlXKCVXoW214NHLXvg5EiCTcgX4uwoqY/f
1ZGMMBKsmk0unargpBcXxiAMF4Zh1eOiolYr5yVFkdnM/eYhwDVtGdsQaUs1T8yDWW5z82DZDLHN
XZq86NFKcIKRwiqoe9e1tbGIuGzkU9mvKcq0aKtzjI9IEVHfVvE80wjnPWvGRx3y5j5bCrlq6NjQ
WmlI85Y93MIgeS/tpw535LhOEhhoK1d7afsHDJxKfxliEuw2Ftks6FYEcTD1rExfGWRU3RbSMBdf
K45ShO65+8hgg1J79+9xso+Hu0jf8uAzGF6pxHHPZdPNi/dxW8b4SJovnEm5tnFlR1Qng/+frq+G
cqsVz92wkJX3hBljiPGsesIghzolM5zQ2qFKnMIH3c0IzMa0mbut0IdiBysZHbc2pcur691N+vPx
RRcPLplMgudlE8QF8hGKvXcXyxptB5gyicBM6CJOL72qFnPeFX+Rnb9Uxq41ribyOP8Da+aUyKDO
/XpdiqOprDp+HuDLMiYDWuytzj9tjqO6UPo1rUj5Xvrk7601MMRICh+G8UQ+LrHhDdYGAsfk7qHW
r4m5IiUNlxmBJis7e2sRktvOkBxt/RUPNcVPbR5L8ZIZB6U6yiPTC8yZ3o1bPSWEgLdMitMrTa+J
vpJ7+JqIekFZQRRgxf+kMjRCiYfe9BW/ge8fO30h4mzBVptRyHrSn9kJKYdCc4C/SzCmU5RvWUlD
itIxX4/ce2Bwh3ZuuKgVT5287fgQE+Y8Kzm7u+PaTPrHyF5p7ZOn71LzvZEf1X5nZm9dHUHF6Jgw
o4dat/1JYwYuB4+Z8c37gLJdbVemQszR8NDQr5vyyTAoLV7kttjqPVBdMSAaPQHl7fpHRdor9kJS
6rn07HVUJI4nHqv6PfEefCp/xX0qkge4JrryVGvzsV/prNtsZTao9wp5bqKrRHFyY1ZH3v4kfDAa
cvPHqvkKhwfJ2CBw8rRNPe46qHAcCVV3JU7Q7nZaeOjHl5G4okxbNQr54hjdcoO4n02tU02QaFVx
L+ERACy+VtptIa6tcs/C9ZiKhReiEl+5dLop80jy11njcEUK3WnxfTI+qgjxgGRhmZ+87r10VzHy
h13a1F9xeMVAiKWBjUZTH9wRF9AmNxxFXoex49a7vn8cozORijHxd3l49PIPbdwkpMg2/nvTfwtW
PXIxz8U+L270HwwlqhrdN640zgLdAVgaW3s12CXg0TCTKusEliGO2OJgQ8/NXbrrk6wDJJx3+rEG
a0GiZ77v4gt20ZqtSmmyXWQGiLCuvFp4p8JVl2HCW/QR8SsMexnerKQgmufZqQ62PkksrAPZEUgI
vLiv6FOqdYCW3+Uvxjx+aA3wT9jxZPKEt2Zz9FROIChEGyPAbn2L+zNfySRqkbFhWb2E+meQcIQs
4EKLdmeJe+VdOoYiA0I8Gv24WWXFJUlW4Bdnff4dIkI2pbWHwbgrtiNJceGdvoFGeMR75e+q7Gw1
Z8/bZqiqZdpnbWG1i4IBb/qUqcU0HVqYxDi1xBppEZQuUnmeC25+1JnGrrTwSJwo6kNogOZmrOD6
kjVMB0oFlGzlHKbs0q9xbQ6bviGXkOyt10InCGOblDebexFF//Rr1Uj4EeXICpfu0DTPndc/jGhi
YRqqDIIpgeIED9PT5HtnYKjeamPLkTmlV0OPrBFpU9txi56sfO0Ha1bKXAxPdtRqpxsbSf8aMbVx
u3szL94S0ZcOOwMhLqaIdMdyqkx5g74j05WqGeOZiV3aVwNabAqepZ2gYEUNpF/UmFK52+PQr71z
Tlq1wI668UlWtlZ+udGyXa06qc+7hBuyy6cN2swqMZmAC8CREFkHvKxaQb0TPyJhjloUzsZ3kGWU
p3QNG0naa1oxBxapWIdSbAina7uVnJ4Y0OQclA1vplTdsRUvK/Uesr6UkQC4eAByDvNHYoOTbOOp
IMxHGuZT4F389pzoW5DSoBdfaomXNHACxqBW5yCLZ1uHepZ4kqNV7Yl37nHa4awkXLall8rPLjVo
uwibbWwSiof+HUwyMaO9OvP0hyaqwdaiMl9OsbHMYbrwf9Sdx3bcWJqtXyVXji+q4U2vrhqQ4S0Z
tOLkLEqi4HFgDuxr3Ue4L9YforIqU8ruUvfwDlLJYESAYYBj/n/vbz9kqIp7Kq2lf9RzduofXcvj
PvnsYwv1VLQtA0p4U+n7XDBsMNkAdQxRvhVQ02s4/0H0TTeexHSy9de0N9DB4pPwo0VIy1/G0dII
W6JkH9r4wWg9Zk42LMlHW8HuDuUpa7tTRIkCmtqaU2JKARWTuOxVC9M4Wum9qL55hI6MT6N1rsOL
RMFCbEH1zGmt++9hu3PmLTxwDnbF4WfFZjd0GeHakpU3jR6NaUu8hM2dbl4G59Uy71sV3pbUVwq2
flrDYDmdSR7p21URv4XU4AT2E6t7EjBq+/hVVccEwal6SA1k5d+Ud1HFsaAAaPbvg/tB0eQ6ySE5
JGedWUaQzqMjuKqXunwM62PWfK2Cd4YHGH4rQ1CnZJT1wydqR9bEHyvgux0b65HQhynZx+NHmXzW
jENSk4dVstXxYOA4TPiUhEB0swDFL2V8sMiAg7jwzG8J4NiMaEYaDkQ659Eb+V7L1D4bqFKiNt8M
zofsxHvV4NJiXpTjVnejUyptsPK73qTUmjGH6GGDIYSVTBzk3dNgGYA4+64JPkXjyA4oN3CF6ar9
7Mb0YBc1AquDEYWgcUzA7ZEbE4kLJaijQBvGT47fEtAMf3/vGKFeEj0zWfUyTrTxzlImO6SkAZYd
Wcabcggm0ens+sFE1sLElT4Ze7vE3DC+NayV52ZeIQTXXDp++JM+bBpP85GRe2fRigcPgi9idm8k
rK3u1yidgHwb0aNp9uSRBsMC4D21Q1JpzVgZtyl9LrrrBKObGPK6dh+g343br1LoDw3jSZSygfEI
hf0gbuY2VyYa7xoaiM++nvlN1LvG6HbAQW/6vnqxcNfgkbz9PyRoYuX2kAMZDnhXUpGdZXc/Ne8B
BKqf6WqvsUrfiTbgUCKtcq4qtxkv8L1oo+gkXvs+tpaOVOG9nuHfDWPZbOPBTc5xW/SLLpHgvAdK
wiJgtWfZNSliMmvNdVu09NvGiO06Us9+UaWWvQkGX75OcevspamSZ8+MihcnzmD2S5nhvLN1bP5j
j4WJjpxrXEryY251Wx/2g9Wri5az/ZVt4ZS4uxS1Xa1lf595wKja1O72ZdlOe19W5VMUyfaYtQqd
VOnUd4oQtg9I9JNYYMtjWveLin2dlesbX1NkzEFnKO+btgyoyGXFVzHW+U8kMH8Sq6FNpItGyJML
TYFe/fefpVUEVmcn+BsbIfILEP4ZMTuOF8ct7bsAB89RGzTt6090N7MK8PtvcCYQkTPvQ12cv8vv
/yry0ipWSMuWKo/EiUBw7YssoJsuc9Q6lPCjmhWnRmkc/CYKL1N8sULHOP3rV/FntQCpN7ptIUfy
0LP/CKnQckc1suQ0Ml2hHeuRYkmitAtYqug8VtL4ibz4v/5znq/PqkDLdH6QGpVl5THmTsbSVoRq
iSze9W48LF0dPGFnaD+RdV3Fyj98xKZu+HDgHFQRlvuDEDPzCK9zE/b+QT90b5WqZ8eO4dWvji/J
W+wb2la5HEQPO0ZjkeQNCmM7sYhdy1KmMLdFEtRfnKDgCsPZhLPG7WjTFFUZ34b0QlYW0J9L7Y6k
3RhtpM6jhVe0rnPceR11ARc/NW1CoWOTyuPPU+2Fq4iADOolqAUw+RXLxmlnIKLPEbwsaQvcoLkF
42Fi/O1V8EzXQ6U/ES5eRSc/fi4uohREzIBVoYR8f+o1rhthIQvdZTzlKNEUeO7ZLDhaX3s/bO6N
HnzkTTWiHKhzh807vQymmYa+ZdCM7FTJOhL4OsPh1u1MYP9GmlWf7W7eWshEzsskrWG+QFWW7UJp
5PdGaZUpi/nINskyhib2E6KU8b1s3QfxxH+Og3scayIivh8E+Z5fJmYwAm5zwcsgc/Ksp4GXswli
CQ4gt/wny1PZsoJXfWsFJfcSeXRXWbVz/68vqB80639/JR5WdqRUpm6jt/3+sy300cs7G7lzHbdU
ypq4GFZyohFRxNAyhoglObDulJ7STO8tunBbOxrUdNi+VJY6NI+ypVVH8eYnavrvr73fXhhyaN1C
NI7L/ocXZoQG+aBVR/1bxO2TSwIbRTOZGOQbS9pPSgu8n4yr1vdS7OufRLXG2OJ4huv/iUuaabHR
2HkRsHdFJm9GMSZNMWgH6YZoD4QTnBElK5KGJCu3GC7Y7QRs/tBVwrxPK1R1BbKjtVcpD0spfjdH
DuNKS8D1BLpPuaipx3VnWxWx9jiso5QZ19X8/lxEJhnSvt3sm77DZhelCNyUp7GjpMPKRUug5OzS
MvtJe+wLu3orAaEeZFN9NHDfqHjMX8tIgghnd/aTMRCt53cjv0+SvAcRaA5cQG3pIlb+/hRJlNfj
mTHd5dDVMYtgm1Vi1fin0nKKpVeQblMlQbyUY1qHt31GkHbeIuiyGpwzN0Oe4KPMDCtrYFnRyzFS
32IRTEzn01Q25fPousNX4Sj90HqWtvKGnupryQR0qvKKPQPmDQrMgQeULM7qsxo9a2+ozqQQQTiK
r4OwjahEr8h5709MYe0nNncBmkPZ7PyQnY+dJsam0ljB5amZsg8hksSbMqpr2kQ50tUJPJ+fskhH
vd72I0v0MG/UsjJr7S3M+2JZhnVwDFIJ36Gl39XpQ7Oth858NbRcbMcubZ7sIUyfvWJIn4LSEyvT
i0tkfkJk8uSFXUZ4RJhsPZmJXaQbqbEJAnjKS8+pB52hW/iIRkbhkUY4jnduVSlOAhZKG2X7dbWK
exgqgnf+0ttReyxVCxepCP3poHoH7Y6p+RQpYqVOmU7aeRx7DH+GBwFxnQ4gjqamtWwkhphVt/Y4
hcdMRPR56mlmz3eJ81oPX6zIrLcZIkxnpNrA3jzbj7XJtqgv0Ev5jVmbtwJG/nM7BtgIdc9MlkVl
UIrOzVkNKgcc40MLL5crZaxoiMtIP8ku0Onc5dmy9wV1MwRDALQafSB0PbRwg1GLCaeEMneV7qvE
YrGWxeNKwXaD1pz2G0Ax7bYyI/9SZ/DSZIgn2vEHZ9f4I3wgFfTsNMK5q8RcRzKQ5y8xIuZfy6zV
34SZEKaseWRfZzLpARVEztobBvyrrOMJ0UnnmNhyUu1Za2LiVvsQpMpY1HQYO4j3Nzgw3GeH7M+n
MMv0OaB5NBU7FkMqvAi2/2KScuzdJlNkVGutCcRLnsQkMAzS+8lo+KcZg4vQ1XHNcfkFDuTUH2aM
uB07wt+oHul06Tu8rd7Ih6UlTkkQZ69gPQqUVO7omN96W9jPpWt7xU1IONpGeqJ/+NfTxo8j5fxq
fDjngc1IaRrmDysVMOd1mdagA9LQlI9dkjMROIxCNubccdoxzVTnGrfBue9bioJNJujg/euXYH2v
xpyHJV+3Hdd0DKwMvqX/qMZMNCcOcQMuC+Ev8fjutJh5QYNTl/U5OAr9fkqHdTq2tJ69tQymxQQH
SnhEsV+11HIZxDQ0MqgQdDnKBGYQ+cCw/eljAIlz3X2JXDGnM+DrBBBTiOjkySUKfqYmeijJWYpu
r+/p374M/x5+yLu/r2mav/0Ht7/IcqzjMFI/3PzbMf5Sy0Z+U/8xP+2fD/v+SX87lx/Fg6o/PtTx
vfzxkd89keP/9vcX7+r9uxvLQsVqvG8/6vHy0bSZuv4RXun8yP/pnb98XI/yOJYff/31C1smNR+N
zVvx6293bb/+9Vdz/nr+7Y/H/+3O03vO8x7ei19u67hR/+//fn7Pfhl/OcUf3UfzpyN8vDfqr79q
rvkXdpJsgFiY+67D2uXXX/qPf9wFfd3A7QjEmcWix2lTyFpFf/3V8P5iM69ff2v4HhuYhr3d3+/A
UGBArTUMm50VM9w/Xul339nv3+EvRZsTZ4Mfk7f2/XzpYMxwMdmxWjWQNJvmj5dqUsajEfuhjtZJ
wf6T6EmtwtJHTK8hApIhzdaRTzq2I2MDkYwjCS/1uwh5qN7OsBeLNWDaxvFTlJF+18pMW+iDkT7H
DE3oaiWqIxNjBX1gc6IT2ttBje7LUBmGHt0tEQxU5H/odv1hGwgy//C9/PZu//juruuu3xfj13eH
1ZIPFv61CcP5h8sO13UYFP0wLcqiEq+V9Jxzm8RU6Eu9/pqhjI5IlUFdjtHa2GqsKB4CP6eBotei
+GyX/rvsFbaE//2F8//bJTH7s/77K2LdvquP/D17/+M1MD/lt0vA9//C+QU6m8hX1qyMxP+8BALz
L6bJGhZLrA+lWHe/uwQwNbqckzrgXl2fl8D/uAisv0C45fF8xTbnCRFE/5uLwNOt75aNDip5j00b
+/R53iKH7IeCQdrnaWdNRbq2qwE6a2lUFGPVxor6ixZ8ywXZmmB+7U2uSfAQpIc2frbVkuKJ4CB/
KyqHslZLx6o+xW+FBv9OBehbs9MgyIcb84OW5p8hgj/42rz7a+NPHepX/4UCqXmDyI7VnkJyANM2
hYYrPRUuNYHLpCXiL9LJI4wU84Y3WDvp0qGwe38xDXuRPmOZ/8hy4ziaYhW19hLodLyQA+zQLqM1
WXWozmbcChhAasH2UxjKTRZywCBGlVvbUFOsDudrIR+ZjumoPCRtgOysbZCpc12ROjV9Lcpho4VP
BNd/kXRRSVjsF/qaOiObdo1kICUuPqiMG1g1MJjy7IVa5x51O+yHsl+jvHVumHk/jzG9lQb90BCQ
iWhTAyrn9Z4O28WuEHRfw7wtdPChJSloI+jyLW1fDfSD3RYklrIW8PE2lW9/1YoGuIsL46JOnMsI
BcAzqk+x7F5EQkupCoAljPq2baxTUETO2S7QTBgxy6FYzEIz/ZvuOPswRt+kejTmJ4QfE7xMYA9G
639tLRbFkOeGJOpRXMljoaN3ytxh39bPRo/AQE8Nir18AFUCL0b4IRaEDnREOVnVXeWg8Ul8LEy2
980w8cl60J9a5Lz4RuTGUKzaS5eM5raiWenrn2RbdjduY2uL1pxlwpmPfLRBS6VKqqNGgAtH80H2
6kVHXtDBHS2NHt8A4ThaUkQns5RqQQoNSCuC4Cnqm34hBSJ+8LbHITPR8DbVq3rsfHfuYQSvmR1N
bES6F1ZBe62ZcCrDTu7yRls5KDf7kHDu7DZJ1NatZxFbNZQrDD+XWC9PwB5xua/74quNoQkUzdBD
cwcCM8kowsEULEWJiyyJg01fAafFkTF5CK8zBPNu1x/IId9GomsWdeAcUhv7EquVh9aJsVvmYJkS
oz4NhX+2ojsEK0YjKSc3Z5Zvu8Z2lhJwSoXnw7Em5Gh+hqo/j06hTrDWtKqeHYHcXmo2BqbQRIE2
TO1tbbMr9zg7dYo9wCK+5rVaN3V0EW2yVZUwdsBI1pEd18vKSD7pgoJ4hQa8BmBVufHpwXFjmBuz
OaH11z5xRDedPWyEMoqdXWqrltK2j7XAVHtRq09hHh87mlq3ekJ7vMo3JEDwVEM7YzSjIabUNnH7
W7eB7pUmMzbWgu7J4ovMreQSK/ROHCpHOxPHmzKpP4loilB92kfsRsYaYyMZpuX0koPqpIGoE2eL
Yt5UGzc0ulupl5fcQN3h1n57a9VNcl8boY8/m2jPPnb2dYJhwhVOSJuvy1a9lqA6bkLiw3o3uRm0
vOek47ryieJEUegRU4mIy3ZggXg+YfPHVHXvxiQfyGHaerhohZd/yegEuU5XbthK7vzB+tpl+Hcy
Nh5jGrW3vkUvO4jbpdkG9GOZ+4vUjrdGB6DNRiIIPWPo1iFb2zIS0J3VWJ1ZQ69jM0K/N6etNjVC
eBbua78dzxQ4noVLU9TkYlu4SSkWgTDocgTtsmr6VThGFwJ+ofG22uwLtnc1PFfoRWzLxzw8SErS
S4z7sGLscQs5kxTkTNEFCdKPcfC/MA5hdgiJICMvkDVMaiCWHSMsyA04QycdFkMWIV7W2qVtT8Uy
R8XtT1BQQ4DKNwUovJi32Ep/OqJ5OqqGBB2HSLpTBDLEcO3+vowB3IG27rYt89EmHUvE5EKwo6Sk
rxjOW1sMn7oaQm0Zhtoda3trPZYxykw/fGiTYDpm2LDZMbkXDK3Oc5xODLpa+aH6YUW9lbOCAslN
31bfakek+3oGxHU0BsGpvAoZjHuZbthBZLfaYDZHLYSbVjCu33rKtfY9LLLHapZKY1fNtcn+KDzj
NLiFe2bJhDspwl3jgAJ/YZ40bwZLTyEaAdIcW7FwDQvCf+uY6JlR+vluu5pKtz7wOdOXbOpF0aL4
dvORPlKTx5fQIqxakgrrJE696fR6XFF3RtBnOSNaYrSLzZA9NvEQfAw9cTcmEN3eLy9pVJsLQYgb
rWnHOxIRxGAAPZFg9viQm/mhntJsV/rFY1x+i3z8HBJo1DR0dP91KFR6Yu47LnUti8iALYPlWJD+
GI/3U1eiYXAZWjHtwd/u125e7QbSwW4GnBW9huFIPxZ4PSyhQCCayRxfOOM8YfK1nDWy5jOqVIWF
yXDOcR48hCibndrMl2FrUZNAPHcWSbGLtPxeG7tL05n2Ik/glEVWSCC4jw4zFeWuTJ0H9gzNfpjo
o5cJKdlWYVr7EWvlhmr4cIAgcuMIES0S0qqfU8ZNOh76S+UCHja8cHwLyDdWhnyj/4bGllrQrRgR
5pnQwJ9MHzj0UFntomzNNxsc0wWT54MyFD6FrH+3ZngCbqX4NDXBuBlDStCZ5c/+Mn98yPzwGQDl
Xcd1fnQqy99k6Sz5gigZgmBqIqZ1bdLEji5ZvIqm8AQ16lDScTomigAib0w2wZjQEi8knfYgGNfM
WeBRNa9GcoQEsMMwTodmWlSRWHcysraVzJ8Hi2jGLOIM0dzhU931LNfaiXGxPGPLCU9mgP7NdZr3
iODVvR/DcfSNWF9JBPhRFaaPVgAqIWy65pQpFO5YArqtCq3pJjABAnsSV6/WWl+0uBzuWIjxJqLi
zvXG0zDF30idevEgIm1jv15pnd8dLZXsKWd6i04349ca9xD90ULd2JaDkF5Eyb2p0Fc6wzS8FyNB
4Hqn9bTc0/BgMKswzjsX6O/qqGe9c9fGz6oZ+5Xbz6issk4PUcOEk9VhjFA+fuTaabYhwSmbMKne
WDXaB7Y4Frgv42uQJdswTf2dogEJSnINK8npmGD5rFGe2jElIU2svTE6Fbb+HpfRCXaRjuYzfcxq
d9UYODr0ILmjo4elQ0THGrjIEirKzouphI05LCMHrXns7oPUWJdBxHniL8JoWDt1+aQ79bm0zB3l
02IFfW9ZBM4qCV9ZkyCYLlhTDbxu0IwoX7Xb0a0+y8peeq64LTMXWRNUAPxlAO7EFLA08s+Da57j
yAdjaH/ODa4azSytpT5L6jr4zmbpIH6oUI0oM8drVD+0onmkHbhJCTJIOmODz0Pd6uOJzQVgBPZ1
g1dDbk64Khr4qZOUn7IiQYVFnxSxjP4Yt/Kjd0BmK6sC79DhKanG9mBSuSRkWTxPtYtQWuSHQRVq
HUePBHj0CMj4J5BGiGFftRmXWIJU5vdfXn8kLrsXVG946B9+/Puz6onXaFrm+k/3/Ph4KSgj3ZgW
ZIvJ/3q99++/KnP13YH/8Nvro+ox8bYGgy7WpIaiEf8kQdTsrjevP00AF//wux8eEkcEY0Cw5Sm/
P+/6mOsRJtJNYM/9d4f9H93dG7JapQ2sMxbn+a6jvbNLJ8l4q+Yfr7d/v+f6O8SE5J0I6Gy+l0I1
rtCn//O515+uv2szO9jmKLrpqIDvCwq1DJzky/WI13+k2ZEJdP3RzXsew5BMUy4bkJTbgs4mXvCv
VV1WSxoCxU51odz5ThvChjPfwj4st904/fYS2/lVXA8lAvelqzrQliMXn+yNfBfkQ767/kQBkJ9E
iH9GWgIHlWXsrv/YRRDjQQFUPf+pvBYCinmL2WL+o5rs+FDmOzQqyaQQwALQh7rcRU0xrx28EhG4
E8TlLqxcubv+dL3fhLOaAXfjl9fbXuv0m9Zn2p0f/IdDXG//4Ti/3y+badg2SUbghdsxO7V2uWvJ
Tt4leGzMKSzWRGMBEk3nD0D5RgQ2tYR+MlboBiGI5bsauRKg0fnbvN6+/lRrIcbyKYPNMj/m+o9d
obmwGOUho8xfhw1zlxQRRIT5aHZYIhfXz+D6Tzx/Gr/fvH5M9E3NDOdDW6czxpgP7vrP9b7fb16f
ZMflb/eW0zwzXG9f77k+MDFGoLDGSbhkpIQRwT3a4N7mOOSCGtNr7qMzxjKe9JSOFC7PND/2lTjb
xnscGJti6g6Vy1dEecn0/HXYjBv2khuY+QTe0kDCaVUwv47FkQn8BOyKIcC4GG2zqQuyuhxzX8TP
XqovUj1Ye5rclfDkwam8kxqhmfs6Hje069YuiUJRrRCh1itlyzWF8HWt9ytsW1W6qgu2GmW3ZBg8
13Y1a5rC4hsW0VVuh1uq8Au0MAuBJbsM/XUXZvMXuR4jyDmpsfJYzxWA67OA3u+4yHiz9jKrx9uc
wHnkZNqwRgYjwmXUhndjob2iUPkEru6+g2Kqh6uYLS+F64PVeiAKmzUFBhKJ0Vzb+V4G5X7jJshX
k+ZOtSwErXqd6vbWyyHWG+xgChSPNvLPZt9b+GxFs6OEtJG2f3CbYeMqE5Y7QTb5+NgK+1MfR4ep
frcgvadhdDDM9MSEdp7jKR1n2HeNvXMRECSljYyzXxaefWhHtTHI5UTizEJ1WLUqRdQ8bwlOHRkK
9E0pZ170XltpSEJBu11gMj91ubz36RSVEfDKGWap4u6BdfAxxaIyvwF7eFbpUrrZZtKDQzt4W5n3
H2lmPLiW9VQH+rmI9TsTMwz5yTcJqIAkUhcK1vvCsr4OYbjVm3CfpS3/L86lTyctbm9dhdjZM+5a
gI4y2g6qAubLORk7fE2ksqDqX1o5FnpzWvnHobN2jsoOmaa2mWauS6+6FVW46dp+ISy181T5HLbD
Xk7J0tXJ/jHitenj8x7w9KOUS8yNjQNN4eSuguFemOUp1aed4Wc74mCOAd5SVLB7/wXCzVqyCihc
b6c5L1ExrhINM4cvjqhgVkr39lZjPaRug7iyXIMrgYJDJoWwjqP1pOHPin1zr0L9rkonKrQogmeb
kjKXKjZWxXsU97CgnWWtg97AKEd7BOQSFCMwNiN5IdpmssWudbyD4xfH2spgWppbXC/H1Edz5T2O
9ngWGAnd0FtbKeWGJn5ts+gF0aenM9QoEhZa29ynMDxLWR8q8Hy+96nQLAIVZ6K3XWGecgnW6KkF
EBsmvH3nNBvPnuWS3jZtn+3hszniFWkwhMfhOhrMVVQy+JACFYJWAApQVUgkCxJ44viLjK1TVzDd
+e5Wiae0JrOk97kMWGoO496Zq3sgZnuLCoW913vvkrTtMnW77ZSEb4PZnRyOQPlgx5EhWGVAFghU
H/qDoArI4uU2jYg4aPxdaicnbybuJOF9V+mrEqp1WW87G0EviT+Ogca1Vs966cO68y5Tae+SEHel
tHfKqwFaRg8t6IepL1hrbdAMLN2S0aoI14xQbErbO9IXT2nRv3vRt0kZ+4SECIN+NjGCfLRId6ki
TQhu2+7TnJxuQkQ2gB2UyuQI+nNsm58yc9josU7G0oThhaKeIS+ZLp6qaLyXifMS5MWnBIkxIHwc
l+OL3qVrypYwemhIw1moPdyBRbjJUMy1AyXHcCl8ddZA8KcwLzzxBdXBs5+rJ/YNG6MU6zT2d4Vx
gI+4pb1Ba3o8dl54EcrZNtRC7PpQgMu2+nRVZNY2daZdUDK6J/Zjqqk7M2dNCuVC8BHrxVPJ5iCl
AhM4053GRyxNziTNuPOwOQsj3BSluxi53jJADVkeHGNN3ZNNukRAdWNZyYIWyKkZ3LPbeReWr3fC
8J9RNj3aPu7QsNjISW1CzdgIDVV8qj06ZMnIKj9WWF5sM1pMwHBDpW3TnLAuS18JgUvAKtLjSITM
xdOjjVTRTmrDXRV1FEYNFB/hJS5wIxfmZsriRYuyPhcUJB1a5DFxDXAfp+GUcJ7Fhn9qRXxMevzH
vrPuYVJIJz72fbIfbfesacWTFSVUxTMbA8dewk0uEL1GF6t6jvtq0bhs9HBC6nq2ss1wg85go5Mb
UljBIRs+ASzYAGWrgLGVpr8WHbJ6U19dT3ErfR7j6JyVJBPAIic1i1Nya8qWUaZZul2yyMiBmfTx
aHAWiA7lbTItnOaT8KPHeMKL6EBpotEK5uYiwbdYUl/3jrtwtGarHkji2CQFWI+JcVNqt3kIUXAp
c7Xvm4e87fdw8C5VZB9derAyUJtUjrclxAnlNLvZ5z10uJkgh6dpvLPRXiRKvDqB/dUO01c38nai
Kbb6MOznVOsatj+1sssUy6eEimLq2yvdr44Fxj8TOcGj7qxj5MpBf+9/9uqnPj1XYgWa18HeWh6m
EJChequClUcsTMFlhBScJpplnovg4mC9aAzjLFv3kgbyvmqyx3gItxLgnFDmwkhOJLIEVrkJbXg6
yVxx7aKn0pcvsiQYKMdSDHDCAQHt+NreHJOjz3gyzro8ysJHGzqyLLwlCod1DzbHwe0A14Iq87SK
HMmZjPExNpe8Ys8u3/ypOIcVYuwsXhcpJURtZbrDVrCaEGtHyUPsYLrfFp67rBB4tBWIlPYCpJNp
iSUmjhLXwg9nXxB13E5+syhlSkSRvbbJayKOfBlpxQz/xWnlblydzoKzqGwqlxGjvgJ7Iu6y1FlD
qkCyu5UdFB8c+2GeQWOAy+d/JMHZVg5CCn1nE7nn1/6iKm/NcliK7HUcBBZ9HStUvUbdjOlx2FOY
HvORAXi67d3dIAqmAHNbtOOxrO1d1ZefGlG9s2vO7N2Aa9SJ9RucAqJB2zyP4eNyZEYTgVq5XbiL
CBUcK6b4SntnN7mMvXtSwjHwNtu2hHKM9SYbNpmBC5ksD8HSTUAkk3itqwz2PmQdHKf5GG7biMGu
RT9jlpDjCSwsPvthsQA8vsypnqNHWFhWCs60xr/eLwJfAAKb7syVBaaixAjb6HuPHo10xLYoeKGC
jXMoVyFmP6+5I8t6P0iaD+PwpU2mi6vJ7WQ8J2m9GyNjnbbjY+xOB9enMEsd003wJCf6PtJw8qFx
MCD2ZiFcpclb0f5dUgGjzHwSk32w1UuhyoNnhYxHGGOA52S5dWuzRRqpcgtt2EqmxhqkJpOQhw+o
qKhi1wLvvUMXBxe8OvfwVA1brrRo3NDFgEoJ7QbNk+niftYYvtOHIQcbqQlEbMUxq1h8Q9yh4PTU
2jVa9gLuPfmIkqs/epqkOiP1eR306MEXHvXOaEV3b0H88k3ZvoHWR1zYLxUbnop5EbaaJsbdjOAB
pEs4CytlRg70srCcjKca7rcOVdCbSv6w2MhXg1AYPG9gXry1a32jmrewSJaCwrEnAugSqXI1hcOB
A9JKCXc6QQ0MpWmRMn326yanJVjDk6HT0GFgxZU0gP3o0RSpgZ6Z66yiyLylhLPkLFtMhGY2wbTM
SaMFOQ494i6jlp+nmGhc3I148ggd3qd+v2pTzA9Kw0dELE1JwrDhsJSH+G7DmwvxKDMZQYWMm26t
hcT+KXj/xbS0kmFRAg2zPPeQDPHeVLSrinXXExuomlWn6yt98li9Rg/D0K/qnjmKyCyvT9YxOA3E
D3faU5awR/ENkIU6Zet23Tp0oCzW+IjtQfOSp0UwpbUg0klJ7UZ13XqydOJHUHoN1aLljRf4HHqI
ASahbRA2rcFaev7eabCzafoyxdqEFHJNL6yLnCXj8Y5K5Wqgv2Zj8nN5gaRa7oyekAEfeCghC8Fs
rDBWjWUcYntazW8btCyNB7nNdLXLP+I+X4nmLAKYsqYFbmJdoiS3vXqD6P8hMqLXGTkmSv1c+Swb
WNwShQ2kyL0tIaJVI/TUjrV6M6wGQy0zp+F9ZCtjfBw8rGPQR+OmvsEYsoRmeWghXomaN9F5C40m
Y+tlyxF0gh0cR5RfNutFg/FZ2NPZ00mZTOu1BdtLjM06cx7DYvgsxPSctsFOr+uXMr9r5+2Rbj1k
LOBbRV07IOVOH889WRaDS1LGYJ+lnZzD2L1zSTkqKg3kFRdQkhwl4lBnKBcI6Rnamz1i4TetSrbu
TUX9vDbgxThYgoYEP6S1puN8M4gOaA6LqMhdp/08jLkLKvybxNePmhtQ0yAeQ2OVRCSyzQiIhHSR
WHj6xmjFGoXE1r1Ry2VXxUenpOOLwXk0MFIa7lJW3boJmjVboAg6dmfW69JWm7JJdzAR10NgkpRE
2G4YrsMsXPvmwMbFvVAL2JD+w6wGwZyh2YrGR7uyV4RordosW7W6Q9LYLMl8E561TnF0pC4JOhkt
AazVDL+FdmwnmxivN9+0tj0T1tTaK0VcU4yXsMY025nWxs6QAhSYHEsqqPWwnL+8HJ+ZxALr4F0r
sVQFHNmbyzsdvL05xFC7C0tza8MiSskLKv+TuTNbjhvJ0vSrzAugDHAH4MAtYwGDuyRSKeoGplQq
se87nr4/sGq6GWB0xCivpq1NpS3l8P34Of/S6XvU1j2DSN8ffB+DQJI/aV3FmxKFTQRDJQkoClLF
TZRnsQ4php++/RAuP8ttbICdGmWssUiAgc1Zxt9/+yOgCEv5wdfmnZ3BkYsiuKGdCRsFxlkkvGlQ
3lv6Y5UN+Z/fO5VFifrwR4Mm6U5zELJMKNZv/bHBN71JvtfoQRws9E/+J7VSkZffJAEHpdWTSjKm
ElkPvAkbtCx6rVPevzNsZtOQlnlL3bhdeB8XBRpt/53zefv9HkTn3lY53hiFhhhZOVJWgqU6Zezr
unF4bGTDtwCwFeZHJQYYfWy/BLgIuFrVfwsL1zlgw91DzuyzT9Jqv2aFr5HYISSSpd78EZe3hG3+
3Two56rTouq28BEsy+y+/hZlGgszyNXN2y9DikdJaBtfq27M7psQiTryVvW3MHadrVWh4PL219oA
jSq0B8wSItEYdt2+1h95WBuP89C+ItrpbLXUSA7QQGPEEhMOC6pQ3xTU6al2DiGvwUeQktGLJoOt
Kq0ZhRNR7LCVUwc0VaFv87aopYb4XpMSr9jRFuSlf+jBIAOA96O7Mu5BA3dYzeZ5+pQG5Z9RPlC/
mV02RTaEnszMkSvuwbJA1JNtTDyDLAUmdbgP08NPxkKxHiy5q0kRCNvYJ+OoPcup/SWGqbkPjUJs
MyuDC+r7r6mCPBvX8VfQwfp1kRrz7Zj1CD0asMJ9nqstukSt8O860yROhdVp028OPosEZ2iQGk1+
JtPXHjBW4FKrujMWSMqi2VIFdxMs4cbro0MP+Hrwct47S6Z00xewximePjoOWAQE/iwK3PtpuLPy
lNRVgOsjHjwkP8rFjkXj6sFEM3KFF5S5NxTiy2xPe13pN67eUr+k3xCl9WJ+SsqcVNl0mOr7HkRG
Wse3M8zgfIHlxPPO7NoDDLJ9C/ogt6j6IVK+HFdlVd2k8afUR3QRcRAzHQ5dmm/TnrXganugdQgR
dAdDA//szhvo4Du9vm5wC5lFgwg+4Qpg7JHnWp7vUur/wYycoJJoXITXGpmbCETxrNdYK/sbkrWk
AqfrrG889cvmNU5tBfnGrz77G2bSk2OiGTAXO4UMsk/xtoC2b0fTNq8RPkN/NtSiwwhqvSux/Q2+
m+14LQElL8yA68Rw4VdQCc72DdqOySb/Drivxekr/i7lE0kO6zXzXxPK89D2oXtP3Kr6wa7kpptu
A8TMQJxsBwGVrXwxxG0p730X8VhwsdNupB4LQRx1YDMjyYbMEpKLz+hfx+FzbT/xLQxDk7yM7jdR
P3MhVgQsA0k0VJum7ku7WFQZ3+JoQbBYOydA285W+3YqrvzpLyqsmxSrKWH+4GfGC7F0CuRfQ5Th
RVg3oL9xQfjDYl/dREV4Xc7N7aQ7dwhKb2WBEFxnY+C6LeERINxIpI4p69jiG2X+OToTEhXt3zyo
EL11jDtU9F/Sh0E6d5apeUn5OIwxgO/2GzES+RVSjNB9GtAVjf/SGo8ld0yLzomqnyZgQS1mn2b2
vcTDNb22FiGC4lvBYC5hPqapDKrcK03wCjQzNqTctPCi2xhGBtUrkGa1ohX0W3daCnM97j4lxkyF
Vd7b2bcAE2sO/ydTfdeJVYoebaWGlwHqRlCJOl6hEiucPFLPziQOWVDfOhDkHRtDzRwOeaiu+xiI
WYghVUFW1jEPi6WvPmUEcPIe1CVcW8mDO91BxPPSWf8UCJRUmtvCdL15Uchg+XdVcnAz94+4Nki6
jrfR2N6HxXRdb4TTbm2MDF3sBBVSRxC9onLLMZOY1zEhH0ZTIeo/aKJTH5l5XUdXzfyl7/4shTdD
Xq6/9hymsP/Z2obwUomWujMgMvR3qD+D9gjwmy0flPbgoyM4Zw+pjUjBVfQT9cLhS7ko4OxMrM4R
sJa3CAoh/I4mXeS8OvFrn/yK2R8NBOsS90VpWY8o721zpDEjXhxTSmpmcJNDT/w9Gf3zRIwet+km
7V5kP9xEDRtX92Gu9/u+FVRJULIPUGiZ7zuBlJON+g0yJpq/b6LIW1INmml9y3JtBxsEhIb90Jfd
znq1qiujnjnDACZp6EDZ9wEKpP6AnpkqHt2o+nEzmPoLdLzvoDGpjzYPpZofZKLfFaZ+S7Ym57bo
u/pLjciQHDSP58f9iN9INRLbYfxUJxarOX7owDL04BGo++NIhGNlVO4753Ma33ewSIumfzKpxPfq
pZxQjZTuc2e3wZbDcSGTup8dOTQ3SvUjR5il/0BhyG6c7NrUuolHnhi2KSy4u6wjtZzZs0kkoNKf
rrrLnCj60y2dgUuDvzDg6JmNhYnItx1uOYZJtqb37myLn4ZG6DK4Gsa5YY2dUxHbgBZU+M1J3Ju3
v2FXwHFq1yy/FCN7xSn1cDOYqYL5AxhLiaC8SXuldi1VOp7ocPv7xlfPlSP0B+lOX+whekiFtD+7
dQOzEpQ35fmyei1a+DSQGJ9Jlqf3ga5z7vSyek3SDk3IHILn3IgAJ3bd6ydVvoYtklo24lsqdX7m
URp8DlpL+0Ti1t5l+aGYQlDYuZZ+qeM8/RI1t/oYVp/ffsfSZbsbAYXv3v4s7VGwKtPgSedG8Q1V
3SDw6N7nIuVZsPyMh5p739gaMg2a9YMK1J8dYTlC+HOMdk7+9qMOZOm2mVTkxU707GiAwK78OkEu
b/nh7WeBljxIq3KvOw0UNbd5/3c9BVQnY1ve2AZSRWaJFEQhi19lThJu0jXgplLclcsPbz+bCh8J
1QA1GwvrP97+OAY2bQ0js67BhkTuPeuCzILZTzcEuRxlc4vSruPjmVim2UhlgGJBM06fVRcgN0Xh
H3vloX7O/aDnokHoaPnV228RAB76eKwf4/i2jMvmeZQKp+IonA5vvxSa4e6zEcHdt1+WUfv8+8ju
5yLj/9cshyN2xP8ba8L7VSx8g2b9T/3/SJgAtP2/o8PvfjT/5+pH+CP7ccyR4D/6Dz5ciX9BDRem
Y7m2gRmRDkvhPxQJR/+XdBfSjgQ4JhzMbv6bIiHUv9h1ru2AZVv+m+WP/oMPF/q/XGTPwZq7ylEW
bjW/gw8HnQ5PdgqKfGGD4Owi2FkSkjOOSQsnY/nzdzrzVj00E1mR0nPDvthYcgAsV9vl/t2gnCAr
HDPl/28rUBMdCaxdiBVXQWSF20+uKL20ERit6mhCJ5qJaFmvo/2Q1xkpyuACt/dkz+DlLyz1hSa/
wOLf9QzI7jyTxC9xvOY+mOqG7JJOvHe+Z8YxHX/pmjBNA88rC6K4bTkrBpbtFmHkqKrwZg0FM9MQ
42s0ovEy68X0tbHC8SEg63Yzx+Zfo7Pke+DcXejpyjjo399gmQIaM14ksAZW3zAUs9t1bo8+6KyZ
6Fk3ZGi1uOg2qd9bX52odT5NgzDRVo0oEFdVtVOdPu6QcYQ4rlVquDAoH4ce3ybDFAuh2sYhZMU4
6F3NguyneGiQ0ztoqWZeaS42peeHfvlXjpbuYqUmdUPnf7hbjJX7ihbpuQ4+JSWAIsGA60xK/Rx5
D9zr6gsd+rB+2Z62kgbbET4TjLfjtWRaCyFAz0MPVnJ1m43t+EcrBYKHTpG/UAXR/jKCGj7C73ZQ
sCEtSXtAIY21JYNfoYzfF27gTZGpHnmJyU+q7dT3CCfwfxPejvhu79lEH8ZSuQ4jKBlSps4R0FHe
b5ZAqL4ykNRYCL7OTYj85C51pvi2TUlNn+/Vh8Xx1hS8Rc4u+OTWanH4pZtgejLA08RkD2lC87YB
Fvl4vpE19UunEf51w9ZZf+zRVSMx4cIg47IkZ46nQt2OiHbi4P2Y1S6iOlTTf/eAg5UtOAMsmDKG
stYHXMQR79oToIHCGZ6AsN3xCiD5iQVSNmo/rTEvr8538MQoMng0Cb3HYdpWW56H7jDnNsJXmWNj
zj3F/jaX4SWrqtOtuCRNbRP+9dqpSnW5yGypSg9RCxdt4a7ZGRhx/f6KgOzvusaiJAKLYrW7FCZv
lkrRKxrqyt9N8fDnaKjmQiNvx8HRcUELnBOKO5iDmp8fL3G/Ba3GqqQvpqTShbboRhgzuo5UfTJj
su8cP06uK4ENhUhx2KpEHuyKAdPu3585drNhLQtFt9Xq2BJ5n1rCZ+YGWPfUfl25n3H+urAgjRM7
2oVHtiwNk6tBrpqJqsR2GoPuur5bbp0WvnQc9jtKZV+mrH8O0SK5iqREThUl/6iCg2R8HwNAI0GN
jnVhkCR0g/rCV51aT4rDzCYd6egw4o7nwMQvy7co6HmT7J41X2h7s5ouBRunGkEmgYOaVavDrztu
RFIgsfWaRsqSoo2moUOMDWpwYT2dGt9FqcLEmwctcnvVlaZxkiKGPOT5ID2uAfhGzwmn2s3YqPgC
59zhg9cr18Fri0SjjgSJverQxGTwnO1KgOLUsvzcyXZQaHEoF4igQ70CJ59Rha31qbzQyY+bxtF1
g1WKLxCiJPZC4n1/L/h24MdLHtezh6Z/jTsLM6aGh0nZNeVWIk1y25HF+NWwgu/hGaY3qQkaCA5O
dGHlLMN5NAaObsBxxUZoUWrR12GWpsPGbQt3UcCv/tZ1hBWB26c7vyUhRYU+ubBJP1z4ji5Qd7Lp
PucSZcvjfpOaDpqMOpIXm1mcIBVYBQIZ/ACJLx9d1YQk+oRCrDm9/ObhQLsu8YxuO6bkJFzdW61l
D3U8kA0deFPcMx9kpd3AunA7ftghhPw6yRFQBygZcDUd905zm3QQakLweUKxPdMJAKu4fz3fFePE
lNGKgslq88rBxuq4lUFAoJzgbXi1n/4MygjMu40reRRpG9dA7T/p86dQal9ypF5jwwZH69tIUAd7
IUkcGnmJYx8CivBXLl2eH/bu0n/UpCDGwtgRrjz+Ml79sQM7IPeyIRs2XW/hHZRAc8jAyO/Oj8KH
vbtqapmKd68Q0EV94VQzC0mMHQADmEdzKd0rqDUILpKNuk4E+8kEinRhCZ+c5IWS7Fq2IdCqOG45
6Gcx6N2Qe04NFi63EbeDO2P9bhyy9M81YCoT+vAWXV0ziSwR3tWWBdt0aFpni4vD7H89P4inuiIU
txlsadtArum4K7pmVZE+aku9her23GGRVAyDcWHATk3V8jjlpNW5NY3VnrdlHSgf+Qkv4+7c+46Z
fEMC0tpOzVDcxzHYmCFoe5S3NTP/B6NoEw4gRcW+1OXyae9WCeTciGrJmHnYU0VfzRT1ZEAY1vWF
YfzwVmWyMB7FMM3EF1lfL4kCqmwIRiZDk1WbXyrHmQ7ulHZU4TPtdiqrfuO004CUYhh6rabSB9U4
codXMMJS4IxfOS8nXK4yxPpSNFDKbezMzjbMbfdFdea3zEynT4lG9Mvjvvds0XA2J1V1cOOhRcuJ
ZKTUOlx09bHbaprVfZLK7JEuqcn/pj12GR2+nb5et1CotWgnWxniukZavm0JRaBg+V6WjslDMeXl
zfmxOXVYER7quEUj8mWZqyU2N/6kWw4qu2JxRs7TfHhgZCC8BZG5qUGW/Tjf3onFxmImO8E7ZRFx
WbUnRkAewo4zD8SL5lkSFXvKvdJDBq2DjJvDY+sVV0wOx+l8yyc2k0mkzbFM3R+NjNWx3LHCS61r
Uk+rTPwRCjQqAEf8Rwjif31QLv/K6r5+34pavU/c1En7oehTD43iGtgiYuIz+IytTOr4i822onJI
TTto8BQoSqSbz3fyxHQio8ZFunRR0MvjDZWMALr9xqKT3LHXI0HndRwYxZURig4UTt3+9jHPRWIv
J+BydHyIk1C9ccI4xuigH5H/GzgtXx0HyJjb2eyBIjQfpxr9nVCyys/39GOkggUtZ5bEB5Fs4qIx
8f7oGGSg94WN6DLKTcAK8cRJ4VB80uYCDn3f6A8KfdfzTb7p/B1PLm2S4SH5SAAs1o/PLiiAfvtN
6aHRVwVbM8pNsC8hbhSF7i78bvx7gUG1EfXrtNVAiqFDggZJFat9baAJXunViDxqmv3JO9ZFWCEv
OvmFdAeq0gLf9Yj6W6PdTWGuiafOsAKxn6ImqD6ToQ+fz/dmpfb49mQnfURkTaAiucVWa8WQ1RBE
gQ+zRMEg/0xObPgFY74cbse0kr8EO4QHVK1VzacRMPE9rxir2QyTj051FozuH2M6Yy6mRq4Fe6rt
1xqdV0UV1tR+DHFKXciYprHGycupLaRl0MjcKKjin/VEU9Gm7DpeXSIATb0Zhx7zaeHEzdccdAAW
YkGBJWUc32WJi7uiDwUSE3CJ1Stvta2oNNt5lZg+40JXDOH3xMnqX+eH52OsZHBj8IYkhtO5oVbH
BTpiST7rUelZruXfNoRlVxAY5FdJbvPCujqxlF0pSdZIclEEwKuJQABCZhrsKE8jU+ODF0RQ0rny
ZU6pti6vROO4F87Cj9lbR2Avb/OyIo3BI3l151d61IROHeWebpndAX4cjml6MW7Z7cENEL2YIQf8
PGalTxqpFvFjo8B6nR/ij/1ePmLJ5y8puA9iqtnYFIlo/Mzr3eWZkbrYAnRoax6MMZhhqavAuNV9
Z/7rfLOnOk+oQ9KfXQxh0FwdHbbth8FsmZnXIlQHmqvQH9ge2ha8X7xFRbR9QK/Z+e63OL6oosn3
cRXP3j/5CF6XvHYkvV9nHouGmBHdRsrrEi+aqp3jTyOSDLuox6kitqwSVx8UU7VEphsEMDUMcIR9
YRmYHy4rTGb/5xvk6rJC0U9X/iQzr4q6H0GbO58tEwHm8z39eCMeN7KKlF0tRIYxJPjSclk+p1JF
hwCpwJ0aAL3BrU9wl0XT4hau1IBWYqIujPSpTlKnsN/SlGyxVSfbhlx9LwC59y76I01vYrwnMnkp
xjwxlAZVEPttQtX6agjhAHdlTSSrfBPfWCMTTzW0/As75lRfhAk9SZJIIi+xOpQ6Oyxi12iYMKeA
H5/m0yfNx7Hg/Ix9zKE5gurOfzezDmIAtzW16VSE5XFWwpYdwPs2EwAO4Wr3rRXlG5BwVGp9sh8g
zWaeCmPyyzFTuZtRLHxAqDq5DqYuAZHbxhdCnI8HMx+HuJQuLUX2w13t3jAcZNUBVAMAXKYvUlb5
3VwlmGogwXx+HD4GU7RE1UNZFvp+xiJ+9T7EQPMmSDozzTzYoMbGqXO04ZUb4jpff29Vfum1d745
Tqjj5jTB1RbVBc3her+RhbS3dg0R2pYO3oG+pl2Y5pPtUa4yUZxbzKSXgX73+GoAD1ZRjwcQjrLB
SyYLAwnJ0Ia6pFrS64V/Ial2ur1lIM0laDSXxf2uPYAAthNgYO35eafdpUOgdsmEDqfrNJMnfCz6
fnv6JIp6NEac6FKkOG4vz/FIH1C4AEuMkjsgjXDnWMWP2QD/pWawfOebE8tBdhwdCkkkLHRo/STb
rdVBpwWFSPxCA1Np6Ug/xcnfLQ6IQdvuiwBXCz1CZAjtGSNK7mKtukG1aquyYlsbQDELJGwopG6T
Lt5HNvjBogSyXgCXRF0X48sLU//xFSaWcJ0719BJlevLn7+bCqOpWjnYMgELnaMXAnx14/uwDYbv
cwCJ0JnwO401jOrPD9HJZm0uXZ0cNemM1QipIDDC1rUh+un14EkFlsVBsn6jN/F9gBTNTQCwhkwZ
XqPnG16W1npqCN0hIJBnYD+vzgwA4nOuFYh1TUNngU/Ew6MpwvZC9z5IE6IYYNIxPAbYUUpfSxNq
Sp8HUMSJ1ya5s0mp0e1VHjaPY+uq66Geo5t2aOcfXYfogGt0+oPej+7BSuvFJLd3HtAXti70fFnk
q56bfAn5HdKr0NFX2bDGrXM/m2NchwsLh5gcuLqpRxDvU2THzw/yyaY4TsB8cCxb6xdZlfYOqWp6
n7QmHDE95i0ftNmhTdw/zrd0Yjo5tCgQE8E6JnHc8fJdBH9NpwFFXVV+tsW5B4Z84sS/P3SEfZz9
S2IKvN3qPG70yZyyEp+nrGflOL3hfnGkE72g8XTpLXaiQ8sBZS6zZJHvWzVVyDyP2sqiQ2kbvXSa
7177ZZMdzg/biQki/wFoYKlpUlpcDVunFdkYYVbhhVk/c8GE6BJNciFVx+aFq/ODBilbwSUKWs4W
7tAP+dGsQZa9612AaKYxPLswLjfQZgrPKnGpqZMMMQS91q/nHFaIXaGENmt2fpAUQW+lE/p4I5om
QA2n+kuqAGikhiMLOLV+m481pio9ukmo41HGS7X41saiBPMiv39MZuhFFmqEm2aq0wsph1OzhOqo
A6cExIBlr/ZSp9tJ1cz0aaRgg/BdiemzBVD6/Cwts3C8Y0ksI5KJxKkJYmj9OjEyv4nSvoy8opr7
fWGV9q7HG8YbzbjwbBscKY4z+oXL6+PSWDK/rEFwNAQE61K0nEIQeilmUqSNkn2kXGuHMNOfqLz3
z+e7d+L1xXuHCO7fGAVWx/HmHbUYOzclgZjXheYNHZxZQ4Kb7YpK4hkvIkzUqvbRGkiHDoMrNnZQ
59vzH/FxJqWB9g52A/yIz8Xy5+/uv55XXUUWJoKtrgmM5FJMtUaruDCTK2+DJcNCMyYZfMvg4UG6
6riZrtPAfLhu6KWg4Lj9IXwD9tT9rTbjqhegY3edTogLoJmZI6BYB4+Tm38P/NKCltLj5MYivpXT
XHnnu/8ROMWHUcMl62BRW1DrGNoos5n6kFjmACKlFqE1WY1Bc21lM4Z6eT4+5KJvYRr2eNKIGbOz
soCiWeOT7jcwIM9/zqnFx5pzOPk40T8Uri17HMyqsEOkVGzrFXN2fd+zbrbhmFgX/Fs+RiDMOp2n
6ECoRoPHM2I1XMqytRJPZ3mTlG3wdEBQ5grgYHVl56ZEZBJPbXIfl5KHp9Y9zxZhkioF3sTyO25a
dMiJTLKCyhq72m4ckaCwmSVSLlgutHN5Z07avW8Bl53AXcNSlvWX3x5nnjOOjvcHKR/G4fgL1NB1
HU4PCQF4haYIBYdrWSBPXjuGdWGDnTjEBBcNIERB5YpL57gpGcUhiqYyhgcvmhsttJ2brEdBjW9L
do2FflLXFr+Np1luaSAmJogB9K/X1SRl5ziBJzQ6CcRUa82AOzZSdzk/iieiPCl4eVo6/+dwDayi
WAlrOZ9xAvYonz/MY+w8Om2sQWUp8f7TfYPIXYdnYzco63QR4TSw5oq/yHVLCSk7GKVRfj3/TSd2
EMAPk8oGtxJgzNXNDgEmtZ1xxpIyRbbCMSu8g1HEJzNtXqgXnTg5MXwixsOfREoOr+OJNROjLe0U
JR8JQn6+sjPUkpTZNeGFUV4WyOoWxHaFChE2FC7lsFVEROSlzUaJeLMjJ6zKTRtv5qj5FQv9keMq
vdDaqeVKeXB5tQE/4Ml43Ku2FnpoAYPyeDP6+7kxCZAjTNUnM6v2oQrSbY/e2IXr4dSkgbFgukxJ
mOmstmOcum41jO7CBSwiyKN2sLddQlnZo5V8fn0Yp849HgCodIPEle4aUqm7kREOyOCC1jW+hK2N
DXH7IBx551sCS3IFB6c6NBg/x7jCSzRLYCFAMW0enAjD2IBk+4C1oz++qLK/vvBt4sRUowdOPksI
9BjVahyUSrSJGC/2UlKAmwTM58YeS/wQjQiP7yyx4CbU5cNsieJAF4Nd5889wlmdDRIIK4p/9DkL
UAu8FjnV1V6qGkKhpGYvxf2EYbduG9Aa6x8QQJInvEiQIHAttKFA3G4Sux1vJnwu9kHe1V6YUFM8
/zXLdlpvA5zNFiSspYOAWsbuXaCSW2rELJCzJqY6dKBc7eLxoyP5hOLYoczQyp1DFOkKEfbX01z+
gzhpQVBQB+G6IExaNQ+DBhOVnqlxh5JXu1FBegR/5v2DTvJY4NBmq3OIH3fSLyDO9NpEKxRJNiGZ
x6+6M+FZnEjrKmXLbyan16/iwcwemsKUF8b41JHGi93SYSpQiXBX6w/8qsggzcaeE+D71+QNRS68
PS9EHid3uyKyXtJfnJ6rg1PJLqgG2GtAHRCSjuSoY7EUwvtsXff5/Hie7JCzwMZ4TQoye8fjCQFn
7txkuQ00w/FCd4qugi79bbA7E4XJBO1QJzPkGipWJW4MHAyBgjxwK3zpOvfK1kTxD+4bTAYIm3jr
A+xcrY1qlKlIbSbH7IwZWrGO+yiqlb/9Ml7qbzzxXV7GEqjh8YiVo4WaHeVIjwPBBKhUYtic5Bho
lpfKiifuNVoC8EtJgl2lL8vk3Ya2+toMY5O1PtnYJ/VaYmJFhd2ALJJ4GydlcWHZnVgLcGYk760F
8QZT4ri9zBr1ItHp2QhRZwt1QMEunqLtb684WmHnc3U6hrs+pngJwxwkFPKyrs5QHcFaKui5Qf5B
K5xCAHjI6RLlHfdFEWoN6TJ2uT1Vt9in4qQDXPFC6uLERgUkh8ckL0POhHVulPtnFjLsYq+LjWBv
ttm0HQI0RyyFBNn5Dp0IO5ZsOLDOpQhIPHXcIQ0afVXoVuRlFmmm0nV+dRLnY6eOn/S67G6KxjEv
nLWn1gP3OkCoBRwn10nqOpTwWtGB8lSbaegtoRYRRnZ4IVPydmau7i3QwYQaBOML0nD5jHfLvIfS
N2gtxJF44ty7otCQVRtHRc1wjWhW+NhpWYH+jFBJvQed11qbmYgbiioqCVh/h/58qzTdRHN7lEW0
5RJM/sC2oHpOZvcvy59nJCpb66tBjU2/0lUbmai31ciYGRMghKuqVL1501mlsK4iuKJfAn3oNEQH
hn7wxsmOCcqVgSGrycPrpwLwuk8iFw6YHphufsNZVhloI9auuev7rP9m10gFbOC1Dq1XWX2nriIQ
ILg6GL3tpQUQ5o1fF+IVHWMU97vCzA6Z0QsKjdL6mY1wW69kRq4/V0X2WFfIoecCI45m7KIZEwNp
PaHPjiQtdIP0e9m6Yvm+CS1MvMkaGORWjxukk9nf0lLXP7dY+qBm37b1H9gHNH/OM7XbjZ+h6rlx
wrL5YeM7xX+Zd7ioWUgH6qnVXbmlBcPdFb39KpNYfq55r1igrYYEqn+PNjqMcwUzfVJ28anOZvu6
y4wy3jZzZ9wxZh1KiWUcvFSJUx0mcrBP8HbrXTeFeOQVs7ivBqPb69aU4SKpIh2SpsAHry4Nko3K
ruY/ZDM6ZPx9Dafb8xvpRHi75OVcyliI6fG6Pl5uuj7oQ2Oxqssqn9wrsMqc3UsVRkMGYi99/OSQ
O0u8IXNezrd8aguT2dEllXzC+DcTmncLPe8z9Eup23kRkqd7LZDOZy2fxr3KJvzeeFf8iaXJJTfj
U5cIrBHieBKNRC6rQx1P4t6PSvCBMHixTx9dVPCgUntFPP6kdKNfODNOnIhkIt+Mb8nuG2uST+13
ysjthjdfif27m1j4d5TRXzM8nd8/EGmJ8gHZzwWaseqYXgSW5gecvYwZGSmkoPtJK/DEAAFTJVp2
SGP97/MTeCoXdtTmMsPvZtARc435Ki9a26mzZz/lftEdzO4r0CGbaHGxMai772QTh1ioBPZtLcpm
F8xANoMeYY7zn3NyrCWojKWGiLnS6kpoWza7qrkNsEtzd6YVltuunKz9rAp5YdMsg7k6o00SJVAn
ocoQ+aw6ztkV4BidE5HiqnANnh3X6jhGBa8ym53ekAc+37VT6dCjBleB9oBixShAGntqBhAWxEiI
mQEO7lFUhxvbSapdlYGfUyQDN+Uo+yuKadqhwENpL0ocadpUuTvYZhdCpBNvLHK0BIBkQhFnXocV
gwVfJzFSph1OxLavW3Qisvy7SEfkl1yV7drGRBUXw+lrgX7Thc31ZlW4ngbJTUyyjwewsX7+AvIZ
8WrFt5XgDLefsdihXbQZkuqutbtfM3qK5hTt7aT+itrtAfTDHeHWhtWx1drydTSKb0r4h9TOUAvr
N2PaPYsOBd3zc3cibKA4RSkdbOkbWPh4k/QwioJqKUoMNkY0CBYsclbF8PsBHjZ4jANUKQgvi6ve
+62YAKXXcy0gLT+h7dFhnOQlWLVc6MsJcs9C0WXJAwJmbtd1MD2VEKIjw9/XGvDjoXKznZ20yXU2
j/6BwqO6c7W4/FzkyKLrNRpzwq51L2uiC0fPxw1IHg00Ke8NS0AKXcWzg98h1eCjrzmHorhLrKa4
rrD98XjAFT+qSl7y8LzU3ups0TsR1DqIgj0+HdPWjEH0jHMS7JDktTalqKsLfsYncESkfxeAGZKl
LrSTVQeFlsbglJS7j2txSGQntSvNrF2skwqJ6fU01TvkVyekv0zU8htEs0MT+44ONeVHp/L7m8jF
CmCbN10FwvYS/uUN5Hi886iBkKMWSALzedbqSY6qhGijynH3jWomRKf0DUgnNOpza1uEykAd1PnM
i9QkTz9o4H8wfCk7emBSNv1sT2Ak/ea2VPmXqb4EjTwxVWRzwZAsLxCyn6tPU2U1GT7n0V614d0w
SzVd1Zr+KfHd8cWxgvT6/Pb+cAQSvZCWMHChdHHKW5fug7aKw7CaI88MctTINd3BKznuEYzN5WaM
A0q2frOLEuN1xK32wj203DNH07A0DsKWPC9VCRIWx7t+HlHe78Mm8qBDL7bqwZM95F+NJMmuyq78
2zL7p/O9Pdkg1SaCJxjLIJGOG4y02amGsucw65GNTpO8/WJjurt1UYXamZWFNqDTXuLhfjhBwRKD
e+GkZ5DJaq96OQAfyH1cfvFFmpEPr+FYyD6/xM78sG6WVrjHLN54pAzXPDo3GZWL90LkVYFRHgIL
ZbgZN6Rd2KDrNACjvnBifwi8l/ZILRA9kCgEdXE8lPkolJGGFUNpqYdqEYInDeDc+3YO+H3o1KbH
0eUpwFb8woo9OZzvGl4NZ9UH9dgpQuA4Q/Qhm4N+jwHdJSTkieHkdF44Q7bDiK5fy6NtNr2IJuqk
Rd552pygOTZjJmnr03ifWBdZZR+vJq69haPEZlzKoesbUAsCTcR+FXp+KcS13aXycxlgEVkGrNTG
icpDO3V4OfRg0o0AISqsAkMsXGLt+fweESdmFmQ7BrIL/Zbs0aoAE4AHqxGK50tC/HWoBMUboTW/
eBgC2udkvyJNe3CrETcgucFXIt5OxRRvFMWOK/fN8c2pd0CTzO2Q6Dvf1rd5PIW7KXIOSYSL3Kjr
n4Ymfmoz91ECfFq83Oor8gkodCOe1LRtc2GtnlgyRz1aPRLLMa7wNAxC4rzpZ27hKxWB/TmcH7dT
K2apeBLKUWBm6I43RNWVva8whvdQuMSv28obBKZR7Sq6fitM6xKp6ePrhQWDNIUN64cHMICb4/ZG
lWnx3CrMCfrqLxWlYhtPpnxKYOtuM9/6bMkpQVW9DBGss1tSS366n2yl3fby93kMy7csgClScxxx
HwCXEltNSNKB55Yy3mkSz0lNb+aNL3CwU6lt7p10vvRkPLFOl5wtdO0FM6PWKC0eEUFmtMwqLg2f
8iAWz27QZV8MapTPRmiijdyRzrvCtca/MNVv797VxUXTPMIJ4Mjpr+m05PVmY4qi0BtUgQDijMeq
71eAB1LqaIrUSIumX56O30bVcU75n1KlDtKufvLc/Kuy/A3Gez3Z0v5vO0woKaWQu7X+B3nq64B4
ZdvU3T1w6hipmuqHsopm12XYHAVID59ftCd2xsID4maiK/RneZS+ewJ3XWFbk8sYQuJq965q1d41
4Lj/g1Z4QDBPFHV54x+3QhaUh17gB6jjVP2WFS2QvZ6cC7v8xOUOBl/xesB0ZUFpHbfSJUmiJQPi
MVTj5w2UTn0bYtGCRCtda+ccdxByKheWwn9xdl69bhttu/5D7wDs5ZSUuLSKe41PCMeJ2Ya989d/
F71PLIoQtxMgQQAnGHHqU+6yO4GrPg6QLQqeNzVjBUfAAeHzh9Zwf9Sdqp7NKMkPiiO3mSKBNKec
/jtVY0q4m3C6bEIjdWh5QpJPqzdGbaleqy7KOSqw9SkiXZ5IsLMzqCPxSVR159eNVM5AxpIPYGJG
fxwmg0qeYb4Zls440b9RiWEbe3lOK9RTp6znn0IeqmDtzg7dVEpHLt11dfNWp2mShJ1QWJLeHT1L
Qx3GGuKf/2F3UYljBHYSxLbrda+yMmycmkEUC/luPc3Ns9UU1enPRyFKBuMN9IO/N9e7bnfZSBeC
hV4g+Raz3SCtSVRwf5TbxImVXlv1xP4wG2kUXX9M3meuEWJU+OBGSvq5HhcDoXLK5taCjWlCnn6i
jlCh/QSYEoOjd0hgoLurg+DKgN1exmnGcTpDeSorivog8rrFEqwpHWyINeSjaPHrz3+7LXK7BwQp
UG6haDY0vptG46s4NAckp11Kg8XEDsDLq43eq/XaQjdqo3ybZGRVtHbb1EuGtsLAsTAAmQsJFgo5
ERkHKdqiCJXSOIM56kjj08Gcrkuzua0pDCtMzgqDRiHlek6RhLTyCNJxwBPYfweEg9cq3BVfyZca
hzl+WJvzJALERv/VkjCVeitIkRw8Wtz1mN78kDU2QJSHjtlNvrMgUdxnHarFyMMhyo7lJx5qeErl
RmCmev6mqMbcj93wJ9Wi/GdoRARHyzC9q8xSfXd/VnaOpoM+kEkFgtI5Icv1pERuOzatUwoshOb6
hKSS6sV4KB988u0o9Ovod1pUyGElb4uabamCQl/YMRauQJ7SpQ0S/dmR8MPtzc8oFm00Ln7S2Bux
MmW2skJdwoDMWjs11TxfknAYcHNNpouWq6OvFNp0cCH8v+W6Xk6Gdckj6eYC1DA3U9gms96YEw0H
2SMflKgvlZ5XP5aRAvdZMTLMPEBxIk7rlg1KyXkr35uhjQouGqgTngfY5jxHla28B580vwNeI4gd
lDdW6q4es0b2bSoBEJ1dIInJg75o+cc41rUfDu0OFanOpDR8bdLnb71U8+lUGw4+vkPW5cbj1Ewi
WZ24S+wrwwzurNSX9GPazDKEmJVgBJzkcRjBUgZqdWrx0JxOiVlGGDQMpnB9R2hNekktGb0a5i55
afI+/GvCK+ZkTW71PYn6WXpZCh/N00AWvhv6yvikjlP+s+i04u+0iurEWyIFt5t+RmcUNmhCOiOS
vzPO/uodW1untlAYKqRCO7HLLeSUhT1WYCMsOMLLkMU/UqfmBJRZm3wXo6viES6m5Avu8/1na5kh
Czs95YJy4VJpdPbAQxprmFZoXT/6FSjAH5Oh9m+spHDBq5lWc5kBLL7LiaVNL1c18aI2RhKe9Xg0
LnGv0zLUhCK/xcIZvxSV0b6ThrpgH6607xzaIH5s5i9ZnwsktJxeKVA3ragTFfgrW0NtPnO72B8l
Zb13EJjDc06VC2P0YvVnpgvpXjqR0q1Ewt0Vp8ZpK+VvLDewqjZGN1kdadzJ9HMYAHhrLHP0TcVv
EFsMVe2xBouz+aExK2H4/5NdisZMrdHoSuwYompluO9EZhWvB6UwP6E9WCC8ao/h26l2O2Rp7SLy
CicDX6rmq2UjtYHokyMt8W7EKf7z/Xvlpo0BImRl9dLMQSOFR3lzrzSuPYVZGuIPUpX4EOHI1Jfo
NtutdXCv742EVBGhHg1iyqjr3fPba0QQVGtNlFPMRVfiuWrjn12f1VgEtslBlLw/EgrBJvkGYf/m
7S9T7MOHKWYkspigjvLmealC02978fX+7N1ihan9oT+F8Av35QoOvP6ozKkcR7Apg2r1V4n1Jf8o
bJqt3Af6hcdj5iltabaCxTzF0QCJLMNd4OBHrGHZ5mLjR/ADIMFYnM3N946VPnHrhMjrRtaCeZGV
e+bkTkFpFJ+0uX+G39l4VuhgfhG23wv8P7y8d8vnRnT/IuifivG568K/Esd6tmLd+tlXS3RpUwyr
7v/QnXWh5gWCi6Sbypex2WtTbS+GUrLXOoGxSxM7/8g2789AeMM/zi1YFli3SBigsqhvA3AnCkEF
6TIMQtMqT0Nu0p3qcbiqignfrkbqk2fQjP/zfUcBeBVtWmWlKJJeb4YoTEY0Tdcquh0pX4cOwfhI
QxSe/9b6D1MJDwRSFQcX8uTmLbPVznDjgqHcDLOsPsliD9AGWtz4hx981e4eB5627m9YCLxW15/l
mlk/InTgBkMzglQowS+cCSvbc7to7llq5vA48uCehakOp9qpisea6OFgk+/tcdRSTJpA1J4JDq9/
hIUAxqzaBi4JejK9kdbwlitNxxDJQDXXbimduAoWexPJlDQPq7XrdG5PGEQE+GXkqyvJ7Hp0U8nj
VEiq/B3s13NRNJimxbXzJAZENLNkjD7NZdqctczUDhZ6/a7bkQHom7Se7JsY3onQm2gQFA96QMHn
GSEa2jHukfDS3snEpZmQzCRbhWpz/X1jnfVKUkxuUIgwObWpFcJ9FC/At+yDHu7u95A0AQFZNR1u
YOkEP7XMNDdAeL1+TaOrZPcmR+Apa2/WgCqbPDRo4m558SYIBJdAg1EKhIOGRm8DXZ3kK6VKG5Ta
kyNizN7u1FYdZx3s3noHXM/fgCzLVHHnBqKI6zfujCpIVHXVuSyHnJtm0E5Dp+cYJYgRKql2lOnt
bU9uVPID+rFkoZvDMVZqCPaH4dtJKj9aK0yfdTtPAohD+bvZNRqol41xErb18f6NfjTw5vlD+5e4
qmZg9BCVQDMi+UVLbeH1GjIScVpiF6DH8u8sDw/QpjspBAAXaGEQ1MkStgeys6alAVzDAtPyQ/Og
wSpOl3hbdtjZzF1cfkB16cf9j9X2dhWNfx6utf3Fs3K9yr1lpjgCtW4wmfLv2bLy82TzQzDf1MPe
HwpDC+w0Kp4ahFm9SOBlGnYmV/Sct6DKxEybx/5iiqZ+25qd9VpbMHLJ2R0BeFrrUhu4Uw1DjavL
bGuPmB7oAOMQ0AQ5V/C/6v2Ppsij9/c/anfnAmlE1JQ+1I2mXIthNV5mTCQtqBSHb0SoHnUxZ4+9
Yg6nJZxxBOnD7FnUmvRzUpvH++P/ej02Fxx1aFaD7i6dxV9YlN/CwrhZbBIsXpeubLpX+DjIV8mE
43JjG7m/6EX5ih+Svzid7Xpt54ZeHdfjW0HqdipUvLmtzMbWqZ8w1m3j4nlQALF1izM+a2JRvBER
ohBttgu6Q2gaLrn1KpFqdIbsr3wynWHy2qrF6w5tu7MStfFJ0QBLTAzuW4umPqOsV/q5unrET5jU
Z/0Zw2mKhwgf0Z43cJWAXKQ1pq/0ZFsHU3N7iSH2h37VSicAd7Ievt9mRullLZSGDWR2+fCqcgb3
rCSxfhAq7Rxh8Bv0T5C7Bsu01TSKczMJNQdrU4Ik+xzlEzp2lZrS+MTGL5mxcNfyDh8gajUHxYZf
5cTt0pN8UIbllob5vvnAMlGHcTB5VYFA5o9VrNfDMxUrrfcda1KwdMqq+Zs0U/Wxitj9WpwhVSUn
+wxBBv+wZOyNv4qk6T90FbLyePQI5cVR4rJAN7htEdVN1OQxXuzxj8kewPWpv4Ojxkqdrs56Ufy2
MtmcOWjGM2dNmGJCuPof2dpUAYety9OiGf0Jtf8WVT4TX1GrjQ4mbue1JuMAsAHVAybw9h6K8Dmd
5qYkIMuBBs9aaHhd1WJUpIYH9/t6o21XCCwRvgjcNivk/vpDk9axUQbjQ9VkwEzeQVYsUiLlYAv+
CoxvhtGopJKDonO1DZynJE/ydmmcIMGpEufaNnEaD6DohLgqIZn02663Mq+1aSZ7cxhqXzOM52MQ
sH37cTFmFdvYYiZrnqfs1Ot152K+FDV/wxDVvkKbGRuv7d3voqGa4dVDMr+ZYXX+CEF0NSdjml4t
IQTglU6Vll7hUnehMhNpP6SSJC2qrzKRl0RIXJckpVSyq3LuMq+b3OTD/SO/06la6QaIJTDZuL5v
uRqla4s0tKUbjJ11qoX7bUpB4Ck4ghaRecGJ93ko5Ws3pOISGe/zUfk7G5ZX1Zw/RU31rq/H81gl
vqkUHwa6A1Wn+xnOo0ItzxqamMKF0hyxPXudu713G09DzONgNXeeZkqIK3YCxhwZ2HbPSOzOQOY7
AakXaMyecnJe9YbfGuaL6nbdyV4Bk/fnbecVY8zVFkBba3xbWYapRzUc43sn6NzvUmJLhRpr/lhU
wImdAfHgRsksL66b7KxHAMHvD77T2l0lX6GZ0mfgGtzqAclQDe0KZaIgpY3s2Wn9rIbtg0ibj0qE
qXasYvjVyw+Fq76PLfHTgBOhJe2ROuzuvNt0nMhTQHNtH1IVbeAoqzsHI1v3tTrGa/184S0rkujs
hnWH2+W/9z9873YAxr2mJURiaHBf3w4jlp2w81jpSh31k5s7tl/GXBH3R7kVc+S25QZC9R5WJNfu
ZkOViYLuRM/z00XzN7iGTlDkDTh9YL8nLcsTr8rooVf0YbDMK5oL2NXed9XY/OSEGNUuiY3FH2a6
D8uy9ntxWsT+3IlfZqTlnlFt0wM8ztPLZMXyNTraf97nXH8+x4GsBzL8Vue+XXRRtBXGt/WgZc90
BrUApmCL9Riuqe6SileRENPBIdxdGp4GiJro3MAlv14a6tELOhKLE1AlSakm1pjdl7V58BDtHTs0
SmwTgQLAN9u8w1qaqtExPguk6uAxVWkWJcrRDeqlTD+ZZtK+JEviPufFgCWerOXB8Oszu302QPSD
wYFPjTrE5iMhC9SuFAzfZGtbXlpoNQz4yFC8d+MnaBg/7+/E3UldgWEO8nEmO/96Uk2whhPlYycQ
etO+9G0B29gV3cFXHYzyq7n8W3AhqgQI2DA5gRMbKq+dbVw6FAdO/+FbkFb4JZlJMrPO7W+jUCiZ
qWm07Eq1R8e9V+1T5KAu8R9GAe2CEAvR5Q2AV5qZnhv9wDZM4oi71/pQoNB2cP/u7ULUCeCAQZVy
bjjhmlN0CJpy8U1xob2RzpK8XlxiIjE76QVDZsQMphZqel1qZxc82sE37gXQiCjRsaStRBi72RXA
GOJqqCUzmWvFxUx7leCD+xAW2nhJSe3Ond6b/qTY80G0sLf/16AMwi/IU6Lo6zU0pAM+Q+E+RHz0
RGn9h7S15QKVxV/GRRxsy73n5ffBNhsm07Taot3NZb9E8dsGwetTbWVf1ab54OBJGNvLEWTxVr9h
JcKvoCk4d79wktffVzd90mc974scRfE1b8qp9irEhM91C7k85s3F5A+ByGIWn2Orc59GBOROk+6s
3en+n1q144O13jmb9IG5c+jFot68fYoaVzi9oBQfRKgzXYrCGJ7+P+Lhnam+GkW7/u5lwEsxWm+A
eULPCuVfI0Czy6Kf1bZvs2hO0Kj7D5E+WkkO4TclFfMGDmeWYhTuerfp5TISNC6zb6059v37YAes
CPZrNSKjbA0Py94cFly9s9IwepsXI7YRi0qbJcOavUduvXacb53lpl8NPZuwjXVmZfESxRSZbybp
ZD6Z6bA4Hh5CVYTdTxH+7AfKwp6LM7dzArZno4enjN3btra0v4yK8MDTGxeic7/MNQUZSuar65mb
R77e809PZPXa4LPd/D1RRfRed2X77f4H31Jp2MNAGFYVDt7Im/qthUy0WoKYpKijDe/M3o0JTfL6
NOFVf24j1fncpN0c2GFX+UA4smckxozvtP2GN6oZyqc4E8JfehAO93/YzqUJy3CFjYJPAga47sHf
7n8ULA2su9DQiBerwZgbGPXQhaQR1H38PMvpWelCDQZT/+IozfDp/ug7dybEVoqVKyNPuanm25Nm
inRcKyiuNr6a+z5/qkXdf3ZljJrAgDyCTSEnUNrQOqA67JxgSulrnklMRrl2892ZolII6mGMUw/p
/1HTqffXbXVATd4Z5Rfa8FdRCyTCph7spjIdrMWxA3XGd9FznUpvPdOo8oMw7/amQH0UTONKi/pV
RLleRUXajY4NrB2ErStPisji9zFG375pTPbDRKrg5W6Yvb+/eDuDro0CEDHAN5Qb+VO2VVVlKg4U
Rqi1tbc47vy2dNUvoaU1L2W1FD8ae7IObt5f0MbrYG/tbAJ9WVUSKbVvbo6i0KcK+APQ1J6w5hQq
Ge52odPptrfYlIJet9VQfVSaMYn8qjXLj0nY6h1Rb9jrQZ5b7V9drHUmDNhCf+7iFuPgBXnp9lRF
1uicY1zpK3+ZW+x2W93MFSoAofo+rOByebJNptR3ZZlqL04z1zXKM30aeXHfKO2p7Sf9ew+iqgOY
VMCMUJqw/MctsvG7TTn3a2KXHQxjVCVLrzHSZjh1S7s8NlBo6iBtF5KXQhkd6RsZCgqeKsTCzS+V
9y6NDcVD471znpwizPJLaJa16yfAi1+GpJPQEyyRQ3gX5uJRFcL3GMDHMvhmHZXyBDyxAqmaT1Z2
Ig2U76bM7pPzPCdfMlO01VkJw0n6NjSSr3M4GO8mJ6krjybpJJ+REJucU1GeRnto1UDqlpKfLDx9
EUYd8ukVvz59GZq8MfxsLjIwsr2igxfs0+Jgv+3EAVRBYT/SNWK7kQZe73LcNxLKabEdIFccPVEs
bt/PJsULJ1J15DKRFKzVKnzduEBkpslyXyOrUQWlRf+1dWi8G3b15/kVzrhcn8S0gP/0LZgh7p0w
clrdCqQbyoue1f1DM7b1QVnjNsBjlLUoy8dT2dhCZFvdbTtOuBVAfrL8VqmaszsAXFbsPjxpyXCU
FByNt7kcK2nECWZeVoAFnLw0BL0nFD1O2JJM5JDlkQ7p7S2JuCC5MY1AGBsATq/XNZGiEYuYrWDS
q+Zh6mgfy0qMBzfH7VvDKKANNBLwtYSgX4/StJaOVH9rBVaoZSc9bKd3gx7pIAYF4+Fs+2IDlvCX
ZDqi8a3x9+bKAo7BkNyRsFW3ZU0ZVW4u58oKwJkLf5YtWmeGrB+TzB4OtLZ3ppLPA4nChLJXtpCX
JDUX28xGMzAXt3nkegkfB1tTkoP3ZueLVmEc7A8AHlD/3mwQSix5VCSlGchYRM9ZkmoX/NLdoKzt
8uCh3hlqtTiDYw6yhfG062Uz+hipgiKGUJ2IEoG0pfajsXVPVbkcVc52h1rly1a3MeXG1iFu46Rt
RtcICjMpAzGibxqN2vigcikebMadtxN6JQ5KPJ8mdiybkgVNwKaLF8MIMDOG0ZqFKPvFkflaWZLs
i9qoCjp8YNjuP9g7jRamkVOAAAHt0hvBX0UlmMZkWEeklHJFPSJgNlW8odI2ngaZNYgcDsb7kYp3
6urJh0wH9YjbRxJMi+uilmWqTwtKFCdLGl0QOZkMFoQ+aHdkEfqX4af7P3dnjn7VFEmy8H8D8Hq9
8mSWIcnBYgQiNxwuH+6GwDcA0V2aPIwv9wfbufJciqV0zdflgBtyPRj9RddBFskIMLfWn4k6zQcx
i+HB0TG2mEU+/jG3Yj03WJ5RsaBkvD2oo6xGjjAA4nABZdqo8IlzJ08OvmpnR/+ihIGuX2/XbU3C
Toe0rmTCKNZsvLdcOZ8juXTIuPN63J/AnZuH6gdUcHphAO23aG1MdmShpzZF1LlR34RuG0H/T47S
lR1KhUa4A2aEmBNP2e11UOf2ZKLHqQU05MSTcJ3wfZtFFQpg6IlkXmKI8uzU1fSIR9b0b142c1BM
xvTYIMzwBpFP89m16OyaSV0uSLZI6dfEsHh6JLHX2/HS+osqrLemjOeDTOt2guA8Uf3ltkTUE3TG
9Q7r9LrsrMrR0DmhJyGr8IfjNEctwd1BqEjC6kJDim7d9SBqveQ9CrlagOn0ALqvbL9ZUV18vL/W
O4wCMibkUxBdAi2Kbuj1MGIkgkwny0bmQXRPs2zKIJvj/N+xzJKn+CWG4aj2g08R30bypCe7TKY4
QORn/CvHW4hQ03bfpxZyIQ7I2YBn2bm0Va493v+dt4f6+mduptzIoyxFnoCOwaKG1IX72F+6DrYC
0BikipMjj8Hb48Z49O3WajsCa1ulZD1ZavCGto0HVFb7dU8gWGFt6IFj0A920w7xlLEsZBcgm4Bt
3BIBcGlxgZ7hD51EauaT2TcntSxVX9TpFIRFRWMBbeZHpSrbEzo/82nIDOFbRV0c3DE7W85AMJlO
tENchU/E9V4wXJJzeDV2gOfUcBlDhMP1mS7q/aXcQR/yvRAf6J5AS7qR6o+KRbYh3XiaNBG5C5Sw
SxTGvVc7NYm1WSG7MmujL7GYeq4Abz+OlKMP9tPepxKjQrCFl0rZapOAlGlMxguEIYgj28AdMC59
XemNg0/dHWXFR4PGsG5zCqVy1HI1+gmSbrRP4TzOlxSP+vP9CV2P6HVQSjpBtwbtHv5CfPd62ZS+
meAqaStx0Aa76KjTRV3sf8fYpt6iqfDKxix/0ogBDkKfvUOChvXaAltzmq3GNsKhXShrg0lcKvu5
a83w3IYSL2u1OBpq7/yDaCL0psxIaXyzXgjm66ICLhqM/VSchpQGoKomKba/HY+6aRzlTbsrZ6FW
TQuYwvD2/KvIGLdiGu3A0ubyUesT6ckhdg5Ch92v4n5ffePpNmzJn4M64wQuJopKhe349IQqKjBJ
cUny8ZM+1fLt/Y3yC459s1PWviVVujUK39yiGe08JYwdK5i7skDju3d920ymU4yevx9FeuW1kE0u
iH9al5HwIOj6EVHysYnfJMboXOoeZXQBN4KkBAuPyoRCagyN8Ic2Vz10vIdXPTYjL3FPZjl3uCio
oVW9ONYwnvplhVCO0fxok9D4gK2U0nORNb1UTYgBL64CejtOnlU6HqM4Vjnh9pOaD9qsp8/lhMDA
/yq16aKkaRBSzGFRVmJpn5Cl6qGljM6X+5O1tzYrAX/1ukdFz9yksnrd69W8UIgTjdQCKbMwoGQB
WgYqBJ1eXT2A0e6dYm7E1TySvhOF4etTXKl1LM2EOnrrarXXdLn+2exM9U0NIMmviRBwUEWrzwUS
dXCMd/b6iqkFbEoGiAX1ZldMUekarZ1wSw1m/dJPCEqrsm0PHpfbHIALgrqpg9UpJMat1Gue66gu
y4i9HkWmr2vFiCg/AGixALyxBe6jjSKag0/buaGuBt18Gm/PlFnwuINBdljqSbO6JHr5MplTe3CU
dycRFgQhITEbFlnXyydgZnR1i9mkaxbTQ+FWgr5LeoRK/lUY25xgkDirqChqUOtw18MktHtigMm8
nUAqzyVIXT90exI3OYeBFunR46IPysWhjAxqPpmeNOCfsMwqeckntJNJ9bqTqnTGo5LqqOvkgzx1
IvkHxrb2CuiCCt/ALC9qp1ZPXTb8tUj4XK4KfGkI8/7NhFrEi+hCy+9U4HBRGhaQi5b44f7Z2yHh
khMAH7TQ5VqJMOu6/tbL6IbCTbo8twM9imctUPVKVH4kdOdvWdHN85JSsWgNZRGCF8k4v6nyxWi8
0KzbZ2c0qvZUo7Z/seYSqBXiRvXXrFOmo1re3uai20K/d+1omttiUFzHUWVUFDGzpkejSBGFP5aj
9tQJ8wieuNN0YkK4jig+kQpQOryekDKXfWbHlhUIy7RfuXZcBW1YZi8GhLNgcsPqmyjlz9SZOg8m
XPyUOESHfdHYXi2V5rkvrB8SZsNBFLU7A7/9qk3kEYsmiUxV2uQDWX2qXe0DnZP00pbgYO7viJ1s
ERrr2hQHFkJBbFunolDP3A4MZcSWN5pxUGE2u7j2N9Vd3sQC6KCikhMY8PXi9K3eT5dBi1+NK1C7
z5K3cyUeLbX4XJqdP+vK69YW/rhg9X7wM/euAeJniPA86dzj65//tnGpcthLK6m3OkKEtDz7cX52
zWg4d0lHHR63nCDX2uoS4cvgVUs5XrDcqk/EdfI8T/p4Fqibn7N8Ti9CSuO126fLizVaAM95gM+p
tahf/gcNQgWCbuIYXuEtjLDweAbQY3iwlY6wfztQuJU/TGy51lRWDYTrL5qXeo7szLCCVY7tx1y1
pYcMz3BKFaN4pNvQ+UIftAeh5cvb2C2AJboJ2Xuem9jME5Ten+DdgwAyj64Ryit44WwuQIxBpzlN
XSuIV4BL2+SIHWmR8WCGRu6lckHv1BEJLE6k7BRp/dsMxQDRW4I1DSWyho3SBw200YOHZn1Itvfy
Co8E2g1hhEfgepZcAYBI8rwHbRy+EDQVH6wsqj90A1qulaL8ayV2dcmh2Ab6gpjh/UnZ23RogdOa
RM5rbUxfD66NQ5ZaaWgF5DrzSU0gMBAmuQd7eycgorIPPJlpR4Bhi1Hu1XBsqd7SJCyxLTXDfnwp
ZvnJgCRxTjv3z0FT4ON1mFl4+JBg/NqXv52klSfRJ41tBX0c2udw0pNTrSEkfH/qdjpRDIN4jUEx
9Rcy5Xru8jbWVTHSkCmyrPeQJpI+NeMvi1a7p5l//zbOKHM0jfmkRyWyu84rR6Cm0E+f7/+Q29mF
5IMiIb1Q8huSuevf0WitakVy1IJpln+RbWm+KSAfR7iagxgruoP9entzMxyaAKznWrfeGkIipLwq
lhdaYCxC9B4wrN4bZB4/a1Zp/HEn43qszWNOAtXQg82oZIXK9FLI7GdYlUflxN35wxfFJo4lwHTX
8PO37SLLMDMbCyTmPMMPdXpXOetzVZ7tpiOpsuej1H5vAnnyOW1USqAJb8bDK3ReAcJqMNlV55XI
2r0h8CvOralO5/tbY28o0EMKm2LV59xmiYWSo+CAXhbQikI59wnYGKVzMIayw+xgqL1ZpFAB8oAG
GwC/zTWGIizkbeT+yXcM441eVtVTE9bVOQIL+BxWRX2wDdddfX1tYi5AVg9jBJQf+IPNqi3LnMVJ
yactCjWtkbrUOcGOkpywy8+hUucnobrKaZLu0Qm4vTQZWmNMWLArfGSzgADME62NpBrgwN08lFiQ
wRNQ1IMJ3R+FqwWRMHLIbUN0wYm+Vp1ExWZUNfyup0SC1sCR+9LeDqGJR/IGOZ7e7bqsv23+qm8q
wAQs2yqKDsVqXjAWrGa/Nurm4IP2dggWCiRwpDr0njbTlhsofpVNrQZK2kovjSbr1MS9doqoDXjd
EE8HedVO/AEemCcVljnjUeS6/rbaTWn7F6ESJGPi+HkjshfhIC5kKJHpZQjTn3N2UezpSEODZgi1
i1IryyNIjNpvCvsIu3471fwcQnGwr2vQv8XyFkqpDvxYbNJap/NtpU6CkQcsACvx8f6xv53p65E2
ZyNsSZahHygBKZt1nkunByWZYXMVK/kZotX3+8Pd7lSQPxz8VaEFxfFtj65FxSDPCz5s1dd4cOtw
PEu1qA9YnjvTp5q8PBQMSWgIl65X02kLAC+lu6BJ1xaPiSmjoACH+kjmedQj3fkgwKboOBGVYVqx
zSFboKOdVppLsJiINCNr3PtgctKH+9O2s0qMQqPMofvLjtjk/U6omL1taUtgtnFNUV6+CrPwtTq0
FptjPsJM3X4TVTfQAFAnYMYDuLuevqoPmTJ90oJe0+sAORKJ9E0rPt3/pl/BxvW1TDkScjoRJUtE
3/F6GLeo84i0UQn6vg11f1Sm8NtSaKZ+qkc0irxBtGF2GmW4EM9ilP2cghWugqgp4/6J/2SMzoMZ
ZcabSTbVe1om0Ze8FRl6QNwVJ8Ci0bs0nYvxMSyW6jPeDpbAec9N5neK2/wEFVp9wgUqVb2w6pcv
laMXFabOhvnKrIXsTtGgLMLT01HKN7Ezkj/lalqroJgE2ylrwC5PdvlJkaPaYw23FvGmtcdyuj9N
O4tB7ksVFSyICdN+c0AV/K0L3RqUYGrz7qGZEoXkNI7/uj/KTsbDM7XWIddO43rDXy9GTDwPmw7B
9nAS9HqTMX5dFEuDNCEiDumLWc0i9eo2d1uE3KnvetA07NlPU818iMrQeJ9YSvWxW7LwIiJgVQcH
YL3wr/cKtWRatDgcU05jMq5/noWSqj7pcg7ccU5xHcZLOW5ag5JeknoxsKoXIujmj6eeMenuUwGD
5goA4npQjBRpWro0dhtTGS4ammUn3SmGg0+7XWA+B3aIBtRo5TpsYnIiPEOMKWe769MRudcFiXpj
sg6Qpbc3CKMQitDe+CVluXngMnzAtZkCVmAmavGk4xPdA0+E6zfNWfGziWP7YPJ26Fer+fgqCsi1
uDI5rmevlo0+1LNGP93oyYmjwsy+lHShmycptKX2WiHrl3ZSouJZZA3k21gf8dWIlLkUXqoLxzp3
i9F9r6p4eMGnKg4fjHCuP7mUcmO/qQQUrQrummeZtSs8V2voz3YhPMjTUKvpUXFsb5n4itXSiS42
qJjrz1HN2nZqpVuCqOySZwuIlp9YufMfNsPvo2wmLashnesNlib1UvenvJ7LwNVhn90/7bfvI0vD
4kDwQiSbJ/L6W0YnGwU6WWy5rKi9skl0z8iKxY+4bA5S371pWyH7lHVo+gLhvx5KwL0zoiVh3zXu
+MqoBS65qntUuNsdZQWYAS1E12ZbF4+AgdrJ7MwBaQe1OTMfT0IPj4L5dfI3l9DKV4NpvOIYlG2z
plGaHIqgMZP96fHnxRy6B2Bt8qFE6sbPXWTV7i/T7hFa/VgoRKK8fQPHGRdLNj2tuyAHI/0sO20o
fTVZvkR6iBo2m9GbqqrwJ2EWX0NO1RscpasHG2id1/aWdgnTMXqfd0uF7xC4ZTEoiJslJRCYES0R
o6kVuuPpP0anxJ84ycUf3znraeH6JI4gB9qWKa22snulNqagMdQxSGEjPPea1D+G5qTh9tlbB8Hl
Ts9/7fwQuiCoQhy/7VuABZBtvM6XJurwPMea9iWJ2/Bp0pRP1qSnATIckFRQ9LsQ3Oeo01ZHamU7
OIuVS7yGt2tTFxHR6w1fz2FqKVM3gm0sqq8gfCTkIzpjb8sqan4KQfmDfvKYF2e9Hud3hWo3NsZT
9vfCGPMjkYbbg04Wxa0Pwxhpegqs1z9mkok5gFJbNbzpt+mN3b+Yaq2d8llqf3xzgSyheLCSiIE4
b2uTdhpjsiMZahjG6BuuPv2pBelxENnvTS+fgdIQjRtqxVtMN1ZFrjVYckTPSfuIVk3oy4FO5ryg
izLJl6UznyZ7NHyhDY9ml/5NYn+EmdpJFgnBSV8oLBOSAQG8nlVtNu1BzvEYjBkqQaZaGtjUadEb
aei1RxWtpNzu6sFU9LnfjXP7FKaYK5RJ1Pl5MhgHt8Tt3cevwdyBKJoM4SalyiqKDIMwhyBPLP19
hfTqaezL6ICQtLOTUHbnbqUIRV6+NZBQawckfcsoCLrUKONH7YduAbTvKUJvD77ol6T39UXLJzk2
24gu1PrYXk/wMsuekF7t6DVOOPRYVeyDbXFw7Rid/yPvvJbkRrI0/SptdQ8OtFibngsAoVJE6qS4
gSXJJKQDDjj0G+1z7IvtB3ZNTTHZ05y62os1K6uqtMyIQEC4n/OfX6xzPDe2toaOxr5zaMeKnG2j
Ir88ckYNzbpKJruPA3RTlwyvkhdHdbkg47fqq5N0E0scvaAHPiv61oK3mqudozyM9q1W5i+QAMfg
kOYOH5ARw7CGypJGGWZEMhdhA8+9DsH5ayOEXirbyFZNcrR6Rto48pjmGcX7epV7yrvX7ZkUY73t
axUn3qKnIX6/WR3h1z7sDBMPvchInGAOi0Yfs7AbTXW1FLKKCqxVRGSSlJ7Fdc0Bxa5WCmLuGoLY
jotYGLIR0mPufOJzGrjASNOipCDOI1RZZ89x5TvDeGUFQjGJsDI8/DJ4ZlO0eRn/6w3qJ4Iw9R1U
VFZb8DXk/G87RV3Wmo3XF3IUmFY7k43wY5aMeNvQV54R8RIp0Gf+XZU41SdfK9OT3Uzetc2cNcQu
mulTjp22hNxx2QnPXMKi1IPnjjXxCAG1uGIWWfzFemQ74gAi3Ebr31xr3szqOyk15N5Du5/s2ouy
dfWoH6f1FwXW9yXgz3cwH7OZGzC25atulrg/3sHThF0AN1i7NybdJP2x6Ks9IpUsD3FKrPFLMryK
VL0p77OYHrZZohLDx6hGjhqaQgxk+pnQY6NlgiYfppk9V3i1WMRo9S15dEfJwEyGoBIyDR300U2I
65VEkDc2REfVrjgVo87KR8iY+1dbRb4bvADOHxvtP7HfqaCJZSO1/b7J3OzsLW1+ZVVZcGf2bncy
NEB3pyeRj9CKrrlHibrcF16zIf8LzJLCLqQZraqx7tbA/pWD+tu1cDs09gYgEor0bYL742mvl8LR
HUmk90yiNGJeK9uXTfqrnIm3eDKfwtyCT4Edv/WG21H8CQj1Wp30GKYL+2zpqjNO7uoa5dcYDXnt
XMukdq/xfi13GWa2v3rgtj73zX2F1ABmC0gllOa3sUGJMHG+IxZlXzniWbgN94alT3XYlfrwMJMo
dU4U0l9bJR9l6eKIXM7TL7bgtzuBwxbPkJwm/ztt+yf0HizKnDxr3I+r1UR556qLtsu0A/YZv/Kn
+6cftU2r2Aegx74tuPEg1fLex+hsLf1XVS7WaWny966Qv2Lz/1Q5bl8KEzH2c8SNmyT/x0uKP3cj
pCfGfZuQ1qpnbrDzytJ6cJcu3bUl9iwzPnlxMlXdY6nX6862/jIjnmOgt6Ro3ASmaFvf7HpuqtuG
MQbDfvXhD1i56KO17X+1AP6Tc7p1sL4NBMtXfsuQQvATIPxMBuzY6xI2oEoiOrfhUgBC/GIf/2cf
hbLI4byikmFH//GkZkp3lde4AyyKSo8NXP4ummZpL2a6kn+9Eb19IrdTh7aU5wIEhRbtTdG9OtY8
ZSlD98zTayg8zFoG3ymPnUXYrLVa6p4A034PceVXGYs/ZYxtH43tEnAzipOfn0gklFY3yW7Yp/ky
kC9mGSEhYtgJBGkXGtlaNyHbfvtgT+snw+rmgzvATBuMTl4uWSCPiQn0wuPm7C1LlMTh2etjm9TF
L3qxf3YtUEIAJQLPIZ17c4OPjDCSDOfqvT5BS3CxhT90qRx3MF6dX1z2t4swtImNKUxRwBKBXvrN
8kiXsQwkh7f7oJcku9srVp1TMh//9SX/qUjkYxzwOZ1RJdXiT3KftkzLZMwbuTe6tnXiclHLZ0vn
LgjTxfMvZrJ4kHb0gXOuZqXw/7JdOLCF5UxBSL6wbMLSUk6+l7VrxlUGMIUxue3tcliyhMoYBK4e
kkan7CuMxXqVed02oXIcxe5NesMFgyLtekps/RVRsIYmp8rSTxbzGvb4qh2A6XXic8MlmBRcoqLL
VVS5tf91FKX+6thD/yRtK03jYlRjvRuIvcBUcHT8s0+sMZ5kTjZ/zLXMoZeXdvGMdJMMO9Mdx2wf
JM5mWlAbw50zGkS2pla52fVgiK9nYn0UZQJ1iT4MiM8SEfHF69NkWvm+sFvTCzWMk9Io0HK/R+Qg
1a2doH75i4UWlweZ/FYjfNcxvoX/Kr+vnE45cu+IjGV1IQ1aFXb9i095iwtvnwIozGZIscXd8OZe
w0BlQcEm5B7uaheLwEyomcnxmzom2dLTkhiG46/2/+9i/z/vwjBUaPs2vMmm8eKZ+nFhU02FDA4H
lU1LYY+hxLdziWs71+zYGtfgxmkrkqrLbiogDXOT2pHvdvoXx8uMnb8u6C9yd0k+YQu0TrvFzZdz
O5SNc7CbXmV728SANukSt2R+RWOzm7GyX05u0OX3C4JUQo8z1Mq7vO0TM6yJXNglQZaK0AJcmCOt
sGZSiehczZhpro90XfQpatzU7Ye9N6V5iamEoWMQb7UEkhI1Nq+7dhqkiGtN1E+TtBI3VK0HqLTw
3NqbIn3RyfDiw+zhUePhd3Czx1Q4Yjk2+l9c0+/F8Q+nN4AvsiV5fZ8/MfD58fTWba8LTaoSuIaL
WmgF81UxDOttvspSRBaB96Gpd1bNQfijf9uKEty4ViTgrBWeVSd9HZtXa1hzyHDgauEgeGIjO9eL
Nipa4q950NaKHnFV/a6Q5IbsMIvq30N8C84Dm3Ae0goHUzzVSyNu//XC9RN8wHLlQSfY2E3bUOGt
hQbTCqsvhy7f96QuI8UZ7WGNbUtrb5Ml0OBS+hmxUtIPkOhXaMS6eJxlgIsqJwVSkFs8T0FW/aOq
+7cv8/9KX5vbf5xe9R//zs9fGrlAmcz6Nz/+x3X+pWtU863/9+1lf/zZjy/6jxv5Wj/03etrf/0i
3/7lDy/k/X///Pilf/nhh10NFXG5G1675f6VJqT//iEc6faX/9Nf/u31+7s8LvL17799aQb8mni3
NG/q337/1enr33/7Xsz925/f//dfnl8ErzsMy0sN0PiP9/rjBa8vqv/7b6Dg7+zNhwqQB+7tJpL+
7W/T6/dfuca7jTZm4HvDIBtjC1rJGq/Z7O+/+e9AutltHa4OHSC3829/Qwe6/cp4xwsYYm1Fw+Yy
Tf31n4f2w0X6r4v2N2CiWxJjevX339jweBb+9KzA/kT/vsXdIOKDXvbWWYiZkk8oyphF2TyijgB3
8uoIJM6WUTe79I4kpq2fRgwwnlaZIdOp/aDA6XFtkVZMcz8+TPmMPxKLkvVJZX5+q5tEgeKWW2uP
S7laX6kXAjNW+BO3eiLvpyot8LBEtkICkdbOl5Y0avZca0zvmQOaXqTVa3k3DD22jQi/2ziYO+d5
LvMugYtaI6b0NzFr5NmLjd6lNHBcVYSIPEypHsjQTIr0g9KH/pxneW7FakoAgvQ+5RtBRVIfULgk
U0xuqWh3Ju5YL509pHetJAkGYw2rfAXqJKmta1Jr5RtCm94VEwYeWqfUS6dnOFcsHUFBoeMq3z5o
de1dkrLhpLEwGVfEshI04Z298Z6Q2fpG7E5G+rFX6XA99ikczwTnEhtdgVju8GjEhNzNJnUhdB/M
U4hRu8Gyw672yuvx+oDiV4+YBQ1QD0hPwByZgIEZk9q0EM5Jrrp5TFPXk+eJLn8NU2f2PhpIntLI
9giCi+nnguykTbUjEJyOBTMufsCWKB9zoinaTmUHipzgKF2vdE7W5DyUzZjca4WdDodJWYMfyqo3
7jWRpVXMFAsAhuNL46n3nIHSwVuf0g67uNDVM/+kuyJh/ua1VM6ZliwLebiZWUScQ1mTZacFn91u
trJIuk7/2UDkgFlKaUgGpLpwHpw+X/IQm9vxcSorbwwNWy2kXAxtEhL37kfm4Fzkdbnu0FMmS9gM
gbwexeQ4cdVP3Mez5hnfqKc0ESYLydnh0BpKcbarpMTbleDmELkAsX990bkLfj+jJaNm0fSbgtHM
V0s1zSt8WP3b3Kyk7HRQiw9JbaI66vVkFJGciDPdlWUF9GbaWv99ypZ/ztypn8LOXJcVCyk1fhpn
6O5e3WRptAxO2lJd2euxcl1BOrAzXa864Ts7XdUIkyB8UEqRM999KiY0UaE7qchszBFPWrvs7V1L
/Xrh9D2Z3h7OfCuhOZlp70Qrujp0zUZ2nxctqc7JGlTDbs08dRry1ONEQpe0dwuxKM7BM8dqDXUX
k/TYVM6lUVgiISxQykdbF5Yf1XnWo6Q13baOIE/XFN9pKdZD0xXjXQeXuzhBfQ9w6KoryyD9Z/U/
y3o1XOwlcsMMg9Fo3POsmcMQ5sU63RgGGuRQT4fqa2/4CpQOTcCVdL/nYOjzrB8MVy75rrcg1kVQ
IJBULWMjv0EmzF5xpUk+5KpZX7SGS0+6qOt+rCtGQlGv2/IjXhBSC5u0wI9EnxZdC/XCEbAM1o27
tiTZ/Oibo1MQlW6OZxIuQc/S1Rg+OXNhvUzlZm6YFVnRh/iLlzf1umov3oDwNJ6Z437t5ex4YerO
6jHIDL8/WSx/5JNipPNQ5NV0xz1mqXBRZqlH3ZpRhFfa7LaRzy4so9ly82eIN3kd9Tge+mHX6ma6
R/Mt0l3dmHK47G0ZGBeDLqf5PNr4gIQIMP08SuZx6C8AZzgdcONatm4HQU00kKrK0KlaO/exabOS
1MpetljZEdVdsMglg2jm2LaN4XLSKXLOjlS5t+topHOCAEpvuS5oc+0bQ6T6Z8oiUw9RQib+gTLR
BVXLdQy4Hbef55vWwXfl2FpSL68aOqE6Xlzp3A6VtvR3zar0Fey6zkmCWiCD3tuGlpkXXbY0+oXW
5nNy0Q1Q/5NwzSHtmqFNoe3OVJJ1zqi9M0DNcZvUn7x1crt4WRfcxmrbm/QoSzXubyKs6uFs+unS
PYPz99VrWZVzFm79ArMbrivhdji3LYcyHSSrxFLZ7/1M+LeKe1Exzef1MeNW43OKx9xnwXNfhF0i
JXQ8K5+AE3zRP6IZVGtc2W1NeEqrvHlPqI47x2rJsjP5R9MFVLD1Q04254Axe1Bcr8DDxiHxx7EJ
i8XXiD6ZGvkl7dP1i6PKjhFqWXyS7exdZpmLORUP9BdDTtkaTT1RWyGLjtcRebt6X71pGp4sJ20w
W8pH4BqrJlotHMYELF7qhU+qtkp8FZql7b+3xpnsHLfTqGb7VfTzru07tcNDfSVeq2XJGaYVm/bE
bVhtMEi2VqJeVyTaY6DPKA5st2C0kA8PmC/by3FS0nlupqmaItzIlidTVtx7Y1mlKcV7Sl9iTVOd
hXmPzgspI8G+ZKz7nMC2W9P2wsjTuQzdNSmzvUEIsghLCE1TNCTt8Ky7s20RkGKT2+4YAySbavUN
ktsnq3jKvUn5jBOCtg17QMKe7YLsJADfpLxaA8H3YT12CXZJUUrYeWN+Ymwu87BhQcFZuSqrcV+I
wMFrwBHfvDRA4IUdk+zwO7aKj3XTzM+4NjhDKBPd/dz7sn+0wH3ZQQHCRViZ2JZFy9yrL16jBaex
D9RXH9P526DdRKGTPZp13DkqEDuZOdXdUudFMx/YbSE3X9ZCJs8DKcxLpNK+pUfrteAbma3Lt1FP
g28g6Tqrk7DPubX5VomyU/CuNXGUydJcKzH3H2gzKgK+oak+5sppy3BdCr0NB8IJT3luSO/oa6Pl
RHXid1dVb2E42OW11e8AqAhqM9aqPybYGjILIvLNijJi3WqQIkv/6k7zusSzzGzGPY6XdLFVpNVJ
ZzKF13hhmo++NdiPNVblwd5ciqYgZK5I9EhLcbY05sJ/BJ6uXdIay84KPYY06M4noX/Qa3f8EOh1
b+1SF3eskJ7JykNoFesZQiU8NgUX75S7uY/MR1bFeQC0G89CFJMRO4VIn9hR9PJUBKXx7HktAnpr
Vtg1KBee7qwh+YuXzDfxbPWGxdqbc11pW+6N+9Rbta4OK5XTh87Lqhk1UlY+roUubwt3M18bdbKE
wzktqysW9eylD+zxK86h6Veq2eVzNRTNJ38tV1ahfrt0uCeYHKXHpaadnj3QNikVjzlq7dvcS7In
Uk18FMcD5Vg4MYLTCb4vy0e6cniFRI65HwGq1suacV+7d6wpCC6k1xtu2E1Jb5xUDsbPnpQaz60Y
m9s0oBk8NrKav0LBzlSMiE5i2T1MWdzZkKIx7sd9iHzF1jtB5hrNsDcK42Ja1wLmGOk4F2udipU5
gWWNDOuUl0bcwyWbpjnqVjhsGeC+NbI2rgQ87FZw+HSfyrln6NjMuNVricB2pKFIjIleUO8zdFxj
pJJhLEPoBaUXEnUh5tDKc604BolCvK5ht+fFdbcG90tN4FwI73p6tIs2e99YAT08PT/TmqY2s/e1
tkyvTDqrNIbhSClUGw7y7bLR8svSFtnd0CqtRWA9eY9CFgZjpyohZrvzsa8zdEk+eIALnEnI7Myr
fZkF5xXrbYsIUHQvFkFqVq151rHQrNWImmGqL/ANaLNodBbnVLau/YQHjWSB7RbeoHFUcjNaJscw
1QnWbeNipCZTzckqo2DImKp+b85/b0N/6LD+6G//f2mDaV3/+zb42NRfh+5F/dgI85LfG2Hfegfa
tXHGfP7jMkP9oxH2g3doYZifbIGKdMgbnvN7I2x47zDrZGIFlEMnCmvqvxph890m8NpMrVwiz8DP
/0ojbGyTvT/1wVteE4wfRnLb8W2e+j9iRgDSQ5WVSFdn/C82UU5oO7Vz2evFnaVBFK2oCgZC6sMN
6azb98nU8jimWMiMs9btjCSN11rg+Gjk9386j7/fUX/u0X/yrgU3wIoEs3P0BRBV34qGYANMZm+P
6WGdjORjlSAz4Jkr0zqSllUe5KRgOXgOPgYMKfTqSs54QDKVzrOTnmjLw5qTsdtag3rUslE5oWqU
HdtkMxzxz19vzb43riaZZvltwZADdwVipMdobYT5OXcLvY+HJkleN0F5tysyvLBCyOPGlWbb3elf
f9WfhyEQ8DY0FodYAA4gkx+vAvwDiy5zZkPQNfcRAgw8KNSbGSbazPTdfMgfckNbT3ABtEOnDflH
QdglayGbxhCK2suvtd4sbvLEMQ5+EvhfEUcYEQvj7hdH+tM8BPzTYUTPXbP95ye+s9+y5AZEuxfT
Ot8WwhNPRE9Ta3NbYFs13Yxw+Z/mjFibtRvtmzWQ/qlY4YmUTZ8OUTKY86lPmvzSXZdp/4ujezvm
hQZLECHDDWLjNhfAN+cRVwq38ufC2bOj9Q9N30IC8XUf2XwljiIvx2d9KW/wBEwuFJTxK0dNxi/0
dIgu3z5SaM4oMxnzchwbs+vHi1krHBug3Vt7T7ladV3PeHdcpMKXu8IuP6SFLeMFSnakqqKL8ZgG
5d6QWS99WkE34xIex2XZruZO0Rdcac5w0NuJgmFkIKTItLxH6Uk12mjL0W3guLq1Y95auTMdyHPN
I1l8WlRnRF1DQnbjkK2iZF0+k7WL8NYbD8gY7ajTpkdYCPK6nUQZ2ou5jiENS/4ImTjTQjc1R5Ji
G++lcFIji0mQq/aJZjpNxCCljt1kyJ6E3lYHvdOvcrPEKHoa7XUf1DY2sdaSjqemC0qNmVKvR4Vy
/PeoI9ARFAkZKQLGaw7nQhLWNeq7wCgePa+k/dAA7cJSs7+gqYb5YpTtMW+TPMRu3qVsSKkUu3UG
RVdtRfRK5aB3ltkkXuEHGlFrlE6UV5zfqQc082RBzO8YtPmzjudzmGA8e1xn0X4K3M4+a3hFEjBM
K9WTuLWTSUd4kTM3R81u1QvtR1SIvL7yfQag7TKKi6E06X2oR9heq+4kVHOe61LEam6dq7ofi0Pj
Vu69Qb0Xk1YsmVCM2SFbjPoKBDJ7Dfqq3NqWEbKHfLCcvopFN34AY+n2PtjcQR+W9QP8FrkTjRvc
VG3Qxfk04pi2qiD41E/JR9+fbtdFH9toHBzrsZnKNPL98TGfZlnFFMPBYzFp/rcUfmp2OWuBe2Y8
OkeBMjCaYN6yG7VV1OFScu4XbHbPqZmpKtI6Uzy4ixzjpTbcA41vfpjn/mER0DVKDxDKUHRXEKOr
PkyDgazlIogR6DG7XbZYr0o02g5tOSwzs8GCzJiNE5Lk/NVQC74oel3tIKF9pC+jJWom2oRAe9Uy
NUUCS5Nbx2o+YdFdR27DSV5Lfdq5pCIemMZ/ofPetckcnOZq6m6SBfSsRYFL0rIT4WeiRc1oRhT1
485h7Ler3L7drQX0MeZKX4Sazctx1e6yttj4VBi6Kz+2O3c4VaC08GokrthD0n8tK+eWRKf1MLXZ
WRAmsM+q3H/VVu+LNvZ0iFNah0bCwLnIscMZsLY46GZOXhvE9pAhMS4HpjIvZ9rYb1a3qDNrjR4g
BMnMj9Pap7RxmDgbSTMe87XK+6hZO4O8Wkx3OuZuO00Gr2zVimEpjEfuyelGgiTvyyLvH/F+g7PS
tPZtazm7elmNHa7XYyw7RzRhzqT1yiFvh6ykOtd37BrzJ0HA5GfQXhtOU+Z+0Bg7fpI1viIkFOZX
iVA6sdtVKaYwT4Ps6Kj1vjGD9QwKJA6VY7k32FTgKbC8TxUjVNY750pJIz3iUpPsNdnYz521qocs
Sy7WpFovGiGSu3L21qteTFbUkMJqrGMeFWAlqLQNsziWQaExQCt8BPASPdK3kmf0k6m7mg8kY4qb
Kp3TI6RNPFT6CeP4pYC7MlWxQWbZoe8sAulUMcv3Q11Yp0JMPG6VfTFUy/BNd9bp3Nhdt3PWDqpJ
k1RLAZBVFreBwgsWtsyHQi5XXTJ5p4zhcexvZBS8BNuLDK+VnSit8nJBCnX219R9n8NdrKN2muvL
JvExwrbzjyooMEfSsntN+u3ZTtPquI7VkG1Q2oXhtXbs+VPwONUrJomcrHtl9k2sm0rtXZcpAdEY
SRCExpxJ+Gv5TQryvm+8/H0DGzyPDW1UMhbjsN4VNunhfTpqgEi10R2KtXUPjdd3F7ql8pgYihr6
M2oK+HoN3vopVtaw5e7aXAnQapGdhNEWH6bCyJ/0sta/yXSdrgNTfC7BCS8hB8iTnWjO41xUVVyn
gXkypuJb4LYP5EVNoREMH9bvFRVGKvU+E6K9TpeiPpW164WNJb3r1oOdVndjclO44k6s/XNh4w+F
EICA9iZDLTMbu6kb5lNF3iBJf/LC7aarwlU33uJYu2mxzjIPjFBTjRMx6OhOnhRDPNutcSzz1btE
AnGRjPpdPVRAq/4kwwa8eQ67rtfuRqf0w5KBML00bE+9y7M9jOHPNUhxDH2d7a51qyPijDQaRvm+
w6T7xWhb+ZSbRbXL7QGLK2vs4nKwnUMOTAxCbheXDGvnyLIz6+iWQcoDioXCHIzZCR9A787u/SyG
GIpVSFVDLBADuIrf2TeDKEAsW5v7m51vPGr1uKULuM7TEtQPsFO9r7OpXXd9/jQUxhzhdnvb0rPu
urIqvi22GK5r2xXX5JHlR392yNMj/RbZx5w7r7XKKwCfYTq3Y5vGnYTfVIuF/B2GSLdzEUi1I7lA
NLHZ6umKvksW3kmNCVBVkfYsX4iNzAEL73n0r0a4cBtmVCsf3/GxBmrw0XWH7bgg8YYeohmHfpwb
ndEJYID1sORel6VhnlR1cljbNosnLa/N0BkIyw0rxwiqwyAt8YVGWa+u27GYvEtXWK0ZGX69qq/C
8goZgxcAJoCmeM0RE6bOPshZ9OWDrD1xZcCyYX0KUBOOjEj6c+9ZjXtM6ZyXLY5eT086NkHu3pxg
Dt0N9dLChs1nvpv0lIXdjGFcG/aUfhu6JcijIMumB5NO2D5zmw80MJ08KDJrrjA0n8/epkkJTeL2
GOUPiTVRgBXjFb4mpiBTcFHvbaMynoZOlgd7HKuzrH0W3cXRYi8XwYte9tax8xprR8A3rJJsXBVA
diqzclc7A/oqMDFCwEo3j6whs3ekYlRmOKp0YcRoeZBkDDGDIujjbMWd2azNjvAKyE9r400Q4Pu+
eMLapdJuifRhdjK46e2QQUIgcknsWGX0yxUL+GtYxsZVNTXJRy/vaFV60ytlPHpjs+yA/lmbgq5Q
1+ksGRsSe5FcaEJPLkoTPmbsAmafYPJMD9ZotxdMMPBkMvXRCzMmG0dGhMtnzgB1GhkOJGbg2n/f
tE1ykeUjtdkqJqqn2cBdtx4/S2XmhH9oRhd1SZ7fmmZivW+kbn2i1rZ2/Mn6WWNstku8tCYyUGu8
VwR1mUdypLIfPDE9dBja0nfVz6IlYjYJ8vc55y1KMER3zeJcas57tWY+VkIgQRunJ4JVORMEre7H
drSumnrpsUj2NrConcK+1ssC8k9b3yessgX5QKsvaWKNBheDZEwio2W4R9b02OEsgn436hunuBBZ
j/mZ7Q0koUqMfEMnSbL+aKDi166zpFfmHXpD0Oo178qvU2APoU55+bUjPvpS98chrg1TnDppVh+w
3YkaV2nhTG5ClDuufITrq4V5BZgsx4D13dODG6Kt8xN1qxcVi5zWsFiXYQ6Nbh4PrtU6elhI4k/D
dV1qOzTN+mWaJvXZh6//IbMr92R7rboCiF++VkXxcS5HddEAkbZh1kDxx3A7++TmKC7stSvTWF97
86VIKnFazDa97nG4OObJ+JS2nfNkKSRu05Beq3qWH6BWZsd6plqIXTk0L1qf4epqE8/9VPssa5Fi
jNtvhNYC3MvNZpiDZlV8FVLc6pVWnHl+xbWczaKIBg4/DSW4RqwZeM4xz3OobVz/G0QTNxZTfzHK
8SDKUr/QZz0rdgEz0+uSEnmXOW1/0xpCwDyxnQrmxwLdK6krhtb42sqvOfTmUAo7bpQF+GyBcIel
X0+fgkroMdzjO4zpN4ZY6Y8x4bvJ+9K2Qb212u8Pjs1D482DuFkaeayBzHHrZkslNQeMr6gSRoqj
FmHcQzYumcdz4Gtxa6VGZJBSFELNf63GYb4pVXFi32WVQ9DyLYf9ihOjN/rBcXDt3ovRL7gimjex
CxzStNhV1RQYkbeU7SElTF6dpC3VNef8W63nSx0Fi3Mkc0SPakvbdZrdhL6ooklZDLedoL8LdHE3
9XkVl6X/Pm3bbT7VUkxa3Uuq0onIH54vZ5TJI9kTd2VRGtez8Oon31xbsrKdcvmQ5jyVYRUwsxja
QOzdqpo/s6Ksh1GR77lMeki/yOdVhowKOAhh4NKjqsHPTikLcJxk1F+xlfoAR3ZZcPNbDoUXPvJB
kIEhUe1EObOO52pinum0lJwU3+NV04jsSElXXtod/MO2n6dH1Finau6vOqOtHhbEcUClYtkl0qWZ
KxjIPWHMhSnmzAQ7RDzluGFla9ZDD1Pi/SRIpgzxSRAkmXZmd5nZC4t8y2oeLIZzngvbjNJqtnbK
tNKP7DhZHAA4HzrA4n2Tj3psN673og/ds6xc74z1ZvGZeB51KaYAH6+2zChZ1Smtigeb1KCPSTa2
Dl5WRXoKOqv40lMrv89mhnW5O6XMgzTtktRu40qKcXoZVtXdkI6kYmhhbLgcWZmdiE6y7J2C3xCR
5Gd+0acUZYuxSH8vOtcbI53N4GRXnnG1EaBjIhubS7IAitfv8MlfAnEfG8E/b+lJP9Ca/md0p8Nr
sxGF1Nu32o7mzxDy70f3/5TptHkp//cQ7/X/+d9z/qX5AeHdXvGfCK/7DpUmlDTkKsjrwAP/QHjh
Vr+D0wdVzsVtaEtM/QPhtcx3noGHj4/uFvdfbMn+C+G13znQ9sFkYTtB3/e8v4LwOm8wMfQciABc
YGaeFdNEVvojHIWa3MjrOmuvYeozv5rseNSr/p4I7/6+VFYI7/g28+z52kYK/I9/uX/8n2WRA+H0
6ebHNx6W8kx4U/4l09wlQucx3KwQ7S4CK21hGunV82QnT2nV7Moej6eQcsC8xsoou+xNsngm0fUP
vlNPFDQOczoCxkUF/GNtn5bIrjuuVQsAO5TnqlT2a1HNp7FeYJPk6gJD7UvdA4WNncXLDoM3ZeAQ
q7rB4oHsmRm6Qb79iPfXL3Do77y3/0vYeXUnjqVr+BfttZTDLUgoAAbjUHbdaFVUzlm//jzQfaZ7
+pw1c0PZLhsbIW19+41/x8gl3kHeIGBybNhAtOod8Pubb4VoGyDyoZlOEHzbSPBY3V4q0SWEGVKD
Pih9eW6jhuJi1Wx3qjSU1yjPN9i/lLDcOGNDw9YkDw1Y2/5g/URQ/j2RkgrZolJeMfNMITw3hH7C
KoGo1YG2bvcIEeXTY4/SmFl1XLXJpABEKu48s/qFZBuxHxAMDF1dfIj0Mq9m81kp9MW3m9W57NaA
G/VS9uhgsphCFfmZ+9fsF4MOn5wk7XFos+bUY44DXRr8kYaw01am63VN1OUKxFs50aJsrkJBTLbW
iGfVPH+Oh3XxLIRSYaI21RnV0OrSQHqMR0U6C6qdnWrs5tvjo7RR51u1elMZEZ/cGsr7UGgoUJXY
/oFoyzXtwoyh3EoX+dAcRsIy93Cn+sWUysOWCRjGHh9/PG3HLDfL18fDPMoB66x9qbUROd1k9h4I
YUOPeQZg36Tr1ymOg6x9E1Fj/dKIlanJ/kghF7vdqMzyb+LNr3DGwzfwBeR6EGPvU8rctxjL7Pxt
mfh/GIz/e+mh6IVYAUG4czX/58RR4H0GeS7kk7o1tERCIQzcYdXkZTKG7DJsYKr38IpdRCrjUdSR
9F1dBHL3uBxD21h0BLjT9CozZVynTPEen8E1tehepsWJkwqwSJos4w0v76eM5B6UpmBTqBUTN8C6
TNvj5LZpZvyaGihZAQRD1MhFQgK3x3yhvhEPMwVqxAAyQf2/Za01BXOrkzM7uDNA3JSkIdoDsqFR
yZnHVG9+zPjHzP0meAoKiGt2EBXz+bpJp8gq5ZNsvv/ng/hwWPyNocLdR7/0PcCV/RsRU/9sTpXr
VdYEgpZjhGHhuHbrpzYPqB8wGFiiz38i7Vl3loWGjtEKbVo8mLtcsxHQ60rzhZEFa2iUrscis+ov
QycCpd0jj5ou8EfGywa55Ax9bR50rb6k6LulfTskx5LQ46fB0l50Wa0DhgyYsugTBAGcKm3XJ9Vo
lhBNEcI42TcsPXrCNbZdHg8JEqITFn/fnEy+lI/Gf/FwPPzn/3ZM8IcQwPvw+lIJ8E+HEII1hjl+
1zEtflZ0apyBxqd90Wub01o4GbsBAhwPq/4y11PqLpPcYdzUhSuzzfQ4K9U32nW/EAVTXnln1x3y
ueZcbIr6xTBdyhx+DrZFj3lf1Gfqh+IFSnqqz9Y4a8GmGNtbYeBQsCe9D+W6bK81WTf70siNH6v9
acZt8V03ROaIPo090UkAlBIpFkW92Gh96vU7Y9puaePyKxpyxe26eQpVvbafhYCHm3t9+U5g6Zsq
/lu4ysML9o8DB5NokJRKiIeCwf/fl/Jqq4VRZetwlLW6uCyRwkUGwlEBZQ/y97WgjbpXhXDqdkle
uhw+kCWlROkh+hup83i+tDr22qUbbsiKv8x2XiHI6NqnNU+hHczZfitTzdpZK8j2phvoHQu19rU2
13bWQmlyTtHNK/kkySHB13sikylxdeI0D8Ui5W4bDzVKgGE52WxZoqXLTvn9TZkQoyaAgW/GCpER
az27aW2NnVExou//+Xp7VJf8+yHCQWA/6gpAhEH0//0QkTJWTX01t0fDqvJDM1jzDRUms3omvihz
UQfIMRVHmY151y5l6ZB53u/zbYx+pCFVDvnPbhmbfdRJ6dWIk4b1I14OaB/fDKX3rE4lKqXT8jpc
uctte2SM0uE/vwLz7sn62yuQEJBzbZP9BKuKouSfr4CKcU1pVL35835Nyr1+q+SZAt0o0nhDpOas
JEBlQ60pZ3SQ6eJhvGXLm5rSbRScpCiRSs+MSvn2+Jr5fenT4TZA2inZVl2kNmZNV8yz2cndM7bO
+ooMnJv7aiXf7CkvA2UylLdcZ+ulZXWLtybDU14O+munSR+puhaMDXbqJpqwr6QuWOBrz9H9oavS
bc8+kCcjesTeFel+SPPyx0YwLTRmdpvUVDpCkmhuMU/ZVcrRyU2tsVyXZesCZc2RPSGA/jJmBaaH
NVV8ANv9rKoSBvFtN+pp+l1oiAQ3PS5PuLD9XIqncyHqNRDZ8Cu+Tyb2fTJ5fFRb069agaKo5+a/
NI79s/AA2QMr+135QDbi3VHD4Pz3uYr9e8Eg0pRHS2LuKwfTRavV3gbMum8oel2B2OZW6EhCNXt4
KmzrNd/m9Sv9UbFTjOrqdAbLTpct23MrERogF9P2TYtNGhOHrnq2q6IAzzMbZ2vzvTxWOxtE8klB
MwVjWV3/emBkIbwQ8Zmb0BXFe+monSSe/hgozf5N7u0osNekddiuDV5uRuoTwQgCj1ZJoELbaE/x
ML7959P40bD5t9OYmkMw/3uCGQIQ0vj+mSreAihZsaYsYTXPsr+IpX9WCdDxCqUA9zXsfc/ijiLO
0Pe6LuZzP6qNQ8NmF5B2vu4GsKR3xGr4uetseBVVVDm10C1nm/vykuuZXxeZ+lNRjJesaNdvqOMZ
zspE+qC60sQRUQweibszGg/Wwy7TPja0aQd+UxksTV0+y3bqjYp5IilEfauIT77eP1MSiXcPc8Uf
CiN2g/+/ZeOf7iZiHTWN+BCNJQlrE//8+9kioB5Ve+3b0BDUyHpcKPHTqoEZCf0GB0z15JoQL5Hk
+aG2ZmtHQEz9tG3db7wosNNSoe6J5e+8EYfNrUBicSv7nEkAYsgCE6yB6n+W26rArCY/wOAsazeK
9W0qtOq/LFD/lHvcXwoRfry9mFxI6XhYNP+2oRCE0/XYsJoQDZz8THzGLKnb51J1F7UfU6/D+PEC
sCKO1BYku7zFhZHH1Cg3y1yN+81SmgAtOWqA0jzDf+imM1ZMuv/5/JOB0O87m7+fguxpMfFga6RJ
i4Hl8UL+9of2abNEtQCRoxoZGEd1Mt1+mw2ir5arssp+MpzH+sVK8RGmMmi47HRbtY/Sjlys4mlS
jDBZl7CV8WxJtRMPzTkzY1+1yCbdhpdObVzQ/hnSlB89DYr8ROsJqjgML/34lVaZt0si999yrb0o
cRQkyoCQ2zqXMne+4aR0285od8bn3IxunRtPhYLHpI0PWWV9DJrMwpl6WxlDZUReEu2UITpVLRxB
e9G57XdCDXN0No0paAAiGX2aw8R8U3HKrUgINnl6BT7lzC852He/X5P67MR2m7E54PeXAoVErqpu
3mEJyX/Z2WdmfZbrG1HYJkCaeiyigEYLNErUQCwvZr7Pfqz5rjQcqSRtYGXVvhTXmhcLjpxKr53+
e7bmXcKgTmRbzDSQ9M+duCzau7A92fY6+7skXiKyBUfrqE5hNqA9SHzGvRwTiOYTagnHYuqeNdc7
tPQQGvZBtQan35OB4mcLb1bCpoqAymUTX6Y2DyQtc6RcAnPkN/THRJn9cpOeDan1mrRw9Vq9Iat+
nXT1LK+ld2cQbC0g38/HtO0S1jHtGE38FO2DZPbPPSSwsvXsU7WgTs1XDenCtCGGbygdLwD9oEGb
6dgnw143v8ZCXBOlOpjlRxOp50LePDsbn2MQ3CYDDzNZ0sfCepGWXTMtvq7CR+TqXpfIkreE8oQc
9JAixo0ok2vontXrD7vGgBAU2rKL5a+MIdSPJzuhXOlV3Mk4PZv42nfvZPpRcNnvBi3eYUvYWen8
Ea85FtNLkSU+aoBTco3i+D3e1BP6MI2wmPk3BoyQeN/vKdqWGJ2viG0Xt+4ecnDE+aPVFCNLm2N0
EcPbeKT11zfjY/Tex19AbHcqAUvam95cFuqCs4PypsFua99KkTipGu/F+nNcQa0NOkpiLNaZ7uZp
sa/lj7FKwUReJrXdP+LGhQsYXmqvQ/eZL28ZBqb4a29cp+F1Uh3rfY5xUA3cmZ4xQVOQFg5YNXU3
sSnx6/ZD8qQox7h9gwZw1Kh0ZnsgdebYFto+s4MtOoxpaHIwC4aW6NP4rONQU6+F/Mn9oit39dcp
3/e1N/eHgQi8Qrb35AQx39YJWPJ6/1uicnAGk+QhkQZqUbFWxE6abM6dRRrT0pn0btdJlCF3/c4Y
+qtIFbR87xLBrOaY761fijp4Sy75ub4eMkXsH4NVZBM8dE/tSP180EP+5SWOzlRVbjJmDodhVWqv
0uhcZDjuN74rdRUVHB5zsV6MAUMt2qDEyyfNGxj4iU0NVE7/PAKuyp7rtg2rdvJoH95nBm00/bQ3
WpAlewT3llxzsh0RC8zJ2dHMJHx/Z6aNoM+aJ/zkVyMyghY+MemmUz8o4RQTNzpoL/FSe1SBUtLS
OnPJvbuQ9vdLOxaVI7L47ijabTOGv8Mo62yJXCsPCnFBMYz9Lm72TR3WCXYUbxvhXYMMJThgfHxq
cA4mocJVsZ0S++tMnlaxviv5D7qqQ/zK0PKNi9vV01XhTJp2x/DOy9o6iKxh55hw1nIy3YaL7oja
m4PdZe+lCTHSy1H0iWnOS+VacYiW7M/aOvwqlkW8st2QDywzxQx7r7QlO6TEeC5TCYw9RxdED6Bn
l1N+2JpLZkUE2BXMK7MotKCdUMmjy/hOZk9xTWUYR3uZgxYVPrJ1cgCbSYsCGXM9TE0ZqlKn3Zp8
xU8dScGCFiCApqldNUsk39wSMEw7fStMbby0ph0gHvXkSWo/SosktT7Kcq+r7TxoOsQ+qpg+gaJk
MLsLeW/jQVt7+AhLePT6ecpkdx/g60Vgy6ntdEXXf0jGpO9WRBRnDFnKe6FjR7x/G+Z1M1zF3Y13
/zReSolksh6UZUC/MpkLN5j1mCnJ8GWuOuVUkl22Jyb6XV0QSNRLSwGyUiBkUrTpQ2P3M/ez8bZY
23auZ02GFJHmj9mmBxxuug7A9J4WSV5ufR8f1mTonG2cloOaclb0cPh/PKjZZB2WMjs/vk77CAIE
KY4TTqxeMT1r1ZmH+sWTVgQfk9aEWZytXJ06btZ/PVOHXAVRFUesz79G0iq5lohkByM5HepjJrlG
nH+rleXP3/n4wcfD42t/ffr4s/76GsweUY9c4INW1wWcsgSaXFL8HotIbK5aWFUY6/fNYEmm8Y5a
yxrDTqfeb5OV5Tz+K73//+MhqUr+kseHWDH4/ro35v0yjrgsLbUCQSyEp6TqkyEqrx0JaRwHty4i
t9bQCnXPBk9eJnM4GQK4j+Z3HSOZvBAcsLD7iN0tGlBfLu5Ei7vRce3HwxPxD9xYeycjXX9U1n1V
q1RszAFulEAonxDwTiafCRn3RiE/lXgto1HfWaM3rooXJV8z+pCiQaPiqjgosnTQqb7VkvW1btVg
LnkLiETbuoaF075h+QvrPvHaKvHIiWJtVhxpJf6+z8Nau2O0HRFrit+3zAK9d1+uaoI38Nc5pQwd
3sAdp/lZIb+j146FlZxWJT1MaubWmcEi2B/EoHmmyLyeYqkY/L3KtrMEKkxorMN20iWZCrFDTrcs
nk4aN7ZK93BiemUmeyJCrtHY7gr5ngdxY3xt9AFaLEUb0DrNRC5bhk9sE0HdCu6rmAxT40oExwVP
1GU1YOSo/Wb2vaz2GE5DG5aiOiOjfZm27lvLtqvrvhQj96loe4/N7btevI3m4DGdn8y+9yaLv0OR
qRMaznXaXFMkfDESTESog1k83ryR8gXBwjeVii8ycaK/2s2IMOkUG9uVienndVoQ7ui9A1fgEnd6
KAfFXSfFlePIRSS/bxqxjyYScKwt5NpHoDWgJMk/7Gx9qSskAFXvSZJHh7Rn29yRYRzm8oBNTxpC
k2s2XzQPbZmXkomfj+rJ7BR0hLEnLViVhhCoIEiLJjRZ0PQciajVMkxaB9FX4Yx4sWau0G2vqNCA
CskdbET35QmXqNur2LaVz7olV4XYdPAXRxs7B5/1jtoZd5wmbyQAOF5DUamOrghnXS3HkgK7HkMl
TjwjmjyzlEiXUUO9Zm3+mGUyIAzkNrzDsVR7gmsBi+pBmrMXOiqDWeISGnoSj2CsR09Z0oPI8qO5
WidZFAczgapoWBrk2gMU3N1f9kgkRmW9S0wYcg17P1Yu/jvu9TKUROoYg9hN92kVfhRj7NFQlyNa
CEwz5ACaFE6PV/QZhwpt6WCzPjB/61QLKghn00TZR5RUN+z5ZprkZbazdiwO0cRpTWhZ1Hm4011z
mzl6eWDkSAYjT2J+sVuJAqT1ZC8ts6Z0a5X02LX1aYI0N3CEK6nt1Qz3TKiB9pUoYd/YmvMWr7uW
hRIZ/Bs7o8Aoh2MkyYfRSl3WaXebpXBbloOhPDdrF87NgvJmctrxKzEW5MvWGEfviTPm0yolL+wo
PqR6uKB5fCvrPWDKxYhQWGsdV3v9VifdPbTYl7T6HE/8yVDS5vxSt6k/qsiti9IrBcp/2DLiknxF
qxnh5cM6gOUPLKs6wS3RPpvM/bRtcE7PQmKZ6vWgvN9jE8mriyLUO2XfjrM7rXloqaQODM1JH76I
TTtl81OvlIc736Nt5qGMOddUncHHCuUxC7dpZegxkPFqPjd7b83WExDha6ttHhnx4VS/G0sVTNl2
i7flR0GenT2mx9Jur7xDk1kexogQykoNGj0KVCgk3s1j0pnPXeJG3pzLV6rNPQX1sMz7qKn5OVWQ
g2zIleXMxXzID3+/z/mK0vgg846ijV6UCx+fpEyeTMv6G9viICxWGNKZyEd0S7nwSgakkmjVpnI7
qw8KlsDMfAbYc+VWfGvtyLe34miIKFA0FJoF1z/FlgRcBmvR76XDMOJqL9D1ojFdCMluv0GbfLad
Ftbjeh4jJaD9h3tJWBgb0uWNyBnkMOvREjMrYu+ZnUQfV4St60PlBClJbOhNGpGzA2FPYT2rl2q9
JJv+a55ftCq7slvdoci6rYkepFawGKrXb9dWy0/NKgWdNh+omnFM6bvUGf7aL4ENA0PhkwuA4FJI
6bV17kpW7whrYm26GWZ8yasxLJs5gGfG4zzedLPBN3cisN9N/BS7XKGBA2I32QjPmZmJD502IY6K
vbjkBAbutLTmaxche8aSUFH9azRst+nWmWuni9TdJEjmlUqPQAhXRchpRsO5tReoqYataluc7SU5
DZIUYs09kQu/14AyoSm+IN96yxf1JdEYViK18bUZfPVpZfDQwBuMTPhtmb0yDz5rrXbLNcgUdKC1
fYPzvuhSsSvRr0ehRSYXjs7hqxSrLo2mxuzaAgnaYckvVvdmf4/m54xtqKx7XfYaKce68CypP0vU
piPPO0lp/SbM8tYjb6GqHA5tO7IgB6lkhdpQfhSy+XMy409t4cYqZWHSJVTw1Kf7/W9px/CONRRE
UTb24JsGf0yinWXdvFXjfFz6l4aVA4VlXLlNLfY4WPfICdmL6H6PhqQPakN3NrF62jYE+lzcKEUC
15iDMTFdYSWvRv8pZxsp1GuAmBgR5AoCMhxStDmbObiRPoV6MwQIowhq2OtJTwZAeiE87R175BMc
yEFM8EKK5XXRFi7lc9xP9E1+4mI8yRt+h6jwdSX2ZakgB85w86LwW4ZNU30vXruNe7ueO5ZyrIr7
6JKVuziu3zbNuCxzdmz09LwQ2lRaupfPuT9F6TmTrad79ABWjSeZTQ4FCTRO+AyTzpRw+yxASCqF
smXrKa3iGxRs0CXTrRHLtRmS0JIS37xt0Z4ApbOIzGTXqtJBashssOOwkhjY1pQzz/aatjwbOalV
uXil0e9M0yAJn4NvxZWvW9VujqJXIVvviq1e4eJuA/UAaZs/aWoGgGzsprRyMzE8l6V9LtXE39Qh
rBsDbVrsW1nmFUK+Nvf9MmUbkb5dC2XwW3N9iuXqbY021FTbSUX+K4armWmvaABOhc4MV6iBNrML
arnAAKqs/kD6cjCb8W2c13Nq1SeST4OtO1mTES7C8uRa9qWofbPLgeyEHwW6rRhrSxn3F9lwpmX2
Smk5FlXs49U/tpwF8yKRgKTv5Snnvr9+UbfIz/FmRGX12WT6FyIJnpF5vvVyfestZq/7SplK55I9
I2EFn6yU7zZTnd5GTilyslraI77XT3zt1zgeAwzaPlt9pe7DvK2fpUE+Wsnvopq/YRd/2prx2le1
l2JwubuIkPa7TeuTqOlM8ehjJ3gZITPaWgvzmKzjRgvl1ryhk+FZuvfBrJ9wtrtw8bsiCwaNQmMy
1ccsfrZKi0i64qkTdtin8jPSVXIhdDer1xO06q6QqltcJV+rxAwNRv37KY7V+GthTEE+4gqfzdvY
asdFDXBthMa2HA17PhZFcbVM49izKVyWN4lb41i1h4pnACX8gb84bFqwCCXaC6KpR2pYubxsmpRU
MzqkSncaMyWAlyzG90YxA0uLb7Pe+2NkHkGQ+zk9cQtgSkd0CpqKRUiojm1+dpZ6GNbmBCMVTppy
HNcCdH6oMULtpiL5MvXph0ZephmbHkGSO1i9S2O+EkV8NMf0XFtK0KvFCSruPOnmSdKiMLKFH63e
Sia9uYj9aKFtlL1JNVycOy6h5Z75Y6mpWptVdzCN/ZRlSMy3yxhL14zLOOYq3VT0Eeo5TqDFowon
RuMVRh/AK76MknmMqS3VreicC4VYv/UQG19QxYVNsnj2wBb/C2nNx2hpPVpVz4pVhIW0hUJpnjp7
ecbKv2OPd6848dGEHu11eVItVu3MSyWG1g30I92OsKbvguttHukcaGOuK0ZAQeavGAJjKGAV5DA/
VfN6MHXDB8OpCnT+bpnqB3kmpH5ouWqSgL0vwTdXc5j3bTpyWxnPBCNdypxTuI+PaP+DWlV/TtVw
hLq55cAUPXZvNcIylErX3pYupqq+FYXMOj3/mhaTBda+Z7X4Y+7qy3shoUcstwvM5pl2N3C4qCHl
qfXtsnDnsn4mDeaNJNAb1O1VnsWBRKhbAVc3qX5ZPC0LQvAhD0U2s3EHbS5lf1qHO5J50qrZzRvK
WEpm7V4LDX05TuV2k+3swl78qYiTk4Z7Quq+LWlymiLtkxjrV31UfpiD4hv3MIspOuWV5qvTGNbA
slNKBsqqh5n8RYzT3ipZxHgBjQrvMSLgynpWquEYNHZzNLXyaCoNfIflmKL1aP7htladsoJ7goR+
YPnQbf15sarPrRIfVIZcRRS7YKurB1PoAnctC/MWTeC/R5z1zXoxAd1USceuRRMHy166MgNpGHcU
g73b+EQ+uoNOzYla4fcEMtbqL1H+7umFjSTpUjC59Zx6RpsfUvZBQB3C9Ja49ZaoP8jK6JtWRO+c
5d2bCGShHPPnVqu/UfWLM7bmLLTRJklOnb5zDR5ZoK7K2Ps02N2w0XlmbmHJqtg8PiHzAo8UmLF0
16xkkqQWX1nAkCpuRQYjBuLUzJZ9Xf62tNHFzMszou9TPjOsrKQiVGzqOwAUnPmHkvAbIiQS/jJd
c8YYJbcKKvovaOWBhtj6CF7x+OLj8wdO8vj08fCAbv76dOwx88kFRhcTM+W/nunxQ+2/gJ/Hpznh
ugjZfVMCNZ6VBCiAklPcpGspM2jCBNR9WgEr8NBEdb8TVUk9rGj//Nrjowpxa/7HN6a5Bg6ZxhaQ
+gQVna8bAWYxUtfdKFfsWCxaq5WmDYc0acOWeJJQwjjtxjjOAglqPZSX7s8HLCgFrOzjczCD+2D1
v/8fIaVAlLj4jy9pdtqEo9nw3X99y+OLjx/+83n+eoqtX8Zd1xe98zgGD/DncZhKLEXYoTNW5Pth
wi71RaWs+iAJVQ4fD1mtRqi1M8ZUuQR8yqISflUu//ioQOHHoVvJkbGNL+P9oA33Q/X4CHcmqQtT
3ARFxKh5R9geb9njV63VhOvQUn4WWpShcCgWEJRJqR1ABo7t4wkqgq0wJtyf9fFg6dmPyASfT+KW
t6xt9gjk7KC7/8ZN13Gc3r/18dHjay018eBLG1RYVrCT+N/n+et7H1/LELmsf/yax/9kFJ+zdctf
+pzDP8y8PZF2P9ZDd0+OWZHrTUjlt2wlLKr3mrU9jGtzMMGNImXw5kEFcSAJ5PfAPqlcW9eepr0Y
6a9CXojY3C11NPny4o3z6ErDQnb2+tqu9nfRnCPZlSdrF1+6bD3MRoq37Te6jauq9OzKZhcBONAI
uEK+Pq2/hwgGcNsCaURvnd2jgQdHN0GA8lDGpkGKm0uv5xEKLNhK81nu6gvsrKcGKURo2su8MdW1
3pRjIyVHva7ORSe5yVB5xMzK6n7qGapXI0hG+0C2ix+PcRj3kZvdb0F5/lQfiQPwCbPy2XFyU5Sc
0VSOUbY84YB9BU75rYvDHNXHaUFMMHb1CxKCcCQKZBibQ6rqfucVWepgBcbNtu6TadwJjkeR1h5E
/JF+olPN8CCVma/0dqiJz2gynslz2c3Tz/th2CLDNcrc4YxEzQBGt7VuNChOLlnkNFnebI0Mxr96
qfOS7Ai+5meYrtU2ccfxpE9MjSReFdTYUBxAyE68lxhO1r5k2xX7jS72DaNHjgizaXOHMCUoDven
LNpDvrEHqLcTOYCY2ywHr6szrZaHkZTrPvO0IXfRse2IMMAIUR8aoMzBXL2YDBere43YXSGLP9SM
MAm/gl6NgIDZS6bCzTc33E6vUrn5Wp6+kugAVF+QfcXeNpGfM2Lw7zvHoVA5SBzySaNppkp3ijTc
sEfu5DpyzeU+QEKdbFBatFQY0+xrdbcb7II7huzlQGlNf9dI6U7GBJRDtEqt2G8YOKVY2xcglHmF
i5GXN9WkFCOchLLxDfGlJz+two/CAk2XwKts3Yio8ai4d2bVdkmHdLDkBaDIO6lUcPop+xVLvaj8
VNy0GV+WOjhp+TPVP4zit4q5XbEY3JeO8gqnz6uDQcPtJCl+o9LFXYwO8UCkOgA+k94VEcUoYeZK
1frYGrOD1ssx2+d6LNA2z7s7fWpsMfvmbL/U7W7DZtauOFF4ZdKYO3XcHIn1D8zFcFtSqkSO70g3
3Dl6WoWbUKIe5cO1itrPtLK9nl+WRZOb2qar5fq3jeBcZFJubLW7jEBcchuxBeVOyi0lBtIbt28t
cJMJ92UgQpDp9Bss1LQ0CWLXx3qXkFVgw1waENAxPudZA0QowJk7ipEXIp3gxYWO0LQEYdx28kiN
y7IgWF1DMzG/s3lDMii8Nm7eTeLaRisO9QmWoFFQaxV7exCUl7NrR68pxuUulQU9HvYt+bxZTHC1
l/1cswS64KzElkvdIZlVIyTlmRxYN5N4s/S7Gw71j44MoD6lMa2IkcItevaq1T5sRnSFj3PVgcvH
YrCZeRHZCX0VGVSxl9jglMisctSvAzukcfqB+WJ3D7ZPQEDVpgtJgAgTvD65hQ136D0bmsWcdGcd
Aa6izUEOm2eumRHp3Sn+siY4UjtHnznbkEnk5DkIGIp+1g8zLlZwOWcqWxCCX9L4vcRbS0UR/PqA
SzsotTBeMAivGQSI5BQgoXgN/ZS+NjMf/S0dcJsxh5gkU0a/107bEX4Mckb/ScV7WmC76sSG94Qk
pnzYR1rumjDKi5yc7Hx1e7BiTWeMYj3OwIuK4vcYNbcF8tFqBz9hP0GOdjj1DNzqUSkQoABjJmUR
4th8is0PdUkc6mW4qohmj971soHANw8NpF6Cvq7glqFPxg5D694QeKnRrNRm5WmmcARLZW9r2KSI
UhQT5oGS6ADVJQzaY4cdxmvtWc2PElMcqWm7cezv2p4dWuCxdUmt8ZhjB116TQgE1BUpbFvroEGl
jkscyv3ArHuJMv1ZNmEj2ualN/IVWKo/zi0BUhZk8bEEvcIV7cURCZcbks/0vZb0g7AHt8nAvlk8
Izv3ZcLJJ/IQ4vaqLd2+Kfv9ROKiWNc9Bti9gkEIkIY1t95b/O3GxpBSCtfQrSNREPuOnaUMIGiO
vVey8BaJyjlgeRuq5RTKZyYFcK1JkDIvI/vQNjbI6sqeW1b61EiADSRnUqynNlNde7OBQDW2AY1f
oPyxezyUK+EcG5rxHjRGiUEw/4eu81iOG1ii7BchAt5s23tDL24QlEgVfAEFj6+fg9ab92IWs0F0
gy1SZKMLWZn3nmvctdjZRq25H5rwb1Tvo/HZKrtpWXvzAMo5tJH15sBWyzsSZvhLx9mw9jEy5OZZ
WGJvsIJoavwo2/gVltbNsuWHkNGnhQk98Yo9RroPxrNLAHAUbuw+5h2xmwq6dRaqf0ge/GK2eZER
szRu6W7jHDvETqVxmwZtbxTtOc6fzaA7J/H4HAXdLzN2vifFLkg6r0qwES9jGqiTc4pM/anWXHwW
xAdiz1bs7qx7amQXu00obCiTuoEdnrZ0xnBbSuMsgvg5NJyrCsUvqWkvvsG9pWhf6iI5tbG3M+N2
A0eVxvQm98aV17Q0qMTSYQ0dESCgkH0mfC80b/0QHys5rWgArWVB3hEW3LAa1mw5VyENc6m4XSYR
2J1T6XPrtrWVkjR3jeAI2u4w/xnMcR/p9Ct6vsybj/2csTPqT3X3J2vfeXvRUiGICMlDeYpGbhZd
cg5s+8xyOH/sN3lkszyAftDxEhdrMYw7rfWuDoNIsOSos7R9ajaHStI0cc/0Ol+VaZ6KwDsWJSC1
Pl60iX9JovCodMZhJVTzNtxW0yc0gsMok31stnvfp7kouNtZ/lrRDgf4yk09oJI8Jdpnb0FrxFuQ
kbwTulQX7HratMZs9wc30KIDCSrKP63/PMqbZ7zlVOgFUT31Woeo6KkP13gxpluOLrFdoLsZwU/S
YEmOoXeX3d/JvlU7Lbq17U/O/ou9JujMhNe+WP22NneByXV/L7w3S0PStB/fjBBY7Eq9mPEyc/b6
T74Mr/IjHtAarWqk6foy+G1/Be+sKfkSfDP+7YuzrPb2YnhBE0CRUfG2MWh/xlsNmrbxNy2zj0XU
Lvu/OAst+ueEE7psot1Ecb/rm1vqdRODttQ+Tr4vLlJryxXmBeOlTfvnuFdMtfWCNUY2T7SKq4Mz
gOYwXKMGsGG6THKQ2/GDzIU7zmb60WsxW+AGMYBG75ooa5cPc0gWJ+NOFfyn7Ew/ibb1vmupPzu5
GC6a11V/qqil8gotDwj+AAjXNqR2GFy/48PQrHvIUMeqF+c86FvMp6bZrGzNoUgtYnIcUkrbVKUF
Qwk/CjdpRxjNMPt+ioGBuj0ON8eztXVXZNU2EWnBqqclb8FknjKdnhuoTX/tw0NZBKxprym0uTUL
tHEKInAKEANyeAM4l6L/HrTR3Zm5wZ5lhkBi0pVwACaPYquUwA44lxZ5vQvbSW0Nd6pOWoTBRFbm
+Gmm5b6Gillkg/EipUrvD10NNO+XxynwyauxKUI+RgyqdbeSS9Xq8hKji+VOqB1NepeXx8GGDU9f
CqkQJspSyBMktvGiEjFdCGIdoe2FdFEq+/Nxiqkw+9g8vmCit66TRgN3fqMe7xb7SfauRH2HYho3
1Wyj0alNV9jAxG5otOE5GQ2kmczTYp+Zy+NfPg5l8oWp3rqHqVMv2lEPNkYF5TIkbfv0eORo6uQO
2aVyU+Pw+M6IUOgyGK1aExP8oyW689w2FdNAGTWrnLrxDLf1msz2Pc1Jh3PU4csxeXM74GUHO4Ch
0WMWmWktyb3UtRCOM2N2z8IHnfhUcF0AxXCh/AzDkN7ETHGnfPpKoy/bHbVfZLVPG70I7B223/AV
tcMxG/J1lOflk26p8Kxsi/Asc7De85wBeR//oGZZCDDR8WLikezVmY68a9OpCu76YDg7tg/1M5ss
iMvJlP/p/fCJCCOKON/QVrXdHTSVW6eko2dfIXO/pRafLK1mwlPPT4MRYEGn27fQS5aR09SXjN7P
gqowXeW2PX5AsKJv3Vf9yWuj5F3LPgOVmudCEaarQ0nZ5y3oV9GLfi2klxyxFBpG6363lWMy8Q2R
fk49sDcFm3KfGnF0btz7CM/lJHTtpjc1rHUCMI+GlyQXCeNoNdRDvG56+J5lPNwwUFh/rdaDqhXG
3wNMBwYEfLbiRDsYuiQtwqvdZCsc7S+DlLNwKusbjtNZ6khhVUtTi6S9JorOfqGi81TpeNozBv74
CPJV0qZXTQXgSpq4Pzpu5a0ycvp+l+V1Yq/HkN9M14/LBFBGANrl2Qaru0kHGJDpWERnGgzinOqm
s4mf6PnLdYBw+6Toxp/SSKVr+Mqfrq3aveWptF8EfY8YjSbanFGZr2DgM5g3kps7sJKFnfUKR3d8
nifeBKa0AMhKBrq0o1xb2n8jw9zSSvK+3AaAVDHm1mqid7B6XNlilyQ+8mqM2K/0yHtQPsKS6xxI
+bOkTzzAsoMv5KqLCII5BLB33ggmRTzVdUyi7crYTjBNuFkXjLlthf+oNboXQYT9FdLM0Qui/gVk
FhuIsSiXVTJ1L1SYNzRGziUYte6FkASoatITNATSbuVCbz6Kp5QFJFqUSXH2RNR/DQbxenreVq8W
+IqVKgZuQFnHXdG2uccIruBa3+lTm3zL+YqsW72/uTUCM6eU6TI0C7BgZSpebIgDFESd+22zW6Dz
Hf1WittUDmmZ0jD1md71MY1cIztooojhxlXBGuB0/Tzl/BYmAg3A83guQZpcsds4Z9yymJfa+ipF
2sCfAZTWZHLa224xrAMUb/RaVU/ms/RQy8zW1XYcEWCgMG7JAbiMmZbfXEP4TO5GABOzKeJx0AXI
4tptRtheCMMs1dE74X1KgkQ+i/nTM3k+GOjMY2CYCWpm1M1+lUdnPCUYD8OkvAuULqJsgdI+frJn
EuApYQB95oDUPbN3cEtVzCt6n+vRGsW57wdEutOI0zQArVY3Echjs7BeGgflRxFgMJwPtk4MoIYo
ndxO0EHhbFEckya595P5LonI2k1JXa+7eRaqtwzv4gGXj1lTUTz8HBhp05Vq2Fazmn9UvWO/256Q
qzL2jCvxnP3Ozzb/VgCzgSGkJgezRxfhuEceZ42tfUkmwjRNRQvzYZDLYFOx6cg3/uyRe5x6HDrf
2EGe0E/gstIDad5/6iqi2mZAS6UZH4qCdZDOydFCx0/g0ViFx1FjExhabbvs/KwDHzMNIH18SoPe
HFLErPHMqgqzo4ISs+aSat6zWKBSypNvOP6/OsKB//mMCWUQS2W70bOvuQNBe87NhUPz/DiwkIsl
liVt1yA33EWuWyzHLL3pOmkRZeIzEHCdGhyYt83H1L6QU4iSMDGSjTThY2AtDWjZu5O9duOObQ6A
rwBqV3LCBM8CF7g9Q7OHscoY+VtVfkFUz3wweos2kIM/sBz/c2poDYxvPXU4Fd/ay0b16diEsXY1
MKQMCeiJn+uu8MiQ7uOExg4dqZZ0n4Yq2y1znGrbCzl+ohKqEI+2tq6tucTM4uCEAHAM1WwTFDWO
GrKzznT/LPoiOz+ePh4xPdFQWpq7/52C1AFOg4JgdhAYp8Fu9VPb2P85aBbpoUNElqBmk9i18OpZ
/zoY1XioYV8ozy9O5XwwtNrfOpp/f5wiNvw/5x+P/nPO3PpBmh8yI+E+WWQCUYy/yi2nOqNQqhG+
O13FaJrnjSZxt2QhwjBVrZpK1dd0Yj78OAQBS3snQVn999TjFd58XvL6x3lLFfW+lwJRflh0zyXm
/zR2+vvjmQnebSWl10F+yeIn3/2d52Z19dlBjpZEwTQfuPvZy0CBh3o8TedXAM3ZdtjKV/iy5C4r
KTlKM6e+6zPvV2zS0EG9UNzcrnCvVZCVi3j+gmg7Y5l3+Y+rNHsLkbg6daNCkzdE2VV46oQwx9sp
k3aXQSn5VKeG/tTPBbVfNh0EWs5ZkSxmp7tIGU0K2mcI49gmTfQ/XafKTlbanyNYJDe7Nvw9ckmQ
AR0yczGYa1FP4R22dnhv/aTbexHTrMe5iJSVUxmM50cFmxqVcYIGzodYH7+xWhO7sSS0WNsUbjmc
YXC84SSwN5Udrqnv6Ykge1/1gw0+0rbfuoEUhX5qBHOpxsBDnKbrgN7IEVSTdnN0wIlGaLe/SY24
Q0BpXoPJznf2HzN11M4loveqRq+g8a3sdz3xPzzuQQcCJeTKJlVkM7bsRVEkWa9BGP/3aQzDZMgB
XFmLJpfd5eFzC4xg7RjC+mdsJp3hJzHoZk9TiJUqyl/MjFndwk/JhsA22y5JHWeJZyONmtpPkcOb
5oLtNK0Tip03QYDUpiWXdduhw6OCzcP9yHUx63Xqs5eZckPLrKaTScGQWcX0mncL+LdE5zhF8KeB
osfm0P4bO9Y1tfvhF/rpaRnIiSK1b5kyQwE/ZMQBnkM74Ee2yVNKaifgbdqQPhCyYzw/TetwC4Uc
+XA4qYUD0+jVnG4F+KSXhwGTJ5FtvlleFt6zPEThWORyV6HfeYvH5JzNnaCQWNBDTMTVE9JHOOoW
O3JG12gf/GdG0F5hjf++WRDextLwt+zsqk00FM7aLIryolUq2/WxS1q6nTNw1vV0h1e+vGSo09dw
O+OnqaBxGrUwUiMZaGe/LJ+1zofZqjn9a0nq2uN3S6V/bszR3Lct9awaivK9qQptO8H5Xmtuza+b
fiK1JZNgpO3q6TqFu1uk5tWYzmiw4mUFUm3jmbm8VI1fXB6PhJgY4QRIHJOmgy9gtqg/TVXsEu53
u4BohiN6OrhkJM0cq7IwV5VAkqwHKYSI+ZwKyrJcJB2GI5U8Syigx/8dfCwF/54aFaAxLc+RsM4v
KSHZLthk2Js+N3q5hXlurfUcj0zRh2AKZGxu/Mjvj4+7gpBaf6hqdZLzPUKvmhIS+mhc+0HkOyd0
nGNl9Mx9JJ3P2sYL7c3njFLhU9Ht9MULnx8m2aaAezv4Rn8J8wGIrnYYqcR2xFAV2xZa4HvrTcyc
6+i3b681YplW9GTl1lCF9VqaXQ6ilFc+Lp2MMfAy0pBWw+Fm5mbTOiEe6N/B9bPw6Kh8bTM1IJDa
q9H41aUYUTWIssLy0tKud5qgoC9PY+0tkI2WvJQk/eydySbMGhbZpbOcTYF75j4ZSX2vdDu+NP/P
qSmYgYhcEZ0rL/bUh3fgmeEdgprY2YPIlo9zjwN/+BdzovbSChu04bx5SueDF4Gb1VPUJloxWjcn
nPRjFejnrLD6czyiA1T+hbSL4czmYPh3egQxRwWC1jChvzO6MlRroZcDHDKbe72cML62wDEXfV8A
1NWbbo2hpHpmcvfk+wyWDJIqVnJeHxU5qosecNl5qL2fLKqyd6ZQOSzoOL9p1my/8MKY5mD8M6FT
2dmeGd9hY+CqMmL5VQYveooBaQjSa90H+Uuotexguc0iULOKuzkrHY3ePkM43v3zYpdejeSbgJoN
pqvgiHRPMulKiTEaHAZBAPEcLm4Mq2wO1TG0+fS11DJebbrfNZNKiA3F76kJjgYmUrrZU3VgehN/
eB2t0aKaXliPe0Rk+t+6SJMP/h3WYk049s7NomQ1RNYT38Hd6W7ucEcC0LwN6+InQi9YLXrW16Pr
WveuQRjxeEbxk2+nzP16wGBytCs3C1fNFiBevIxmL/bjXOXhmytU/ESilq5E/kQaHnE8bdSvyDjx
N4+nU1D4yISiO7uBADLJe1kJ6MZa1SHoB3eVZvYdBln7BIm0uiYOQYCZ5zdH/BY1UxI4OnZCG//x
h3wcxhFIamD74yKtaUA/toAhPBBiSjSfKUiTCbqz82Y5sGg1mcPgvTtDuBdDVO7GxxfoIEGHiSTe
gjScbo9HSVXCrIQgyG5TfEQulEeP3dVBVtiLZJTZZ1/FP8jJX+qsGz+r1I1WU2PwkQtztilwLFa+
LLqLR4Tm4mEJ5yYQMz+vINLL8sltDP1GhAO7U70+PZ4NjoHWrRUeCMOeMMkWC3lldcXNxDSOewb/
dwV9e+ePgADRUnEjd0JxMtNGnQBHLvPe9G6OHfm3QXlbeyzr8+PU4wBVAK04xHEmH4VzUtX0SncZ
C1I0pqdogoQqut7fDUnVnz1f5VDe9Z4mecqdOs2Tt7YI5tZEuBKUtFcl6/pu5wwKitwIMDSP4UqR
zQbaltgqRy+dexZYYlVXofZq2XRUjaA3PwtaQ8noej+92S2TAZYOALHoyUnQhpd5+ld0s3ZF9p99
B2ObKJz21c2oDEMgoTe2eTPumEg1tr+HpC2L7dB0NrVyX2wl5sB/j6b5XDR/VQyOff7/vk7KZa1N
xg67ifVuqOmJjltxHxXDNlFi9RepHbPBLyec51O8EqUxPcu8/c+j6L/nHl/93+ugKDoHyNjANueX
TPM3+Pdo7JInuxuxA0Z/a8Bw7JRMvVuPii57qWT61FshSwXJn5u2sL/iynaOD7wDUwPnxPjwuTdK
xuFollZtRqEt8frsHktOaSEobUPfQtHllkAqz5NU6hwQ2LYArWO9Pp5689NmBhcgd6BkTQHSdiG+
iYgdzIdGpOYqUYjkeu6YH8J5Vq3v7KvZqEeOXpmuhk72R20QersKjQp524PE9DgMdLMVrT0Za9mh
mOK/j14iFuHKg3r5eAIEd7YBOdkakMDmX0svM5kBQtc8KwhFn/AkAuSuifWcD/W0jvzcOmtkg4J1
6D2kbH57gcqN47ft9ZeyavWFLv3wSyHNhXz5zMhGvjYGvtoydsJnZSjqTsmwtPVT51jrEnkW6+Jz
NETgLJ2mezNH9y27arkjfmlNIQ8k57Wrx9O+4rfuVGNcBnyYzyS0nelfR5tBxumuGZNp0xnduC1T
Vf0yzHDNPX187Ue3OClovUuRB+WvXEXBInHbiYFQYKwqPcLkmjnuaSAadjMZBkz7pnNPE83SbmHr
eBR0UW4s2KhnZz5UAMMWjUyxCJS1d85Krd20mVlGGzsr66tIB6aCjtxXrcvCxkqNHL3UJVU/jo1/
DU3luQth0lS2ugwtx9yUtkM8LwTbcV+fO9bOKNitBkDpFYDEbW8wUfhPZ8+G+jRYTPliJ2DFndt9
/WSF664eUVYvTQijK9k31REmTwXntQn85eOhkna0NWvNJEPKNWN8DHSQ2RHVJzQ7r0Xfki03n3oc
/tdZNq2o3aAPBr5JvV0tYivVjwmc1GMRNvqx+7aCpD3SPOoI7JvPPF7wOKAsBnM8pYwJp9w+WQzY
GDBascGNuAESRrRhu3Dz2Sqdzw8D37dOj+e9YF+Ro+ae/NbZBXpwaaj6+ZT2mXlmlfMXNOmdtSCY
bDZ92ICUPPWc1m/A1NtoKRKjgNb+9q+J5UTV41k65PV9JMRs08vYXmljR+MFQtu/Tjx4gHyjEp+o
3nlbBHr9P19Vug/fav7q48WKWBTs1KLbBjN1Bb/V0vOa8prP3/1xqibLzs6S8vp49qBvzK9KzAFl
rZruEtDlJTKYivWijX6lYZWtGL3a7BggZ+fwqKuuvg2p+TsTpoM6WCetzdN0RuNNuqf2JVnOHPU3
u+pwpAW9wSdo/iqN74WHoQBDaH9ICi3+CCeXPZnmv4Dtk1edls7i33nyNTco+mhci/W/PxIg7Wz9
eP74D/sj6SGOSR+h0rHzJ0L7vy98PCcebw3qT6N01V3Q7hwcEf7n0f/OKSsCNz4amwnRG7ICEKTs
RykcDexN9WfV5htDjCQnDib9mJqPy0iLQTK/0j0zwk1N8zMotrpBPxmmKcjq9i1Ip60fG+VaawOo
sdN+UJTfwialqemRaNRslgmUglsHzIv+76bW/lBfMv0kaTQL1VHaySavpy2ipHo9KePWkoqysBU2
qGAgZc0Fz96W1j0r/WThAH22iI/H71i9w7FDehbu5oY6Ehu2eGicAs26cuvHcUr1ziJsZOUX1qr6
pJsmQ6XKhNkNvE0rW4aIkkYJ8t0gDBleR3ffZrmBv8WECguNjghXBjnKzfQLp8wTg+SNGU6SIWSJ
GzCZ+x8o39HcDkF/yk18kblfPDkBUhcRO2cHTSFvF/OZWBJhUifdLnTpw0R06XP/VQfGw6fNf47y
4RQldC3CPkgWNfrgmKWGtMXgVyjVPm6M13kt2ephsMob+e4OMLe6tLg7XH6OZS/z9HddiNsg2t/z
W5pYFlWkxByuoypiAigWH6RktYvepZcxTt4l6ckWFa15Gv2AISsG2BTLXpCEb1NnvGRFcGXGhm0k
nWNx3ei3WXUfrGeEJmjDHW+03OaWsWqZX1e2+WNF7rcmP6QgKTWvWjyK1ZMKQQhjvKK9993L9rvS
SPVRM8F6whHhN82Gn7RxBe0ULYVunnAxZWKT0nkiX5BOk+mY1spixG0jb0xnGoaGk61W7qHPAP2i
2A2Zh2dq2pJxiOBZ1ZvczZ7kZD0T/HahZ5YsXXpXVYXxqxnil0qZ73EwiLVhj4fOQ0bdzBe3l7s3
s9AWwKPzjQWSMOnbDemKVz8ZrkFgXTNZo6rqCcWkVzviLkCsg9fCf2MC54/NV90FP6XtOAhxcJrj
+jI83VtGFuNTzAutsH77Gl5IUWwqa9RwJ6cuOrzSJ+ZXjRSBza4a5JWW0ZcToapEXcltziDddsi+
hQnuqGrEjf5Yi+qmWkdJ91ESwWIGGh02JzsySk4XkQ+quGwOGivrOslHdExs2YZZj1aGxDO0LaG+
9AJkiYbaL7eicsXKE9woJ904Sv1alVm1tsdsGww5HJEhwN4S59sIof2ic+SdeuMEVJoomqbBrJBO
RFso54wnkvw2EHCrZEUp2szalc6kpVneGiN7CZwYzHoNXYIW29KRtn8kuQCSkYu7k8zmRW/wrhUm
uioXhpfDtS4r5HyD+CmdTYhsesXdo6RDlrOyMROBvXbgswy9vGXTUldPuh9XmzKV1PcBbt2gW8IN
doCMTNjeswT0AQmy0DdO/NdYfuYJYIogs2wEEn0VHfCq3xPl/clighjggJ+Nge9c0FIrpm+Siune
lDiSI2gINQ31TYtWeOGqtZWypRxxMppYmAdjDikk/K/SDSIZEXHm17AUxGZ49bsWqR+fgeuMeejR
MxadLJaTQWKKq30UiFCkQBPlqgOM8G2rDu3gHqVT7MGlZCtylphe5hp5fIX9yyHvZJmZ42/hhxbG
RN1Z4DGo1kbE1tyzYQ6HusYvN3HDDcQ2pndF9Utjckq7rZVoCDHchkV1rJ+rrHmnePrBePjkReE3
le/WJ8Qz8DHG24PZsAlSwcr9jT/qKQVfDyr8oLq/tC/ZY2mOgdQEY0lC/qNEamNqKJaEwPqbJsyU
LTmPO+rPVrXppi95U/TKJPzR4BeMJlyK6W87r7/GAEIIpmqn1RAqGeUnZlyuhS5DLWIbe6Ce5PZ+
O15uLIs8vod2tGlYfT0XRWdKQM7GdKuVZTfNidHVV+uBqfWjY1GN2WZMkRp2xUs3pd+ibJheu/W7
lVotLQLrBzAEsZQYcocRt2SgdoR0GucuH56jrsZIDBWmt3ZBWpPiGbok93kJjCDQArpHyF+C9RQu
obbMQrKZ4zA6BikyQPgVlgt9rXB+tGF8R8lOv9TgFT4QwqqO/MVEvEZetPuppVgVjNM79BxaD0Sf
xlNqr7JLIP1frQVVhWHflZLzYHkOKkOIDQsafy9GyPeUgQFsNAuXOmgCPzG/DQNRVoTZ3Zzb5VUy
vIYS1VIvmI8XCS4OgcITnFcTmNbSt0gPcjpFrUsajuMSVAjL91ULorWvGh8Ad3Mc/faldZd1yiRx
sMrXqhgF1qhka3jNuHb9QF8Q0/HHdwPg5NECMky3tMNg57Xmt1+j1/VZgLAoD8sRXtOC+/eb5jdX
ZRBmlIf2oi1yyE6O1UFssQxMot2ty/q/PY1y32bZjLL8g1Ljjaun3ZiWuo/o/YxJ1/Gotz8mXcwl
sW+47VISdPUMKWaGko9p0wFB/ZlM7UuB9jJTKE0NedDcDs6bGkk173/MTKtXvcy5/WubiHojI5Jz
GVqAoKgHrr1YxwOQoqoiHKOqP22m8guSAt4gROZLyQdjMTTtb72eGKqG5M/0yVW0GIY9v1RI92D8
bdoA8CVaLXUxiglfa0HTnywpT4vaS9GGBfHLhCKDdcOLjGUWAtSAHt5HBOyA7qLuQa2D7AOEiICp
O2XFxXQxqifpMNG2a186BBF7xFr9ZPN/CIpzWec4wRVtgihGXOZMwTuXJ8RAa2eahNE3Ja2lJNbf
U0JsV8gxGcOWPfsGfcSfF5GnjUkna8xoURR+tGi8cEA5X/svdGtWvWNGFy+r/kQzkrnQArRv9XRJ
HoDm+cAwZ9oiyCABl4zYCzQln5r3og/Fn74e1ItwLqCpdNJ7ol3T0LRIcu0PoKuc4BKabxNEIcnN
PK5IM7L0gG1UEyXsHNKNMZXfRZCUxPsZRGkkEmkNRIGaIGcG8sQeFfzxuhhJLPgtN2q/gsFmUqNc
hpTruOn7i1lxhVou6P2pDI6IjsBgsKimGXUg8T+HOrRuucd67JfZLkXoHVv5pi6dbOs60O1j1Meo
CpsnhboFA5ZMN1h/CXGX2e+Mldsks2xL4MbOsT19q6vpdx1VP/6IAcRkV7woA2NmJOH+TCOTxnvU
kI6bZFzOQLXqyCOzjJtz1PRfbOcwfocQ4praebX9xl2TN4FAlv56L7SXKvEzuuEVNUD7nSFxWET6
WWUR0DWn/jXU2vccbSxKq1jaPkQxL4mv3T4ONO7eg8++pqGf3HfDexITBxsE5riyuvjW1NZfaGpk
1P9Kg7krWBP7lsYmOkHFXZ4oCP6+Lv12FggSK97JJ9oV7GzCMXc3tU+hnumbvIyfRaVtfQGJQg6D
goDmLWMd72DXFdNhRAyOqggQoyQh3aiYgkwCbRLXOsA6fmOU7cugIws1n8iZFrm/nrRGQqNDRFvq
ob8m6eVTi/tZfb0awjkRpyeQN5kuI9mAa01DgECxUdqmS1gg3xuI85fPv+umQT9knrwNJa7lorpD
5P/WqdCayftySuPbtfVriRcJS/SmHKiCnZFttdJOSObmjrFAlFHYpJaHBwY5u4j2xUomOeIeUZAx
FXU+AbP+m9dPxEkM2c1qKE0nt/yORhrcJplvwUSfI9r4fnsgOYDNSB5+Obk2LXrt7xhP4Vqvmyvg
bjkbF6hIw0Quq87rXm1sqH0yvhe0TcCiQixtqy/y37tV2J3tyCk2pFFYaD+2hoYw2SFZCLAgah2d
i9symRyYNPrJXqdHZ5bjRnPDq10rBgp8tBbaPOR0JfU84cqMsu5B2QxHPSW6JxLcgv3uHV7CZhQu
zKUUsJVyMh8cAnrOYnjrg2KcOR8TbQQDMaRr5AvXTt6J9TjBS7TWdqYcIFbVgHsCo6/Bz5Y1Fa9j
7d2+hPNZgjvXgyVRJOGyZbu4rDL/LV4XDf0InBECncfRifiRZctIorUzjGweONTOoEfqKXweTq0H
a9PmPgfXCI+uO+HRjIFXpMSD6d3ekSiUpcMiyxKJHwASVGOZjIHwiXcd2zLw3LOLBzmtNwL5qIr4
JHVLLWur25SJe8Tgmh8I76OtF9fJYVZDCjnRJ2K5XvvilWkiCOAUV6lPysgQOYtI2PURWRrbPZPd
r5cWa71KPPbQUKf1ttqEpW2B+dGvyRSfJ8/0doQl9Qv6dBvVYuiml4kcsWMn3FH2e3pV7k38bIvG
oVmHNuHUI1Wny312e4lMvmYVy4N4NbKu3blXo9CFPRJa1KqipnnI3LdfdBWmYI+e9d4fuZKdBu14
EMFsQxnqLdWt0yESstuVzCXZ7HHptXdWHOQp9cFXJoJbk+oqb3ZwLMBpt+EnAMDBdH4bdIiWejOo
2zTBUXZduPKuNH+xQQHmnuHnlVW4QSWkLVrip5dWU3zV+jSsx5TCv83pHFr23sycACMaLKk6YAKV
JdVtcMpvuwcgVQYLPRpwv+RMdjQ0X5nrEpVXzJeFRtd8aIZy0WgmDidADNpcnxU9SYw6XEbDd79s
FrBNJ+xjOmRLw1HpVtfci1Vq1cFCyNub/CuISi7/o46FFbhQ6um7GD0vdTYJbK2nL6GFbI0c40Bv
iA/BIGfV5D69WT1/B+X94nX2xSEJBPDMkT6vs3XpNi6CFPRzFkicY7rxTgIL3ggHAV6QDOwZ5qoI
ehUhCWiJLUFHEmG8hhSdW/obs8Xnijy4NXwWHAZEeVq1hbJa/E1G7xxCdI2agJwqgoOSgroO8myJ
OY182BTSXjzVZ83K/5KbikE4p8il5/CBEv2KKkutKVO9hemxZvKJxNCQRhiTBKkuxi7UuWBkZ//A
3diPihFCOTbMKvgIdx3Mlg4mkuRjv26URVaYLvqlPjB0o/HM2MYEUOZkdwc3RT04CAg9/zszuVEK
71qXNig3fy9FgNeqRGFI3AtT2Gth+09ekZ3wqhGNU6A58kj/Cfw3VnvbZTKV1C3jSIur0rCDc4g0
I0wvbWC++73uMjCNT4wQ9+lYYWgk3jgOzD9+6P2JPSiWkXaMPRsupF8hoy8uQYe7hsbMnMNHRwN0
rp3YLdH04W8PTRpAOnjgvfFTzj9O4OpekMPzK9UhO+o1S2jL+J7awfj6P1ydx3LjSrZFvwgRMAk3
pfdGXpogVFIVvLeJr38LUPet+3qCIClKogHSnLP32o4t8WJ7f0yylDif+j3RlpQumsRZsI3/JAvy
sa/ktkYRR1OVRTp7ja2orZc61VhDtIJrAjygi2PZMVplpwsrpwaBR9CxPwqbNMrKlXvbHuBTp1iS
yXdE+DK8pQFVJjvN6bI2cM6zQj87SUhzpE48ltF/fCXdSc1IH+ZDRD9h66M4XM53a3ZaeHXILByl
W+5ZXG5TB5RQEGOqAwtCwnraaYeR13goJeiZyJRoXhlJMc9PnJ0BvkASHII0vpZq2uybLrjmQeru
oNg9FZO4NFa+0LqzVWKOoEZOR8KLdslYjMumGVw2gaSyKambrlSs6SDixpVrqK+FXSiXTDLhhqp/
UuUUJkX6FkpWHWu9Ga9rDU+W79Li1/zqhE9ZXUDybfedab9bxQkkzZvIRm/lFOlioKq0p5PylITp
10BBqmuGR8jVxQ6OccVKvw8WfRY+ulRh1y5MqrEvtlBKmMsGFiNTtmcq0sfEKI9mreOJB4tOShtV
Ezu9KnZzcfrxrbOdrZVEF+ECgIkqvJOGg5kwzpDJsP5lnCrfwiS/AeJaieSFiOPsPGJ9NxQjWEgU
lsw8LpKs6pDUwGRDehfJABrMtiG5OJ1dr7QAu0KH16i1jWUFnXEkdm9btekB+cHFUTI2w6q/9vjy
yxqzipdNoClqdboNKyd5tWiiRx7Gj0AfrmWefxR6/KlU5lFBHrWpR0K9HF4Jglm/8Lf0yjwIvsJY
qb2NTCTqlobdZcsmd15LHXOjboD5zRGFwl6kFpc+pkj1j/Zgg9Hg9IZ7YJdHuyJZd3pTrZ2aG52C
GYl491SPPBr20a+KsAlE6kkFmbQP34jMWtN7Zi0LflHg1TewuoXsZIinoLnTnxwVO23UEG+ag3tH
SpfUKJPMLKQDHnz4hk5mHr3NNJ1AdXmw8hWYiK3OmKRjEmmKRmAlDPAdqkDFO/JfQd12Hx025Lio
UY5p1mfr+Z9sjh/Duj3HeXupe6LdjAqnYQZietS6VydIPlqCKhZELn+zW/f3uuk/dn69j4T8Gong
WZW9fvGZTBlKya21YZKR3dE5/pMBHlLNlKfUZDZRJvdjbzxE8ZWgh2BReWyRY7c9GTlg5eCKg/VY
h+Y69DLa/cYvFPeQLaidrTtacHFMaUjTPznrwYC63YG85D1yJ3ItZXGR4da3W39DtZxMRmIRN3Wj
f5fEZ8JWPNCGoDKafFWEorMSMLQ1RLLfMqIgoVbsCHy+6DYlJlCkVo3RTRDe1T66kbnCl0LNRHT3
vqx+oaE8ICdVF12Wuzudul/m1WdNxUk+eVkdZPoothmGy959oTWw8fv6qy5YqYdVeeL8oSbvn5SK
vmrdaO8BCbO45dyFw5latRdN7/bOGOLgi/i0K61HLIwBVe1D4LzMzF1j/lIL+VY6w643EmTr1Wsq
DwmgT6rJEk22f/YYWazAejRN/aVRAbm29YtveZ/Ft5TG4+BZK5ZTJ+GBf+Qa4eo14L/a3WkMwpuM
RLIB/PNUOinE6hrrQCnfoK5CEcPXCUWBmq7f3MWonVo+rFKsy99e4N9Bu93anPEgm7aHgqaFw5Qz
VMxOHgQHOmCroECpONlmfFM85ebIx9A449qcTpAIo+RQam8RG+6V3Wp3oC/2QoYVSPNS4YMwXiCO
f4j3qrI24RCgjmX5ttDz7t0sQarFOEK1Y+Mx/7iUbydeHJtU7OyZ3z6FvfY6xK9t8A314m7qsbe4
RaR01v4AzdEdnsEj77ORujA2IrLIsV4Wkl0n4wEC2IhNodK8mCqzWBDKXwGaso1J/3Styf40Srik
0sQSQN0NYSCro0p8FkZFmoJdLEfcqVzfw7GNzZcCdyQKzjN7zm7RVhkBnvUfRE2bSMafli4vECQ/
nFsduLvGGK4qBf/SUbhqffbe0lHg5uTgVmT72cnwm2qmCdew+B7dlHMG3xpOk51vyI+BgXY78hnr
7ImH8Zsesc0+gkJkZpS7zpj23zXt2ziFsph5ySkIv2OynVaKAulZeBXNHAGayKKYmVHg1TOyHqT0
lEVBdOpYbSjFc9o02cJMDBagiR2uvdzlozP6fCOzHjxT+aUVrFQDxplAurukH38FSodzyQw3tc8u
MM0uJRVzlJNfQ+EctAzRK5UB2NagKXO+XUpIECQlu2WMZeEztYVLbW/h5MZuj3DfgapWS51KE3UB
l2RjKvXT2xHtmxnBFASaWNUERw9wHSlBbAWsj3WXwAVs5d7rWoMZA6u2W9M7bJVXNQ2+U0aFpWu4
b3YuWM/XAB5zzL1+F7pLvIFL6EoFlcad0bRXjUBH2n61zRbMT7bauix1zJsVduPyy5+kphl1PPxe
qLtzRuQg0zF2RAfhDG+JDhiA2oCYGDN9wSjoFwjt9lFAURIPXop9QIas9Fg/l0VgrCExMpyzlGt0
98AXi0XhXE9xYVW7NYOQwqxxyMyMZHBH4SyYx5boyJQwLHM0ywvbUoyF7T6Adn5ru8gDKEEjpDdJ
WVS7le91DyrhpJs2dZ890T8jG8VPkvVIiYKjoZvXUJuimdHLsXRpFrEpTsQPnTXbW+ESxdk+snT3
UNZs0/ChVNQnwygC9Pbuu9+xSIHucB6j9BxSQVzYoXmvY/3RaRd1XWfLFM/+hmgdfHfEFuSBK8BC
jh8kbS1hq3KyNl9Utd8xOtz7gEqjluJ1k4r15ebfSM7eMgpwbIV5zFM2oh6nFSuwEzUnCqTCyOgG
5iFr+Ljc9LnK0Y5EiXs1sEkrabFnn/Omumm9yFkiLTuzYlue9DvDpPDvqtGW2gGCUrNZOaYO7DOm
mYJUU2NFuAyRKK0iXXsAiOsudQjzfZPtrQiMhkswVZapnxCt4Dzbk1KcIcpKKJh62ngPiYZastSF
IOOALDSr33Qi4HLExp82DHBhgXoJ4Dk1FT3hQpHu2sKCwPoKKIC0kUeiGYtQQXnrVDaPXFAQSALj
lwjqd5294LEE+ZGNiG0cZYPvjIELHZ1SMggLzKw0nrAbKI82MTXoPDZGfczD5i2P6DD7g7dsYvPV
LNtzNfhMQjjVFsGQns1eXFoNkbJXlIBRbHZpXlk/q8MhsoYPOl/brqYdR8k8wUHoyvBPIkIKW0HR
E2SSXmhInfyhfyJ8U2dhMNGVIvh3qv5ZUcRQGny/oQ0lEa/7sszwjpNXTScrXFQshZ0mo/dQeM+l
sMksAjWqVXRXK7JaqXkWH6qRHyiuPcgqYhgp30Ghwx3v/NtEoh3x4NHqk6togLeBA8/VD2TE/1ZS
m9gV8+z1Ee/ZWaqmD6s0pf/hBVRfs4I9Z4knJgByaBnDIsrjfTuYn7TQnMo9h8R4Lq24LAFfdOXS
DvxfupM9s7lh7lWwAQfdFsFcv7RT9xqBZ9o6ff/LpoJu+dHNH4Zib7c3einjcpxaWiZmQ0oG/Vof
+mfPhCdr5dNyK6mP1Zqi1m8bSiG7bIJ3rIQBkf4MA89IsxJwpV5y+ljlqx9EhOaY4t5TcsHw/qk7
w8p122XidMNlNLNmoerDl+VrI1GnbJY9i0RiM3iJWcZYLjsCF/sv4m+rx0GJ3Nmzs3PqWJsSARlq
CkQZgT1Secl+URK/JMYzthl/6dClX7DH+9OJ6qSn6bZpSW7Hn0tceYm0M0ahMEbt1VTybR6FJyvC
x5pJvu4mPlN/+i6YgxaU9fFGvGZj5+zbFOKiqqZISXwiAyk/V5Silrmq7IqIwmdNSHwa0AJ3gXr0
ULOoeVnHLkGS0LcfTMkhKuVqoTOdjj3Sn1pUT9TbzZ1p1kj44vbkfXtj79xTyplW88Te2sJu+GAY
xgRdhAGTMgdmj33UpxgDsTd3Oh21TKOGDW5v5DrsQ1hMBrgW0ASubwNbieH4d/WrUNAVJRj6Kc0m
4YnLqsUotxKcNE7dne203DAF6Rs2ZKuphCRq2ka53x3HAC2nYwxUuVX3oQ7UfWS2ya5y22ddL7mq
dNYD7EF/o8d/cshLXlitD3skYpZofBQ0CWnSNlG7i+4VZDXLAYvLNID8jq+MaA70IqCe9pVstmw3
EVcN64oFJgvZ4JUYM2uhWix+BZrPBm7gIgvjjt2VBQg1iN4J7s2QEGT+1IH/cFrcNVThDbe5WXzp
Y1K8svMlsGfsDn3k/PalSko1IRgp5J1FkueP0j1ptbQIOEHI7LjJrsNLEEo+xsF2wo+oU4YFo1S7
jEuWlU2fbSiz5R65GsNOhAKkS0utwr90rX1irGLgjDtCQ5SjJpOXqIgpjBSvrMzafaL2b2qPegxH
uR0fq4Kin+m1FPZw63qADKukha8NZi0Mw40NSXKh9fGUQsOaI3QowY0Z+59FUyp703W3+tib68Sf
sKxtcW+99FRlKslqVLHgybAjRurQNTFvhDxSmrX1SDXO/p07ZCgRQR6tg7a9N07NH2ObhbYn0Yx2
VYzohE2K+1vy7B5BBUOTCRVkEsiOUjV/GJEtLjuRPqkd+dm+QR0UnEo5/hYliNMoeW7S+KsN9ffG
4WJzEuU5qCnLjs3wIXzzw9UBt0a9Be1Aohyr835hmMnuS1QKoG2lWiWFDpmcLK1UUu+k+s72mhU9
WzJXG+uNyvaUffw7VaJdrPYvlIkWdsF14ydP4Vh9yE+16imyKavI2qq5rdFzr/cs822C06gegrhC
5u1gUCwRs8GboMW8tn0MeyBCNj0IkFze0RC9ar7+lcv2aRypVmZm8lK50VNT17hmnQV7hnSIDj3T
tFTty1gm72qCCMnUEiB7AyjyonjGKEATQGydJhVbk7SVkU5ba4X21pT9UYTGWsMCswV6eVIM5cu3
soHsBPLm6EIyTvT4JqfKJ3ZSFNQ9++VVWwF6dwDq9x7oWK+BhKSx+IfMi2AkSVe0Pm9NWKyr0vrM
DHuvu+WfMskvTm0Pizql3eTuNTbVy6KM4M/FFhQt2qwF0T2lP+zxZd5YXMP7JiFHVYsryxl4UA11
GVTLFO+YlXvC50QNJs9NDbq84ylMAZ1G5WWQXEsYzKiyhrAW/DcXzfAi0qi5u2D6WTkTZgWaetsx
o9HOBlvW4LX3DPFVKPF3bIlvCdIubHD3WJSam9d+wPNgR/q9UajRTEEBNTruBYkb9OW1cZWSQL2y
GrlKOstYNnX6ysoEjhUyQ4qaLbDxhKjWbHrBpDjZA77z0X2GwMGaJRjhAKWmd0cuEtY5Li3bOVUi
gFmyDYVWLsuBsAIfqyJxtxpjb6eha4k+DacmryYUkK6qfqVn7brqMmL4RqwOCphrwDGYFenKsNRf
aY286W0GscvoP8Y4fwrJFfmFOS/YEcRG1YawVoZcMkoB2Y4Z46ANbkiofCWZ1p+xDfnLPnFPeTK8
GqpxaVXrPU/Ule3pf+Kc3qWUrb2s/WWLHmalWZ376YGJntZNGoSjOju6ZfCMSQtTPfNDEnypetyz
q39DGv6tGxQXEON8pol8HXrWkHXAtOFoPvEFxQEjsrpKE3bdlUAUiLgB5O5LX2oPllBU9uUBtEZ2
XZ6fg+rSBpXBqtSW8Gm4DCh5LXPPNJak/b2oEvacoDWvN3gIUBN7dIWaimGkicvnrsLIojHPlXQ+
OvUzq+TeH916bRnjdWhoG6oBebZIOXKIa9mmJkpsZUVI80Ok3HC7XsYgKTZqObQr1bXbDd7ur6Rj
RlIEfU+FnVYIYHTUAJcG3RPyqZXa8Ae9SL0L3gDMHyPcOy6lY53VjNh5pVSxVoxvxQDXytepm7ME
+QbrxPDAvmPQDMRE3apFMrIcOxQKqv9ZJhT71dL5NWpsZoHc3buSVW5rnrsB/lbejB2lJ/pAOEHE
x0gp2ctCOC0W5fYw1llPNK9WqlfMkzTCiYjCbCRiBQxxujHreljVFhujuAacR1HPVCNBxg/beCkJ
1dX7CaBCbXpZgRteFnr71Sq2d6nER15TRbd0O2FZMv5mNGnO9K429QBMnfJuqPxp+SHfc4vP1KcJ
3fmasRCBzcay2GgZAgUH2ImcugduraknGbISTZx7kLlyZ4iM3bDsi7XZJKDLtX6LLa3alIoV87iT
7hrm57XjxR+d7hMGknrUWAFzChhOD3m8BbE9hPq48DxAi054S5v6uynVHMM22Glpyxd3gJg+CGps
kQAi52PxbfVg0usUzY4WLaAIcM4qi7AY9fUS9dNYBa+pgd7b6NSAsBD1xOZ9wIoYUY1MGP1lHNF8
dE+KEmkLt3PfGxuIWdINfxpHUozlpFLwJagFtUroo0u4LUDBG2M3lKJkTyDCjYbQn3NbmyZafA4R
+LysinNKBO2J3ZYW5Dnip0k24eMrKZr2ZEGJ0mnUrwvyeDZVXx6iWrwngD0oxFdnIZI9ebbPSkSr
Rjc2BLNOBU6wcqauWctAi65FA0Bbpxjio57bjtAyFvi2GJD8zTA1YdCZ0mGqGnyp9quwWGGrPdtG
x9J31MTVu1RpoSK03Jtx4911vC+I2SGTWRmAdrc0V5mGjnCQlNew7JGJxpgZ8cHkYxGc8FzT/QZW
sQhipkpOoVHzeDNqZi7Snk6YTdVBL1xQTcnwlGnqd66r3lZziM8AhiaZL/ns2pxF5EiGF+gj8jCV
iHZ2bXcEl7ADqBVWb0edUzIOo2wtalkeKgH5dD7Md62iKqZcvAeHOjK8aYOmtzlF7PzcxLlVoVLP
kfF0GAiw2aFKrTrJcfQd/Jqeyea9bnLkifUJgZyyiXwdN+v00HxAOs6WTZhHq0X2L6a4nL+HYArG
ieZ0HPKXd9hel+2EDsUBDWB0vjUhQv/ezSfQlQGnmRlwSA8FV2j8c1OdaKNyOnipR/cb4yW7VNCo
80EJ/3trvutM4FTiXhsgdnslZ74pUuCBLJ65OR8IgyDfQ+Q3MbFr4ymbJ2JyW1C0JHt56qXOh8bL
qp9bqeN22np+EJNdjZB3elKi6SUvSH6k00VXBVYPi3z4z0GIkE11fzLSQMHoo3+5CYBDm1fINkNb
2hTFWCC4QCM9Ra14EVbHV5UMpE3RGRFpTrW1RvTo9TSxKgskld6PBAdMn8z8hudbLHX4EJroqiom
WAMsoaOfAIU7xNi2DyhaN5Y5HNPp2+3Ec1UjGgt8lHjSWtpGXsDwjw2wAL6gTUM4InT8Y6/wqash
yRd/v5n525oP9fS9eQ2RDoiPiPD5mM+DUAp33WriI6rR4WdH5bfwqUUMfEiW9iiRsq7SvKQ/x17c
0L4piP4mu07Ba47RteGvjEpbH8BP4esqJ+pz9D+fi6B9Rvrxbv6sfn5Mf5tJy3RZBJbNQC9+gvRW
qgk/br7Zxzqg2zLta6ITra+fxzp0Oj8/buebfmnlh/nQpxP7ubQQFsw04dBunJiLbDphp9PU1Eeb
iLf4Va/ZeP6cTP97Xs0nlxen3gaC3Yk50ivf5lOy6TSQtznEF22IIgRXwd5H4LCdP1JnJvDOH/bw
z6Xxc338czerU6SqiDAsvtYUVMBhvpX7I2W7ij4jwghKomVdHX4OqvufW/MnRjeBdm9FBz8om/GQ
sHA6yCFGxzQdYlNpkAiyJMnQxbDjBkrYlWV4b6YDbYV26UDI2QjbY98oBVGEZcY8Ca4puLsy4svV
y4hGNmXdsKQ0IobRxkrpWjd6SOapD+WhSQ1j2bpBg5oJ3Es1H6jvB7SjL3+fr6FTW+hNVO/nX59/
oAcO8RAZZYL5t+YfFDJsdtFIMrgWasbRNNybp/rurbR12rQUhtOMh0hCQ1VjA3017LS7zs8IvMq9
CaP9QAY+RSj99zfTFla4XzBaSz1ZFZSd76bi+Her7NU1JaHm57FeG/y74mTEvJS5jtabu/OBONzh
aMCfmX9r/n2sR/VVMkm0/zzr56l4jLIibS9BGt4cNbeOUdmKG8mWGBOwRbNPjsQtmB6T+KDXKU3v
1SiSADYOK3EGwup9fsrf51nhEQKkcp3/UD+yOeYEGNdoPtDvDrewMPWffzI/AReOICVxZAOHT5JR
kH+nmoWzVRKf8FQEk+gCAjTxau5Raw+tdaKSV7VIzNi8CaU9lKNnnOT0u4zv5k0hA2CZYsbdzo/N
B6ZfkyUOhYC/j2kySk7TelCGpbcfyuEPtcjwXtixvBXFeqDudXcgblrI7y7gbPWbZcnHKFazY9ME
xm1+qJV0BW1SolYKUo/5ofmHEcr1vaWzGZgfmw+uIWu+7H8/opTs+Xy2VEInHufvU7O+hu5UDPTw
p6fMP4hMsqgaS7z+/e/z4zCNFnFlE2Lyz6tyWXxRkqYvPz9DTi8+bZpq01oKeKDCLm9QlzPH9K7F
dKgceLWC5LluxADk+L1503LbvKmMyMvckiXSQx4D/2TeYJwPE6mUTtj02HxwIUUcpwx30BF/T69I
MZOLJVwabseewtQiLlt7rYxASsuOdEjk8s+DFUXHAfU8XWHEA61Nf3hgJQrbu7815aMIxseqYb0+
2sMK099n3cTKrZwOWTUEm0D3gql07t3mH6g5ecs6id4LEx0tjoYhic/D0O3np/w8VnnHkj3/7ede
pGh3ci6OvS70LbH2wa5QCNrAbjxekAUsxpz4manTFeb9ya/MT2asl7omYstjmxUNIcr7mnZ6fDHR
YiwGRQtXbt0/G7irx1B7ijrdXeQlvdhBc54L3dvVAFNrjxfMqLEwK2th2ShJavfc40+SON2awf8u
XFiNYWGHqzq3FiUZO3XquZswab69vt1HGoaxMvSqRavH1cLNk68hJmQUV2+mD7+tMlEBge/9zKDq
ZXVy4XvFp3A1Y2f4IdEfiLe5os8M1eZhZLFe8GfO6TD+8hXySLn2jxINR4lJl5vzwWoclfVdbyvL
+aaY7s8/MZMctBDk5ya+jvXAsDE/wU0i7z/Pne8XWqIBNeW3qn9uedkoD2P6TT4JcWPzD//nuT8/
mX/DieqVR4jkvlQUqOt/n/3zT1so1Khppr/Nu3lJisbbzL/3rz8+//TnhY2AG+wmIq54ekkUNo1F
JXWxko7335c9P/tff/bnFyOjKVZVEeJ9mn7z7+vV/r73n3/59x27QVRh2XW//j70rzf2v5+UqUpn
J0gLQ6vNd/D3dwboYEvMd4A05fBYmma0BeVuFmK450XRPSjh4O586dkL0ggmxq5AsgrPLdobkdY9
CLUv7h3VmOnO/EhkV8O2cALy5EOMlPSq93bSoUuoGUHOsmvlscj7myG3LWEdL4OlVBfE9AQCR4P9
IJKOIsTkkz2aYyXpAsXSpBkaUjU12IbLykV6xPNXihi7h/mWn6HfpfscHdG3V1TZ3XajGkr9YLHD
o7wFeIaNhsa2K7O6RxcV6RTvXSUaNqyCKGPN6d3liJR0O//WfFDSbBXXYu+UEFIt4u9OuqA749rm
wYy7+GRyLS9KzSEJxjSpb2fowQJBoFDnDuO+BDox3yM9YaSBgNYkqzGq+cAHriGM7k0mM0zO0y0l
96N9T7/Io7fnuLSX2oeEsK5H8J4akU8TrlBtMeVhwWDqlB+F178HKW/eydjgqypy0cKsvSOSEKIA
9cp+STN7i3uVtLpwINypN860XP0ldB373THoE9MHTi8itpS7krlvPZ2F97JwLqmevHiOJz9EhAyI
9sajy7bgmJh6QaWxcC/oHzAq5coLJV37Xo6yvPLL+FQSijjsByizmeOb7qfYgLzSeLUZgaQiwgdX
yUjEztoJaquBdnAmv7VCM/acJ0TdESBTUj5pYuCV7dGcz4EkpHXPaUgxEcv71WRVuiso6wH1CTbz
q4SIsxx1nWicdtwpg0Idn5IXatkaS0emek8FqIKpSdeffYJJD5ZU/aVIte/YzOSNmu/wcyhjKnNE
pm/7of4DDasy0KsP9s5WKcFkhGZ7o2wBl+O+sBW5LdWBPr5tR+B76wZ/AkIgBb29S7TU5e9Bme5W
fX1L82TZThizBmAJbpSQ1sJ0t2pUwRnlDjcgmBQViuck9cUf3E7PMCnqN5qg8Nuzotl4IYkIubWF
0mDXy2BwMJETRnvSse8vGkmbluAebPcaO7GjZxnesela7+dWLH5FWa+cglgWxqpExkbEkVY8mBOK
Dpn3c+Up7r2kx8IlhKRPaS3InuWgYXOIWFt6nmNCrUFQ20VOetBTrz9TgKjx0nkbNAPNHqVQ8coH
BveaIEVdMG8WsYC5hvy7V5LyXhvFlyPj4BWq4rBCFh1dWw+hnVnQBjOK4StE40AkAYCVwNI3oi9K
iucAV/uASqJe0x8QGmaYsKYOIuPWvfYG+6x4ZNmmTnfnx8CeHNyiJCpj7OVHyLwh6ua9dwHcJyzw
NjErKsaUIKBqVhGUhAmtJ3jo9q9DUl19p3COwqU2mQ4Cou00jJQhV1g2qrfEiopzV/oPRAgQDKnS
5jpKA6i4QRrslWBk+0CTONx0UJ1elDC/xyFiZGiPHqih9k0TmvXaiiJbFaVuXKvGJHzAj2E76IBo
C689VdHALpgW0IZYZ2KjjcB8dILcP+PYwXMj95kbvBteMll6EkkzpxTD/FirGmetgTGxYc3p3H0F
sbGJAXnA23ByDepWwnT0g+8QC55MiJvA+03fxbk0giUKiKSAlZBtN/DHKNYLpTEfPbOq1g5S/A17
O/tUBOEXWu/8gAkPNIsScEGDRvx0Bg85JqWPu1GhuGVT73+oPUCH3DMoVFrpMSiYFVVL/STBF+eX
EjT3TjwWo8NpK5IYsYld9+zu+NawjGD61ax9ZMTNNCiyrm26Zy32JAt/50uSrkGkqdYiruHqtXIS
5Zmy4v18RctOr3aYz7rFMHE19RReQQqPNqdXv5LhtIBTu+ruTLyBPO0ok3YeeqTpLs4P88Ku4Oom
nn0OFb94ZphmjulYxNq+ugcEzevMzMd6tMWj4ZV/CCrKRKyd6olrYJqwsrWiy87ldNee7gZqOCwx
WBBLlFvhBUwSpq4wTr/MbBs3svolJzRqgN6u1Cz3HfX3ZSbXQqpeKkBiHxU+fEpUKkNam+V/0K9M
4j+E+IvQjKghYFk7eW4bboKu1h7dMTaIC/bbpVcPhI9NtMBiMEIK9W7OacrdEM3hUSWLDYw5l7ei
LTW1WjqmOREjVTvceurwbTgWxsuqps8rrCkFllkbIkdCpHwv4rP1zpRWVmuVl7DU7Cq/AJkYNnaI
4Bh+/dB3j2ED0qVQXWDg3Atq2p+Kj/+55zQKq/jxZ3yPgLHvYaz5gDyt5r00i7MtYij0Mf3fLOt4
15z5S65HtLbzCJzOR7cneqKnMvozGmLaQK2dGPdR0v8wCFVb11gd775hn0osqi/klGGtSnHkzndx
9igL1JVQsSKu3HkYLAWQzsTV91GYOxcSddNdIIMUb0V3woumvoPLcPkvwrqOiUkvwKjNGDXlaD5l
eB7oWU/l3sn9YOn/uaX4clhi/gPBOiGkHJhJu8qiPRHJgib9/CBpVa+hGmxj0vV6s243mhqw6h0G
bRn4WKyDzM7WtdGmTxkyYejA1nfvkAuk+YW2RlHR3Ar0SihR9Of5nlq69JA3yqCpz31apSfLpCKZ
TxiXRsHH0+u4n3ukgNfRkks0X/KtqVBqIpIu9qFQg8dItQlgldEmGtSt6Gpk4POMqrBl7XLqE/Nj
oi4AC/ayundx4G4qSSaIAqawL9MvrbOectEnB0E0xSZTMdKUlQXB0rKM23yAHEOUCMUmVFM8FgwY
GRyymudFmSoMe6drQbWUUYtTXiMXL+gSIjMwZq+H6SX3Vo7EMGEhhb9Ruxk+pnvOGevbkqAoO/+r
iZ+TFjBBrjnBr9YgAlUbw/xBHwfzAPEFb+A8Y3r0HUh0c6s79FJ3M7+z+a6mwhBtbBdEKaJSlT3k
oxEYr6bA3ZPBXt4qQGrvtuZQcEKvvAy5VJ7IAm6a3noMK7N74p9+603lnXqFqOUwDp3uoY9DMlF8
pz4XLi60rFDsJ1cn6qEJs/JKmC2aXrt9yDK3v+rsyp81UT90phyu8xfceP1Dro3VsUzKG8ja8Nb6
MUudzk6+vIDKqMi0d90K8Le5YXb0VZ5RKQBoCRsH+dTSSFAYzcjG69qjbyTar8Zm7x4oToekw8re
vAKO/ODk8U6p6uytZta3BSuD2E3Vu51oD8Lw0jcmEXeblsnGsFCFhUgcCbSr17lgmA2z4jia+aZX
PIIX8+6rs9AFNR2cqyzrSUkrfXFRsT9Sk8GHGJb1g1SzD9elwIeYARqkl8cXGMYvlD60J8CVwRPo
JWW6Y+G9ukI0gg+cHFEbNo9dmbVXND4ROoRbX1XJ7zK5e5iOfuv8GZbbuvMMxXRliX6yLIXFqx+q
hIukLh2n6W7NKgB8REPPq8QGazYlqLDSjU+WPRJ7mODz/Bl2QuFa9G5g5Rca+dxFxF5kvjsfZn4+
+ZeYL53KAvUJFrqpBvusFK5zGFkl+ojVYVlMj5ENyuzCRHvuKh2vUhwrUJMq8iPxoK8cCQl3oSiP
cFnsK/5X7hmtfE6EnRxtSgu3FufHQdPGX5Qy8dIUFXzqaaqb5zuagSkkwQIHChNfUUX10Sj9Z1XN
2lPaTwrdaWrS///dvz9VgjNrnD/dEA0P9ehUe22kw1OgqaOaDl1vPg3tQaXRH2mE+4ahfbKUkSSz
UL/oBW2rfJ7S66BgqrRkvjYENbC0ktGLF5EODfMjamwkoWodUIdDAtGZUX4xxkJn/drqrEmpey/i
HKzTD7pOzZHcV47aUTlgnNJotL3FnexWKG3VvTHd7XxzR3b3+JDFV+KF7Gtmsgthfyj/j64zWY4U
ibbtF2EGTj9V9K2kUJ8TTMrMou9xuq9/y4m6t+wO3gSDkCpLChHO8XP2XvszH9InHn0Vs9nRfrGE
+TEiRsPBF/5FoV8jCAVL1sZNiSQZ6kmzUMu6FA5Fy6ywn9zqK9ZT+CZm/2HbwjvmEUPzfCzqzeh2
PcVvqV1on++APDTPTkLgfVtsQxLcrnHtQqBy5paago0helR06xbgT6MMjYurM1HXijB5jVimCOTx
tiBG9dXYEubFOITrNqn0lQPl61nLue+WN7aUESJZUidWDhbZdVg248XViC6hw/SDcAA9sftLS4K/
/3uiaeNPbdfWefmXJkP/KPSxPC3rV4v6Cttvpl/S1Apx3OOZIlijg01QDb/QKbMK31KwjmuU2AC8
vIZ1PWlemyp9ZaNOhK96aXBpldW2iddEfXFsKwmPBhvp8tXE875JUsi2VYhMNVUExFxHbDEYvnue
YZK8kea1WV631SIPydq/X4ah/aHTNqDzLMmQRHC6fJc3W+WmBJRJW7Ort01sE+vcW58hkNU/+cy2
31APYJK7msJGroG5ex87uf27lOnvJDfSLybW9A6HJlpnyWQdxqRBPxL6uNBlf80EbwWToa1F7jyu
NgDq/ij9n5680sRyX1Iv8n73g7/JNbdACgcaORCJ/OtrQDCSzv4kyaEiMAxBK20NCuIh3HWOlmBl
lMNZwZ+gRTG4ztAmgA6qifuAdwMyDdAiB3cNRDZkHxlUr8OHiE0ab67XPvqaRAvfWB4dx7K9lBW4
jcioPRJoXbFVRLkMFGWUGsar7wxfZMgbl4lEkNcJ4sGKPXuw191qO3NvQ/PFbeWM3J5pOzrveqqx
DbeSlyDFYJTPKXp722J7a5vELy3fQg75lRFniKaxFcesHqMX3MaUoM70vFyBHcG/4tHN7MmqWV6y
aj96scZ/QvVNXqrPT+0sEET/z/aUXwF0q2EA/1W71Rn587ayURRnaUUulelQZJWB800DlamEYvzp
rudstMbB4agupxo9kAcLNc2L9Ctyy1dJDkT4EAKnocD7xy/DT/wh5znwx3OelunbuHRYMtE21FvS
wcMP1Pf+wcp67zLWBMqxCgefrfyJYml8UAqy8eZP7Kd1/NNJ7bHPi+4tEKa+ryv5OvQOjrq6QLM4
Z/pjkUf6qhvNddpl9guEAJu/CD9OqI8au5hcrGby757wTkH857YDx7L1wg5HGJiFb6f+ndRsAgCC
GduKRx4O9TR+t6JhpXXGZaZyRyVIrA3Cf/PimcwmCNIlvwhZAqy1SCEVyDCZiTyL+7BAtBzC0NLD
eN/niMLhhLpE6VTjJSjJvOpk5W+zUXOvlebRyxHirWocbAAWa73mKs1T3sgn3E8IDt2Q8S/OfuYB
KJ3SWuyoe8cnjVr9afT7dD8WpPbolWltgtCj2LBlz+Nd2+N8UyS/ue/0/Tj3vyvHYSMdzgJk9PJ/
Ik9uYwUhqRZxF0R7k9sNXBRe+TGICI42i/IT/knZmwil226bsxRwi9rl1egGk4lx96IbVXeAAmZv
vTJxjnSGLMRxbfvc64pxYSsb6PyCr7XdQCHTYNDY7e1+APiOqVaAAxqsutmWydqKiZ3ou7i7LYcx
qwiQTLt5FxXZT5jmzS1MM6hLZvUXTNT9RL0SphBLZxEHyOnLacsmsdzrOEk/ymFfej77Lw8+R1gx
nDAazkbuqbLuHtvGLR/7NO+gcAX6z8DvsScrlVC1JDwv4FkCNKCLOWKGcCDjK+iQC3l9kUraoyGl
8VaB9G6Mxxh5mdMH2vXePe0qPVvDcUEL0UMjY98aDVvUcjsioRTY2mzpK44lHo0hPNz/FHifp00c
wh7pUkoXLzfO3LfZYaAagXpI9RvKJ3oF03ObF+VN/WY4L8JBd36rk9Kb3N9hOtBPg1Q4yv7VcXTV
f+ysnVm5/ntkTge9Lf70c2I+GUaX71ofElDW5t7qTsvUQp4/blE91i1KhgXaaVY+1LDcPkW/EVeO
V5SAKP2VX/x++xR6dqljTSNVoLrKyEjJ+ZTpCQqwf4pDXIZLGk0VgHOUmR+dIMej4yjQ36RDDxDE
KMnSHJuUkM1gmp70v1lNRcC4inzaWjf2y20wTcAUEBhFG0Q29D3ojCwHA+4NWm6cXWYBT5j5zjY0
x/Rmqto9CBt8wh3PNmELAqSmdaigmSJvvF0MVWmbEXpyAdWHNBttt5/VEf9f3poRUQpTkOcotYO/
3fAPxqzoT6Ehw6paZFj3DJEE3W6DIzhfyzQp96QePY8GX/3vhzNzmvcEvN6XAciBur4aYnpOadu3
JxCT7OvtOP7xjJOpocxrUjignR7f8OAaN2bka98e8qvnja8y7/vXyIz715ToIfjLL4FvNseyZDdE
CEVGBWqK9rXRefIZDgaVOJJoJNXHiHG5wUQMeJPVKmG4dezLkSjAGqOBbHOWCh15b+hJ/Xr/xUxp
RjvcjS5qL3/c1chcdpmP4C9JMW2UmePtLFW60w2pSQDPrUtHgA9yu9JJL/qwb1yoqCD/7L3IbO1D
jpim2LocplrRj2UGCOb/fDEt/W9z1r3rgpFtKD8uNYrhBXCZDXRRUSSd3b5rViVYL5BIGVrOSc/I
IwjF0/KXTkCwdnoaMXRrxHSKyno4Ggmb0zEe/i6fnMJkxpQkxaENPf9SW4kHgcZLEWTJzy4vtT2R
W3jNA+1Jggb4yliUcNVG/hMeLLGzNPOpktG8NtU2v9aJ+vQDxsBCEbRrmq4LVJ4iFvLKsnRBMiXR
wPWPrUbH2B9tvFCFnOsD7fGilYrJQMeiHxROhFfC9DnKXe5YjOVrzbWm0xiGOA9TXOc05Odvj07V
g5xRrWtehvG4E9rJ6qp54/mifgJqyZ8Qv0WMJQcgcVkarIde+ve/k3QTBYJJY1p9JkEabiprxjju
63/GIp42CTKBA/37miUul3taRO1t2b0nKlRpFi0EIkkfDaIlci0g6w8ZBo0fEcZb3xysf7jHjr6T
lTsHSN7G9vPpgu8qfGiNzPum2CbyBt/RKfIqa09FUTKN9hkx8sQzLHSZfid39/UHFCDBBrkt312S
PRM9nX8FDpEI1pjSVQ3GgKG9jh/fsk2agD5xEYXA4GT6L12DeWJQjQT6rxI15XSoVHOEhIx1U4OB
SJsZ8KTgPnbj/HlZ7Os4fC5bw74S2qUswU3+Oxn/6rreflfoyNdwoVf9GEwQC6mkBoP7tyIeBkRS
u14+WwDJutuQkZJquLFEeIMOT4GO2W6IdTYkM3mHGsGRBKFbdkw3YdIjhuvwsVzb2C4rhavWsmGe
Mbgjv72Hxczj+I/Ouvhs6ePvOoP9DRRwWAXRtAPzT72jldmH9N/73Jv38DIgf4pgPJYCW1tXTOIC
8AD3oTa85c5sfCA2MtaWF9ZXCJsSmlV9kWiW8I2Az8OxXjfAr8JgNQ7OjL2tfHVAxP/TGD/06+wt
PNNyM4LAvdBUX9sqdWmspvxi9mhMB1KLlkM7uf6Jzi+ZvvYKREH82Nr57/u7HNXistQDrYl+degA
RNAB+kNdrq1KOSoWeW+cJycjPS8kcAQu+jEWPINUjdkzd7+0yOJ1HYBMVWn6U0+ewjHtrZMz9XSv
yyoeXuDg2yhV8+aSYy99IEJnenJ1UIA5gdulm7l/vMhEnFWNkNHzAIJFWL0EpBzijgIpOaGlQtEF
k9do+hXu65DIHUg3AlvNbiwwuc5DRrBhgUPYwzAvp04/dtEIoxdUE1a7kRWz7nbLqpqEkMKEPV/8
uDXA47iIv0MTzo43+y8zgSto0ocXzfHj3XIXNZYcj6k7IIdkAny9P1dLVsrLmDKEACzlX2et+uNT
l1MsD+Aii5b2fW4fXQK0XtJSvCzZP3aJ1zHz0+fGz54Tk2FN5Lb+0/0fbGK6I2HcbA2iSdexQ/eM
5oa5sZ2GpmyXMMCpfiVxePJCQx4K1wovdK5MVLoUK5jEHlInaR+l54wPnQwwCZEH5D56/jzTLH2v
ZE0iwVw67hqEB3M0VUx5A+sXFQypgE4OlCSIKoMurostuK4/or4kwCaOpzWoE/2LvervxGKWWmaQ
orD63byg9dm0QSLOZHwcDXtA7IXXrqxjiXeNs8Ts/z2L/vdsRmwy6qX19v//3gEUPd4xXFoNC9I4
l9ACVLgBUyQNazD95iXUgFYyTETvpS3M3ShzccDLX26FpadfMSFi+Hj7n0IKxPW9pV1qzyR/pAXB
Rl/GDIz0V5elh2RkZ4pu/Lkws/DTcdHzRvgDL+ThBVsahZcA4/oB8Ryz01zOV7uDPp62SfdqRaUS
goCzmjSiTmkgbAullVrq/uUAeJFxCd1RaCy/g7rkL5uR9GMnsB8sDeQwuhU2ty1+l8nSSfVSOpxI
z4YNPdVmk5IdRBg0h3quhoNTm169ixK7Bu4Mpz1Xe8xcwofqmhnXfV7Bg41psEyCJhFzYPEQsZcE
kopryABZe8zyAkcXVpT3fkL9jHUl3C2XMKAQMvF3j9m9EqIVQIx2GRvr5hT/pCHlr6f9uccWYIJq
9m4pBtr+eAgnjEone/CCUxWooT8a9YVvpntmeVnOlkNAk5RwczLDotqKN8IEimfOln4UWGKXX3E5
TPk7Y7PyMzHmk6ueWyaC5gKO8Y8FRmoKATlsCzFYa703eYIG2UEnuAxvfShOvTosr7f5vylyRWQ6
WyKKZxquDG65g0Y2H9xWS0DbUr4HlfwcW4KfbTgadmplT7i3bHDGEvdaGuJAEHAjIqZoZeCjzymd
cl/QLD6PNTryVMNqAGaL3AX1oFkWizHy3+8/qdkQ80ROoAexAXGubJLTZOc8L0e64E0mIHRxwF1n
nNqq0jcZGH2gu6n9rGHBY76uvUch4aDAuyGQq0u8lMGacba9GQMxYuCKTWxxM8q0/X3qAyT/EKMr
B7DSwgJyl5kVwVUxcck5wKQO1mdJd+A/BYfFI4Ef9NciRBDgszGUAM2Kxip/Hq0UGcVE2Ul2dpK6
+avm2dE6mjIU6h0Jb7Fvteui9Z61IRt//9+TkNJp1qLgbJFpwcAX4+XSnBIC94FSdF9dh0lAqOen
vnGUgt+AZWbrOEu0Za4uozbemWEzfTZ4C073RbIW2f22cnUT/Veic38UQTTe77piHsZV12DPGvPs
NNZV/lbwRrHjtVyiC7xnIjxU/4JptVvXyT6ssExEkcXmg6jQhxgP5rbwxupx6VFqZWxcjZKhXdoe
LDQdm0VYQpG3MRtPew/YQh8SwO4r0HklpCqDNjv9wOAAXol9VF0468R1P4yZmn6Z4pgU409x68B6
84dxY6vLNNKPelvax2w22433u3ChCZuqfHJ9TdwS4vDqwjzMGi9PkdG8MC7cj0llfvhtMR0jOouo
p34TWhKcRKsC+sg64hS/ITjmmK4GSZJ0kLKSTAmJ2m9RetTKLMHHm1h6DyRRoXvh1ini7hJU9Klb
+kmhqpNAH8qDVjNKZBMCpEQotKqIcP2D1Doy/Suveox/gwnvQDs3FsTgatOWHiMN+sLbaAMjWkyn
tMru+WdmzDKoMc+p5sJ8FHiSqLfUOqLmzvd9eVTlLu6NpHgNZTpuO6mzBarNnIidIlyjrudv1LWM
9SfdjPaj45/tuqUeIRSyUkkpNvfWhUXjVLRJCaHZjAP8x/BrTPBdECn6aUvorXhbLpvIFZsMjEHQ
1FWwAuxxLpjL71EW1ruibfUL3cF/z7jJ/z0rLqMJjdLXUua6OqoTrBJflq3hW1SHwq8hTGVKohXX
xZlYk+oxq9NXXU8Vmq2bcL9HwbAZ1BMTWy7YOJ103Ps7VPNNK9dAHwF0RVtbfhSdiyG02I2UccPP
maQXSxV5y+M+i+i9VxX2XgkgJbUM+YIDuFTKrYSPxc02vB09tlS9O/e3qIiss9UPp77KPqdk0h4z
T2vfU/uwjHtQj8mrOM1B+8eQcYBtACERE/zSWOFVXZNkCeFDK3UYE3n87eXpi9Nv3cqIfuyGzT/i
8fw0jKn5jCN5h36caRRFu25a1wpsL9uPeDZpbqXpqyaYrtl5h/9Nun25cw3TOpCnHeDNjJ1Vp3YK
tSy8fRvkeC6Xio9x/wUKRb3rbEFx0Sfam6y6FXZLurtzw8DJd3ineS46Y2QdUUYgFxvprMAmG2rc
qKn+o8hWUbgJXaH/JLL4WlQcnTmYL0QreLZ2uW8GS3+gIR8U2tnHFuvjlG0hHfl9ZN583+n21OLJ
nn1dQeOHAVCvEWwZyHFtFKtlak2yY/60nBUQ8jxj080O9XbKc6Vq2GLT/rOvYVy94ai334VugS/K
LfRZPl1xkAaSZXzbkzX1FnrGX3Sqh9DkWZA1TxBF6eGZBXfXsquVXtwdwyxpNx1VxwFjTI3dMN0t
UhGDruuKPvaO+iK7GUQOrGInm76SOb11bkgvOJmoKVK5YfTuH1AxpLtRYMRNfGac/qD2AzR5tsvn
ZPnYLJeeR3N9soqtPRbaI77N6FEOEVIUqEVQSmlHqq1do0beXhlku/t8vJkwC4bWY1DUYr+03gd3
tLaYmNLNculFtXvsgHAQb86zQU5/yG8iIlvp5vwkQdEdxtZjEoj2Wdf9rypDqJs32jdPgNPQMNRU
J9PsTU+ELKSrWbcCNQMn3ERt+pdDugaJu0/QYf+EjffmFJPxPjaO2JDf55xSsxouXTELrKeQ0c2K
UZVmuP5aE1p8CeyhOANzuuU67vCULvSrRjIgTY2C7OCgOoxtpLrrqCAaND+ETTRovAYamWnqkmyW
9O2zED1CDUGzEnwXHVj+lR2I4PzYddbz8hBOS5Q6rdkZbFCxYxZl2QPR5wPdau0JbXb2aDFig75t
+2uhcsNj4lyuKDHh1891tOGTWRysqEHipfOx1eFbPxoteWT6qHcfU0FHU+jnute8g22VLimISnaK
/oOmkC5JlbKik2fW0XV5Ts450ijMKh/tCJV1+UDZNYTHFnvDe+iapAxhdY1mYJrp8vFUH9RGtVPu
CyDt//hmC2ns2E6Oq+Vv4I3CXxdK0jcDBdwQDVggMnLEGyJ2+0xB/mh0pDWP3mheBpsSGduC/s5I
0+cO8y3E2epyZu8bGgiv+LVigpw7uSZTbqZz6NKlVrt2wbK/a0yJ01v12TrL/Jh0KzpkSuNnNE1+
9EzZrlPBklm72vxIGmv2mOjcf8uHZ/kCUG2YoBMEScHw5NJp0CJmy6flw83QD4n71mk8MPIcvojX
8MO6oUW3X2kwCIg7GRKiYeRJjPsuMjpTWSwqxIoSg+VFUhYzHMsPPrmkD57R1MRtMzBA9jc92RIG
zexmJFsIMHZIDfiqUskEM4epYEReyq/QT3XI4IP21Lm20nAgXh21d0Mrb8t7UJSO/SIBzCdBUh8m
J4AOjsf1EOiWfw5dlLVdYrQ3WdEeiempfraJ/UF4gtJpSRdMuEMz2Zpq74Ksx2lqUCRqUW1GzAWU
qdkT5kBz38eTudeNJrqOUbkZEqk/2BElkkn83k71A6EpVeGHafrtmsd2fNCT3lqTIZNsGnKsr1qI
b8z3hsO9YoVniUksS/9M0uywg+O4NY0hevzv4FdMtCdN/vnvJUxW2zru67OXgU5dSrVyYIypZ1BQ
Q8qZdeHF/S5evLzqLFzOpoJJSpLgZeP2GMoGpIRsIecN8rmiI41h2upfDdrpviHcW+u16SHuvWat
Ofh4Bw/5NAHgF9eGLqyuyCAjwKPHbCebC+C8+bu1MWW7oOaORdqQPV9oHzbxuJcAa9HKHtyK33QU
a+QUWBZwWp4GSUGEd914tQbfgyzQEGOmeQ8Vu9/VSJDjw71+cWn8Q9P6566zmgYj3qTG/8TADmL0
Dr3Z7k01XSoo/PfArUt49lwaNpPDmrYPG6lqYtfEYfrfs9maWfmlvk86H4WRa3xSAZLNQ1QI2FYz
SXYJEujPKXOwWejRT0t3BYWetzY7X34YjvHewcf7ixhrNWYTOaZGgV7bYzZm4o++0KOpPjyajzPN
rzfHpbFu236NPULb3UU8XSiewybc59ytl6xj7VHqulodgsl0yEXpd8vSldpCX4uAoJwkapBvNBhG
PF+1B0I8zwz30H6hc2T2Yl17dRUTcPmUCZAP5G8xylGXyxfCxH8g73fYRCmxY8uP4TGq3i6Xhuoi
K6IHXdLkMW8UJEPthiBXZZe8E7+WK5v1lQ00+qWC9vVWC+f+8b8zLVF9dbJx11WbQAis3ADP1PxZ
0g+8hX30MXVdsuJzVyPF44zeM49xdRar17Rh/Percc+vVgzV/XuX15fvWL63iKFUp6P7t6V1sbe9
Od0YfmZ9mIlFDzGDMjuUztOibEgGG/Hn9D6YYOkNor+3S+FUk1e71ZlGZKk3q4woQLmqwRn406PU
CHx03bg8LN/atbKmaS5TPlMEFgaij07xVKUnV4C/yDR2QxMbgLe+K7V1jlf4CsSD514OVybS2x87
btuP0WQBVnr9qVdB4ZWVHggQjUkFnl/8DuBl3kfZU9RM/dmrC+J8dDd/b0rjqKE7tvWuvlVW0r4z
onIzX3vLYjN88WiHLK+GPSheb5JvjiGa92xI5zOSl/5hIgv8bbauIS2IbTkrdbbTuzfDYwUlTs77
gfnw1iZx9ga8RttBddJ2y+XYJW/LN3S+klTZrksmD//58g8N9TAjslcwtt77GT38ZqHXhFvfi5AL
GkZw1sYKWQp5K9+x7z+Nc9y9FlHZHscOGWUFvPQbbQEAlzD69LEg7l0NtyWZfvW7HdGNStAsdcOX
Cd3+QGwpY2F1qaXdK1Eq3a3oRnmVZEpCvOT1KGgnaA11fp7or74ZOU0ypLs0XsNLraa/chba4Yjr
loq4YuolUGscZBHLfQOQ7Gw5+S4rBe8NSrz1sjyOknqw0UhMtJAXsbfrblNmAxky9PRPT0SI0Lu/
vLeKBNB3r048kjYUld1qTHRQVR39jUz6wdY/IvxkrCLDpnsBSKifi5xS7X6thXgeAjjilRzftLqi
lU/1/6RHk8tOQ2vORRpoB35Ze08SgHOZZoqxegxPS22RlU3yFNJ4Wa5wkOH+6nr3RH4puhGK9EHg
VXDKqbm1bmPsufO93TCzglXsG3eUY+6u9XrvICyruI4lzKts0Iz3whx/S4gc/yREurB5/zuhaXmA
QRJlQ/Q2WD0i+5qHj+DvfGrckaiMIiORueRZNFtS/+t/jbo1b/q01s5UAdSyUm+eJcvxuSA9a92Y
ZvOdG8ZhIALkPcaAtqePCiMaygWS1JDNPbeFQVqwEgjFno0sR1Q8RLss+mI4TzIWx7MeJ4zKbHLE
WgwgiBmTV3yMKpTKiv7AZYW3HrekkZhvoU3D066xlIA3HR+sjglfzFyjQy8m4cScmOy3sEe4pBUw
rgNEbgeSujq0GwTbygC+G6aece+oWsuw6XHVDrKdpexYXqund8+H6BCVdrY1dC+5DaM+Hyy8p0QP
M0ReXmvq+lcVZ+j8CvzwPYOUaAN9w2DoxTWcUSVpU5p9WVSfi6tIii46eIO21yID71OTKzmYUIk5
FDESkFu56qrsVNfOdCWISGM65ddHsD0Y7mT+XvU6JPSkNrcuJPkvE2hQ2VbjY5n4SrRMcZbWnrVb
FMFw4DZga4I3x1HZCy7T3RBwfdkWz7mbas9OLeQZacmtUVCc5SCtBu94FlxHsFPv3ECXguHwT+Gx
ZY3DrMJma7mnyNZAkRR+ftbyiciXofQfBMIolUWq38woKXFZws6rU+PGENm4pSmqI0S9ePD8+lf6
slSo1M9kVl+y21yF81bkqflRmJAYg9TTScjqul03Rsw+sGpOO8IhIwMZTuWdyShGAZQXRCcnsVIM
7klHrM/cSsxDukZrj4i136hBkCtO1XRNO2q+cPTcvYWX4ilJBejDkEfrUIrsSFZ9eQ0r8zPq4+Ch
N1P3ffkP0B+67+zEggdGcN6DWY3WY6QoQmGS/zbpYa3c3uwevbSjx9pG22YOnTOQZn3D3CxfOb7/
Jt1kvBDt3L922ksDrfItofI7lnHRn7PQejYrrznx4+CAgZHUrxtUFet8ie5mMrqiGh2ea/GdmwG8
qzHUjkv9YwHr6GyUybHggZSSf7Z2s8iCv+HtxGCiDXX1dmeEwS1uqM6FR1JiUiIYmnuVxW0OIChR
OK6NMa6/ZAVIIehF/pipJ2mYGpcqR2bxXMeZ0p9k/YCbC22lPVTfaeyYZ7sl74MgxmjfDw7UzdJ9
S6ml92VLKtlyFtMDwc3g1rseV9suwvXyC0FLKYeVP1sR9E393y9JjdWiQeBHlbisbwDzUkhfpnzq
yzA6asIQ4MKm9BUiXJQe7eKWi3l6zLSsQFUxgm2e9V8ueuKLhURyP/v2jeDMfO+hH35ARmO8lU79
N6xT+dcWTKjs1vyZC8aXBLNXzyl8xr1LNdISqbXjM1096yWKa5307T9iXpel6fwZNWRtIpw8BLbo
0VMIWyU85o0OvvS7+QskqvomUjDcinkYDkIq9HIfFMfYhIvpVnnxLS0oymogUCbWFjXmL4bM0y23
eqLWwNEQBuNPnxEqybIdtFdhI6Z0pvkdfW17TloD4b1qIVQNtTOPKnnxIaWR5mWzF3TRXLrYBrfx
AM54ReTMm2cMe/ps+lUXvnepJpANGJDinzpDvVrqz52Q5ktRy3iD3c/aSzWaEn13tVi8bpaHEjzP
nWcem9EK62N5XHbvmUavEjNZalHw9iZ+otQeUmwhNDKVOytHgoELABZWQdg0cNz5XQuHkIzBRn8v
QpSFWvnNe45W2JlJJzFRgfcGHuvKt5ObYauulnh25oxl1WyCYzbSKKhjCsnCo8WaiRV9ccUtdLJP
9nHhKQ2qd1/P7DPCAOphNScsWoKWE8QUpIiEbzVdtksTkGQN9GFt6e556Qj4EM9oNjbXamy6WzWz
rDmzGNZU69T0o8/qS/cBfIQ90cypZn1f5AFS19Hw1aM0uL9fDR91DTHgzQ+d6tmozJdS8/XnZEhv
jmhZfQmN2MYyxsmQuX/1MQ+fGq+wb0EQXPBBfoW5qoprTFxsP77SmrZAmtrmk2TO/1ALxCQ50iKc
fGw7q5i0Eoi8PmxdtSmFI4Eru9BObfYsh8Z87KSH9oi/6huSOjD3nmX9yMylXdkUv5ZOIdjKZyNq
yd4g5ekxaAJz18d5dMozZNfDlLU7GUzRkyUA7o89yUQ1ELWtSMb8lbqCxmSIB3K5pKXGj2pCjXEA
+S07OWHyvf9d6urSatocyo7l7+TcaYDmA6JiMfltlpsppktMe9UHh9UZh/ubbgjqvbmctN1i1Gln
fGshkY+Ld6fhWVKFJRR6lepVqRwXt9eJjtZsibNEvajjimeUUJEhqS6F5iSPtIYvjVkF/3aKoHiS
rS6Oy1bMqob03JLgVhGW8KTVyRtvrPZO+o049gG5eLWNryiUJE56Wf9DtwubyKw3L13V6tduzs4W
VWi16gWZZK2jF0fawM1LSC11FA10SJ1keYFy+lrTJ3AhTsU5rPV02t+vyQhDGENU1aqyifVJJHJ0
AczD2jYFvB0gJeYx4CFr4b5CylFlG63UrBdRedo1JETLByq6bADvh1RjK+jmX47mqsEWG8Nl/+iV
Y7DNfZyO8whHgdClbBtjC4tlB2tM+r6L4ormXuoSKGvGsffFYHDvxjEUfqUiFC6far93MT72m6hg
is8KSufAJQq0zVrnEGV6s16WkLCky5BFcXVq1Ypi9Drrb1LckHjS6w1qNE2JI/ee1QbrpVk/ugzV
BpKoD73vjk9uZ/4po2klndb+YGLr7RMU3Nt7J4QnR1RH3ilo5wLFAppiMoCs/SJ5j/PXiVt6DZHF
fq8t0kIKxzcOy2XLJAaMn+rsiNh5byJ70+jyVNljfDQo0y+CRXFEhLqpGp4HcUcQlRWzVHjc4Chp
NavEntEU2XHpf/kT6hVooaflylDdMA++8TrApQpM0Tou5c9yAGp77KuquS5XBMd1x5ldERj6rOPp
SamUGGZJo1bXH8s8GMmEb+pD3RraoWnMF0tXA08l3xuKlk+XF3ykQZsjFKgBVKnZTJ1oEJ+ZDz87
UNaOTCbwnanL5YA8yyIOEGCcNREY7AvmfMtHKWunS0L+9/X+MRt8/s+OU9y/uHyHZKDvMhu5Lldh
yuZikiQqxDMzWV0UWOvGiNiNgU1Rw2xSbpDYnYKRMYWo/735ljuwxObEPHYuUGD8T/eCLFyMJAR3
pDomNzsv/FXUeeEtI1vk7FbAJxHo3paXwr6VO8ZT/OnVdyxfsLRCR+E0l7vlteWAOuLJwjgL5bbK
gH+Kzt/nwPDGWjDBBE62nvFmmkSp5cGVTLDixO131DBOsWXziA/pSZsZGPC8ARrHKAfc7a3QsaIs
A7R+si5Lr1spzMSUNCcbnjCOwfrb9gVwW2UhQX2VreMmCY79GMmPgueHrMlLiAvvtgj/82I4BQ3D
Az5K/avf2JSRptltYCq+uD3AYWpeJIHQaUpoMyivwTMf88CZ97XTIJmnjQ2tUh2SXv571gJNOwDk
xzgZ7JpADMjFeRIvZmmfyI7jbA/vcZvXe490kYe6HMbLfXqqzPLLmajzmx4ypbIpCO8vxRkhszOb
tU1n1eKqfiqouMFTsZCI7C540qt+0wk/vi6vLwdNM2J2oFSwlREABIkZQehG7NPcF+9RWmoHBpX6
j1aO/Y7wdGSGyZh9LWfEVeT3s/trgpWXRs2DXjTtsx3T5W4p9rY4t+JPrMiH2jSaPSMeHa1jv9Om
Qn7NsR8oKfR0LkTTX0zXk+vUavW1ndYoF4L5l1ngsFgW9D5BAwO7mz1d9hxXSDgH95gbgXccpG1e
pDosZ5h48otT7e4X/4+xM1uKW+u29Kvs8HXpHElLWlqqOPtcZJ+QQCbGGHyjAIPV973epp6lXqw+
pfd/fhs7TMXeQTjBJpVqVjPnGN8YIusKPBBBRCESN/Psng2twiWMA5fluZpXjfEXp+rzK1vlzRY2
d7cmDZD2zGTYKwp/Bf16od+P0nUWXt7Yl9GgtENaVAalBUIkxqS9n6Je7EVYM0LMRaUgs6nvCFT2
OYV+D1XirpN0t4I68HARPFedopCPhQY/je/urfCGgbn4bCN4d+mefLfpy0Sepinxb/uq3RCHZ1z2
LNXKjTkyK9T6EzsBokJcNkgx9ICF0TiIh+cvFhvoy/NLYKbcZYMD82Lu1w5Z/MWPrHjjuiWqdRN7
KNhZQovnX67TLbxsu7bfd3R4/v0t4RLKeN4I66XEYDcv+5CZi30fUhE8L/zO3+tjRUYq4ArEOOSN
YRhq/Vzs07CIrruEyFQqRzpgP2ldeDZm+YE07cX3Bt35NQMXlVqdS5UFgb0zXDEdbMePKObS03AS
5px07OsLK0/6axtSdrWuvSZe+jbqw7LpjzDAkiuEzkc1JuLK6qzlDwtcuozRZjpWA0lrQejCUJl7
UOcC7/lPmRIjNglUN+b8ZSS5emXr7qz9Kmb1T1r6bGK80PmIh9b8pJzZnWi7H+1MF5+m4p9X+dxS
svRuOMj8hc4V5AXH8a8Nf8oAE/GSVcpNOhrOrT5v4dLcvsQN4H0UeelfxBnCwsybgZFlpLboUqpl
XPXm2ksmLCSdOQeg6aG9MRINI4XMDRZ6KZ40q5X/vFasWzZ2YXdLo43VUaVs+FLNa1cDNc3j+Xvw
Pvu9TimFWLD5e7k/sKYHHqlHOZp1pkxO6a01lViaLd3fxZr7z5/6XntVNCh2dIPqFSVB9zGgGW1k
BBiwcOhu/Ki4LHorfxpTRzFfhtPHUE3wYca222hIZalDdPoNglekAqWJetWC95y48hinMWpMtN6E
KMnIJjSoRJXdRhvkg/BtuoI0JOQll+785fzy/GUKa+j4k3cEatsf3Mbr4ErzJ1IzITcVYrj0Muyq
fDvQh/6geQ6ikjM7QyMEI64J0tZLNP25V5OJ8j9fmlhoVyFgtENDt4kwSWiRM/4uKwbA88iZAX4b
q+8jrwzyw0St7fuCC2sQc6yOTey85GrIz92Ns6CQ9b2xREEmL84SmtJgQWCwm7MI9jvV5NOdvx13
Gbs1dhluOz6NJfsSzcmNU8H9tcyVwkRoD/rp/AM5k/KssnH2//7eIKejpfyWSiVBbgiMzGU+ONWN
gEy3CCPDu0ABUS/jnEhF8uXE58Cjwxyn/R2TUXOUKWm287cr0pBx+eAIR1i9EcymnyHw7k0QAc+N
TcFoFMo/soZykPtkzgr1T/xc16iHmEKDCAXUABdGzXARxe52W+atuqjkPMyruUBJ+utHTZSMpnJU
T1bjE6mLK0zSrFQp0UhBP9Dcti1azzHB4UPJFtC3cIGLMj4aztwIEpkGhoeVfY0D9iWP74KmMV9p
MKLxTIMKdXAh17KhCA05pziUbNHWJHz1n+huzh5C13ydukfgKf6LaShsK0X94KXsuhM6mdic4ukk
CC1eBxbb2YHuypanyD14kzR3DSTGC7qzwwVwFm1HmOiASFmW28gj6IGtmKL5MSQnp2N3F9TjPJsZ
J7rXAD6DWn+shElXO25e3YjsTBA5wcICFI+eznxNk/KeOAD1qIceFTE6wXehasxV5rnBkeoZKgkW
rwcHgt4Fhmtz53RXWa55l1qEJHAcC+tw/hPLcHHwCQ3anv/07++FP3/Pj215QTGTHNwh23dUsHZ2
JIfrcXCIs5mM9FNAhxsxgBd/Bb5Oo2SAAjkBl/HjwXhm0zssTG3Ib0ohbyL8eCs0Zd2NiGiICwc3
Cw+Ne0G93N+BF1FkSAOJHwM3uCkxHI82jnhVN8MFpS4Aww7r1B5xC/e/jlsIp1FTuP6tXnLrQmdI
v/f92PX0WqidPvz1n//9X1+H/+2/5sc8Gdll/pW16ZEaXVP//cEWH/4qvn97/8JLG44kNmHlWLZl
EoRiWfz869NtCP357w/G/7IBJFeyw4dlOQ1YAC0ZThA8iS4gZvyLkNaVS2n+m2mSD9Sa9VepCNpw
bb+4s3s2J6ogfCoo+2aVdhkvQye766oAEpGd1l9pCqzaoUxWQesXV5IGNGFWLVWORHducm2aYdxN
/VSXWDfrvGSCtTBDUZHql2Le4EHsaZ7y3ISm6nuvyBKPQxhFtIb9ekJ4BmZb4Z//biGPkO+h1f7X
SwD14nJAovP9p7ZTY948O5bTvIdDPyu0zjKtLgTZj9JucT6v//nTia3PJ/or8SeoxSlV/Pzyv69C
0tDq/FvzX/M/+5+/9uZvbV/z66f0tf7jX7rLU/5/+1d++rW8+z9Ht3pqnn56Qdht2Iyn9rUab1/r
Nmn+dYPMf/P/94d/vZ5/y91YvP79AW9y1sy/zQ/z7MM/P5pvKMM1f7gB59//zw/nz/j3h+NT9pT+
3//zy794BWf49wfNcf7DcKjyKeUaUjdsyS/rX88/UuI/dFsXghxnHPemtOWHvzLo8cHfH9z/kJZj
W2iQTIv7TxrOh7/qvJ1/xO9zHZ4i1xIkyOtSWR/+9dn/eTi+X7TfPyyWevOwsA93HDF/ka6J4ZfD
+/FhyWz4wRbR4GvKesRG4RKjwaMD8wfuXLoOIUa+/GZpiIymCZRTDStnhRlw6YuavKxW3bioTJcI
cV+7Fg8O6+F1ElGJdV30ibVgP24Xj1KMghZxxypZ88wNveV2C6AFbZVHHK7088/l1Fy1QQGav62J
QUQbvCagin6kubeeFbAloPPsrrM0jBYdFYHVpMx9kjCrBx0Lp9yiJ+cxTy5C4WDMskA6ZKO80+bM
qh+u7m+GF0Ofx48fxxdOmUKqAbHJEWwwBZftx1PGoo0QENx5a1/k7Avdgo1xBEunsR9biM6qAlcq
mmstjNaK6ECW+RxamS99RJHbWhuwOjf9tBtoFMzNP4KyfEtf4mSJMtYWgyjtLeHuPUgiWNDFRdqS
BDLCglkESh1LHLS5L1593bjLVYpyVBj3Rm6+mtAnuae2sTzmKD3B1OmrSBUnKpA12lmRg1PvkbWM
LMQ99CrbUjZfS8kymEBD5RBnnWwwcsF3lu0XVKiYnXw6WaYKcUNpD3VJXlAaZNsocndRypq86JSO
gUq+Eg/yXIdatIUustLVoY7LL2bRabt8aC/BHPXgmIS+GiPz82x/R64PTkq40ecG8/W6X8SeC7uB
5gvdfnERas/2PZAWHSSCgw5kUbnWFfjZTatrd2xc8NJRk+u78lbv0nDnJYzZZXlnV1EDXV8FSK2a
V6kfIxlc51Ab6mQdpLZcEeX7FBuVu7SNj3++I0z7lxvCFPAMsNo6BPWptzeEXensDpOYGwKB7QpG
Ha1tPzipAK9tgYJjiaXss4SGqjnFpeuegIYrNKcJ9FMNJH4x+78rmvOop4rVQAuENSLtsaENVn2D
VmTe8gEWbNZddEQoTeYK33jnM8zP+c83tWR8kqZtSykdV5/HiR8mzSzJUp792iAjDKDDWEfFoqO8
V6nyyc3FrUe6ZIhZbNUkeKii3j/hvaORUn4LB4uw6fFkFw2XcsT9nchgNQqbQkyGmzR7BTz+eS6h
/fmIjV+PmIFLOVIJi7NuiHkZ8MMR50HRxN2gGpSfwO+lDpNj+lY7mJnskMdSz56lNpDIbmRsRil7
kymzcIMqfOfM/XrxEfVars5aw5a6PY/UPx5GV8Drb0qnWStc2ktTqgdWvsi84GO884Hn3/TzJeKd
iIxQ0rYNARLy53fKCogD9iQbchiB8aOO9+Ek5aTDV18CO7zqE3LnJ5vCHEVAogSwY5uYLJa1GexH
gacsh7QWq4ic1D4al1qVyeU7R/jryOgolxkD+w2nQ+hvjtDjBvKLghxMzI7xWD8GuRiWaVEW65gy
0tICvqJq31lTseaBnb4FTXZbGxPaiPFVCy/fORr9N+fL5ZQJV3DefrkytebL2OuqZk1Y5Loti73u
5U9DKR+mJmWqk96OCalRLrmE+dOf3/vXWZWRgPxFQwrLccjT+/lShVrfw/8JKSIJ6MFhk+dLbmEg
IT6ZG53blOvJs+nDias/v69h/PKZFfUUZihT2SCB5Xy3/vBQtINFhKLjQhQ0613e0+Nty3s/y28c
o9h4QX6DvJd0ga5OwHnXd++8+zzz/XyH8u7SYt0iSWpiTPz53R3Z93FJR2cNQAU9d3tX9OpQkqdJ
wvaRnthLEE63npuhLjVBJh/o+B2joLgvI2g9RbWZ8vKdQzLnW+7NIZmm5dqKBZXipLy5ErU1KYfb
tVpDa7vFZL2oawExqV7oQ/XF0Zsvwm93QZMe8HbdSK290sYI8+yJbuZuvosJKW/Z3XVdcSfCq3w0
Z6kt/6B9Huv+Fr0wjfDhecqrTcMZzyYbXkr5zlD36xCjfvoMbx6rBmR/5/l8Bsd2L8zMPbpW88yV
3r1z+X4dYHgfRzd1UzCeMhn8fPmklgJHNKdq7frVvcrHW5VMF+aysRoM49k9HukLVhsvVpeyCHOA
aY2LuEX3A6HA6J6Tyb2Iff29O/q3B8V8xJpLWoJu188HhV+6ifAQIwd3e4OEpy0W2qsR1mvM49WY
A8HRLalO2cMYO0dUVMs6aO/Gjp+hJ4CUOQ7ZUeuKhz+fq9/c6abpsmbWDcPELz7//IfnTCdvDdZX
Byc80m+bKX9oBSbmLr+phnr957f63TPNItNVWOOZnxF5//xe8HVcncp5tQ7jAjxzVd8Vdoaal8rF
YnJor/ehs0vKbqDFN2utJeL+ULHqfOc4fh1PlSkcwahms0s29De3h1sZBkQdfKUIPo/GuPGDnT+A
QoJjMt7KoHqmCniBv+Xlz+9r/v59JX1Omze1nDejCplGmN9HKKn+aL84RQYmh2x48DlX6M4eoELe
jDjuCPJb0TYh+MWyoi+MyhQkTQoPslTGQg8CgpuH6BtJ4gujru4xP3bvnZ/fDTVCsccTlrLwp755
TNsek2/ZwOz0yI8wrO7ZN4qHIt9jNPAWaV2Bm9TNl9aQ2HpmxU+vf6p0zV9JzV9PTf2VLiEQsHgr
XKq5cfscduDM/nwuf7NoQiV2ng51pkXdfXMvxa5PvTbIqvXo0WKrVkLot6NhXo1Gc1cYxT0k/XFB
3/lLlY4riuQrVwbvDDPid8OZZVGgMVkyK56en+9nRg/IEbXPE63nXyt4z4u+AEDnlRMXqz4RU1PS
lEV5kmf1ZWNnG29Kb3warAT9gW2ZuhOh9wTv6h1k3sjYlIZcJFaNTUkzvimsZssughExyeXI9nth
Fd6NlkOj0eLtpBdbEwAksEp9Dn6okB1XqKlheeXrzvbE6s/n+9fBy1W6TjmKjbWuG+LNI6OrzAkm
WzcIdbbQENvDPvdJd3AVhH/0q1On9e+tweYr+POEx8wr5z29Y/HMWG/Obt2jnW6iBL8YBe5lUJjr
0J6efDFuNCJAWIuMoI+n/pSa9kDtv3Y3ygwOU0GmuoN95M+f3/71WjNucUC6dGyTzPM342QUYZMf
aD+sk6A7ODkGyTi8jms2fOFnfEXX4NnZqZEbgZBtwaVdZACI4usU6bNp1iyddBo3vntKB3Vjd68B
9bNFHvX0yxL7s/RZzVcgu2JdbIYICFxdPScleuI+E0uqDOayF2SaB1/JzQJA3DwE7XDsXHWZxcXK
cOq1NXS3jc/YoIP6XM56wcC/KWpOEf0aGis9Ej9ZxvdBD8+0IPFQi6uryYdt6jSrLq72URrdJ6V/
/PNpM95eREdnDmYRx6p13le+nfSmyDQBCSPSCpI2JV6jWJLzhxSGdDcbimAKI2ZBFZa4hth/IT/T
3ulagt0E0sXMzXvnaN4uKr8fjTKEo1OoUueCyA+TXZA2SCoLUmB8SOxIwdwnDKP0gPKmXYQhaZxG
A3YNEc3CEDb5Yj215E41r38+jHml9uONPR8FrDqcgS7PE9ugn4cN4qONNNRTzBXelKzIRnt2rBRj
S0l4bX6fW0ubeOV3nl/jN28qKPRIh8UsrFVnfsB/+OgDWmJlG/FIYmj2yQH0v5Qz/nigypGqe6/p
t9IId6N0vqLCveWa8RB9NRp1J9CxLY3EJja80O4cX6B0pEH151Ni/uY+mbdaYt5nUPY+V/d+ODw7
Uk3UKDVA5B2RwRLNSJU9GT46lbct8PcScKIiSg0Veck5zDzAOkSEb1A1bSFJLfW2u4lGmzze8llO
6ZOGv6/JI3BnBqKdyKoPVSH2fz7mt7Mkl5EdLMO+Y2HxlvLNem6gjoECpRrXdayJ5RAnBIP4BEBM
44NB+qsKgWcNq4zWwjur6F/WEbyzwv4/b9RdA8Dxm8E4xu3VJORsrBsa21gdiWrozfSheIngeI20
pBeDiqsdzZKnBouwKocN/vdnhCMPVocOV0LIrm2ygyl5sL9W14HhUw4b35kfzxWDNze6skmP5hgV
6/DzPfnDRW3J47R7KmVrgPInt+5uzAk7bR+esLMDwxGkIOgXk1+v6K0SZx5RccXnCBJ0lWhyz77f
WvB0lIuMefad9YNp/fIQGnMRm/+Y2Oad7c/PAxXpKs+GqF+PdfxtGHUDS06nVo2l3w9jgmMarxHS
yHgjDe+J+bCfoazhNicDd8swFe0K1Cx9hoCmQgBZ+zxYKSm4WpAUJ4vqZ2REJJLI4sYrvM9pESTv
nVzx6xPNItJQFkMRHKlf7oIWKHsHFKNb1+u27oyNhxGVLXmWbSynCLemiL/hifeWCQLerRpHHdVV
heqxNO68xNsQBJmAYiODrEa7stP9BqNS3F/mQbuyzAiUaNf1O9sNTuSWruuqmJZdlcKINEBXWgJH
XUFkzuDuyyb5LOPR2U5pirQj1ox14PcsFHDghoOxHSwi/MDRVDwjBRzgCs8jTeBVmFI318uRXPL5
NEZJrlZ6qR8BTxFWhO1uDZh6WiIP1LehMEkCphSw9Oi6bltyp+EwhocyM3G4xgHmah/Q/zBLajX4
EcAFZGXf6jbeJGck0hc31aMOGDPR6UBrwTdby+8ntwXDlmQvtk2ihqqWhpluIAo/Gzgu9AHTuzXd
BV5+cpzuIUXGKSJBKAfkvOU0M6lQKMi2h7wjuCea0D0WQxTwYOGrp5OySkajX01Jr1ZD0Keobl0U
Y1oCVcqaVnZHxBLCnHUKSHSJnnupCZ08CrwArGj1Z6EPt4OV8m8TpiTbwkTp4lGSIrhITXVddNyr
MjZxaXh5dWPDDihYSCAtp8rq6caAGmwmRsUSjp0F+RY61N4v/XRpR/TTytRONxQ/8mULh2BtmONT
O3H6vdHKL893T9Mi8ks6uvRdWGWbmUCy7Ax769Z2v3EwLj78eTD9ZW/o4OsXbDqobFiu88sEQJjS
SCY8Ij8/E3dAvT4NlfOcO8UXzITLgWjnGmazE+krthL+qH195+3nIfPnoYo1puVKxVvPvdY3W54J
eYsV46ZcawCciPIQLOBGG0E/SX7OMY10MnACO79Epw9MvimArhoYCdmw3vz5SM51nF+OROmSZpo+
N9PeDO5piKUgkAlprO4YbtNxrWOz8brOhMnAyF77ulqRdES7KItOUJS+6OMap4vYGyN/P065rQh3
96oYQGSF0orbC2V3fZM34QYLGSb5CjZf6fb5ohxC7P3noCNXkyvHLrQ19DR76ekavsm5FXT+xWpo
rs32EeWBuT0/q33aMDQL8NIYnXOgges2TtoDXedlVk1yI/oAlJdor2W79f2whOaF3bjXh21YKUZ+
hWGWYHDk2ro4uUDnMQxfloTDrAu3wNvt8PxadRu+s4j/zYRkMbCbFinOVDVBiv486LOIGd2q77u1
Z5Te2qqaVebY15CMuP3tdB2Z6hsQ+XgnMOpFvflNp4qxtlqpDvFU4uqNFokiQAWrKQKEnqzZP197
QcH/1/uQIi8rMY6S7v/bqT0wvIaQJwpCpVaKrVf3pAd4iTmvwrLdJHo8h/JUYLS7FtXOdXzzogHh
vO1Icf5kh/EmbFr9Bh/wcOOwmLKqATLbJKBRG/HWbEtUFfqUXvoVWczwwBE9NwtjKN27vtFgX4qq
3hI5ADiHmtMut5uNdCEt66wmFiYuzt2YYticpm5L8TFcTG1uE35NynA67s1aVIs6hqPT4GUvGsNd
AwFjTHELBHOR/zxOF+xyRjdor2vy2he9R+JzptFCiwBppW1Gr2yegruWoBA/at11NKoGgC+DTnsM
Yn2Lrra8MgeWdWmQjBuKRx4RmzhcyXkk86ror6UsFkEggqOcrH5pasToofoym2VIvG0yX0NDGxAe
Y7CdXC3Cj8f6qHeTrY0u9bqMrZ3vCOiurjqYAtTAmBB+wschgwLySjSUACs7fVkMl2ajF0uvS51l
W6j7AIMnwsl8zlKB3FwUHdFBofmCckefYYFZql6QLolNN6UrksP4vCZJSvrXsnLTOxv6z0eAKkyQ
7kqOkXFdu/bVUED4sMERgEPJPxXznJuy/3QqyCJtoJB6MMXtaxv/TuInydo3CXOus4QED8tP94TF
dBu4tYvz20UV+80MiGZgo8AJGt3YAsh8nILHJrbHk2baQKsQBqFpy1dtMxrA+Qkcz8pQEQut1zua
Y+y5/dpdW/MmCUXIdO1b0WcjLJ8p1GWfEiDOelLPRN/mS1zExw70A0NRSoIvd4JeX0VktxID0BIW
njvQT6bxEIwvxVjUL72PhMcAg45J4lJN5lenw94UBP7lpKz+mJrQWiytvzFBn9LgJxZFzebr0PKz
U8NuRDnku9s6sXKXtkjBdAjIUnXlTivG06dxXm7WvbCfgKXi1HOihjSqwllUU2AejBIzV9R4l3Xt
uwcnWNWg4y6mZFz79EghzHEt2TRxBwYB+DT3vqcpO9kWQmS9Clg0lQ76Tc+9Txf12MsDItnbKJ9d
TV6+jtwKkCtWN7SZEuVj0wzb1FlB+GkX5ISGd2lPgFmV6bdR6Zxye2wes6nk/dxrJUPeJ1f9LcVs
1hfFMmqluNOIJj7FeXIV+Am3skgxU5uZuPTMwgdp6Q0Q92FrljGJ74Ejr3CwDZfVPLYq3y64fWS3
bNKkhwFRDQuaCeklRlzWS9t4jLVHYMbHDpcQas66oA1gOCxyxkdjgrxWtdq0C1B73MhSu7DaSV7o
I01J+I2HMjdveze0HnnGzd6lmEXq7z4QY7li+xbsSdJ7TLVi3Nlmll0Odb2dWJJ4QpIkVE6bNOs2
LtKvUzkOZAvwiHOVgpOmSLN0Au3a7unza/HH0EQNQLgDkL58eqBxb962Pb4sy7orh7zb91560011
CG/L3Ac1Qxzb2UOQRP0u0I2D1UPxrvkYK3zP7rx/qvY23ofzK6NOP9fRaFyImsoLmSCa5/fLzKG8
4vb0/xqP+ZEHhCCxETqeMVt3NXmLJGCvUvbLhuovI3YSYExsudex4ZJouw8CB3cn5kxSzFliFTWi
0zwYjhqZv2h4AdGOSQW4jytQjON1Qg512fhEcah8d16KjWx8+4iloLLw6pBsjObA6oydSbasZbIb
CYJq54vgS6UFlFiaC2fAGebXGKtjD85FMw0VOrCgvHFE+snKcDZ2fBB9SvJdE/QlJh7PX7UkGoyj
eWj0sWUqDlcOe7KZJ1YcrNCbUwqzXVAa9iVg1M005sSNdypFauvLKzag8sqMTPvqhYWGrZvTle80
w7Un+eLTErjwYv0K7IEJbx9f99kuImMDKH063eMrxS7mIqDo9OTWLwh29xOsUueXrY4AbyxTOHYO
avks9ovHKh+WoVbve3Ibr1lP4o8dan1jMb+BwQHLicGs6UE9s0CLWFZup4IlRtNbOrVSqFJRjM8f
/8Cy95ALtUVJHbElLByxpLvh6oiE4mqcDcd0mpAFd7WkoFacSse/R50ZbpMqsvaaBg0ZETVSgaQt
lrgiHNg/aEcsvcGnb1Y6GSfaE/PYdmCHOcmczCZy69FXeFdDdOlI9kIqdPEv9F1OmlCL9rOntRy1
h9KkrFEMMVllka8vFLFymBE2RHVMl1k6x9fTQavKR9wHzsoijjs3PqWjUy0RLSXLcF7mjwjBmaGg
GdOojEQ0rKndx5S1smE/hCCf/bZ8URLH3LxBMbvulOjzlqZyu5vUSPA0bM/bkyQqPxE1ZMA7o7ZR
NFQl027bSM5gE+KhrnVJqAOOasFqDYqFBWQMrzpnhxTToGatbkDPjGVZ7cAjrRBQ5oeY7MkBVNDK
oqa6rScWNG19oOAWH3C2HUiAB8hVG5veJns+MV7K1L80UG0uBlvbSTUaH0ObFE7oCs026U3Bjmqg
ZRQR+MAU1Tfidk4ZGDt2VxUw93mEXtqeY2zdEJ828czBiuZOu1Zxf9CD/tsMCIW3bi2tEvH7bI+u
KyeAGuYuhFnvm3zaFaF8KQBRsXIBwWa6lbbpS3DNesjObebkbkpnjJfk4XlmUuB6zu4bf3xykhSe
1JA7S8sRlFkzcH6oTxeDZXjbyHZt1DBUOwqPlMxRWd6qNnKIw8Z0SCqkQVrq8pjq4WHoypVehdai
6/TyUFnV58TzoWEiQ0uR5xhoVSydeo6ReriIXJAPWo3qFo1wnKhsUyDTdKsiWCPQ38YVa6IqJrnd
+gypoL457yXVJowbFkVpharNmiaQey9taixYRbt7zylfzakdqUSn3Yb1Bw2s9ino/ODSdFhK6oPB
oNkU7H3rkeAhb18HjbWmHJ2ixI5XUODlAqFZu41Ds1y0o4j2UTQdOkImbNeJbvErf650h4xhiP44
/XO1S7XYRXnrP/g1UPjCJvbPgBe6rgywQHUs13FcOde995jHJVlD7Mq3mFZlJrLLj2TaybsyHgHG
YMBuQEBz507VjTVz6tNGW1vmc23No4y/Y/nB9F3jgNRw0p882rSbiJCb1tHyj6My7mDg2qs8tvg8
cTru8tF6xS2FFT4Gv6zNxA27b8Uy6GAZnndbjkugkCFBnw2VCw5Ihh1p1sxEaRlPoMcsklxmKFh2
SjIeK/2+x5K5HmWPcZDl4CIvPG3r5sCaaVfHWgiMYC4UmKPdLlDoxTXhfF24Dfq5UgwWlgEkiviA
szQkqD/m1udIw3OsQQ4+1yIIGM4WeYoOuOrb28GfPuYBhpvMSG5KL8wY+c2NaRrLzC2mg+MDwGhV
pWGGkeMlCVU8vLF3kbWg67qxoNJKU7ZQcbeBcfQgPShaUKKiQwt5cG8mliJDRwaE35p0ONv+ZsgL
9kspGeoikFB2WmbuDBFy34/jltqfe9XJ0D2UVXFjq1BcGo72WlQNny9Fb1aF6AQKq93UI75X5QZQ
nOgYV3jQdxGCBi++IblM7Jh/1cqNxmqX2Y+Fk9BUj+1q0wcEuIa9+6j1IJi0ykqPSn4poUEvcj0R
W1yUF+Q/XpqE9i4koGMGvfweOol/AN7pLGx/QoeoMAk53Xgx8kCuA6dHNG+iS0xKHNyuqh7hxMxI
u5xdB5HtNZpsBNTJrkyzNedOHtCHqiu3Dh+HMoiWhIVLODr2bUCHa691dDq+29i0ORqPIvmCEXHc
TOR2U4KXTFxxe3u+A2Y7rTc29xBFng2/+5KFQbURc60vseRHEd62HUNE3sSkPjkExJILNS5oMJoH
IY/s/SpKqoSpuemzL3x5Gi1cBlgK1iSJEjc2xDDKIvyAxS5wdfdjYEXmIu/bG/hJ3maqzb0xeJ/K
CIqJyDtrcT4k4GPaikbsSzxxBrPQKOGWid19Edb2VSAabxmOVE3OoE8NXgUyS+ZOlZGxICbY5m25
Rf3vQ2PLSvCKlX8JrvpRy8W06TLKGXqWfvY12meklURLo578jROE6TKJOiJYKmdbIBGvWc6h27CR
CEUfNaMtF4EvyL+dfdRj119isgl3/opg+uqiaNP20oUx5OsW4XbQJA/EopjrodE33tgXDyD6cQAf
ejo0K5tAJ8Auxn2SgimJlHsaSXYvo8BY22EWLscy2DJpO1cRpZoTTk2AvGwb+rJkpK5DlunSFCeY
3FdjMmarniBWUtKDHU+VfvLn2HOleQ9jEcWrNhD3iFlZRU5RRRw0pW9ooo5lX2iF/9Uj7GRhViJl
3RP5tF6Hddm5JeZT5wkmKAZ4u3+y9FIthqomPBU6Sa7bFCQ1XFtUfsVK2ded3UQH4st4oI3sTjOn
yzsVqQr7HNSYKeugx/hXhN/dNYmbb6as+NJVlQ6bSK+3ppqXzG74kcLPc9Q1AaES6iqtzS9S3Oj4
3/bGTE1PW4K12z7+KlEHXwwFt14WDp+SHI6+9HvnVIPG5B4cNrUnKIIOg3M7fKKqal5kAetVR8K7
zOQ3eonNBa3KetM1+Kljf9hoDLSOaU0zX65faQ3cQPEEiQptsBiPXWtaSy/Ur0FT31ZTxYozIl5e
Fa+kfjRLy3/APhntodzfqqokHlX6zqZMmuM02zKLqCNobcLTTqVjIZvqwS8sIKK1IF2svs/MgpQR
jx6hNZ0YGy6YGoiE8U2yr/Q8wHnfgZyoYbxNH8nj6RfCQaE55nq/KkcMdLohSalF9aTKetwKs90Z
HlLmhuY/WBZz70CjWwEEeynS5skCJbw1aZssDaP5yM61XgiDRKbEhnvk6F9UFjsUXuxrV+GKTwIX
VW3XfUkMVlFSGhdAPRBaE3tRVESFqNY6dS6GGmyt1qIt8usB29neH57TqP5Yd7GxiR7DMQdc5fas
+aG+L72kOXUhs4wxNiTWlMYW6NeOi/ScNOQiNWkKDg8lQFtEjzLAmjw4qcD4gW0XTfyiKPk0TKNq
kYxHqr79hrinauFaKpvTMO/Hco78SVS7rEq7WIj/x9557UaSnV32VeYFQghvbsOlpSeLVbwJkEUy
vDsn/NP/K0qagdQaSJj7EdBCm+ouZmbkOZ/Ze224jr6QEOGBHvpOB2XZnbDb6ekCibKy460afzYr
xvF2wuNeqNWL7oLVGpDRjPavYVx+uhgi7ovY6NqUqdY4HpxRYFzRVszkrC0Rc3qnEopHvRAGptQl
7Np8C91FO2+dmhP1kfmYR9uIrbkMN9V5Sxl4+q1O3NpoCS0sBvHLSRREjwP51nZSVpdcLMBy5K+h
pcFJZX6E6NP7s1ARRS66gwGJr/qCH1SfKs5AQaKkcLtIaYGVFvZVtCkxzyb1uDDsoJ0jAGtVNJlH
7twmFgwkY7vTQy7ER2PSBtjfjLEKyzkDL3quti+04vnDoJch8T8h3882RozKWZRwUbsIg9DcQkyg
Sg9nwApEclsj+nKFYUUBbnQYbsrc6A5Jo1qB4qyP2ygOeWY+0g6/EUJ4tWj/cHfc9ot6VHetgE3f
ooJX0so7S7g39Pl3le5eKyN/0SdYpnRIhHki7jcIZsaYTUfhWZzn0/yjMYvHVGdti4SWb1E/MHDO
03sWp7+AZbWA27s3uzL0o+YdtHZm31NWaThZnAoJOzdz+IStdsk2TsKemtCnz/khYE/xNtaBjhiD
AeTM+Jb5RkLEGRF//f2cDV7U7smW+BgXNlX2V2Ku3QW//Z8k2tqE48WzJEkiSdzNuU8ozG2vRC8I
GCJqFzuJl6EPoIBTqLIx84eU3GMO7CRgHXIlEk0FB2YjwWiJeJV4VFGdvA4Ljjt7fl57sHCip2oA
WjdEOVf8qV7QArXwE+5LVjtcXdtVUb0sqhmzg4XUb5Vuj7rZvEDfITtyhE8DcLQDNXV24KipteME
Bctm7SDtPjsBJUiInxAMUDdMwK0Kc1boh8nLw3nnJJkKwOypYV2iKZ8mDi1TA103bqoXEO322TX4
GQunfFqnPdPiBej5TzKRWflItoKaaL/NTHuTCWS+0CP9CT5qqUbGQqhD0dpvjGY2H0f6y5CYR9Mb
mBXXhFzK3uBP1iok8mA96Gt5JGyM23iY6mc9NX47hGRoltQfyDis/HovZG041CRP8Pfb8a7smchm
sjjabJN3YuJhm6lunLL7URmcobxOXPUa3VyJVqHVPPyXZRFjRcKQ3M4/tgSAGRvvV2Zc3l3WVV9w
hqbAG7iMhh3i1CauiLgZ3UNajoRrE60Co7ou78yljmkTCfwWXvYylesciX7+grHmXRxHXePMBCy+
2cyPc5YgrGhei7KbQrMbGcMr+Xdi54exW2+cBudH6bTfyoSMYjtUREFCP6hA6QDbDJl+zv6QYKTr
0uy2sLTI3F32tKkPlYsXolFW1inNdmh7e7q18OM0+YEoHmKJyxxnKRWUU7XmZZo/mcy3F0JxdNOl
MOIGhrulBNOw8CSPyjEfPUk7FbUW9vJkcNAJCMeNWFFuPiFSB9fshjN4p19/NtqKxwzKywCnpz3J
zXtF3jF1PzC3wo5UwrqgUT3XU6HGqj2/Ab3YsCC8JjrT+4ywnaBy4Nf8iRrPhPXgrZsviV4QDR+I
Nrd1uNTjgRjvj0XpToSWk5LaSxpfBhF2Ro/cItb1DZcdRPboObHNMpqIqIr3F499XqrwciDAZbDf
QbKiGDX3DMBZBoBv2ggRHB/tmwt9LNxy/ewINhGQ5lu0WumLRoIVeauki6xcU4IHhikQROxqicX4
VAiQQkj6CfLLtfusNT9TZtY6cm6swwZ1NNkWxP44hs3+s+fVpOWeSb8yHkmsdzwKGM3F/Ev3jnwH
ha9VK2KUZnGpnKtDUaZ3NR4agGp8/qpJuPEAPSOzuxeT7eSZyExWGSME+KS6h7IFf06ULB0MJeLE
XiKUeHSSQ8o6b7EPE3BISXtLqB395PDdyJ53UNSM0vP2UloT4pmZVQ8yrHgsyzbSmPexYLePlBwO
swGXwBhTcrWaCQ4d4tjQA2GUW/fBLqPkiijiYBzeFDGoYaaSVme0406scT40QzqAg59hzdSx5U1A
FG3rArSIYDoQkAAcMaoYwgDMBosTfdrVVg99JGqE1UVbAiuQFo62qjoSFDyCNNcjWen7GqdGrMgP
oKcQjpjYHKZs+WnncomKunqsHTJGt6SoYskxoiFnO0kne7ERzx0U3awuY/sMp4t4lQqH1ftq6coV
6uzFnCfASeZ9ZcVTcUrFIF8EZIphzLMzkObwT/bWJBp0mBONRkXm4uTw6dDfdqfNEHzHBqZ/ZNAw
2O2jUVfifT8cTkStkJz8puWqdUTq+V5sac2mgNW6kT05eUHGsDUGg5GuJzEKNZpb/m1SFYfOuMJZ
HuEouJ/1nBOXmibZwXVa6123jPI4k/0VOe3PvpxNrjgGO0pObpHXJjq7Uc3vNUm2xpb+SAhQKJvE
jhcKXnLdL6oyA3BaCsFW2jNO+O0VB21b2lZV6OlterSy7WUx2GygzNeCcRpO+TzqRyLMi7DETsfw
L/2sZkFlyhEHxdtidg7suBlus7Zuo31osJK7ct20nyMD9bisbI4QogquejL4EprxZfpWyQLS0EA+
1S3fJbKrCGHSDf3GkshoejP9NPm5C9FebFU56txgh3LqdbLMawP5Nf8ds93AbbXGc+eNrE7gEFIA
ZId+hN0pdjh3Lt9Kr7yklh3sDIl2wV45ptWTNsx9IJeFqAhnJLqhusC78Yk7rEhCZZrV2cWLTlKG
WeMlor4MtvpzzBeXYhRd1DVVve64QeStsh6MtvNp1u33omIBG+h4627DJd3KwGJK7TskP3MOh2s/
N7GREWtJJnC8pfv0PPkYBF8nAJBzmMqVmTQbpJP3UBf7liZvpxtdz3VqCJIVpYa2Hho90SAVzuyZ
XAcyZim9mUBIauAGMRL7PiaH+ezX+dicFps+AI8AF63GB9tgrQM25pHVhhk26BxnPhWIGI9ZNzdB
6b2TAZY8ZHoZj53qEcLmUK5m2V2rAuLS88FglsxoynNbJZ4IxGVwp5nnQdGgfbQ55SORqYpKTUYs
zC4nGck11dN7fFm+Iw33YitJ1E25ckGqcmMlWjQp6ytYKni5C7Za/PpD1AinjzIXNXM/KsSHLYPN
WRc0SbvcL+gcOy9TzmQH5n7mJGNUFyUiaMU+qpuuPkNf+EGHL9PRehh52pNa4wFsGccn/VxGHpFU
2AaS4egNoxmpdWEGumqIuLAoETm/oKcyj/LZwsEWyxMMuFmjUiyYxJ2lOVdRnptR0SFlwZNx6aiW
3XnJbquJst3UzLjVxvZlnRnGkW0PLqzlrMmrJ/bxxdVd85mSPsxMNXvqrfTXn9OiArkaOolbBmA+
j6qD3zWtf0npwHGrrauieadKdMt9nqGDW9y2RfGakdm3itXPDCuenUxnd5myHGcVxCgrj+oUKYR0
gFBr9XsO25nuBa8iL/nd69zqTEw8aITZvBtFRjw4eYYEWafZYbN5Iv/oNKqRRFsAG37TVxU6JWeI
1bUg7PZ9MuNutQymiCkLV2c56tAGDlmbvQ7F9iODVXuidHs3d9Y8PdCpWxM02DiGiZLIiSyEj+yI
QvM1TQz77DGutNy5X9f6hU/UvkmtkY5b544mgawrgNHCpMeIu8f+6XioATm0QyhXRQ2aoiouyd9H
aBvIxykz7xCkAUm2SALgYqpOiv3WcQXeGWlKk231FpT8vNn1uz49zvpZrfV3udLxGL16NyydCzdJ
42tVVix24Dn96QeAzAQOeOmL2pjvLuHlSjHKQGsofKREpzCnk0aCk8MynTrKZsQf3JX63B9Nogbl
wp0PgltZpLanNeUHOPIPw8rDoWWNEnCLHpKVF6f2IIQKYV7LruX8LtyXhqncQYyUXYlk/GckRke5
QyUz2oPDETUH+AgoQ5eGoIFiHaOqTOPcGFEZrioTbK6ltN3C4aDazUB6mXtgO9HcKV3B07vn2CZT
QuNth4ZSfkGGYBk+569JLh6dbHpaB5CCbM5/VTK/B+ez7wQVVHqC4XEyFq99V74OpnVZgfKGcO3i
fFqwcAOistcyi7O01yJQ5XE9r/6Wl8/4kvoQ5+330tmKP4/N2RAEs5j9W29Jiqr8VWUKyAWKb71O
WbjavFyZLk/kxVPZpLu3JTXfp878afbOzdIbH0NVXSDxMkMhOIWmjHVHodHbdYS2L7YVc5IbflOR
SuNsYOhhV3BP79HjGU9Hr0KgEexOK0pD1bkknvNI6Oe3cHLXzyw/L63sivj5dpxYzFaIRQZ6kkjp
xF1L+KvPLFur8iP3rhdmljyVzWgSr4nbQtFPM9m2XVo+wVeUVHXO58Dau5mQWepOTXI5gdrGgMhi
I1bVsOmeOsTlfmqwqIS5cuzFGBFZSRB2QoKTZkbD4nwDhn5VBb92MpaMX9aN58pd+IbyfKt8VrMt
D0aSLnDT6rustmfftKoPFza2p2M2yORF1YfxLGcuJQZQbL2qG1xhjySQ81UHJnCwxU9jrGzCW+hC
hwxuTokw2vYq0u47j3xDarOF0sZgFwcMDkABtvjZZ4p1pyDJ8T0pzMDOU8Rl6yElWMbo4IpkQ3En
de8xy1sbSY3mAxKGl01uEKrsPZxlOxogD0PNRJnSdcWdif8p/OOeVwEtMxaCQcqig50F635GX3eL
9ZINFgloJooEy1AvucK+qMKI1xt8SS3qGxMd+LbmR69Zr5oWun1xGqsGFYi2cFFBfCyw/hoCNU8G
jECb+nM3YfVXWgZXKSNujXV+UCsUI+pckxWusR29mXcKQT0Xvik4xQ3J/qdjJFWlDhOnjkizZCSy
VFCnejozJn6/Pf7YS8YkGknaDtQENVS6yp8zlZe0HYWADywWJBcAuW0SAqFcXuXmErinsvjV+KpT
xWjhSKSWz6bBIgsSR0YZrMYzs6Q/lOmObdyschp715yGXck6emhmO+ayjcGSMobONjEwDa2YMk0K
Y5t5OGl68yg0E3FXk058AxSVvNgUWR+T0ttpJqC7ajTkKD8sQ+OkS5E02N+5UB57rBpIOlfmx/0Q
N6L68gzD9o3HZWgcVhrVT9LtuDh7LBtGOtwSIWEGRM8b8XotabtiRbS/Gm0JMssgHDSomuJQpmMk
YfXFqocpt7tobNW7Sv3KdQwWaLALH60DPu96esw3+8tZIIClzXHSiGkjPvG3TQjkLE4dnThTKo7U
xeLk2BAVmVXP9MguoEHYgdmx75pq1C7zC8asJyvrbwnoZs+sIjMb1vxG2DZl2AqysGn1yCrFfT62
aHnqmSnxPqnZtnuCfkrfZSqumW8rwRJIaLtiuBVjd1tgwAptGPxBQhumEUKgkq2W1d1Nk9CwTKzq
XFIEwq3NblxrG08Lw8ii12itLVY5TsNh5v5sR5RZpBfB16Tt0hl5jAQ25Kwx2rsis0l5a7Kek34+
F2t1U2wGXMzOeCdtOz2NBY4HA0F+h0He3oNGigZKnaqX4F1XloHyqFQmX5mGR71qpk/ZvUCq03eS
SQ5vVTVRDKwm+QJqE+hbtp6yEnc4EjmPDAqsE9ttCa80BCFF/AM9M9cPMnjSkOEq3KKPLI8KkAy+
xBat8Zg/6VR5kayBAlSwfAMzb+JSp0jHP+gwYl1JPKFWFbwGUXB6skENqMXeKjkRgeXxQ7iz+Fn3
0/uf+qFjXQu76a5XUW17FSafFnYMX14ow8Zg60ero/MpNQiB+sAOLnfW+dPl7l7hkqFHo5Qw+i9b
0YyfDpmngTVk0zPmvi2snHW777AEGpLyRCzw1aXTY6pq+19N73S7EryLRTncWpl1b+XbTSNpWxJU
UgHaFFQLRJoiXlIQAZu/XXt4Q33/QVsvggp+nblmMEVWumFn5EvGknNIio+qBTdvwymAQx45oAR9
mIItRVd+5Cx5VOfl6NrymZwAilWNt3WyQ3cbolTy8Tpsoee5uxtK860hhXFYtos39kfdXc5p4li+
4ln3jtkeAcdRHdSujOFQUX12jMby91x3f2cGF4yHlEqVGsIFp7OIOm4PSaoOl1XMkocPUWNXHxqz
Z7SS2HQLK4yHcXiF+clfaOEeiZ3yzUWMw6K4eJtK72Humx89zHtb/Sk1+1ns2//UlI+GhzQKnAwh
x3rNrYBeHA9/Esh2vdqslkdwpUzz0W3A/Z6luBGjxV2Rskrukg8zLSNSU8Kp5uQcKci6lVOEey00
Z/FSqPSKW6/eKnppk3WbI0JU0OOw+j0rskK9o48vtdnc9wQwymkklBYutISDS+Jwa6q0efa7wrBw
Xj0ikt18x9Ogr+n0G6LgSJWfSxXfNfV8t5AdAAo2eV/q4ZhPdbh2T1qvIsIf3jKpveSp9wPa+U2z
sbVdjetWyPLoegTxSKwBNC509PK2H8zxyrsVFK5BmnGlXjtVOzSGRCe46N99NcvImI09FBwsKCY8
D1cFU8ABpM1xGnSWTU6e1IDEqv/9p5T6zT/+mrFfC4ujynx9rYuYnFPKWWLM+kRDfFaTo9lRcGn1
s5pCgSjt9svYsDsIl6Aaw9Nf9WwyQrNJnDCDHh+q8yeS7P4XVFn0ErlCc5YdPaQbj3TGPtU7fbpW
E9TDQJD9mOKeXXYtVo52BVocNjjwqaQ5MSijsA9EZtcXwyMtoBuGYEt7Yte1kUgUtf0wYHV4A+ea
t44KWNAldvvtwUu4fYXoqZtMlIoOnYyrWYQvTBATrd0FlGdFzi7c0tmmVQ+1mbKAN9DBaBmiEc2k
Zfrz9/gXDUvn2OqG6VpsUQP3yse5sTL9XPi4hm44oPIdfK9s7pI90dJBREHtqbR8UEzNc6dEgDlw
9081f7kgxdQxgretd0tc+caGHqAqqZuM3uoDK2MxGhCwv9dFMuwcdC1q1pKkiUNrGv42TAl4oPK3
U6MctXgBmwvyEfRYIMnHC/Uxe0XPXAZjli9hWtDAWI4KYY4QrsSucY8iKA8KGh8VRBXwaGoI9CMw
hpbnXlt46PKc2EoXFrGcgxk6aGRU2r3RfemoTDGRbF4nMSvZYLi3Iq68NUb/1Z/NGN3Mc4a27TrU
I8KabFJjHSH0NnhMSsSGFBmsobAPVudkBISmZ1xyv0g45gBDjIYdUg07BTNMg/EHs/zJgNH4kw+H
5Z2+fBmWltwJz0h9o8Ohm5T9Mzvrl3FulQhNCka8JXlkYEGbNba/s1J8F8v64ZD41wzEJKl8O4Pa
E1so3RFDKprqSWIul0M2PGAEZJGnm19TYTOKtS5ly7fPtLo4bSC5N9tPWyZb5IJCzUp8A8tihaXF
fi7fLB9cZI9XJv+mF592dksSaaWh8w30zpY5s7zFbEoWPGoBWf3sSboK2MxNR2DQ7k3bcashYDjP
s37fT553lNm8hthGINuxswlF2ZJFaWqfPIFu+HdzBaPzA7mDN0y2zuRJIPH0MoSOCaspBeoneX7A
GxxLIXYZpEgIM8lnT4hdG7sRAoj0vLLtOWQ4zQbGNNNS2PRV1RhtkxasRIOeVe1kuQvMdPYSB0Nl
T+0NS31Auct8Ir2pW9sOFWHd5pamH7Pc/SK8b/M5hUjGZgBu8sMXmvabUmDmjQeM6lh3lkdmnkxu
p05nRt1c9Ipy2spanjxKq4s02FgY4KCogsBGJqNF86ZV+mktzOeOBV03Tw25qkv6sAz8ItLTQ6py
Oy5k8a13TXmyiO30zSxZz33G+zr8QBG4hh3RlUFtVd8V01FrVbdYBX1l+VXLg2u2ZMaL9XfidB+6
dO2g0TLkAJqLPgvVb2OhGid0jvrQG6mK+4VPAHNhN1nvEsFInltriKbZRdeJAW9T1xtScFIflD69
qJu/G2nzVnXJo67hWvMUEjjLRBRPwuN0XAb9XXMo6NfeRCxnrqR6ONkXmm09qrfsQVOBXI2UvaOU
x4mgK7aNw8Ain0VWnsKWNxURW5h60KdMV/qP0IGk1CzpkeX3TT+QkVtrHN4bIcDO0H+sFi9LKSHn
oiOLdqm9YT92s/hsk7linEwxmzNxE6w/lukCAL4MihJXf8tyebZcIiDrIRJCddFpj9fRQHXdELJy
Gig884Ubtuj60FCH5qAu76zCmUq3FJarxjCosH/PvMuawYc9W9qBFcjADgEbejmOqNw2uDJptuvX
n1HOlhEQzJGE3+Uxs2LckHQ6W9iBBAuLNRMHR+cTsaq2YPSObWaWNveMqQf5MJJAaRc4itDHdgRh
HNYsm8/rppGzOrH/ZxyC42+ujHBxVIZSaGG3P9Hrlr7FS/+KEgL1nhFLDBTq1kBY7n47KolJpnkZ
7LmIRm3z8DOLm3Jr+NJgIJkXR+GYm28qRtshySsYXV1egZe+sOfziyIj1owPZEn7U9vsA7Pa+XIl
z9mutRy40JmolgOq0/52avXSz/uCMXkq3pMxO2Oiqwjz5Pdh+Eu9CaIhUqV3WCiaCIsQsbopeVQN
yt06Ih4gqSTq6wrRjiXveZ04Fq1LXVIDqtDpKMdHZkWLyRSCBWhULumn6nm0XeS82mr+bWvdyeJt
dSidMdZsgz/LmaWM6b0PzNeYkWNOYF7Vz7gQ0pFNnGqXX6Nrd2FTe01QgdD2zf5+LS221XVaRfO8
3Mlk/U24AbR3r9W4yxGiFJZKUkQxyWDKXN9BvOSwIw3SZH1Rqqq/cec+jxn3VhcxO9y96XyewcoX
LQYTMxXXcfvM0nby1dZKufMl9Y1VXudyD9GoNzqORFOx1tMCEgls7hv4JHXAFjQzTz7T0pNXc+6t
tOWMereD1fPfrbNcUvyIb4vEsmGZtDNK5GgVqQqnd8SmUrKDUt2EGY+3PAo7B8xaq97DKHHqppuR
npu1lTERnuEfoVqeJPMTlNLpjACi5tTISYq+mTlBN4vN8yrwjyeA6Uz4zTHy4l8FHvzYSNBNr9Xn
hKw8KJnQIvHI8FCOw4NuoSMRqHsGwcBDV5H2a5NOtqL7sCkWxgoTCXDSfObTE6sawIWgdQYGd362
ofIaF0/zXYpJuVYfxG+fKtYgylWayy/deUKH9spUD3prrb0q5j41tyVKMJOc+922sGsk/+i2yZ5D
b7lcNBdYHJNFAa6OJR5iFxiNeBdWnRBBhTSCru5JB+PKlRik7MJ4mJtdLlzJK4m32B90ViipAoZV
Wkhl+N4X5bdU+qMlWDtnCUqKbEl/jyw3nb7+VWvpeaNiTeZPz1Hv5rNm1zelLbCT9tPD4hFpkFPo
5Er+kRfLI5avC27JH7arvJbYcUArpaqNC2C6lLVFPKT2LBTxFXY9xqK53z5bbssAIDRbrVipe6Z/
i/xYaJXM8jt1N+mzQUo/FI3hmDUjcUEpJ5Xn0fuVZ/2How2/11T8Vhf1bGqgyI2FZ0NrwbfBDJha
zutJP1g6Nq0/rIwaady2MfuZcj5Iu1VeSvihjav5aMoOU6Vepmwt0NCUv02dbIVx/IJzEZUFfgqd
pVdandN5e9bN4ScQVFY67I9as4tdHSa+uqvrqSNo6VbycCzr3rU+c4ZBTt29qHo3+NgSHrTU4Y1R
P8CJcDZ04ueSW48mo4dhc7cw4y4MM4KHD5Jx4K3HUJ12JyeTMDMIehnrvjg4PPbMiWBcW8v0uFUw
6vZ3X5m4WMj3ISCe/KimLaxDk2D/Be0DCWMIdcG4GMdbHjc21xE1y5FaIhXU5ymqxEPerD9gRtz2
RS6Oho24jwzjjN4XZflcFXeEyJkXS8yPJdDY20U250lH/5A7ymkS+icppFlszR27NKOlUJ8X3e8t
llgWWqU6Jcp24Wl1XfuRiwd/UuM+9WtTH7OKYVU2yDvdGHtWLR1q5U0e/pg3iLXgQWgBcTeufcLA
xexPNAspt5sTKjVIvmEZnszUCI6F6eYMmIaOCfYjWRKIBHYBzqJ4X1qvTMTayQRbFtILvHLRMjcp
9xVDln3VURAxf3BZQLaa1I5N6eE8b7C356qaHV60PHOPw67kb5acX7w6Vagj8yPgMjUjxcs/dOZ1
gSRpmMOkKvxlY4Ritui/l4TFh6vnj2tHLmnTbowhVS9SpkKJPGZXYYfYNOwxyf85aubO3Y42n6U/
WjT6OW3ThXpRp7LL9fgMfUFn3SCd2BkVnCvKLHkW3LhXnIDY7wk4/e9yqmK3qN8TBeTIAG89UJdN
iSRj9cDVuLJHM59PWoW+bRZLYAqPGLC+ZC5DVBMqD6+I+sbUo2E2niuWdr475i3tKMjTTlnYWWFz
053RODhKE3l4DDmd5UtiMMPL2YZG2mJeyFhw/wvRxPx3gsOOEEPeYju2ukOg/tXMOysGRh5V7yPy
5yfG8/rZmNuniuvZn530LZkAu1jONdHcp7pusrC286+lJl2ZNBCPBIDmhSDaW8Ym8f5HonCaVNtr
pwj7RswINtOJri1PHhk5nUTG3BzBezRJdZ9T5h+j+BPHWSq4T2jjBjslWnl7svfdkGnmE9//ezQU
lg866UWbi/Ys2XD7Zd5k5FgRrztJK4DBUP4XOMgfONe/+sctx8T3xsTWwGql/eVtMVFpJ7Oxa9km
VzlWbSPQzXf0P+1BeuKh7tRvwlzS0EIN4G31LUNv6t96qOPJqV47u+XJaBn1t2B6bYj++ZJ1QT2T
zpQ/CEd/mxVw+xmiO2aYML6QXgD0A6+FrttonJZxvP1dduZv01JR9IDe75dPd+ceNNgsFeIiLyRi
MXgU/8XcvQNs/vq6IaiiRPBMXrb2Fwe/oRIWt2FfiEbTvtW2lp2vm76PlYu5CgWT30t+hv/s18aR
/++/KTQhENa7X9927Z3R8U+EE8faiG3YVyjp+FiL7mtSMU2u/Qun+hwQap1DWvAVOT2SqdMwGNYv
VUXRsjS1Hi81JgOGAgoQYt/UXY7GOg8VIv9Uqz5P6oBQSQ1bQYhAb5MA0BQ3EJxwNpiC1HF1ulIt
bszYjbu8SqMqcaZ4cIzlsc22w7BxBKs9GsK0/EjL7mB57IipjmXskCOnG79I2BzilcrOVx294Umg
o1aHoWagS/KdkuN1T4SGgWjRFpJVkx9J1V0X16uvaf8C1IyAPtd4gieImcqLoVltvjVlIyv87pFd
k+eX5ZXsxYfedS4jnLJAvKKPkVHioWlaF4YelCAZD8RnwQ4XNwq2a9xWVKRDGmaL8sY0oNA7FpQt
sxE7uetr4+IVIEMYp0wR5q87Z1Zud6kVqNbyRGKYhZzEdq63yeZ4P2xxw0phxFcj01i2xbHONTqY
tvmlWLiym1F1L4r5ulSS/prhpecuNrnQvPHmCtNlBW4P6vdFiOt/fmb+jbHsWDBcmV54GmtS3Il/
eWSI/QICOfct1wQy+qUxb9K2fHVn2bLhywbf1TGD5c4U6ub6wCynPFEt6zBw+pe1CAtSNshBXo6F
QK1Tk0VOETf8IknyN6Fw0TYv5slmgxxkylYF67ZEakfm/H9+Df9GngGao+ueDkhKZ7/k/uUlTPyT
LmfKHVl7m6KiZOzN/jJ3lEcYtJ8spYfekbWnP7/r/8f2P/8XbL8Li+7/5Eb8X7D94j0d39d/4fbv
/8o/uP2W+Tf9DzQW2LujatqOlPgHt9/WofOrtm17jGZQt+v8I8SyO5wfPcrfdJjU+2MK28pQXYB3
8u/gfkV3/gZhm4OW//H/NrSu/wdyPz/aPx3ctgmDE46j7pmWrYKA0f5C1ltLGOGzzWYAlftTo1FC
6zmUnsFCq/5Pb8z93y+D//XPgRr/+XfS//LcdmR0LMSQox+qsrvCTdFzaNajUbgP//n3MY1/Bc2B
Hef+4RbiGtY8+GDWX2hrSS17xZPoIRF5WWxkDGSDwWwrLKfyutg/0NZAWLEk6bubE2XIRoSdTtSv
PXtRwrwc8b6Co0lZIXcecXMWYoHIJueHMI8RVWDY5ES5+Ck7utiwraQC17r1FgNk9MkXyn4Y+Fa/
bsVRLq3W3RKibMlIcEeojwjP5HwYMuDRWO6Xmmt6amlk06mTIjDMLeuOJKk3WrwmtPdHL5l056oJ
YpBiTMm2HWHSbLBAOQier8QMW+aptDttOPZuujrHWZ9mO9BURcAYQvJHmuLQyvFpk+PSByTFL+XV
1et1CxeYCMtpy8WK33SdDTNCNJ/KE4V29b3OpgksqZP5EDKNmsZTCe1dfiFScddI3+a0C4tK9s4j
8p8OmB6uhObJTRUh7isEzGVoo60vr22pigm1eoMsFxWuQLt3zgpjMW/cBU5HyFysVT4aNpFVbEzT
mBwAMLjNIcF9kdJdkTn5KEd+mvuy5Oll81+pn3bTtqzQp2lamT8aVEhZ3eDstDVuJ5/gW2s8Q4dI
SEHQN8eJm7Ieh1BJSnM+23nnIFhJ3Xt1qI+1i/gb6WeK2KdP3YKbvIPddCAD0VvRX3cjg4Iu1dka
4ip6zqfWJL6dpPqKOrbIH136YSaiBLDN55221p61fLDfvCqd+gM+uHG8cd3Sw20jwCowSHCL+cXY
bJG+EAbLRNLF3jkEU7XrBdLEUMcTT6mqvBUSBUK8MAUlHG2luWi7diPmu+u64VHJa2KvVGAJGxw3
/G4XZ1vVZifE4rhpZsWuz6aT1ealWpW6ubeqxJtvxGTNU5y6eQt9gkYarXKuZ4bPB1X+cHQVi1KD
Iw1/NBtEiTxb9N/OZmrllZGjqR3H8n+YO7PlSJVs2/5QcQwcp3uNPkJSqJdS+YIpO3pwp4evP4Os
e+qmlGkp28fsmt2nsuo2IgD35WvNOWbR2it/ztxiO0aSXt6k5nbc2FZVjFviO0jaoFzAnNHMOVgA
Yfu0MPLMR5OjUcnnatdXhWeTT5G70LGqrKwOgysijtZ4Rh9mW8wPlZG5n8hFb/qVgwqvXkmQ72gs
asY/e7/REn8XyYuMuGbH+pQzCMP0nZjxvKWRNDuHNnQtiRyoQgMpfB2oHa4n/cNChUg/356y6Gip
GX1a0cRosBmyzfEpp+9pPgSDDIwLmflRzkzJnYD8ZEwU71OpGFQxAWowF9YZ4xzbnQdmGo2D0MWD
WJWepjxCHoGeGZGFOfViYyFZNdFUY05fD1UyXBUeibZHbOSOwaihzpsNGjdyfBNsPup+qHFpbOjU
VfGx86qCr99CHro24HDhjaVzhVndc2hiYE9trY05yxSIRRshiIg4Aql9kwpdIk2VQ9Cu69FsK+8J
NfFszDe5iRBnujQLAfgL4foE3GILCMxguh2LaequTKkTcGl4hGV9xAyJA07TUBQkAQS87CTQBbqj
I+gNGIsyM4No3tROKG+YmQwJwB2VXJuKp7wiVCW6a8tQ3DRixH1W0RCK8ckzBkHKUaPsgn1FtRp7
VvWdFjDhk7pHs3AOspS29dxTVVoIqfRmHMasv6zFCGyyo7Yq8/7oTAwikT52w/d2WmzgYVmiHAgA
4X1tO6PDTm26qucsZQ/ZWmP+frAWDSOhJIUu6VKkk9zNbdJtVWOLT+WgsrNVO90d9gBUZGnXZhdY
tzlkwu6wSBnIEj69WcqZeLMRY9oqCPKwfIZhBwYzqopE7xMzR2kGb1YnF3Ie0UzgGUDdQt4gTeG6
H6OUETlOx61O8afghmBee+J1zL6JotI/atGhPXSRT1S4K/3SJoIPU9l0bUYWYQa+W096zcrGKu2i
fnMPqdHSRkNmrZJNkjrgGfKl8cfcsVYHO2V+t6LnnzNqiEcbLXsTRD2+2rafsWeXwXMaUL0ekDhj
mIHPkzJAz4zigUeRH/MiGt1z71uIF/sCMCNMAmKVgeUYPawqpqW46Z0mIZ+c1DNSRooGvUnGgN1Z
hTk2cJTEZUAgfZaH5IiFHfHJOU2BV4Y00WVtxhLxrx1/AUvVf27iMV/868VIpwN8coYwWjDZwJc3
1U+B4WdXWV2HDdPbCP+WlHWklxmyYrwDiANFmdlN5PEBh0aMSXYorpg2mYPdJFPmQf2UODemtJh5
dT2KslUbA8VZ+XXTBuw77nTIvFK4NOBTyMaW7sjKwfXKP72QlvnsKaxjK5+ETbmXHWaBnclgqN0W
0FrdPTK+CsWSRmWrhrjJaLOD/EKh5ESw6mpeotUA3huJY+WNNHHpEjFfUZGDc0Yq8P8+CphxlcTF
UKzafEQMQslCGxCjbk/HLkkge02tA4Gu6syZMOWgm8e9HU9o0HAxIkJDysOirqvhwopJrF1FBfaE
TeEHA8SSjpkcgsQefW2CeTtcbnhOYMTFOVYxwjzNizzA/bfCaINimpNzQDt0xALo3QprQi+Nt2Wo
F6UnupeVUwRB+bmsTGVc0WCD9YIW0kg/2TbJphund/3x6l8TLXLmlxZHXYLPeWs4cnrAkBq4J5eK
GhjHbEdeyKuTElqDe5ePdUPN0Wenf4XZwLNURbqNE3MRjKYqQKOIbfi5bMQU7f9FJGTauDYH6TRg
lrca2jrCDIAWHSUsfz+kZ53a7UdNhnf1sW/aJnhzqmNLcmqkSn/bYwgCRzdVRhduTkCdTKo7eCAg
X1iWglUhECKk3dnC9lBWCwCSzjtnaIqQiWkv3WwO3uboIZtH1vb3KvcPfxcIVQ+WsUeXn3b2279L
Ymu0DJlm28yDW4TqybkpMsiT3QAT/u+Xetvbcf/9E4CMcOhosUP8duBEMoz+PcmAtgGfwr1brxyp
sitbKmqravFcJbX774v+PzhvXqvv5X1bf//eXr2qn0lvX/8nd+7fWW//+bf/fwTB8Rr98vv/dqJ8
+l5+n7vv+euvR8qf/5//OVIG/+WbjmN69AFge+PG/8+R0rP/iwGkQ0+ALqTgxMlb83+OlJYg8M31
pGkxT3T42P5zoDSXkDi6aBxDsYHbAS2F//2B0gHp6/MPWeAIJskxXvDuxewK2YuuxUTeEv77nOig
vWQdGb55oCMOv/wwfzhRLv+oX5uOdHBch+Oe50spbWA4b7+BVDAUCMPaYTzWhp9As0FUz/sPe5tv
PzXH8Tz2Xc/mN+LYTdjAu55urywUIfMynDZYKZh4+cOLlmPZbQ2jnj///Z5+6+6QNCQ5ipuc8T2k
Le8uRpoio0Cq5HVDPXUbKeesChTjVNWjltO6NdjXx3l8+ftVf79F2mJEDCxxE4hnfmYt/NJJ7ZEZ
kTRVOOvEs+uj14SMtrCvtPdxXBZf/n6t5an8+tQ87nBp1rKuSA7q3jtyt9A9oKoukxzO4ua6c9Jm
lUxefGMgTVgTr9V/8Jb88d4Cc4Gb8+7b8t1bIiqKkNH2UNUHkapRTXu4rythUKxkZHV/+/vd/elq
Ho1X1kuO/lK+2y8cZDC5rHh+VSJMl7ENLM6tp4bhKwkD0/e/X4wv/befkvAyidda+gB03/2UZe8F
fiewX5VG/iU0I0ZbRrqtZnSCduni/kwIEoTvUZFe4fzTjj/5XC4/J/yKJSHCefedt+R+9QQuEcjY
gZC74IyZA+kMPDroA4GOHaLnPmx27pAnLHX/6bD94bP/7QXizSEzhz4uzR1WrHdXpt4yVdctcEha
Hru8y3HVSn6EAB/LzqcA3P79er89Ut+ExizN5a11SLhcnsIvH4eFfxPAAFEQpUKotWZVIj/Eqx3r
O2cb7yM2+tvdltWGxZ3MK55ogD3Hef+7ziGhebBE5Vq3aXM7pRHjagatl3GAQcaBP7IxSaj9YIv/
/RbZLljaBMF9XPz9SjqAeo07g+/fIzVhkwpPkn6XNpdNPYkPKqrfL+XgnKYT6pBMAT7/HQXYHY0h
MSw+fymtyL4ALh9V+7HVKHRaJyTv9p89vMBkHCfxcjOL8yUL6tuH18604FKcLlhqrS4h6MUe7tWY
RCd7Rsb2z67FwsatSYZRfPr8Ru9uDRStdogJAscC4vMxSYLK3yOGE8NjohyZfXC19y8Kdwaym+hC
yyX4ld377Z31reVMiYeTbEpre9Ni+3iiJi/umlCKC68o0/vByMzHf3aLXNRxbXZbDEQ4/N7v7o7X
s2D3vJ0IqIddWtKwaxRUPHI6hg8WmPcvys9L+VSdPtlYlN/v1u1q1o1XUPiuwex4B78xw23h+92N
H2OD/l/cFZNLi4WbvrH/btHu5bh8iAkYeIHjKvFQWJwYnpPdNo6iOP79Yu+Xr+W+aKfZPDzG52yA
b59bkQSxosdgY6SGlYwqwhn3CnnoxqHn+kq6avDBi/K+TPp5QaJzJEfVpYB59wnUVR6B8JT2egI9
p2+w0XnDBiEuzuG/39n72oUL+VQtRJzgQ7ApY97eWRc24Ek0WEEQV9kp9VFsRpsEyFr33FpxFF4C
6xyBUwyjmscjlt5Uf3Crf3hnfOIYENF6EIv4HN/+BWatR8yVkCYct8PHQkfPvalaZ3qViNc+4IX/
6VqW7RBmRp6c6b//WcPao1kCE3jtqsS/isv4tcCbsnUK1/ogvO4PX/qS2ma7fHBIeX7Gt/yyAc1R
ko05Y5x1yoPcCvpLW4B30IK6PPqsCgtWI3Nw/4On+VvIF48TVyOVkcsCQzH/bp8tXRl6oyCily7E
fAnfwPisE9hpiuV9ZwNVXE8uQbjwc2Imuiq9SljMDxlEhmpNcJz3z1fyZVLmLcFx9Dp/qgF++RX4
KtlRKhMs4TgTm2SaISUAI/TQQjWdkn7+95f5t8+ULYqoQMf2WLGZJr27+6iDlIYIzwF344e49+ag
fgW7lt2pIBUjPSnvg/Xu3QVZeECOCuTf2P0kX+m7CzJ+MBnSRBRzMNWuEXo0x5Cca+SBk/hi+5P7
wSz83fv72/XelTVYdBpQQwBcZ6fj4EQPHnGvG8XloWlt84OX6W2lyi4lTepFgGOcPymmgncXazBK
RbkNt7Zk5HXVCMiuUBCTvTFE5aaxGIlVpM5cS7dAYYco9IPLv/2ClsszeQ1Y3VkTwIa/X3Npu+mp
zo0QqJQqq90S4Aw8Y/IIsQ4md7zFf9bSTSW0uPrgrX27+C5XxvfESZzXSLio0N4tvlmPmNsPMBur
0ZnDzTxZi0HSHvyPlr63i+/PC9EGokbl/fFsiuO3S58BMtDBUxWukXk/Gm75KY7k58Yr43VTopaV
eDvQVXo3f/9K/nB75pKqSVyCGZDY+q4IUW0x6EGgI9RijJszeE58ProHeH/8+4V+f4JLAUdbgyYG
34hjv729aAC8lM/McUGikduO5D17cWrXjtiiAQsCLhsR00lzkvf/+MKciF3bpZnBIP5nqsUvy05e
4LmdkLRtLPinWGgJg7a3lQFv5nEcp8Hden5D/B7q+8B9+Pul364I/353SKHglMUP7LIav73nCUa4
74N+3mg7H28xbMDYqMwGRS3xe8k5qm3zgzXh9yuSIsgZR3DD9FScd49zGgcFpaSGISZ7hahfGbhQ
lcIZupobYAVGRrzi6e93+XMl/b8NgeU2aUkFDpson4f1s9X16/lKMVO3mUMUm0DrzD7yCdfxfuos
dM/M0G0wvW3Zv5gaoNOa0bGL2B3xZxwcYhEB0W+VVQzXEflH2boQNYozrhL3xyJS9mcIgPP8DZAZ
KkGrT5Gnd+EQh5eC6J1uFzGtKAGqdnZ6ocuiqjdR59sfPMW36+y/b49aiO+S2FWXXtLbp5j2JCDV
zBA3tIznxfXc5damorRFZGWXH3wmf7iYFVjLlmVxWHXNdxeb63qSsS9z2NgIT1uDw3DFM92Dpra3
f39uf7gU+xRrGpY5qoP3X2SeMnG087hYEhBLYsKKqXpQqYJ+ZBkfprQvL967d2Q5dbAC/Lza+3PH
NCdFkuQJvK90hODoautiMsHwFG5rnpx4NO8R2drrbhYJ5FDlfsVp2m9dnbYfrOfv7zpY4oPpz1kg
pAMCMpcv6JflIHGXEMO5xj8fFgbwL6H9lxl/EtEtNZ7V3T//jT1WH2BN7Jtc9O3VrCbwbIVRckMA
QLZuwQRfBl2GPCIos8e/X4qj/u+LOYctQVgcx4SAf3n39Q9NBIqiET3urTTDGE8fMD55XoGThTFv
8RSkA7EKhTFD26+LDspv5/XZp67ol7TNubotoqz9nKa1YR8HyML2NlZ9+pooG7j9YOqBua/sJn1K
VBMaGwG05CW3KgEp0uw7eR0OIsWVYHspfgqOz3zuvtf2j6bAnQisBa0n9sbBnk4pjaYSB7LfECFt
Q3V4UFN7Mc82aKuiyfwZ133PtI/lWsOlSMZ5hjdqlFqdbBUAnvQCQqcOOEk7mNFM6BifKRNQBves
vk4l4KVqgaQKkbUdPDeqvXUx28zwTKOo7R0Teg0WO2sxF7ag4FADuApVZo5zIcfxi0Rk1RRjaYKA
T6LicpKRKPczBHcCb4ymC7E61D0mJBzjD1MHB/+raThDdpGhRQhPiBSDfre07fF6SQGusuhnDWRm
DDjqq66oEaPXKARwRKN5viSrBq9nn9PcQQvrB/a65fZIRFGMYC+61kqStYaXEB5NTuzqYnTIwKTX
Y9M7T/CqFCtlxibMI+DdzeXQYL3FidTbxQYCX+fha6mGTx1JPT4MhUHrbdOkFoPaiCSC+iU3ZPCD
EtKNXyar9MxzUkT4EwONxT50hkNpGeYS64FNeVPkqZDHMmBdvkKxGIGD8+zUXnCssOfLiNJhrVi1
CqLVcNGd7C51oNfXeRs/zVB6iKuTviof+tYXetO2SRqcjTId26OHrMjdLArl6NUxu/LBVxqxr5ey
ZawREdT3HY+4XpktlNurtjKcz5Ey4Fo2vXSGvcysBQjcaAqmJIrcaSPEnJMAPqblOon56rDH4Sl/
tIKWv5dwmmS6aJxM+QcMEA3k6wUdPYdGT5CS59vigQNy31SgCBEXnTnSFMYFWjscqiXNgcdBNwJV
uy9KfdJR7zB81aLQa4HGId9DJst9QkziAUiPyh6cPCF8CPdjc6OjOjyPuFHDlV2M+AnwjULls0No
oMgvhBnvEixQE8kj03SfsiviUaD79Dxz3isPIyed/mBNMcjpps6iAWJh494nkBKbdcaiHtH4T9p1
JGSikOl58kp6uo7vCW412iPWodzcJumknb2HaEsjJpuITmhhiRHvrm0zP7TE1rjHVPO7gJqZ0nxf
IHCCtMsb6GCCKsBYOLkqPnnkG/EQBwStuB88y/oBwKAmNMUrKt/bNPYUDkDZqbJuq5YTP+btAKul
J5MAY1AJnZM8n6kuU6YVBD0bV0VrqUe6K+lXEyDuDfmL4RbLkoM7xxm8CRKcdO/xx3bfpZ7jcjvF
lXWbhAgB99WM6OnSjz2/gOOlzNca4w+UmLIHNxHKoQeozmxhJcw5udN4OLaqyMnBQGeszvhiFbIF
vIP1CgpA0wDADGfealztX6TbwTnHZlbZ2zLtlxUDxeijOcRpsEsn0SFyCmUjTj1siPiybKy+/SY7
K9C7IGl7qLBI/L+59ICBn8QdajcbrTZtYGss4WU5PXAI8rNmvIsG08KVtgKkyta4cHDAbkm9nzjd
m3dNEzLJJ6Y4qDdsjix5mZWNEhSN0gWcQ60ea3gIARpJ8BpbAzzmS+FWxI5hRIc+WuszQQ1kFBUi
N3ZGE81fQdzDX8HY5wV4HTtkKRk7tYuAkc9CljW0B9HjuQRQSoAJgPFgynm4nXr0Uqf7ITJn7G6E
OTgNqAS3xLTmuR3iG6sNvhmztohFUH3JMjkG2XzLa1jpW0IlW3drV3yX2ZZqAcWqX87pjVOk2uSP
yT2n/2KXdqAo+CLz66ykecMIBAFSNrmTvuuK1pH3ehY5HHortr2TRsMZnHCYSF5Vejh8i9OEWbAJ
TVCB/aiw3TuZnJ5bkBbdHsoef5OvRhdwlNTSQyDXTK+TyuN6a0JPc9YgBqOHstbF19jQUPDQNAZw
TOxWENoumuGIBxSHIQlyDSnTrmGe7BTQ2K6zF7p2T3V3M5O+BF4pUVZPGgQpNQdPyfyqL4NoXiHH
iY5iFrGpgYEShLYiejh5zPiPQO0THiU3qLRQo49FDT68S7Q+hOgFIY3PyFo2eeJn3Ta27NG7KFpN
9MKcJj7JnrI7ERJBhd3kAEEu7EQY4mSxl+Mdi+yF4yq8Pnm2lA7EdTw0/X0D+ft7pUB4r+aybW6m
3lVYwxMPc4tQ7QNJRnP3wxEU6Cuio+ynEegzGQL8MYhfRStD51T7ToV3O+uCaAX+uo7OdtNV7jVq
yWmGtuya+akLgtEAS+wZtc2TsaPm5OC7BTEZWi0I7gJD4pn8Yk9dxSQ4NVsiOUtzXRQVsDo9eE62
dRmpWudkiNKiWaPDrRoAlEmUrEPD9wuYx55TlZu+V91rVk/GNT0/jultAg9NZn3y2LAB3CWyd26V
MmpRrNuYdwHMaQFgbj0VkQ3C0Ru1pS4SV3nGeRZoV3FImGV9MipocgfZ1OC6WawdmFdDJ6MbAFms
N6siqzLoERGUzY0MOjJF4BNl1m0twyA6wiv2w7tkmoB1ZbRoPnlmrwaaRBF2NTWbA4421KfnVNkm
kDCv+x7Zldkj0YRQODzxX4056Q+dP32G4ST6H34E6PuTmbLgHgA8GOIwOPmEta+ZCZdI2Y55mmDU
aL5HTbbKYME3GLsSAWw4rUpi6TyqoZMB9MTbm9h23XUNZ8s5lxPaY8g5UhJr0OFRX5F5ZT7DxrVJ
keLA4yGT9JvqOXDImQDDHRaiOg1JFxoNVQtRSxBGzcjIQB03PlmuKVyolQ0mFcJVCM4J9GjvnGG4
FfE18Thz8FDYQF1htvbjHnUT06QoB0b2OHV17uTs1CjXqtI9V6xM0H2n7wI0JyzBjNyHoMUyJeMb
tEzlhvnYjmgi2Etjg9cyzSE3K8JrrYoPE1X8qgHln+bxI4Gox8oWyBHzaN9U5iEqxFEOg7mDCXQZ
Oy2bMimGp4Xltoo74mYKmW9VsKS+4p80YRvv0EQAGsL/nZdZCb/RuegG7MZzCrq1kc/wnop1CrFS
WxJ8mzQPblOeKyP67uXBsA1TJgd1Od0NFZ7J3us/j2GKvjZFGJWEiOx6wfIVGaTqwcRr8AFWpn9G
Tgw7NiE+pDejQ+iwtfuYyL361LjhccqsK3PWt4NXPs1TfyEcaEYgZ8lzYmuvfH2ZZeVTMILJy+Ls
innho9eGpKiJet/Z4avuowciIciTHp1nx5wwy3fJibSM746T36HPu1ZR8dqlxKoWYGGCXn4byvFl
Kjv8sCSTrDi2n3rEDvBi96QVfqPDv4cSl+xaqwaFhb+FPQL7EhsnmWPJ0Rma19kwv/CKtBvqbDRa
Jfj9MmbP9Kq+u2iG4j5q4AFyoPguk+oEFJ08yzC2lgU0WSUBSadJbHxuK+tVNoBUA4lxLap+RLX/
5Kngiukd/7NIAGYIsKu2Vn9qcszcM5HC4Nc2fp8+0o/hA6FnAdjEhElRvOb9eADMv+tFvaMI+rxg
7VlZrwxPHylVM2SGzbSCwk7F5Xfu3k+Nh3TOhud28sVKThapDsyYN3nlmmuXbeSebEB5jlLxNffa
66GIvEOGSncdCnvXkmiWQyfTId/52AJ91zu3GjeYjiVYwYilZQTjZNvwQm2nNB+nvIziNZY4zlRw
5q0K/ocmG7LvDMp+EY47xXMbfbcK1m5hqFe1kKopmAIqnFoffGncZDV8JzspWxJ5+C8H9gAayPDp
43g8Mt5dGRn83rCBxdPuVdpsOjsCxS/PJGRe8T7hjHT2VCV7PKwgELr+YXDljZ0Ut9AeidnFoBbH
/k4o93LU3qlQxh4dxSr0xHVTQontNDm8vMRnMNHUdsa32p8/Y6K9MCz/C9zuHwyUCXPLYZ/MD41R
3jKDuvZZAzUsjpqikwiwDdi2W6BUP8bZv5zGDOuHzZCW2mNeRXHKlBjGZSPai5zQmJpdipJ4p7V4
cKr6clgk1Nr4Evb2lV0mgIfC5GRpZIkVn4fPIhoMI7HQzIDhPLdbmhVL5t9uNmPshjiIu4idoU1x
ACIV34si/FSbw9Ee6z3JEtvWqx77JrwGFwqDWOSCmMfyWVv6Lu+7HG9gsYIqfEH+0z6xSE+w3CtO
ygclrCvSD+/NVp4x9V8MFdVKZr8QPHHVzBrqVb2vS4DXg3VhF83BwZuxFmZ6XRJlm4D8DPS4j2S/
qWDL9c14DtL8YtLqWCpCrfKuOJYDQEH8Z7AOp3UVeQlpljEiD/8oguFaLw7HMLng5IoxwUVPKjbI
8mEVYDbZuJIvsB7uS1E+Cce69qrwORaQwIg7H3P5YkzNBaVnsirM8NWulkMW1NuqOkkzvxzMZBOZ
/q5rxWEmfi0T5bARfXmbRrmBvVSeAosgxmneo584+tD5OxeRaV1TlzA7K1mno5PpTd/z2r0RfSdW
zjy0FGrOF+rXGwrWeF0V7k1qkFHZFu65RgOL1LleCTu682MGma0+o0jpb5uYz3/F4a7F9A+TJPH5
tRrHIBSP8NN0gIidS3lpVtNnTNwnK+964I8GOUzRDjAXrhRidVAjBSUuhOSub2nrMi67HCN3HSEu
A6tg02CJFNsC0nDsWCBjveaovfJoSFawsgfRNEJ8Zz9prswSS3AYopAupfnYYsDA2NE16zwwQCk7
JtxrzU50WeAubgEk2C0263zPonYi93Epoum92LyvcHF4B3mTx/tJ6gf8vPMjYn91lXbZti+TlzxK
7sYcYoVwUSGTZDKeyZsGI1mayUM5d9mpq8rqWQXedGl1zr7reUY5q8rUbjrktf7B7jLtvGh4As4+
byzD/wTwP4muOfDJ4k7JZBp4D0EE8cs2un9C9hRybrMCopR/wPAS41en4qx7x6gxTb+WyImzjdFZ
MEuHghTYF9+v2stao0feGn5ANhlMx+glsnpMnGQ9tBQHbUNqaozBF3yw6Bz3NQ1VJkgfKCx12Rsi
zM6FTHV8Y+EeSvFXdwXkwcTFGCrT0s+JiQj1i0s41lXFK6tIDw1nggZJVq03VcsPdYZgNGGSUTP1
YBErx0H0PcDOnCzwBpDRZhmtZBF7FO92bxR7Bg/Vo2XlDsp53aRkM+KdmbZpV43GF89vGxjndh0a
WzOsYb3lMOzLmzqclmNakc+P5Vyw2GQB42HMxGZpwAsz5Gm2OCW9oHQrqmdnhDCyN2jofvZlKw/8
fAAi5673X9TUs+YWNbiExSWwThO7vm0Dg8lgEYchEewNSLHQ50muMONlZ0x81Gd2QbStoBvdbWJ/
9hUsZu0cLXhMgCXNT/QmYLAgHt/rQvsPftPmR0oc75UwU3HNP6A5gLISr2nbRmcvTOd7yktOBAlS
FxJhO5fAqVg9jb0uDmOX2gAlCnWMFZ7gpCqa187KQ5BWQ090gB+UUP1rYWevouorSNIz1f2G7nQN
5bc08M0kIcdh/nhKsw7KC3aAORUktPPWBvCUYrdEcSl1vMOIY32KLbe8BMCq9oRTmIBVbHcPoyl/
0FT0nxvyI5afKc+T4zx6UHtNy1AXkQ1Qry8AF3hDH79kSOdXc03nEBMPhBkkLskPTtHdGkZ3fTuh
JLoNJ9qra0maGECkPluCcS1IwjQ2gmMHyfEcl7b91Ej9yZzNAph7E2dfer+v1pYWsCPdXlxSOicg
E1FQXeXYEiGu1aBqJtqvy0/mBeusKTARyVTJLcGW7VWaLxb2SFlws4oQDHph+HF6NWYhbgEL3tMx
Y9O4GoYqvg/D3LgLfXv8oTphlStmu+ZW8DHvBV2MjcoS67F1Yb54PqVOdWhUfiLeslrVejzng7XV
lK7gpQ9eZNygaHsiMrPAJlHecEC4yzk22QS2lks8VUb2L9FcW5Rgz40bfLV6RxxBVxA0hfg1ji+T
zDqLLiIjgsS/ena2nDq+ynZ+RFB3b2PiIIOsdzc45wham9gLomczhvMw8ObeZ/B5+8TYR2a/XaAk
ZYJGkxbXRWemt0k0HDQ6vx2bSrXqS+9L7TDrw3h353rFU6hcvgK/uKm0U66w62y1qi1itMj7iLDb
gTYF8KKErc6EFrPGuqV1EZDKPqXmjVTEiObFIevaH0Yjz9KoDm6dPdMV4uiWkopUO5sc2PW6JxXg
3muwfdFNA0hQkeKZ284CB2p+4L0BQVd8S6PxgiiH5zhMb+JlM57LTqzLJZumnqpdr+snNzQOWtf5
ds7Cte3pJxsOGOC6S/h4u4Ip8YVO1be5yPINDqbrHFbayhtGqh5eOfg86pZMS6gj5QkvwA/6evgQ
ZwCPcL9FPALJzrLHVJbAI11Lf05m0rCdmbh2Fbfz2kD4t8pbbxNl6GsB2d3ipCNqNwku+B7EvhaK
v90nFsshvKB2ek5bQJes4esIDDDFC+IWdK7p36yygv5tYw7BYfawXbpejvGnU3BP8+oqGcklFE6N
NyqihG1jd2fb+k5H8iIKgqsqzUF3EeXkFAdcQo9TNt72ZnVfJeoRqdfBM6tvS0uoAU6xmUFeiRRa
WUtiR25iCHQl+QH6yQnCB39pdPO1XAGZui695szo9TJRHIezOtwnBkgn3Yt0M3ctvltKxt4Nwm3W
SW4/T6M9RwpetNFmRN5mh9Q3115IeHUReneCj6Zx59c8q9djVe8LbLGqTi9tUe4sJz0nDcdwX9VX
CM8DAlwIm2gmifG4V5/tJu12oTvdxiN8UJC5e2ug6Uu1xaDTofQzy8+R5i2NDOtOyPF7FVZAv8QN
WMEH9rXnmpNEVXQIPUPxxDKxLwP7PgPeC+XPIRa0Oneu9QDe92vo+8/h4CB5CdeBbtwTacDRyvOZ
mVY1QWwwRSGwrnU+PdFiIDY56Y1tWor2BJr6ES3IM/RSTCIEHB1rTEdAuNyZGO+kB4uLOWhTxw6n
1Mpb5hC+T7AIAx3Y3tRXcOYey0ZBi7QO2oQMEY63Ia3aFfY/2rJZNm36nEOy5pgDRxnYPQLkq7Yx
Hg2HORZWCQO4aojIjjNxzh+aZ0eiRl7EhG1x9Io7mbNFJ7PxmNThVZcnNr1YanI6B0QSfJPj50YT
piTg+aCfi1uiSOXwAEXkEzOKTWa6h9lZQCHFeuYIRpTllewnRuXwr3jD41fB4SiU5XEGAcxCB50r
uQBVzh6NSHQMHkeya/va3/p8fX1AMT3jcHMqGOoRXCukjxCNBcDUpq4uyzTZ6awg9xEU9gQWF4vY
YRwmpnXwrmzSwBbUd7OWVIJ+pR9He562vPMlqUm9A0oIWEg2ONd0L9UZlcX31uegFkgIkITfZq7c
o/W/BYMCJYSUTqt+YuzDpP0VNyKAGVb8IqNDiH1VfdXA+3zbvDUNcxcwSah4x+0sx4hNtL0x9ohC
7+dhuM6LWwap6270ICglOMbLlZqGg+eMP/LsPkqmnRle26l7FYwE9QXmU2hm6yafLol+uGIdd4BH
kpnBMS49GObVWN4oGrAywjcbPzBHWWkD/JtOL+Fx7I2yvRmaT95w4w/PepwubRjUZXZbF83DMPg7
gm4uvJKOFLPBZbN/MMgGdpI7llM0V2zddnxyhuEiM8NT1C8J1eFBc/Sy4Or4PcWaPUeHmaGGOSZr
GKpEhWX30s9oL0GMz0JYMxmPjhTWurvPU7njjE7+iblEY5Kdnm3EErZs6y39vZMYq40pqmunys9g
gk6GaXxS7nyympY2zz7Qw95We8PRxyEHfOy017b51dAXoht20bjPg/EySIbN2EyLFXpTufcZGWCW
ET/FJNAy3FilQXl0MevP46uaU8wrLioAeObxBJaL5kjc3WHxvh4zcz8Z7hnZxY7K8SIKoyudq1Md
6kOSNYQvRwAjcz6vcpsSooT1cIlOY0l0CKuM17pz4IaGm/9m78x2I8fS7fwqB+eeCU6bgwFfOOYI
zfNwQ0jKFLk5bs7D2/hZ/GL+qKrqTkV2p1zwjQ2cQqEa6EyJEeTmHv5/rW91hse6Do1OiG1cs90u
GS7EJM/AcO3U6QfoeVIwC8CGN0+zsbpNXRqOcx3U0KaNGJoLW9grhwfW1tq2z8i+sEziAexWIyuW
qtZVVyXiUNvBQZ/8R9Hl5FxRUgvoRG8zLfR1quUJGPeKHtiiBcW+JQNjWJZwe1Zuqcx9Brs3CexH
S7J55/D90UVhgS153PWcbkF97SkjlvsAZPmORPZ2w8kiO8CrJ/nNJaWuiDPC/qhK43ebELJvjQJC
07LGB3JIVAqjFgVET/DmQPRxPBQ+gRFNH5y00UD7tqLP/GyQsGOv6iEoi2UfGWOBzdNSB6mP3ZXD
YNqkKNS6RfnhuA2sKNizfx/FGsFHPm4HRYreOvUA9y4tp9wAMJhxQSeqL5PLfizsfTCWOFsTLd+a
Q2/1q7pX054dgLUis1vbz96JrQ1SbZXGTUlhtLyY0vrObwLvommL6KqpAFcN1ZBdhxMArgUPgs2C
lOOZ8OOEsCZiWU2trM5ClzM9WtuZVe8x3JyweMADsmMbY1jnMInK4ND4rqldmER2Uf4ZqZfeEzDE
eqPoTg0rhqJp5rvSd7LxhkkYBpDeB729EnqWnbvE+UIdyqgo8wYMBoeea98KFKoCj3BhSZG/YJSm
6abjSLGIIhfdqW0n+gXowlHSSOAP6bwIeyu9LrmE1dxs+yporqOmsAAQUGihJcg5/jtvv3FWVBZN
/mGyniZRB4oOhT+eVDhaT0guGJ64RvZURvp0Rj4Lx/KaIM0Lhx0M6RuSLWHXlNPOjQdmQzcIZwQf
oaZKD5ycrKHBPUWakF5MjIBbaE8A62BdnwilNd/pHZZvciRyGsidZ93E7nzkjYymvano2+6o8DK1
BG0oJJFbLjvIvkkuEzqa3Pl4kM9pHzA8dZXvNBcFEilYSf4dGQBldVhMGxiqNkFufaptHXolc2Wq
zA50RdRWL2Fg9HTXL7IS+AIRf3CQtXw2EnTvknClZjAuvYbVHrLQREY7CU6RANVWGkFI4qQXwPhE
I/KRUOb1+KXxnxcEwwACc0zNXiaN8WaFPT0uwmA53AyvQcarlwFfXcVeYq6dVmcCyz+gnBnlmrp9
Q2Nc7Vp2UssuLIeDIhBkI5tI20b64NPtdvdkG7jMs+Kx9ZI5iAieGklCchXUouadR4FYo7dYmxmJ
gnDVk7F1xKKgrX1ls3y3O8+pE3kWQhlkEx94w9K10gtrMJ5ItrqJcE4tKw5vDB2azH5GKqNNrlUv
m3m/ynvvhu8GqZV+0cXbJgNR3tktMSz1OaiJ2yGib6AG9kMQFbaFoXNcd4KbqCPVuZ94zysOsRPV
U5ejjjBBlhOFzhEp40RJfzLmYIKORAuHJycN7JXSs3JjmZDcsyiB3wU2Na5pwzmN8Z1YAFi1DhsP
r4esHk00SgKKjITDdO6eS5MXZsLZTEgZVaoedoPlPtl6AJk5JDYqq+9IOjHWBHy0D+wbSZ3LaGiz
3TpVHJYXrsFWUwQcqxx/eB4s7cnD+LIGGPDDhpYK4xd8yRQCveyQVQBGoPkaTN5CZv5LDirsBPAm
MV9pBVTDDMiRyx0YX2V+UkTyrO2CkrMCkQehoIcXN+rdlyDZXLbGootn2oX5OnQR9UO3fQo83OTk
xksOCP2tpQDl6kkA56AsmO+IGothuW108uYal+J+WIZnWmMcHNE967gMFmkXv7GZIRKHvengbT0v
ZQ9UabpyQF2mg30ymhokgNpf9XZ2Q1XpzOhISDTQQyxsOWynLrlowRKs0J83VBcowsTtCNmUioNV
9a+xKm9SRUIWqZ8BosUFcB4J/DM3Teg8NS3tEYpDRO7gg1GP4l6WtCdg5HImtcvnlgrFRV4n/mM6
9N12stBDkEXlQlnI0pQHOHD2Kx0iaLNSssnzCgIqzMp/RCjubAHWTyudLjX9VW2gPqWXebCnGZds
gJ9rayHHGIbC2DU3VgcIM02j9hBK+MV134id1NG4AxnybmjrVfeenTlXph1ZkKOZBOke+i/CG40t
XtxgXGSOHd+1Zk9OzIh7EqgnCH5AnDJSnHKcjmNbZhIkiJDKZzoudL+9UzBVDh6InwcJc2REvkDQ
HKMBxbWN2g6AC5QGcgIK6DXQUQWxitLKTmPq88+ROTn2Jo1GDYyMsihIEnoPiJsC71AuwsbQn0sN
A+KKhg+Nas+hfFzosnxtlO53jNwwP0nFVFLgjyOxhKkSv1i+Zuxde2ZGV7324iRlf6igcF+Z2FDP
jES3odQ64/QYS2rs3DNj40chNVgJ8QIOvfcwULuBEuGzqzX7+kGU6JLcIh9IdSGMZ4qeBfXGN6QM
Dkcgi3na6BCkLLj7xV3uS0mypc3EgHTFWQ12k58z0U+XydRAyQ7VYLASVBk5ojgQDnWmV6fgB5Ot
onNDoTwPzkGfuICWzUY7C/wo/RErNzjJijm2nHL8qU4L/kIDxvwCsZT6X2ZvR/YxW/K21V5RXwsX
6E6Y0xortbZ4Dcul24FXtdvC2ySWDSdClSNp30F3mpW9f6YY8S/j1LuPuZg4wEFJFzs0j9ZFnIvy
e81sxObW0b+HU5Gw5zUroqNMhKcLr2uJFvUGkuMoKKxaLzTotvf1oUjM7N1TlvV9ILbpZOAoy/rC
3pSz6cSJmhwKOQsPfUJKruvENHcZmUSrgi7qWUb36Gley8DFGh69fEOLQVoT+pRVVF3t9iTovGEP
jhE/wI3pxN5A0rpVAE2mYN7DR05qByWbQxouUSyInYaQoO1RBQFOWVcbCR71VAP4PqpuSguazmKc
EJgv+rb1zs3aYrSKKck2DSLbUzOJvYsB49izT7B8SPHG165LmnTPdd6BkqkGy7sdLVV/Dz0np73r
t/mHIdf/kTUVVeGk5o3dKN5VzqRd3N7otlU/kYqtyZVI4uisQ22uLVTuU19JlApP2ITFco0aQVw0
7IftrZvVBClFXp+xBAAGec1Nr76sOqMHulXQwl9LvYLF4ha4vzaFGdeUiycqbPPCSXsCsyZN13wq
mO3t0KPpaXdpjJzOEtQadWHrNybxNdMGNVuqvahijP3bstf84SUKcHm9Om5XsYns43AjRjKF14Hy
KDSUrT9ys5Rymm6XxJmXbCJLE9YenXbskelb68VTxL4zf0XLCZ6KVNta32hkHukbQScqXzWByWrf
yzycIH90hFLSDEkEeSRm62vppnc7Fe3MJgrFqRnHpbey+q40riNzTtqpCOdhl5pMmXhB5kSVt2QF
tnek3bpkCbjKokwqZZudOWNnPRQSv/oiUp5proBlz53eOmnZxw0CZ4jQNMfAxJZN3Wr0CrLlkwFp
3Olg4HrTwdZw1t0ph+7NWkY0vE8ypHP2Ku+NiTyiNqblTEqPom3juG266qG80S2URTpUjypRGaIi
dCoWupmRyZ5QH2EgeKccg9CRAsxmMASpEnHmokdDNRqjuoWpjwCjIkZlXHYq0R9JggyDvR2VYb61
I5TQ9HBlfNP5yHbPRNJ2LucGymZnBtwt3e5dVuhAb55ZpkVxkJo2hpcxit7xC2H6v9QWO8g+cCAi
bzOPlMyY00sQT0a2og+QXbtOFr3ocJa/0Ev/aoJBJY1gGigKymg8N5/10gEmJLc1rHRl9KlzZduA
xV0an6u0HNXG8oNp0dS0d+3IEbvfy6f/5ZVnzTSeWDwUx0ptzw5qHeJqupJYAJAMWDHd60luBOo9
ZJkC1JkeRSc+er3pC0n6r9YYvjTCeCGATHq2dyTb9oLMToYK3TEKHuu6jep7LEDoV3VkkSCTePel
k39h2jh6nNA2Zk4FNjWdIwVl4KNr6kaO0Lengo1hMT0Lag2Rnu3KL9xF86D4pPoXOO8Y8Z5FRp3p
HVucM6OxcOmNCi2uHJtdaA34HwU6affEjKraIHYry9Kr3z/J2VXz+aJYWH2MPrPfSLeOjVQeB9Bc
pbpLnhAZMGSMG+y4lFj7BamwsS+fc2FtscA+maJ9+/2lPxT2x9cG/Clw0eqMYfvI5dRKhXCMe06r
ApnVYkL8C6KYqh2iGm086TpysGO3dSnw1MHb4CY64WAac3yiTxe//ywfrtKfP4uvI3jSsdPa2Bxc
+9gL1NCusoqK4iM14G3o9Rc4F4kfiqFniCxnjNvRTZVg/UoRE1FK2Q5htWdPfVOjDaeXwP5cJ6uP
UD4iqpEdL2yjuI8G+7EDTChGAlrD0ALdoEr1xQvxi0dD502wrHkmQCLPh/88C+S8Ysjb0nLlS+Ca
bOldxDgojArgb8jcmtXv79TRuwDGYPY8m7qJHYYT0DGPAtmMQjPZ9JzFKHy7iAyeS2SHX4yNf/ml
gEPMjAHXtI/NYPqsXSqnCitI4fbNAly4sVUFdZRF0gfp0++/0vGU8ofLxUHfyFSKadP8fAfx12Ln
SO1hlfp2dZq0Y3yihgY/lgxyymgeO7S6D9a/v+jx2z5fFGM89gSBD9aaebg/W2uizpiyuEEWG3hJ
vBor0Z5kCB1CXQT7wQWf+fvL/XJDPy7nYhueuV4M9M+Xw2NoRGhcgWFGhrmGGBhvbJvsvIKMrC8W
v1/e64+vZnm6Ow8RxuU8hH5yDaG1QF9EFQoTYTp0G9HV2eVoWuNj1FvZSWna4l0vpXjnpo6XZg76
kjCdBFl2rtXGj99/7yMGNoQfxqvOC41J1GIreYw0g53KZsISAytEton0bpNO4zl92WvHTl7icrx3
p+S98Y1VrXkYQAQ1TbteesBTdfBziybwv+ckIykrPpUivrSy8NXDVbdAfH4BqkwuzCF/0frhoDfm
35ybP+4jyJfZkg0CWxy92fakORP0CaCjGqUS2w/cdQ4N/xC6dw7HXHCqKDayET1WUufaF0v8EW/+
48bZ4F8sHfM533tmaP38FNmP1l2UKuAJNhX7iIyORaKEXtOCNHGhZQTykRRfPLKVp4umOdUqiWT3
xWzzr8aSz7qEWJ65BvPd0dIb4ZjODSyplNMcd8WYw9c7ym3E8atRJgScHCSjIy9RbZ5GhXNbI07/
6jPMr+KntcFw6J2h2PEc3WedOroTGqoct4rLfqUAHlFKj4DO5T7gQlNPFUcog6OeEwWvlpDFKc/y
ULjqlfMMVYOcHIbfD+ijF5n+KZ8ENh2KKSA91ME/PxbNtWsURqG3YnBMZ41qg5eeDsF1bE7DF4vi
0RTFpWBLUJTgPzPi7JhBEPoqb2EbeitY8cZTMQ2cRkQAQtbnkLnyIDZ/gX745YLss0yIB3Npjc3W
R97ETxPHnHYcQ4WdVl2YmC8VxYMt/UO5UlTaNrntF1/dzKPFDAs3N9GwHNO1PXgKx5OwNF1ZU4Rr
V15ieLseg9BLVAXhH6/Sf9H9/tOY4TH/oFn9Qvc7l28vH8T4n+l+Hz/zJ93PM7/NBxdcrrDLmePm
7eefwHgP8LvHUNcdHUULNn8G+l90P/GN7QcwGZ9NCBS3mVH1Jy/e0L8x2/MoMf8xYCFa/N/Q/QSA
gRmDB/fSt8xftlZuyqbRRgFNNXcqF3UpxI1rTw1ZXXnyhRf98x5kPs4A+OJkYzs2NjjOVJ9fa2R+
ikRPv+KEX+zLjGRKRUPRM29J4Dhp3K9m918vxy3HfW46vAI+nvTPlwP1DARdimrjtNatTZPNMiil
SyNG8Eea6oSUevPTk7/8Y7r8j38LxJ+/IFec99i8bCxsc2rAz8tJV9WiAlBfbSIbn0JfA2btyD9P
c/+LCdKctzL/nK7/uNKcJ+CwbrFsHafSCFVUKBfHakPeUr2zqiRZS85WsEpVOB4KIwJ77NbNrRgx
EeR5t4/G/obf9NzZ6jGjxpwXTo2AsufsDPPlAloysU5msKf6l1wjkCy/YOscLbXzs6dxwdLC42CH
xtT++d7E7LaN1A/TDbTjM6egfpvVl27oj6cZZ/qOXcuq4/BIx9nIyd2o+/Xvn83Hef3TLZs/ANMf
LxvICc5Cnz8Awt7WxAKcbGKjihOwJUVyUtgB6ZRDsyJiCwkpvhzf0JYezZkpc09NHB9DKF50vT/B
9YCKS5/eiAzuv3ia81c/+mRg/WCpzCw6XuujPZBEqxcJN8s2Af45gkoDh0UA7WFN/CSGJwfJ+zqz
aMkvejje1KmVbX11Lp/zJz59CCYiNujMKeDiLF6ao9sTT4DH0HTJTda34bsWj+IZu6lA2ZK5+l7D
OlssompKLsnFzJ60oLqdcVqrQMtDQmjNngwZNXHfTE9c82PqoItJ39gwujaW2922QRtAbcaahcNQ
rHxV3KL62Y8iTB6HgL4GJVUbd7q2Dp3elushI/Zgm1IGNtfxGEtF6KQ2tadmgX9mHdid/uqoxu2u
Qys1Xr08jc/zoCAl0hg1/6kqZfNQ88+DVgT66zhRuT6vp4pMs9xyURsR5EXiIoBMc4F7fNzUKva3
MKWhM4dOXa+MQs9PBDlXAFDGrAL6XHc/JDpFPCFOS6fLravkpdYI8qmSfNwzDSXWmuhctNxNOm6S
vNRwUbnF8IBhzCApNNBH5yCcjnhLIL9716msfuEqJ8drmhXrLtHUD3oAIy7j1HEAu3jpaVRiZ6EG
2LybdDtK7J1ecE4+TfEwhui/ETkTTm8rrLskFpS8z5KAumKb4ts8tZCDvUdmP+4cEqYecj8IaFEO
WvaYu05A6i8BAoYLRq+bc2jTRs6iM4VTIOcYAOs18bC1VACODlHUEInQ2cW4y9PAMDe17DqNkkEr
BjTpZYBox/H7bWQOXbutewA6ay9U3dLENXzqU29Fa5Ka9avCmXMRtkKNqH5zhRw6pCW59moOrOtq
YK9HPC5ovw33si9ox+hxc8hKvdr7oVR8SeElyEHbvinHfQmuMdljx6hWAc1ksaQJ6W4iARmnK1WJ
0QNplXdhonMIdwCXdAQtVmKdTHBCpmVeOXhybKu5s0MR66sAN++LadM4XRgxu/1DgluAZI6pGcOz
Cd8VsHu67gucQfEVsRPKp/+Wabdh4QFvqUpSE/KS0KV1m3SafBUTZIPl4KTOtMlcZRYb4GLiiopP
QKcobPvzopbpe+WO9g+PSnDIpyXME+S43E1UHc9K4TVn3Lj4vcK9uBajdxmM/bC00vCOAt1ZEmXu
98nPbxS13zuXCM4TjRjfnbRoiQR0BtIlQhIADIq+Xp7mI5K4ktI6iij8G4FzhXEz2hvTaK4FKvMV
2l1rNyl9WAI7jU8il15p2tpii5y9WmF1KkiPitN1NPnFXY0l7yWI8wcNjzipEGO6S5VDGuZIODr1
6Fc9BONpDoRxpQ4waVTrHtb0RrsKMSxD5ffoIw2R5F6P9lXRDQfPUu4JxmZjp0VRi9e0qvaQ5+xl
ISoTLZoxG+WstWYSLWq0p5h/1QGA+Qbf57CP9cpYT0hVdxPZdJpLPoVZ49NHh78p8lS70AurWQgj
jBA4NMa+b91s3xQeqO9B5hurn8Xwpt8+mrMjIC/NS7OP39mkY3iSIUXYQBO3AA/UPp5Q+w1x8ko0
Wo9Nw5reh9iQdxAA5SP0uGhfyTpbdU1+hY2EWAlcEKRKVT5ubIkgmgQFNvpuUx2sLHa2PWbNbR3i
UKD0xiuGM326GoKxUjAiHEOu+ix9oDaN0jyUF+CY1KpWBcJRAScDmUGSsWszm2JVKeO6J68ZbanX
+7fmHz2K/JAn8EwXIiT/ArF5dU5LILpOsniJ4f7JTnA/OTRqThwxoxr0eBIPJQ7y8yBuE/yuxIKB
qSwPHe2cFfBbHEp94e6tETxFT/0NQLo8zzN51UvSNBfOxA5yreyq4o0G+N6htnqPNM86DI0kbdLs
AfbHg3poK+r2C+zDMfIVitxVmO6zpked7TfuJqStFsMhX3omWjYjoZ+2skEYbcsiat+bkHu9SP2Y
XucEAGzn9mwrUBwTxlrY90MehWsd7eWpPTj+Fbm948FwGow0vh0f3Ni17iMmi20YFuZWq5R5ajSD
u3TL/C2hYXbR03zcFsU0ndv1dO1rYbjztHZRYV0mRslCSrQEmS5PaQ/bi5Da0HM2qfERG3hOX3jw
X52qGZ5Rk05rZKsoEKVWWKdNA4loQQJvjcc8Hbcqs8QlHiWfAGXZ3BbUATcwd/sLL02bZQk+Y92V
iOVCOxz3PZhYsqv1YliaQdHtQtcXm4ZEl7URT9YCPdkTSQzWNqlb/Hx2NdbgM0L7bcCohse9Kk+x
GZD0gdF34QxE05QRgXZSwlayrfK1y6dDV0wviULlnQez1IWvUCy84LVmelp7WX7tEz2wRdRyaSFM
T6OoesnaPt6GpYlyTkG1U1W4NjpZXU6Rc6EiDGH1YJ4g0HsLLeRsnTmV6ygnO5jT77AJoQDU2qhB
FVMuoTAplCcNq1LaVxfIgf19oKerye8OtnTfpDGSIJS0PaGjrNup0+fwWbLnjDDry2nELEh+jvZj
FmKGRKqE/tQscX5hzjVY2+hLyx9OqYx9U0kwGjCmrjARD0hAvKFdpq3vEfrRzGapIoEkopioUvAO
UBwg5wW+8TqaZfsSwbUm/U3gn5sS5W+igbFOt76yH9ltOOTd6hniJpNXZna2QIrVmjKlk9LdKg7c
+BNr67YDP1MuPb+9DBoHSE1E8OBsCPUviD2YFi0f+iYtZPfsV5q8yA2CaWbchJQnEzC7036M/Kcp
QTyxMAKb5mSjmfo9b4JE/2xVGF+A4fxIhMcQ8nEsPwKmI2edqt1WKiLvEPblTIqqTQygeZYdAEHp
LIGaemoabzUOXsleQmL/XslZVoAzAFDtihMqWnYzCSldqrEyL0QkCsjeQ6sDiKqK+8DRBp2q0WCW
u2nw4UaNpZS3hYwn5DY1SZ0oc5343sqQhi8ir6rf67Yd1KLXhkIsrIT4ogXmDHWbQnBYx1GVPhcl
Fl8xpcxCSjNOM6u0z2U5FfYhsUIXmk4WD/UWbYA488j7+u6kHpGNoR9Ze5QL1mlWkSerQru59kdc
HqSON8MDMSY2MrImvxno/1qZPZyoyMZr5BDrzpSlB094Cmy8zEF/Usdpv+sVJgHaVPZrEs07zIWo
c/95VL33TvrMsGWUT5irw2CX0x00VqouLTSajoFGWAN/QOT06C8qsojocOcTWlmo8+HaG5PxMjZD
p7uWvjdGq1bqGUugI1ah21j82poA1qF1iRl1/CxcT+xy1LI1mWSKhgiuBKX+sEUeODwafeaf6Sh2
I38VNA1pPFUcsalF8xZld6mbDm8uR6sfqvXGGyPp0EM1qar2noEif4WFDOKWWen6q6wH5nC2ScUN
jeY0uuxwj6XLwm9HgTc7YBUeC59nGYzFNRpqNMRjWWjnDbJsWvDZkK5hseWwTKP6Edm8/0hUporW
1C/Iw27S7srgjHCQRdRc5yhDt+mYNqcu0JyH2qvYLM1d3Vl43w33ahzpR+CrQhavhdMglqXuF8Xe
tgqYIyKbSELJgqFz7lMp2IjhHDqDwKOnS9nEztrza4RcPNp4k42xEZA8T6bIwo0EiaLM8FUzLaRl
ZB56bOqht3qdRul9I7R4P1KJyzkQIkNYpINo7lE4AHQAIRMvXGdIrkuz6nUM3fEHGqcDbFDk3IgK
qUvYdStIJkGyGEjh2namxhpYKagsVuqLkzCv+ZYcxcubCRHHEy65DMFsL91300/6HZrGXamPnEIG
vb4bMhYc14+nh4YO4s7sU1LLnbSZtiAGiAgN/WLv9HWAjmEwd4RTVgs2DxHxOmPHmoCOKcRlvgmK
YFpSUy+/m0HWtIugC3NemVa/Jei5/aOU/7dKgLdFxr/HmR1vw397+0eCx5l8q4q6eG9++7e2P4rz
l+xHffyX5k/zj9/1/0b8B2Wsf18e/B9V+/ryqTT4jyRJh9gPWlVURijNUhWbGe1/FgZd/RslOap+
iCvQPHwEYfxVGCRk0rRon5PuQDsUMOA/C4PmN2QDlFZobNDWoEL4dwqDHyf+n8sSlJWo1FBloigx
Z5AcVbM0L25GVwNPj9wluxJ6nyCVxTAxt5qivWzc7FBhHDcWHJP1FWAiy1v3JIDNuK/kVtaqO+gy
I8+40telnTJ/SkgqF7wRqmVtLJtdRi1cwTxIxSUEETiPpkOR4+N2/61R+X825P5/i52xqRP9+4G3
r9OX+j+WLzL7X/8z/3kAzj/2Z2na9b+hF/YhWhFNMA9Aij5/laaNb5DFqB+gcBL+nM3wz9I0PwX2
km4VrZNZNcJP/VWa9r9RbZ37aq5JDCltjr81AucR9vMIpB5GsZCiObgDmjTHmOx86Po8VxErqUya
LUiD7CJR96xi+LlC5tgIB+ESRQmHGd3+7vVmOBs1xm1FIrFekqWoYAau/LDwdzNkdhFWY0ykofTM
dZdNwWUSolV3u3IXdfZbCtTrB+xpXD5T9lUcg8lb+ctXoeZNJ8bF6g32mz//qe0TlSmxh8TlbSaL
6S1M7lw1uy/LHn+hM0Tt+TiO26gcG3OJSRo5IagYIkdCdvxRUsmLwpzUNjVAZWKQsg4QMeZ9bk5I
swFA4qbyEnU9TOpBT7/qqn9ExXx6CiY1SfpVhHSgoEFQ//mjm2TmgbJ2rE1NbZUV3a7wfiNnR4rf
qaVfEavn4GJ5KUY7v1ZlfxeVUj/LQ6OFG5jD8LStPL7s9Ezdx+UEONKs/aBZODgF2K9n/Q/SSP29
O5r3ekmU31KzKhOKTibqiwFirDQr6PZsdM4rH1YVtrcIF0hBGNHCRvS9GSP5AMMOxwS8/HnHQPXR
B2XSxK//NZM04/77f/9PXvTfTSWX7Y+qKf7jWr4VP08kHz/150ziiG8mOGdiqIga4n/m6eLPmcRx
v80iQaQJSEFcUnu41l9rmfeNvypIuqEoPxN16X/9NZO431C+CYN1x9VnWLP7t2aSz01Qlljc1B+L
qYHUgGV1fj1/ev2I9yUyMa6zdcF5Za2mFiIDJnqUDW4qMYBHgGRovB9GnMue3t5IK8nXFEJxDqcT
ylrbkTtXVoTkNR6ZmLHmnQIjeUXzRDBtVPogucsTo0VRTDqCfxGinDhgn22+aGIct7TmnCWTZjUl
PuZDi6DoT1+jVzbeV4Ng8rQIqqWGSGmVBfIS7lq9hIuaEeb+ZXfieBImUp1+AJEkpqCKzUz8+Zoh
GtkmH/MQAbCerCw/fTfd/NnXs/4LDcLxMzq+0FEbpPWHSXoBBznbTp+rOMyWXubf/jRwL/+YtX7u
0P2ra/BtaJrNo8u25z//aRw0LYijqJHELSj8BxVtppWGZPuLx3Sk6KCF8tHNRXOoM3aJUjr6Kk6k
6PDP8t/Ka/1VmKYnReY/BFJs/bZ67Kr2Dq3j2sVMtYkn4yrzhq/6OXyPn+fsjw8gkHGwP3QtcM6f
vydEbcNXsUTDmRSnadEnZ1Nj0kDo0PV3/ZeBJL909z6uh6iTojg6HsI6Pl9Pismqpxy0SNSWYIRK
+RplIQQpWJ3EiLoXuS9IBBX2lWjj984pb37/WKl5/vqFybsTyIgQkOpsmT9/ACsfNHuyA7nmqHxQ
ojxPNaoJthO/h62arhJHXMmkzwGXKs7IbvpqW/G7JdNTZTbxIspUDUyS0mKhT9HGiib7Er//OQqu
q8zNTpH+nE9x8q6De8ghLa6KMYUuSAkDfz7HViMRAQXpOrpMDOznhml871LE/5XOf8bAuppoPSwo
AdwIAAtJgIbHo/JdiStP58rIGe+IMUqXjohfXeXiOZoqtjBcrW8CXFh8DHLjaw517m1fYMbBUnJl
t+FrgMpk4bf6k4d+f0G5CClnYoobPRga+rkkpqSUXEDN4deIQHmv0pol1R5NIDujPl3ZVeGtZM2v
Vl12KmPzKq6xfn58M2LIzsauHE/scp7zpJas8w8RmFsmZxguHol75lvhkJzO4NWgb+tR7BSNuSZh
7Ly0ejz0wnnSgM08NH4frEak2svC4M5pGcQ3kXQW36j2txQ2Ywrv2SuhuedD552LuCl2CK+mszRp
iX8V3q0TOLSJ4YucgUEFBxeBTRVWKDd4NTuEby5EXkw75ujniwGUFq4+60ol2WsyWvemRP7vu/Uj
wWbpOnP5CIbMx7v5uQZufho3LoW/gRj7FtRDGrvGslVevRRFhqFL2drajoBUUhT24Tpwkz9u42AD
q449DArwKcc7N7TMtV5wE3Cm+ZvcyP3tGOk+rAz3HFOPv0UdMG7L0fEga8hXO5cxHvtGbXSTGxz6
vbmutWja9NRbd0UhrorUESCGGQoEBIqTntsQOdm0AeZCpWzyx7MgDAYs81aCrwRmdUBZZBHkLHFl
mb7TZnk0cVd+fPY0dPOtnrukwU/dshiml74z3yGL3JZDqzZRzOsKBt1adGX07ozhtEEpZC7DegQa
Z7jdj1Z2zdqDE7xLuvQqc2SxxbZm4irjcye+nDZ+UD9OMWdBETvJShp4eNO0p5lKQYttmww3MM9G
6lu8gm5OhVIwADQh37XQzrfFWD1SjE/WgOpyqoOwB9yMh5lXmETJMsa/6xtXvqHwEXV8Mi0u+ekA
zzgvjd7xi3vU1kvMMtZift1b9s0LLCARjSAqjzZZweuBgu9izJJ37FxsMafslZzT86g3zkzK71SZ
brMWFE0y1MlZaTHgEYv7WxmwH217+wqsCOk49YAwzHPOZ9HeGpequ2hy/9wYrSsMNjXG2vDVgoi0
Hgu6t2lQPQqzOLU19ahp3KnRlQ9urbUrveeBoUhRS9OPwAViUDvD8TwSkB5ILJjzK+pObx0xiMth
LlNNU7ICUX9LVtKwmP8fC65hU6evecgr69rubR0Z2nqefJsGlXdZV49xZl5VUqHcNHk58nng60EE
UAQ/V95ow7IxkaJTyMsXls2UMbkVBl0ozIchA/qaOUTAT6FOUrRrE5/etKSf2yGP0615NKLmQ+qa
FoOZ5DORo8krqtJX0dANFFnUzSSOcKOVIJKqrsjesinaJ7ZH2Lvija/jiq5Z9NpZ7WOVVY9pMd97
uzCXdMeZlF3Gyf9m7zyW48bWLf0qJ3rUPUAFvJkmgHRMuqQRxQmClER47/FO9ynui/W3qaN7yJQO
GTXtPoOKMioSmcDGNv+/1rdseEmr0o5eMgrAuEp5T6XKus0zedn0CV2wcO4dtymbcguUiLciNLhv
A4PEHqTbaU4ZXBLgTlAWa5tOy3EAIng/WMGcujIAXbgLwQ955NaqGGJ9SeenAlm9xgwLOFKtg6c2
MaaVIbZ9gSOmxnpSDppVSihSc0PZaO1Y++hax0uFyqq7hP10ZYMF9pNRSXEradpOL0JnNSK894Ma
VtmKhyJtw7gBqttITzPKlCvNzlWssGW5hYqJgcwoH8y4wOXt4KE4YEWp1kq4qEd8R0BBBmluzgZO
TL6jkfSNWlOCsZ1GsIxSpZe2uc5HVsx+Bo408yHAgV3ruXbd0KLHgtADrE4rqjlBnLRfGjo60LuK
zDca48lxFHC1St56o9MKVaQmP0y6bpy1OBfWQS1XX4G8TRu7wHUMpMamqZNEz3TI02MsS6RuI4t2
40Q8vwRKEua1RfLVEUH2MNb696pKy22saIJ6y8syZFCZCxqU/jSrrRcoUD2sepAfxiR7niaWZzE5
VSUjGN7liz3xe6uheXhdFtm3Xs9jo/pFSxkJ4xnrYho0Z7nYbOS2caEtjMPC4jWomDC0ZeAL5aB0
dKWT3LYdL42hix8hJoCeFHNEGpsXclsVNwDon8OsCvZgehUgQmq8ZooXa0p2mw1QsROT/BgxH08L
PbG0jF/6Sr2qtP68Ka1vepR9LSzY/7MImweDsGonzqQl/cg1YROq28S8cCpT3LqPQxg/Ms1iI04h
cKb5fDbVcoq91eKgEtA+K2UrWPHS7dR0uEnaIV+rmdwDaDcmOtWsIe3YTnsCX1kV0+7BBiaIvUZu
uSjvY5bWy2MfO7dzFT2DcuMNa+KXKuT/Vmrx0ooNxut2gZbTw2zS3E64m3ZMvIghuGQf79TECeX9
xpSQUfSQQgGGW8sS+7g3G3At56hXTEsE8YK5yrSk25ErMWkmL2PcqO4S4wmnmB9/ct3fTk4ofBUV
4S2HP5HZwiH07XXLCqlNSxyUh5FN8ocsZ/egmDth/U8E7IIZ/+Xjb/pqTXv3VbkkgWMWlyWHWddO
9sRqrxVdDW3NK2ZeR1tO9R1K3eVaQ2fmt+3ylQz6XZ0w3cGd3wyBfSH2OerCTJM7g+p2HTtTBQyp
KxZzeWRtXnReYlapWUufp4g5PmdwD4W9w5vutYnV7Eo1e4Fl9qBVLMH9woY70a4nmwnIAUvhxvT2
PLEeqRGA5aHTr1WdPY3YB0kLS1rO7rClgb6KAR35bcbgjAa5YzvBbvp1s0FLwxEqL2pAPDsqva8U
ki32PH6yINx44f9kh/+AMqK9LZG3xiu6gAVlOBaLJWB9+TllcxiAI8FKP8uSP00RPRuglo6rjhVv
fM4ikalMV44zS2LH0XrsoZ97c4R1zj5Ai+uH1Fw6+uwtcB9YcZ/ENr9a0U4eHyUD2UB8S168cnqi
oK3V9q0SSp5lDZdoi7BsRntNH5D/ZNaqwmbL5hWGtEy4EhvYc7OT7hWrfkj0aGOlRbHKdTaA4onx
6BNXbmofqfk6aZabcEyJJ+GkjyGZTLhO/obcR1ppgfSF8siNUTVntWJX63pCfSWFd0rbf0/UbKuE
FphJ5sEhC17gimFozuO9iSPQy0AUXxhSl+5By0x08lnpcRzsRnHYo8nEysAkZST6hVbwpOAMSH5O
x3XddunlbFdmtmpiQePAqbwKM8hV8dgukPZm4B4VACKpWlA3wY5/fUv+Vnn+/8umkTjB/vvq/fYp
7v77v95W2xTxA7/q9go9ILSsuk02LebC/6m1WfpfOiVzQtqR2CK1VTgG/7PWptJSou5MAKSIeOYE
+qZvZAutOWY/kTvNQP97gvLf1KyO6D7JFgZWvCT0tt7PtIvdaNJoR/h4BioNmKE5KMSp7exwW+oB
qgmnPKefHFIBHuV5M9jYiL039+oPVZ7TkhVKdj6CTsASDlo8FidlMjWp07KpG8sPOaGum1rw+qJC
8dU0+MQ+clpPEleieaJRjyNoGWfH+y9r1I0U5DKZcbkCpE2uAHdFRZZ/8n1+v6VcR9Q2qJYSSXJa
govsTC7VXtch4gNDasqZcl9dlrBJErmT9bWaZx2AyEK6MKfe+DJAaf7Mh326fiL0FNptvixGvt8z
3h2rqAneUXV/bvAfs5aa59kcONAr2nwzmUbhajKUyo+fI9mk3L+3kzBtTkpoikoZC6sMi/f7++uA
0caI3xg+tA2CbNB4RoiRdQRXGGZVQJzOpDQh6h5lXNzIqXGxBjIpylAm0vIy7CT9ToQpzCCUMuNQ
MM0ZK2Aa9VMKkJVgnDIM41XCLp0JdyGJpoLaPq8A3arGCtka03RrO1RWZgqgzopPqnSbxo70W9ku
c5Q1yF4syklJrH9PIsJFXRuu9rhmHxvcYWNLHnhYyZFjl/5sp3UK9gyXCI3PRNGp9sDJOoYzBmRO
T4Z53RlRlt9h/WbudoyZOCuU6OZXICoB03bmRP0dmSXZRi/R1uAKSxUOkCaVNyKQ8uGLNSJe8JVJ
d6oLEEvqTWhaRYvD00ru4DP2CuRKMNa8dpFDA6XRzcUv1KB/IlRNQJ0M2UOsMWpn5RBPlBEmh2yK
RZehYNbyoFA2Arp8bvdLO/uY2BqIkUlERFGfdAb8EcRrFTsZql3rIpGqEkJRKtWIIacevnTXqZCT
y7GOvI7+165oFhukVJ7DVaL1nK9j22oUjzAxyMVZ0BsXNnTo27AKRyj1+YK2DVC1jWIkjxu3QU75
LUehgYjNNprcVWNFRzOG0FqO00DB07DMk2vyovQbdiY/JPzFN0sq6EzkP7EkqvjMX2oHyzMnyGmK
iZxJh6uiGZ7LJJ7rFWZtHeGfbZBfrttT/Y00JupZmDe3jTQOFhL0Lr4GixodnNZ0HhpMXD/GJs7b
lSbJZJFa9qIhDBzqTdVm3cbSJfssT2drOEvI0vhaQ+y+Umut5Ijcqvq+6B2iHKxJU8+JvwSTuiyK
cz1QXG48M55MjuwTWKWQVTz3aINBjurm2nTHQtYXFxf5eDEpFF9dnZAyBUtxj2XSgBR9Tw80uq5I
IZP8GN1yv0WEy7EoY3NHOceekvt84KahZ4ut1Nz3fUSbo1pqvdijVA+WgwN9DXOomjvH2HI4ykeS
g4a0bAGXt1MjIfSebaP2+kDQEpZeQkLW4lMstzqkw2f4mWjWCidL6HcCETHdjn3nqnbK5FtllUS6
aaSE5H7FYax0VVFyuKQY2gVENfXkEVCMIQaFzJEJfkywHOd+Lr/a3YK4sIM/SMqWFFzPJciWKE0s
E1ZqFd7VqKc4pY1K+8Mq7eLKifFEw2Jvk+sZo0zoJ4gMGw/sTtKubUMy7nVJzh8bjK4vDoURe+XU
2fDYLugglVCeQD05CkdBYyxIuoDimkP4oukVXA5ZM8vIhyEcubIVEkGfZOWkkMygZLYryxPi7qYE
UkgJJXGuzIFMV08dCuULxTqNdIKiDxmDOaVGt40L9QKOuZauTLsDw532c8c/15I8eZHa82A0wj7V
dSyXle6pI8ISd4id5SsAJo6aQ9YVT0ZYThwuQeIl6yLvwZY6mkSsBDglqeJltRuVXFwtirygb2YF
3HDrSKtGWrLwEqYNZCkOoRwhTbsac4jvwLkQ/spF7VZRLUFcjeMxAmY/lAH48zoigYrgCf45aPRp
ZcLpeZr6RrK8FIuo7Mu0hsnVsTRpWbFqh6FfJ1gfPHr7cHmp2KeGW40iFHRM7eLJDvX8amH0Rqug
jlQ2sU25XJqzVChAaYfgm0MutS4u30Ovl+TbWjKygDeCHuNqwvMESBqpMYfipFJCj1ZQY7tqMWuA
LZoGSCJqb+M2L6kkbYtSSxqvMDnl7se+Y2ROaWPe9TQlqTLIhZ27AWA55ZNVTTk1b7GkmWJnRG3e
Zg9unGxPMI6RxyaFUB978n5cvcVM9qxHiPNYeVLHPGMZnlSOhrT1vEmRW+qYiyoZ65qJoP9kbyHa
d29XWJF8qcJW4bTLGfW3THAb+X3SF5nhS6gIr6E7lwrJGAl1yaNu8eQ+XtH/dDWNHjDWNTyS+LHe
r+d5QDVOSVLDL8b5MW8L/XxU88UbR4kgiCxILj6+3Anygr4v8AGAEaItDRAA39f76zVI0hsmNB0n
R9hfo5qHrx0ZvTVxHnMWrL5JoTVupNC1AqqSwV1XgeiSfsehN/E7p25pDJMEOXsdiRTnpBAS71WG
GkkrLBDFj4by7LzRkJiY3ogIdgaNRfXzFRhZeVY2DMO6YGH+Z3T63zo2/b+pamIf/eYZ/2a3vW0I
Afz+9P0f8z9uy+en8L0iQfzsL0WC/BePWwf7AiJIkd8pEpS/sPxTfFJ0lHRsK9nV/1IkKH9paPFM
hyGD+/z1APVLkcABCrOFjpdaNhUDW+7fUSScHhwc6GlAG/hFsCpEIvT7gSlbEEzqEPVqNMI/Hgaq
beOEEfHNvfnDQcg+2T8TNK0pFscw1YAsQBCs+Bhvym0N1gwJ3SpZq0ES3Mb41yYf2CaIU3tsSDSI
dIkItliCZQuVecJHg9QK8FU3TZezQQbDegkMihxmJQ+tby64RiH39tA9NWh/bhvJ6nSoNL2/zOkU
Aqi37emZDIJuP0r0TzbhlHf3S6tHFiR+2AfeUKszhaJMaYGyVs1VQ5BqeAYzPWDnbogeCrlQNcDR
vumAPziEThmKlLM2yhR5dkHW2f0uoUR8lWhtRtFiqKYLcYY0fadOHYmzCHJcspP04pAXIaY2AqEJ
2CmXIGIl1Pl6IGmd5WVEe4x5ibYXxe8ovo9JV0rYFpr9fa1m+ug29OewiEnFfOgzK9F2c9voOzVJ
lz22YjZrJhZFDC+LUZO1wW4B900M7MUt02iY6G6ih2JxJpdmUPTiNl/sRfJKVDAXkdYHtHhHg32Z
Lo0wJ5YsWGtFUYfsunEqk+0uiCwxDrYBzHOqXnDwU5/T0GbDkJuT/f3jYXIyGDHEQthiARCaPsoD
jOx3oyTNp061yJegRN46W1TtKnuGqF9/fJXTde/nZRD5UH+1KUDIJ+veXAR254CCdue2GHdpbB3b
QYEH2untmc3Ww42DIDhTkhISMtX+Awlonx1jT9af148AA8Ew0AHRejl1aIdQTCeH8CnXMqIW/1cD
K66NVQqrZHH2sal6H3/nk0rE6/WYZLi/IvMdveT7O9vp2pRiY5TcKp84QC1G52Vdi/u4sJTNx5d6
fZffrOTiWqyqaIUpcqMpVk7OynUVBXFrJ+ybu4JcjFqNUeIT3qiu5kjqupVWNeOZJNcjti+jvSpD
Wf4xkhdB8EuWaAe2HpHtTqCqLwkKntINAaQdjiJtgGI/dkaHOTOsY68G+NFxMorqL45mVceGHekh
KhzrPCEC+ecC/p91DqzEm8f72zK3emqen76X7bsKID/xz8XNcIQ6l3eVbQ29Rd6m/ykB8kemIaP6
sUFY8QAYkb/WNu0vdOOsbRbrGi+8KLb8Wts01jYgLvjiGUbUCNW/s7a90gf+NRJR2LF0IlynZER1
zGEhfT/qRxBuC/8XQWAH6ijhcdhl6zL152QV3OhwMb14be3e3J4/rHTgx/ilv12UbSyLPUEF/PX+
op1JCEeyGJILsOj7KOByUpxuJEykTnqvga5eWnuX9Z28caIOh06+o1S5yjMifGkwLEe7OstR0HV2
ulEm5CubAJOHZX9TqnM93hP/uNGMEUVXcT5pV5CxnwQtSFELbK/qHYrWYwIwF6h1pnIQC+0nRydF
0G5KwgI0mnWJH47ncz2uU6LwALI3fb5VKtwvWf8cKrLXKvkhlAzCOGUOaeAR5i0wtHW0SHhVi6ty
UTY1qEe7kQ8ZNDaqSMqqDwkJ6XGn1x3WlxbahIp9n9VapkaAf7ztwYi3IRIS268aen26vFajiyQm
ziSS76C2xcVlZVZnsMRXi7z4+vyUE5JYNXBVi8l1sMMZw+im2ZeEW9OaV6gXzsZogBraZK7Vxbcw
+hUDIjf1CekmzyGAYnFFOrBt4nolCzsYMM87msLER5u+Mdq3cY2gZ6R/PfZXvRZtCUul7sHh0OoO
Q2juHThyU2p4NL3JhZi+GnPxiCH0eir0W2mszool8DmYeNpE2hsvB5FMKZgmZX7Sp5lWTF5H1wyP
lNi4ZqfW5kuTKlhmVRPbXr0KSiE+wPwo/sWW4EvPKC6a0OOcuKkJmdWVdm/3maiPrFtgd2gPwACd
9+O1RMnJ4CaPD+lkP6sqM+awg06/6qzHbpaI5y6gNO2N6blbvpMJ/EzcYEfay+NIwzi1to5zDS99
FVebIC2vRk3eBPNjQveVZimhLuq3dtks7UsFfMgkl75XylsrPWbmnsG10uWHpV6D7RV5PCvs2quk
HV1l2PTTA9x3VT7rhwcNZhcQDFB9FW6sZJNK97SNlykAdIr3ytyo1pOlbyHPuXXzNU+Ds3lUVmWs
bbvmuSzPEwIik+BAXpzIgtxDnUe3sGgewb4HKVAVnyP+I07KS2LXuSMKSbgWKXtzU+oEDAY+GWvX
HUIGlYCEUI/2lq1fsvG4rsnbCAt5K2FiZTNMhChSFznXXWnqn7GIo5Wy90PO38mJsMkUJQDhLrf1
I8hpAnZmgmrIelYwdXZsSDPdSzXrWV/yK7YJB2Uxt22pfotKeVepyr4OyOCZywNbrQs9LrwUx+Hc
Lffq3D7Qft2y+l+SkQXghn2nLH8BkybV+Xk05ofUoNtltbGraB0pJBYW3IFiSboOBpE7rxzZUNC4
k821VVRHo5QPBaE1NSpcLLSrcOoBYcRI6eZhjdNZfBplVdnglvK1THAj7Y/z0bHXgSXfkHxFVukx
VOl1kmjVLt+ZM9cmbw973+7bmIHdjswnDiQXiyH7OuIC0jWcqr3WYxOZ8uCNWuFGc/nkTP3Lx3Pp
+3bDz+kbGBanZ+iEsHpOpu9+BiXdazLvxD7e5vt0k+70NSljn21Y3tdBuA66VNmg/gE/j9aUKTZP
bw4nXeP0PSgB6AObbqeEB9LTNsSPuJH3jRg2V/YAwq2KlbTHoxyvP/M1vN/0/rw61hYOc6bG23+q
pQ5JkyBMjnRtM4Q+N10WU7d6vY//2bz8L1FH+ffNy03/9P0p66sfb3cv4kd+Hc2Vv2Q2L2wNHPqE
Px0Bv8wCyl8MOVxFnFYRm4Mu+9f2xfyLfY3OwZ1+PKAl7U0D0/gLrQ+iXzqebH3oUf+d7cvJGYFO
gCoAqSZbKy4Et/39sDSp6zqzRjDOlFOkbdSFsCnI9uMEuiJSpZ+DBJti+KP8w8bl1Xrwr30LDUou
R0OWU5eKXJw+3/vLccwMyjxVO68JdApHfKLOB1Y3Pob53O8hIXG8jO1EQYQWWtH3sp/JBakaDVZu
Cl+edbOeD2ZUVjd4v+8l287vs1w22agnsr8oUK6bvhu/o+opsPM2upuYRWZupFTPdhy4m41F52eN
mpICrUyI70K347yCCXmMjLyqyDZ1CHIa1G415fJunpcJPKIRwISYDateh6TBwbhY5oouWTCk1yM5
v8SGOENy/WYQ/elOvZ8vft4pmtsQ7SCK4iM52eFJQQBZfhF3ysnqx6LJqztzNA3FNyXSt9Tahshv
TgNZhXMhPfJPOhQSPcNrRJCUg7wriWSwEQTnFNYkI5lMTaFLIUf2LkFwwj4xjokshz5C4lcBqt4E
hlWv4oS4mBVkHcVXSlP53g5Dkqz73jH3Y53MO+I2jBoNqLmd5A52ovAf/AhrEpa61hy3CE+pi0Dg
5DdpbfkDke2tskBRABC2rIU6vfrk0PnKRzwZUpSVab8jzCUh4ZTlvCxNVnEOQEE+LfaKzZOJIlYu
dhXn7TMKzzZxY2BuDkbNequM5opeg+h3aj67xlTmuCcbG2mewYm1EI/kVL6X0jzc5C02748fqjjz
n3xUEoNQJlB9tgT7+f3oR5U8gjGC4FsAn6D8bQfbEVsbE7IceehZiPawmmZNoN7wCYhRnJF+vzS3
CSIdJ6nfPEGQ5Wu+bULSOPrDFei2ybOhbntZCBx1ZF+9tfIhWTMuySVZwmCftomKJNwMXZJKy09u
xPvl6HVwO+gHkMah3YD5fbLodmRa0AoJOw8cA8o7KdDcQmmtz4bG+1OSuIyofKK/47RnGfZpAd7I
SSFQyxLBkD7X0LSyahdqpToSZYJYI2AXdC1rgYGQXZLsp14VxPFOl28C1cZs3gKpWtJ0OCq63Z8l
um3CwxoKtjX0pgb346Hx+zzMm4J+hCmRuhSCl/dDI817OQoRkXnE/FbrMDzPaqvdjc2yxY6l/2et
jv9p7hP+3H+/WP/0Cd//93814Y/iR/uP/+37/7i7+z9vl25V/IZfa7f+F25hA0sRNl9ROmcc/1q7
DRRG8LlFw0VYf0Ux/lfpwcaZTnMJGSS1KYrRjO5fpQcYmAhLWGmR7KjYBP9W6eH0LXrVHDFghJkQ
//yp8UoCvQpNV8X0i9YCxPxmZti+uT1/WIb4Fu+mjdNLnFQxsUsrDpaHwJsi/VytBF4FIevg3Hx8
mdPR//MybJFk7gkFmRPHYkfFN+xkqGVBNq5LPT+U5eylhnMvlZ/CrP90LdYDwJw0S7CCn8w9Dlvh
Wl7mwLOH4YycMgoGQklOuFKAX6VI3Vgbzso5JH8i3cf5TGIqgRuhthV31xnnjSyZn3z903VBfH3c
37JiyxRrTVGrens2UBJdyaDx0tmNpGOlZVsoyT7i9jOiL9dqY9+F2fRJs/CzS4qx9eY4oqvhTOcW
n1Iuh18KkoIrOhxT0btFn+A2CVfG5HxCRP3TcH37LcVYe3NJak0iuYNvWWHbTuiHR3q6/Xgc/cmL
SAVOhC1giwMDfDKQEmseSjvseLhBebXIxWNh60RvkoypaudmrpMM25+JsBmnK68oDn52fTFNv13h
xZMUaEuD6jdF8NNXkujqXiWoMPDM4bHSm8uly725zbYUFw52EO/nMN4nhnMcnWxb5/Zd1HafiPR+
6wK/fgTdRKWHGJvWmviIb24zgEc71IYcB1oergGKf1Wb/FChpeU0cYdwHrpZuJJhTGmhtodDQBSq
Gu8BMnm9gk8GyQuQQBq+/Y6hcICzd5bifhlkohGrcWX05dXHz0y8b7/dMlqXZPtBBVZO3co1zDNT
j0oe2WySfZu4mYQrVqUtMjo3UtueIeE8J8T1+ePL/mlmAyqimaI2rCNReH+bCDDmhRsLRmMxPjtN
flWVg9+Y0fHjy7y2k06/HrEHKoZwtl7sd95fRwttJWi6JPAIuyjT6oqwcPwayIurrlzLCeqDQd/X
YbiWU+kgppikjHxk4AfMfYexyK4pg22WhXTWePEmK7w209HPO2PVSexWNTx28oxDheQiqcy2TlVf
YnfwUIQR0JOzJwafoAw+F4cU8FlN49XA8NuXo7CB3xzjOorA919uiWw7lTrL8QrFuY2s/Aoq5hmN
3nOzDbwsMD2awuAGtWG9xN1uMoli7NKnvg19RFX7BK6cVMZfpwkVnM6Oi7bLOF3WDD8Mrq6oLOkB
zE6J0NsgGX2rybeFBfCfRlY0El68JMe5YVw2ZI2kZFcAEWtRKGBz307q4BMh7IVtuClyQdMcfHEn
ZSwkgcrM2vJCtOOzBXt3qo1twx0N+e+RM14YdX0Z5I8YRuhetrtkyg8Uidb9FB3nEeeM4YCCJXwa
h3GCsyc/ONbgk95IvHTyFfuBLy6o55Q9nezQzyG4J/0inDKvM7OvUC/OYCx9HzVp3bbThrxId46S
/TKpewx+qwBBmayp24L4VkNunlTq8XFSXA0xHnEpai6RRJ3bIVpiM9oYY35Wthmn2uBmceonqUL9
S/H7Qh15bXX7PlfiIz6Zy5iwLa+CVDPMFWfkIrtKHH2LQsmXIEX2YXdp29KuT+PvsL9Qii6bMoz9
rBr82FK/xAlP1LTvE7EuGERwzo7fWa7ZJ76xMTRATDZ938AXE0lpvkTcWzHvinsN+INmr09MIAc4
LBkF/0kzvk+hvi3qIKdVPW0tszoqSX4g8NTLF+tGIsU4iyUg3dJB/K5yWDbh0l46KVXWKPDJYDpM
Q7jPx65cWca86SX9NuZ7DGG0FxUE4SkkMOou0Ixz02DgSWTIxsN5F/YuetpD5cAzU51DwjEWlde1
mHUkAndDRTu3s2iDqxHhlrENU/SQfXQci6Gko+gUbjNOz6BQ14k9iL9WCGBZNlsK/plzQ43xDryW
P3W0H0CA9KuRPkdSy5uKEye8W4TT7a5FyCiTZJzBW5C6cV2kCVGPoT+iltRKjErkHVRBt8sGA88+
6sKOG4u5IQ77Y0DX3q6bS5sHV+qzB43UA1YHtIifCRmEFm0CFCLfWiCpOK0opqjNrm/1vXjUUca/
m2ysbOleGrrdqI8+FratHA5uVoebtpTWNCHWQ2SBMMW3A6NzB6vyyOZ4n86LR/Tr6xjA8bhHyvAC
y5HOKx7iaPEsNbwxo8jXM1YXFlZTJXu+xwGd7A2soyG3tRGPJkQF2MRfW0waeo6WgHEy5PnWUIK7
XJ0+maH+NMk7tIhpSEPkoJB2Mj81NbS8TnU8zW4uLZuovGLa9Ib6ybKvnhZrxJoLiEo0FWUqEKfF
3QRGYVXDwcFHmL5EvMUNIYVhVl5lxkyzS9/Hc77tC9Id57L3a6m4SovwQayppMN8iQZGUktkMTrI
LxY+QFTdxC9/GnshtpGnszUWSgKYaM6biGTe3w1S94hID2zHk5TZwNQjZ6vZWb6Nhr5NVMil/F1y
FBii/fOCNBdf5cZKwMWGn4bX/FaOeL1h1EJeN0qI8U42KaqRjZmWmY43j9Ex7sBhF8tzn84k0kLQ
sygKat1ZMdZEQApIKJMFtvSPV+Y/jo03H+HkbkxERuYtIhHP0KYLwqDxcJbVU9Jatx9f50+Dw0JP
Q4cYexxj5GQQDlkdS2qnOR6Nx6+VrJ9jBPQ51m27xXl9R4qBJp81ez3TUK1FD3NzqTvSWmMWcoJm
J5Fx0zjOoWzifd7z2kb9Z7x6sU6fjAzWbwWzotBUwLZ5PzLMELosinTH60H4IqPwgZ+TnyP5SUqT
LRvWwkLdS84dYOIIBJqx+vge/eFMJmrcaN+BRpGBcnKLAJ9rUT3Jjpcrj1Mb+XagfoOe6GfFZ8e/
P5x7LNrlCjoNSusoUt9/U6DfqLCz2vHUZEfyum8mqpcENopvlI2Vzoz8ibUOkcKfbi4vPx0gZiDj
1AWamaSRdzSCPVAOfsrC0RtEuTbhWmx0G4UOukXOrfhDceoUHvJeswnCHNOtGBEIw129NvazNvqz
PqzzRd0SRb41zeywQCyH9L5ru/BhiSe8w/KG9EO/hlCfwKKc+Jl8Gnz64puGopJt5oc8lu6htdzQ
sKWH2V4qc4Kk3jkQPn9uR8a+awY3Dg0KgPG+zYFBNMl1TmXMGoxtbSaPM6cq/Lr3clYfGj60+PmO
VKg5ifyuorvKamML2Knd+yN9UWmKHsRurOd6uAzPjDryq6zbDYRBT0niKn13qc+BP7ALnBd9r2B2
tzlmi7ekd/jzlsQGZkwn07diszSOvdun4UOoSwA4hLM/2YdR+jLY6VbjrKz307F2lqu+IPg0TYa1
WbFFjNudwj5Y7LQsFttuGFjdsq1g8EeydLRBfALN3rDa7fV5+qar3dkSThdi/p4bfR+oj3EdHJcq
89nxnrW4uEiZxurMVoS01oOWhLtsOjej4lHpw00ACaUug3sC/rCZ2AfKEO48GAAm+DOgveAC170T
X4fsPmt2vVaJSbZzDrOlr7Im2o9YfsQ9HLr6Us5DyK6TS49pI34uXtgYsqLKk7EdJu1ccvhrlG7G
On6ZuH9lIoLHbhtis3EMuLrTrzsZhyMLPonxmFLT67SE12s6R/LV/aZj/5QR54k9TWxk9MS5J0VZ
hQisnbfShJXVugs4jwROd2kV88UQD2d6yoKf8EwZa6EzCDr3wTDxZOaXC3DipGHT3T6iB3XrMb8S
NSM7YFtljBul0vZjPuyqGX8pq1CnL14Up9fLHLthOZ4VHE5LI70uOLAmDtQAqeG28cMRfYj9UkU3
ohYixogJ+y5kmhrIXRVjUCyxUGl2s4WfHHWBLueM19F39G5nMrt2AePT1ldqs2waEPri2TRSjy3H
BLAi3RAuu6MV7MLJ2RpTulUadnLjLa/03ceT3e+LH/wvoRgSsEsag9bJ0RNNT9Lz3R1urXQjzgMq
mb8Lu0oxDIpE38ZpeGNZgKv1edMGbAM155Nj6W8TLh+BoiWKcYO6M87K99NgKddyI2uT4wljzFB0
2I91JKnZds479+Ovy0n3dAIUxRh6Wa+dD2xtJ98XNIxUFHRiPN1I9hIkl1U0dw1WoOhoyYunLWzj
cZlcS0bko5jdJLVyX0fTY11HR/IegFNr6j6opMMQjWsOMitpGp9NnXSNKTRdveTIydygJCxN88BO
HXvIIUnj/bBkPRInsc0RN5dDGunDmz42tsrMoQAUs62OGyIuXFHsWrBG0JOZNmYFXWXEvUmnchsE
/Rn9ORLAtHMAQHtDo35kxUfOH8eWVydvxgvHZETNY7CKunG12DWb/1k/L7Ow8GJ0uKDXFkQd4ZfE
XuAfmstFocywjsQJNGOO0lT0F1PBLLjkB70xz8cueii0+FpCOdM1OWFsU+A3tGxw7CVun1vMsYzV
goOjGhwbJbiR4VsUo+QzD79++27mRF1INxKLLS6j6NirIcpIOdvqevcsNdGPeTIhx9ja1iyqK9vs
dwOvr0QpArjFMU1SE65IcFOaBvIQnkBYS4c8Db90GidCTo7FUFQAPgafmYA09nwDmmEf2MVVZ3Co
M1iuIg5rasEZuBzW9Acntw3DY93JMCHWWspa19kHSXVuUq5JyexaCbq1vGSHWtb2GIzObc7TmeT4
4r1ogZVohb6dlNljmO1nDvuaySvKOaM30J9U0b5KUJs14VFMs1Cl7pSRnmcHVbwBF65Xkvf6y51k
G09ZStwDEOaO02ydbTuVRXER3Cj+oEevWtvdjVoZYgnGr6c53y2zC73eNnbwnpE+RbW21VXDXmG4
dUP7BcV0tWqRMq30AIaelEJzmi40e/YMsOytXDylqX0TNz2+xuwahfrW6sqDOHgnTMoLB6lK7p5h
gYN7yaVmlUrLvCcu/Rqyzb2hRsdWtY81k7Pv9DkTlp1fhW1wJ47YkQDKT1AkpKZfK8xo6hS6kpkC
0wh9M2OlLAFxj6MPi9/LS8kvKmsnc06Go/Voxhzj2W//X+7OZrltJMnjr4LYy/RErNQiJZLSYSdC
omXZ1kerTdkd05eNIokm0SIJNQhIpiY2Yi973fuc5zSHve1xb36TfZL9ZYGQUUWIlFS1bYzZHdO2
qEkUsrKy8vOfk8YBcPnoTDCR/vU0buy+I+T/btIBuGuOdfLb/aeLa3o2j+IOkxMAIppwt//654PZ
LeBhNMtlpEiYZzF+l8xGG2znCs0BECE2M5gEWE92rD4lvDVdzBkou39wh3UEM7l423IEqXi/Jjqx
XlWtPo4cHCFqDjSBTzwlUyvuRO3xJ6Yb4CBNslOxT8Z4zfuzmRJJv/m0cUqTeDmG2U1yqUmjL9h5
0ryhURlKodrFPj9r790BV4/Sn+BgJ1HnlgL5HTAVKHJsXP+8sxj37vavz6LxlNrtrPvpYFlo8P9Q
t+OCXCDLeSGS9fJNpGoYW448348gdC7eh3NKw8DEzmtP5NvLOJoxQOJlv7SeUBDqJwMbE/7LPw3i
bJbKCkZRbIANSzbCyD3qFenlriMwUbxVNoTy1u7eNsXEuo+Hoa58kNBJPBsV37f5vt0hngEspv7g
qPHEEoseY8L698u5uf531r1Czh5BV3VlQaNJ4ZMMcKQ8SH8gaHDgAA6Ab4qf+PB9vTggaLBOUtCk
Pr2xS6Rg+YY7Fgv2d6QAbF9QAnIhyR9YIyFoYU46sYBNxjaWKeb5G0o9XVkK9ve26UulL60QEzRr
vaRgz1UKtnYb20RjZDpswQSTBx2692gtJaRUu/1n3KWjADSooSCSIhNxcwkgjlMWABQhGU6aPsg6
6Q/RvXoJQNNZABqdbfxErJDW8pxjjlg8AKCuSWNx3d4dsXTc/6024yK4Cqm5WWpBVEr55TvU3+wB
PEwRTS4gucqpkRIkHerIBA4BvUs0GHGe9Me6CNrtbS5KorWUuRXf1+sQSCLE6SJoHGzLGFVaei1L
iKEh0uPLoJulgOSGR532f6UU7bnmIPtPoTcHnOrs/GOeAbEGpZIJeO+H7+u1/wf5rlg2+jMsYsxB
7rcdImXANuiPxQLAwRg0zWiOpb1YO11IdM31DOwyboAwoyTJyiqw3djm8mvSGMfgbPnkSrdGR2DX
VQNuMf6btiY+okzLL9+CKVrnUTanP7XbeLFZ3XRfe5ti1H2BWSu/OdsuVoFUt9X0zV13XQwfUsPY
PY/ce/TNgMtGUe5y7+un+z2Y/81twA5bJEPx8cv732oDYAjEBzdffuxz/VKjYy/F606S39zbBiyX
cWHSEVV+9w7gjXzABcTyl0/tVF7L9cbbw+DBrNdFwMarN7cB9QEWkWyN/tTO6wPjyHHfue2psWem
Trva5d3H6AePETyLXPKXKrZWoo+T5ib7uP1Y/TR12LKP3m/R98fRzwWgdh6PDFtzenes/d1mg0FI
FKHoD4epfAb2sXiWSLC5ANTO62+7XvpbRHWkKQrPN2eBHf1jjN1uW8M1La//2l1+Mu7NTQxaGPUt
Kuna1hE4wBqkGZZM0NLireHV5+zx7mxz+KVI71Hjh3Jrbr5lgKlGyg/gMced30P/S6KPXuj8Y3n9
rf3tNoBldMQuD0f98h8y2NRN+mECsMP0hlmG/z494cDZ7IANnL997YwfYOQcX57cB8lX2kBArNIf
K+7b2JH8EHFB/tGPqpP4H7jaPzIhkIrUVmH9HFhvT+YHE5Aayd3l5VC7+4+GI0cJwPmjMpNGuMK9
tWyANgJAqyN9TXWN+IAF78gDEGrJ7RDZlqoH/bGYgB4UD4EAeP1OgTTgOylAcnv0zxLyLVn5ZStQ
HGDSXuQGl1ZAbm/USBNIz50TCxq729QxiZlnXYD7++RF0BCUTj5ckDypRu8OWofjy4uPTwaJyYb5
K9o8IO0h3xEYWX5fPytwBe/u2aH/XYwA8FcpdKhUAO0dMuQMhgT0oqZy0HE1BQiE6CkITfKA+mNd
hi0CIvKhGkT/t37h75aAgrrpAQYDU/BDY2zBBNMh5jJETFAFFBHrT/3sYfdSAFL9NM52SIFYL88Z
wEggIlJcFJrbNdKFjZW5N8/WAwfkvxBvxq2YL99paleYYSxLLVk7UxCkJ1fpJ/9N8o/P8rLjZikb
Ap0OoRC4gzuca4DaRcTcWYA1LI2FyH9+wC1DEHsAd1kshbraAz6uQol4kgJcfiwWgAELyAot0dwW
+efpauAJuuKhxLTLkLihLi6NwnlVDepjv1CUVa5+vyyp1FPp6Uo7eABy078q1ab5079Un/7JKD7V
dl/pSymGLf3V+N35yi8vX778rPKPjFetfIfih2+iMFHJYLzQ/5fF8q0u1JSS1sNsniZqEqkyxo50
xHxZ50pF7cOVuY7wRZz8Ek+uA4H0mQ0LesJKQNCkqFqgeMWTZJYUunP946re+8GqXt03s1z2+d+X
911GXX2D+95VM3ARC77Ltkhf5PpdyMtE1m36SRKGM3u/BS7HlfB5+CkaGOMVdCzLlWxPUZIeXHI+
kjBATIPz6Lcs5A4rVqyPvoQMXZ/0YRal4TDopSoN5wU5TV3ySK7UuxDgFAeH0zCJBsa2NlFc644z
i3nSee6qJOr3Q2WwhiyvDELDjH70DZ5K/1WWDsZB5VPIOTKkpkVIHSBYGj92JO726APLt4tx9H8f
hcHIQ/oMCtVbVt5rlP/X0f1HgP1yAApeijRKZ/d6zm5WAt3FTZIZMt7yoVrUveL4MB+8WKFer9Qd
uS74bWJJtcw0dCY6T1Q4KejotfpgLmv9zSAqmD6ua30XJ0OLBZK9ciV7mt0xObSgo1kgtfCuZM/C
vpqZKhofzJ3uD1OLB5LedF3sjzQ+JQUZzQKJg7hS7alsGAWHieqbhltzBzfTmfgisahKpsuV6vIC
lDUHx9MoWbkHxRdzfchP4TwNjtTsuiAlHCcAU/y1skHsSdffn8NpaGjKpnQDuq73Ig4Quj/MA9tm
avnQaycxZIM3IdBK6TzoZf1hhLEfDYwjCdqlD/V8lc36S1vfUP0NpkpJJsCdV4f9LDjP5qqgpA9T
Tt2DeP7l/XHv+P3H41f/FogQhcks6NnngLg+PQ0McGN2lXQ+gJRdLOYxwfqKjou2+/4x7JBwEt2H
BSv1kfWgC5j5margvWUOS+ub66k9ngQ9NbllJI6h2SWr5EoatPo0nKqJIeVSsONK+E08G2aJss+m
O+ELGJyoUWasWJcaui75Ehd1apKVDP56sl/vwKEdmEstMJk7DapjqQH/vd2AqncvBcIMXXAsDdNm
oOzx75c8l5NJbQv4IMavPhIH4wEz9mrFtTHdoHiAS7nhd2oRJ/vFdqx1v4cpjMtXfqJHfTjDNByk
loKibmDluD+T7twy3wi32cfmeRSPsyQ2B2g0duhqcSNKgDAdV0YsdMjNOufPW3BlVFMiIY6M6MVZ
9Zol2b3i2jxvzT/ISTB3jhZawPeb0k1PhxWWx6rv8LxnXOKNjGL7KQw7APRH5s4Qij2QASD2zmZf
ABW4QZ5kMCMzyhJEemL2mSvCExi4yCgIRmx6eNB5OI9v4lRNTd5VqWNLpl7wVudqNE7CfrFs0YjM
L+jIP2B8Uv0nmM4rB+MFD3oIhAUXYToOE3EQjMub4TMknqjmoCJbsAEPWrvFqiqM0XzXqi6I3ycq
luuLp1wbJV79I1wLE2IRpuCtqIHSGz3x7BzOMC0Tw/TZGPHcHJfTStFca8ODNXwUTkZRNi2ET5vv
607AE3lwFM9hrA7KvwmT+3AU30YzgyV6vjL6L11UCPxTnxJOlBWsXL0sn7+BjEUbES83liuzlELH
5b4KZ1OVGNENH2GItwlssJJ0HgTueM4wSJMJgi3nyoTufTgYW2Q98PZ1tJK5EihY19W+VkkcVkVG
pA7TmTiR64HhOcv4cFeqJ1GfZJIVtzzwsHMnIEPN5uGiWKLois0u3WbNdhImhNFMsj74QDbT5O7m
xNPmxXaTGEApQzXo6dOuuwY+NTrHYAJVmAWrX64i3w5WlAPlnR7opmpirlZKUVy58C5MLAHTo9mc
yRJIPVcLMwSshwq5Uj5T6a0lDTLkz5lslI4z2zTRwztcKfcm8a26tpe8zvh84l18FqHX03BG9NVK
Su55UO9n2adw2o+zZFQwV7RPQ3oiXTkCVOgQnhSENF09pcrxtj+PZ8oqemh5OCLnotuNxbY97N4j
bgpojcWjXq6CCBXcKVNX+LiaLyU/MiyWp7fNR6LiksBGNlJm7tdHEcz7mFvOPHj0mBbrfzl75USH
NmEfNWA9rTWTaGZU7tBB7GHNN1blAl6wB6q3CocuMWSiKQMDXFVE7y4cmpeHHqLmTjZK7/PgQLFG
EWPaE4u/vlwqPlxLcYhhXBK48UA3r4RimvtoGJtuoyDouLLkI8bVALljxryhMZjz504cjcwFFY4S
U6B9eDW9MLGT+R0P3Kb8MgziXzBejOw14xV8VHjkMdxzNQiHtqfXkMYPd44zHim+NbgN+AbzFD0Y
tp//Q9R/lWvW2QO5UQrXG8xQ32kC6bHxcV8vtCZ5iG8xsDailNEwUzzcGoezEXd+IZWiKjdu7GaH
7ihO53fkKstkGz7ocicbh7bp4TwdZUk2G0blte56INsdK+PS9HFRvA9vsv4kGoj6IgQedAFaNjQB
k9Wdr4tX4TQeUIzEYzY/z4MEdqm6T2Kzem1tvuWJzlM3nsZJPC8YIqItnV2ut+lDYbFOf84eeFRQ
1s/x4J111U0YfAyToWFvSFOV6xu8+jXC60sNiRdEVle6x6PFTVqQETa0PSz2+DfqP5gTRSk3cy5m
oaFTBO7eedVJlCYmWR9WxnE6juIbU13LHCXX5V5x7E/U1DKMpKnelfKJ6puHcHMTyuab4GRsXQOb
7YYnEF0RBKru3RnQ/fzfaRgM//D2No4S49SB7uRO/jScLQzprShCyL5klZ+o5c6ivm0VNHw4DWfk
kNOxcblgZLpzgfVaXBC0UVfZPadzZ6Tm1F0VtET/NHxcI8Q44zQ1xcGL40RJ252hgxuCw+/OiYlF
1IMSPuciHdhxNw9H4lxlaF87gtPwcRmdx/eiJeldKniqJaLtQdguIgxxg6oPxa6pmvdFo9MqHvPy
oEV+a24xm2qusoKc5sVqec7z1c97zHyzaa4pk7lcpbgXLgbjcDKxGsN2POzesmBppXiNHiof6yYU
YsY5mz4yQz3px1PBWRhb4SeBWnVmNkFUq9216aPfp5dZLTSU5Liv9io2XZ6mQDY7s+Dz3+KAaUGf
/67LKy6Tz/81G0RmgV9Tps+6PoimgMiqASOY4oGumt3bepRpFO6EP4xWDriPZBxO9zXFK8FrNTds
jKaPxBZ93JFlIDe9VLkT1KCENyq4KlqUgYTFX1+uo39eMeibPhJQP0fTvurfGTdg00cLV65DV8+3
j8zWUZQEV1hGRrKIQk93Lh/2F6GxdwwqIJ7JkDZqPGlhoeZg44H5ekFNXQX9DUY1K0u+W5sbzL/e
TjB1+pvEvfhlhLNOP5yZF/Fw6R2SkOur6FeTsAfb9jChBdG0mT14O3RLjiZqGM7Hhc7Rit4DI84X
SqoVDbI+FjzO7E3zYFIcERY39aWMyXU1gIj29uOhuWc+DIpeEgVntLkaERYfgRDwCsxEhg8Lhd6z
UXAq/9M7fF8wVTtlPryntxRLz0LLzGzIrEfX3YOyuXXAnLlTfaduTNXAiDB3qqeLZLS4t9UZ9707
6TzJexpbcWPGWrnTzm2rCtoejvQpiBHX41WWeDjXZ8pMtZAnducFaXQVrxwRGVjhKsiULZD3tGTZ
h49AKdkwujXjFuDielgx8cKFfaZ9ZFguwhszYtHoeNi6S1pgKZOtqiVo7Huhf71iqjCDwZ3Pl4Cm
RTc3pJrmBTF9/a/tYXpisL5HhY+6QW0YlBsepONqrCK7dK/Z9HCur9Sv0SqncZyKV3i513ulIqKH
BZ3cxvKxYkILYhbaaq7pQyN9uO+HFezwUTP7MQpT2rsNfvhQdT+AcBHfBm9T6hxugu+DY9KpcZot
T2b5cUynFTB0V926fOBpNlPzMd7890Hxx6jqocyO8GBD9G4oWZgsqvQNuOQ+bJ/zaDikcuxYzdOC
RyKzObrV40xDizypO3TJtd44uqZ1cwbXHv5YARjI6LyOj/Ae15VaKDYoiSb/++9/nV/L306SBfk0
VvCGlPBUFbtm6EM6h9u7PhKCVxFlGlukG80cG8hmjMzwIRghTsF1Ie7z719FKl7gL0XBj5T9KCP6
CEA1s4s9PPRVfD2MYeCVusaNjEzMBmbl7AGMUAjRyxXoqcqiJDJ63xhossMoKg+24qXamkRbA9rK
tubzrFhs7qPoZ3iIyFENPaqg7EEHnambdGyZNTlrNl5cXy+w9IAd6BrmK7+CiBeYrOUfHUsXRoF0
YTyr+Kb44Tpky8Mk6xvetgezHACICOAUnYQ5UkmfDFJZPjx4hdQ7ZtHErHj0YYDJaoG/MXSkj2pf
qfcBlRDYF4O0Dwe5qxZ0T1TdmD7Mma4lHT6KG17FU9IvJpqnD+OhoFtdzefDewMG1kaX9dFYAzjS
EHDWzMxU+kjsvwGn0EiWaGR4V9PwHXJs7Z8GXXele64SSczZ1R4+6j2lwWEu2XfD6mv4QNC7pPk3
jQWQy7BC9Bh2V47kOL6nUQrOndT0X4S3kalBfJj6+VPOsoEZSWl60Xx0SUVDNdTLv4r7wLQYd4EP
sIMrfMWcP13kMp5XKUPmNxbPfbmpljPqY0RvOvDKsiFSv51rhZVQg4+KuCMKq6L5OPgYJaOoUskD
3ef+Xh96a5/g4cI+ouXTKsdkwrz7yrug8RBdLAjp8IMP07+nTKuo2fFgjBM4SoPjjJBGGmXmMfZR
I5ZLJyZMOv7890k4XZS5omfCOKsjeYFzxRPMnj+y7z5imPkL5LdA8N1rjQHxx/JLyFgyDw7L5/8k
AjAMAScNLtStms9DnLz8T2qpO4LvXkXzm0ygzRX5geBD73DrzeHbq7fGeoDKbB/wbwtkPIaCNfc3
FxdVWfBr7HqPiP8M9l2Bwyo8hK7MmFj6GFRuf5GTDXMfym+z2UUp//Zx2Xvx+JY5YJnre63hwdea
Z5GMZFfMJKaPgNgRCRQLqMFHB+VRou7N6h8fFX4ip0bY3UfsqhtPYrsVw0fI9niAXW9Cqcqc0i+H
62UDSF7jhDBRgIpgqynDR93WazW5frR71IMFdZJRPGFEA/TwXlee9Ih8EnU3RKPhA4hIEmCEMoyr
VM/ZdF3xZZiY4TgffTofksxebNPHCflIb/g980OMjdMDF9ezoUrh/06XXQXC5Dd4KeRjUYD0VtPY
2Bwf5epHoE/ZoTsPzkZP1G1c6cz4qOo4irPbMF2acYW2Fb/AR/FpNxb38rvTEGTv2eiPVY6mD7dP
V6YIVDu2sGj5quf4AOLpxnExyMpwR3yg8bxTCbGKin3wUbr8Ovo1Ku+tj1qH1yCZyPSGYpiRRpeI
BslqEdbauUBPTBQub3GgehYrRV5r5xo9kf4ROaukgvv7uwXfXh4GWa5d1ziJlEog5AH0Wer3hoY0
yVjq9ffEU5pFzZz6KmBw9uymyzchiDhLFul3OB+8IkwxKX5mvARAr+5v8Sa+KxlXBb08G+chXVZE
i3R93yzQwMvBFVHPiGIB04TxAVX0Lh6DaYYmP0zjiVHo3/BRsyJAOpLZeB+Gvxis8uFInJJy7ROG
MQl7OBvdcULNCnmeirPX8AGVeqkm0wVdZKtM9zFwLe/ltKJTDR/dMRfhHVPQJhWAOj5Qhi4iq0XU
R/f/RzUDtsA0033EAS9omDWp+rhRhME/h1SCWNBvPjT+ZZQOiN9WGm0Anhen6OVXyqW6IWEsr7CK
D9HwUwgxsRtnPSh07LM5BQrVBZKr8w6ef0flIdE34YTE4z8Hh3MSD/MIlStX7pVoGhQkRT7dbDY2
7H9w6N035Sq+xuczJLXpw0S/omzXXK2PkuurDJA7a7EeJPMnthc7Vhj+Okuphiv4qnMNPvLhP2Gq
VdwWTR9W+Ipj2PRRskQRHbiVyzUbZhJdVV7aNaR4V9KqhcYpM71FFqDTYUgAo6epYdprbcbM/IqB
iIrZEK6BiPLbbI6658a1jvAfL4PuxQLWFQadhDE5R0PafVR8v8/mVvk787OL3X35/XH1+X9oRV6E
BSV9ODebW2VOfmFO1U99zxuqmq5RbMu3k42pGuZRs7fcsNnLorvBBGfxT/8HAAD//w==</cx:binary>
              </cx:geoCache>
            </cx:geography>
          </cx:layoutPr>
          <cx:valueColors>
            <cx:minColor>
              <a:srgbClr val="E6F2FA"/>
            </cx:minColor>
            <cx:maxColor>
              <a:srgbClr val="057CCD"/>
            </cx:maxColor>
          </cx:valueColors>
        </cx:series>
      </cx:plotAreaRegion>
    </cx:plotArea>
    <cx:legend pos="b" align="ctr" overlay="0">
      <cx:txPr>
        <a:bodyPr spcFirstLastPara="1" vertOverflow="ellipsis" horzOverflow="overflow" wrap="square" lIns="0" tIns="0" rIns="0" bIns="0" anchor="ctr" anchorCtr="1"/>
        <a:lstStyle/>
        <a:p>
          <a:pPr algn="ctr" rtl="0">
            <a:defRPr sz="1200" b="1">
              <a:latin typeface="Montserrat" pitchFamily="2" charset="0"/>
              <a:ea typeface="Montserrat" pitchFamily="2" charset="0"/>
              <a:cs typeface="Montserrat" pitchFamily="2" charset="0"/>
            </a:defRPr>
          </a:pPr>
          <a:endParaRPr lang="en-US" sz="1200" b="1" i="0" u="none" strike="noStrike" baseline="0">
            <a:solidFill>
              <a:sysClr val="windowText" lastClr="000000">
                <a:lumMod val="65000"/>
                <a:lumOff val="35000"/>
              </a:sysClr>
            </a:solidFill>
            <a:latin typeface="Montserrat" pitchFamily="2" charset="0"/>
          </a:endParaRPr>
        </a:p>
      </cx:txPr>
    </cx:legend>
  </cx:chart>
  <cx:spPr>
    <a:solidFill>
      <a:schemeClr val="bg1"/>
    </a:solid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_xlchart.v5.7</cx:f>
        <cx:nf>_xlchart.v5.4</cx:nf>
      </cx:numDim>
    </cx:data>
  </cx:chartData>
  <cx:chart>
    <cx:plotArea>
      <cx:plotAreaRegion>
        <cx:plotSurface>
          <cx:spPr>
            <a:solidFill>
              <a:schemeClr val="bg1"/>
            </a:solidFill>
            <a:ln>
              <a:solidFill>
                <a:schemeClr val="bg1">
                  <a:alpha val="99000"/>
                </a:schemeClr>
              </a:solidFill>
            </a:ln>
          </cx:spPr>
        </cx:plotSurface>
        <cx:series layoutId="regionMap" uniqueId="{B0A26ACB-5816-4C08-8219-38D466E2181E}" formatIdx="0">
          <cx:tx>
            <cx:txData>
              <cx:f/>
              <cx:v>Rate (%)</cx:v>
            </cx:txData>
          </cx:tx>
          <cx:spPr>
            <a:ln w="19050"/>
          </cx:spPr>
          <cx:dataPt idx="18">
            <cx:spPr>
              <a:solidFill>
                <a:sysClr val="window" lastClr="FFFFFF"/>
              </a:solidFill>
            </cx:spPr>
          </cx:dataPt>
          <cx:dataPt idx="19">
            <cx:spPr>
              <a:solidFill>
                <a:sysClr val="window" lastClr="FFFFFF"/>
              </a:solidFill>
            </cx:spPr>
          </cx:dataPt>
          <cx:dataPt idx="28">
            <cx:spPr>
              <a:solidFill>
                <a:sysClr val="window" lastClr="FFFFFF"/>
              </a:solidFill>
            </cx:spPr>
          </cx:dataPt>
          <cx:dataPt idx="30">
            <cx:spPr>
              <a:solidFill>
                <a:sysClr val="window" lastClr="FFFFFF"/>
              </a:solidFill>
            </cx:spPr>
          </cx:dataPt>
          <cx:dataPt idx="31">
            <cx:spPr>
              <a:solidFill>
                <a:sysClr val="window" lastClr="FFFFFF"/>
              </a:solidFill>
            </cx:spPr>
          </cx:dataPt>
          <cx:dataPt idx="41">
            <cx:spPr>
              <a:solidFill>
                <a:sysClr val="window" lastClr="FFFFFF"/>
              </a:solidFill>
            </cx:spPr>
          </cx:dataPt>
          <cx:dataId val="0"/>
          <cx:layoutPr>
            <cx:regionLabelLayout val="none"/>
            <cx:geography projectionType="miller" viewedRegionType="dataOnly" cultureLanguage="es-ES" cultureRegion="PE" attribution="Con tecnología de Bing">
              <cx:geoCache provider="{E9337A44-BEBE-4D9F-B70C-5C5E7DAFC167}">
                <cx:binary>7H3JcuNGuu6rKGpx4tyIAxmJBJCJvu0TYXCAhhpUo93eIFQqGfM8423Oshe9uruz9YvdD6Iok0mI
EG12qBaSo9vdBME/85+n/PPvN+3fbsLb6/ykjcK4+NtN++MrtyzTv/3wQ3Hj3kbXxWnk3eRJkfxW
nt4k0Q/Jb795N7c/fMuvGy92flBkov5w417n5W376r//jl9zbpPXyc116SXx++o27z7cFlVYFnue
jT46uUmquBxed/BLP776KXdu49KLr1+dDP8uu09devvjq61vvTr5QfytHbgnIZZWVt/wrkTVU8PQ
VYMT2bj7Y69OwiR21s91PNeZwjWiy3d/dA387XWEH3jSmu5WdP3tW35bFCf3/956dWsLW0+8Ipmt
sDBLhgX/9OFuhz9sY/m//y58gD0Ln2wQQkTQ1CORDuZ1/vX6W1KsMfHXyUDoKdFkmdIVjmWZbFNB
M041RZOpItMVlYw17BUVnrKicSL88aZAgz8eiCQwze+ABEno1d4xBYGwU1nTuW5o94IAFIuCYBBF
0RUB9dMreQTz6xdFxK8/38H7u+fH++KmAufnaxT8dc6XyCmlBtN1g9/zvsD6zDilOh4birL6Ap6v
tN+K9Z+wonH8P7wo4P/hcxH/i9nz439WfT0i0yv0VCaUUPURtcPlU04Vzh6Mg76N+6nVjCN+9ZaA
9dWHIspnn78DlLteeLve9xEYnpJTphNKmcIedPmmomGQCMIZI1TE9tRCHkH36jUR36tPdxD++vkR
bubXvRceEeNEho4Z/mTo7k1Ua/R0pVTYvXMj6vb8uti/knGUYwd37wk4X38sIt388PxInyeRF3s3
1/HJh9u0+hp6N8cjADFOZYOpsqIJziUDYWSFy1S+10CCbsdSfv/fYS3XJw/r26v+xsnxyM8I1Hnk
WyKx5t+BFZ4lYRJ9Pab7o4JChkF0A+79poQw5dSQOYeJuDfPok56wkrGifLHHgQ6/PFARP3su0B9
UV6ffABLHk8+jFODcQMh2NogAMmbRODqKTE0oikQlbs/QU3Nkqes6TEy/PHuDiH+eLRDiu9AZX2E
sprlXlH+/v++Xocn3clb77a+PWZUxk6JyjnCgj9cz0266MqpxjXGEB6P0uVPLHCcSI/+kECxR78n
ku/y7fNbHKu6LpFcCY8oSEQ7RfxmyLqubkuQAUOjMZnJBln5XHwtvasg4klrGafNxqsCNTaeiPi3
Pn0P+O+uj5lKUk+5SoBhfR0/C8Ze46e6SnRurJMcMDWbgZxVTa3nMQKs3tvB/urjHdT/4/lR/4ir
cayk3ou/JWRe7xhnPCk7+khM+J0l8bcKPv2aYf96FEggLYpCYVlgyzdtCtdPNYMZyAXiP8MfpGhT
Sp6ylHE5+eNNQVL+eCDKytl3YCbe3LbeTbJGwl/HPHIeBqWaQfh9KhWmYJMARIZVhxYb/llDXRmJ
N7//c2op45h/eFFA/MPnIt7f/PL8Ours2it//9caA38d71BKZMC4thMEKne22aD83nBoa6ArtE8v
ZBzr6/cEpK8/FnF+9h2Y5CsY5Oj3/1nv/68jnZ9qxGCIu+8zTYbA7EjwIbrTNBXIv/sTcP+EBY0j
/+FFAfsPn4vov/rp+Vn+y21821e3x/RI+SlqOZyRdXXNEJwiXT8dniEHe08hwTF90pLGSbDxqkCE
jSciGb4snp8MdzxyxKjgRQjuC9B3fCK6QaKvc3WbV8dTQJJ+ipIabClf1xiEyIxpp7KKKFrRtZUE
4Pmmv4Pl/P6/64/GFOI489+/JjD+/aci0199F0yfXzvVdbdvqweW9uHpUAK0UkRld39k29NBQDYk
/IB9wdG5up5eyyNof3hTxPzDgx3kfwfx2CI8+Xgd1setbKKmz6gylC4Fnc85ZAJGWSf3LC+4+E9c
zTgFtl4WiLD1TKTDxy/Pr/nPi/C6OPlU5Tf4V3cyu4bnf8SgS0HlTSFM1VVRCZFTTVMYl4cmjOFP
UEIHr2ucNo/8jEClR74l0uvT7Pnp9fn04+nJFy93vPhkWHb87YjUIvyUKgwNF/raN9pWX0NnEvQX
0Thy53d/a925ihtWePzy+7+Grqnb4uQ/F4uTz5//z/pLT7clj/7QKOFGAIqk+3L+/KT7CQ1ksDcn
/3Edpf/3ZGj2qb4d0ecaumkga2imuZcowfboBPkPSmSV31de8XzT7K+X1z1laePSNvITAsFGviGS
6ifr+Um1zG/jG/fEqrwj52uHJBPnCvyzuz8hNtRQ+hv+dHIvX4KZQnp7yLCeLPPr+Oa22Ms84xTa
/QWBQLtfEOljLZ+fPp/zCpJ0TM+NKqecaZqGsHBb52n6qYx2Uw0F8zvaDPH8ptg8YSnjpHh4UaDA
w+ci4j9/B26beYvWgNs1BsYU+mEeM5QWMThVCR13mOG4ob4xuHTjjtv0esaRv35PwP36YxH15q/P
z/Mfqxx9yNERkY8aNxCPHpG1NUdQspmXHVgfTVGokd+X8Iw14Vfm/n5F6w/HuGEc+w8vCuh/+FzE
/8fvoPb9U37URkAy5LzRcLYuZIv9xzpaFGAHVG0dxYvmemo546i/34WA+PtPRbT/9PPzsz1Ck6C4
95lW0cnx/d6XKOXI1bu3aNa5S2js0w0HWgoYaFWlGtXXmfVtZcWR1aJDz86GMtu0009a0rjMbLwq
yM3GE1F23n4HEcfsuovQsXP8OBEN4gpRNULuK6ZCqMHJqaIYChrY7n0mbc0Hm3EipBmVl3j96Onm
YxUdPrwu0ER4KtLl8jvwoiyEF9dHjf0UVPp0mTKurJxUWOpNS47YTzfQ8amsW/6FdjYLAcXEgsZF
4+FFgQgPn4vot+bPb1Le4NwYOm+z6oi+FLoLdAIvVjHA61uol2HHFRmZrrViWjP8ShbuF7O/uXEc
+RuvCujfeCIS4M375yfAUBD21mgYk/sDTcNLnXvn/ONOjQmHIstk6KI9YmMH8oVI7lKu46Dc3Z9g
B1BqhYOrDOddHp5v2uSrpy1qnPu3Xhb4f+uZKAFX30Ew8fHai8sh0Va6v/8zvI26I0oDO+U4P6pz
bZ1lEhQSHClFQzit34fcSHhsEmXoaB0WNrSZ//7P9bMxKR2ni/i+QBrxsUgd8zs4DvOxPD259Mpy
HXe8va29Y6bZX5qc/41HhZHB/HYdVukxjbt+qmgK8raCJKGGheOrHDpupd5Er+opKxkXoo1NCPKz
8UQUHevq+U37JySpvG/X305QmTr5lHy9do5pb+RTlBLhybJH7A1BbxXyJUwRyusPq+qesKZxioz8
hECZkW+IFPr06fkpdHEdoch7vU+xH+h+wQtA8IG/+xytEHwwBi8ABUVQZhWcCKXeJyxonCQPLwqE
ePhcRP/Fm+dH/5Bi7o+pm14y6Bj0cccgU31WYlXZzNFv+z8xhOGYxp2fqgq4XV1Lg1DjQw1dp2hP
lFFVuvtDvLjpfv3JRY5LyN4fE6Rm73dFSfryHRRpBy/tdXVzzDOZaCCCb4wSufqIgUEwD9uD6Qj3
FRGhQAvnFkcVsajf/7VXwY5Ta/ttgTzbD0V6vJ49v2Yb6PHFQ2Eakc2qx2GV5/LQCrLm8bEw4kBr
gwPkSLIwddcZg0ApTFMfJQ1WNyzuFn1OQ9PTKkeFmtre1T1Kqj2/tku6PV8WSfnlOyDlShc8ZFhX
+ukItHvJGz82qepJBuyTe4vQ3IUDt5dlDxMoRT1ljOqaasAv28xcsqGTHk4dqvMrSyUou9eQoSes
ZlyAtl4W5GXrmSge5sfn13RDDHYbJi8x5nrk2s7or3/vMDD4bV7hQqf+29ogX1y4NWn/rZScPGpw
mCp7OfrwxEjooTx3NMv+UoBcTZx8kh0fcuB/xhc9TBoQzLx4ypji+W/VYOsBU8cSJOllctauiywW
Mx/6BI+F9ZdOyEPOK4408R+LEC+HGP4YXjxqSg6wMg+zDo5FnJc5Dk/LM2+n6o6F/ZfcpJjfP0AW
RmpzR6PLS1HykajjAPogo/Lkk02HecEYs/hy5mqYhf+Xzcmqa/KoleOXpsm7awpGSbPj9D65L+sw
AYHL9dIvtn23waG3E2wlrI9lV17y8ps3eTxJRMQS9hPOnx8oKy8H5Pd27j1+AQiSMCsZm1+X14u7
q1Q2pGz/00devW+bGC1LroTw/NuPrzS0gj3czzIA3+q22Bynv/727XVR4poWhqQAhrnomJEmc9wC
QlBwbm7vHmE6MA4aKUNPoIzB8oyg4ylO0Mv74yvESArThwPeRMHnmDj/6qRIquERxrHh5LeqGDjC
JKPeRh9urrlKws65S1StcHT//0/iKrpK0Chc/PgKtbl09a27ZWoyfokPpTli4Mw/HU4PpjfXH3A5
Dr5M/ivJyjIoyrK2ioJ3y5wSZ+65Sj/fQMYIFPSi7EAxqKJS/JeMfaKXZRNKKiUsbfSwtqS0pmab
JcFMIa4/9yRqLP4aKKB0E5TvG43MSFRbuDnnRiuJMbe5rc6cPJAv9kMafklAnUYx/whFTaYZKG5u
Q+K8CdVQUSorSSRnThJNeh3VTZGZQemmVm0YqRUVcrHElJ/iH42RU7R6PHDYCFJHSKfhoMiAVUYU
Qx6QvkE6ouS2EUpNZemVopuyZPgms2lyOOk0FcM8cCQOk56YLkApUrcgdpBVFkkl6ZL21DlXu4zN
KUnCCVBjG9oEBYnb2lATcamX48oKCsqXvl+5C9s1qHkw2jCXBMyoUx3dVUzgxZhWqcOZXVqKbBvv
QrVkHxVDj1fdFIfIFZDFFBVTmgxZGYR+cy8VazwvTNXSSnmpXnZJa7/vjKKdgDKsVWBBHUOsMZhR
YXcF9m0oSanwJmmU0nKUOD/PiFqaaSbz87AM2YVjcDarmGvMI092JiCP0EpHi5OOkcGyil0KekP2
JRaVcVlaVdVVMylR00Xj6d3Bwox5qgpU59D2CR4UOIL1cuJlkZJasU1w2VSbSa9J6+kzkvX5auL8
owQb+HgblTieDmWosqHrziDQt5sEsw2tk4u0Ta2MROyiVyp2HiV6/jZjWnx+KAcyg6H5C/ZAVTXG
BZGqa6lK01xKrAja3TRwuP6NlzjB2X4oYxvahCLgroxrV+0jL7UYldk8LvJolkiKv5R6RTqYGbY3
JOCOZm2nllEIUGVBzxI10C5bJ5pC2+iGyDDSneFGIajebQp5kd9FmeMASu90Z5qrNKYhad7clyNv
QhNNgRJwp1c0S5PeSKzUj7jl2hUz3UYi86Koy4PVEXC3sSsBd7XtlnbhgBnsjvFz5mi9pXvK7X5e
GNYrMjfuKcB8dZy0hbAKpgqDLu3Olnli+YWWW04ZaWeeXEZLj0c30IbhBOvtKgfsCc6EohNdHVTt
NqVcR+r9krPECpknLaXSjWeBxIIJIu1CweRTjD/F5QqaivnlAj9ktcTiKGKxFbjll6qtg0VqqM1y
P+Z2OIES3J+nU5yDghziyoDtrSSlr3h2KYdWyet6phO3/EbdMlvaaa5Hh7LCHSxcJoF5ZhzIE2xG
z9LA9yhgZW6o/GI7dm0WatcGE2DuVNkWNwCOIgNjcDzRQzz0a22qugRn3yM3LkNL5oH7VtIN73Xc
Fc2iCbTodZ/H1Tuiu+0biTbZ6ywMlHeBwbWfqyru/RmReGIW1O3fsEpy4XC0/iUsQPExpl16uR/3
O1w7rBNtmDA0oLLB6PY6baXyNHTwhBaG+Bi/5qWtvSV6klmSo7K57Nf6oWoM5/6HcZdACoQENN+G
pypeHRcOCy2FSF86uaHzUGbtoVwLILgiahhTrWIOARNEMehjWwvkLLQCO8yXLMrqha3V1QTqlOFn
BBoPJhMtyGSY5jUcOdqkcZhVVJYqKbAKkOk6DV3azXWJxooZqzw108JP61na5PIs7qP2F0pdw8o0
Xf4E06SYrlKkHzlxlNcNfL3XEQUizEyqm8CM6qJfEF1Jlk2akMSU2zp9v5/uO4JNFdyXojGi6jhr
jonf22tXaNcnsIqBFYQdN6OqTM5yqeMTkr3jOwEKhjwaqg7fGR68IAWSY8gVz6rAsvPU/keX+mSW
NJ2z7Grdu8zrPH9tN90t693y4/7tkV2dMsyPxyEW0AZTPEU+oymLJa6XvsVc12/NtvXpR63vtOsk
zTtv1lSM1SbXafu+8+UgmWdplwWztAic/nXKDYidXRbGr0HLs18dV+/aWaAVsuNO6Ild8UNsAf9O
xdwkmChxmZUWkaZ1vMDq9ZDOm9D/VXNjasZl1M26nlYT4HbCKdADAwHl4U4pojPR1wsNJzFyufet
oLLpjBtJ8Bo6qjCDxI8kUy8929KDVP3VlzzynktMPtRoAT64QTPQwSrrZOgL35QYV8n9rnAr32pt
PVmUbqnPFBVMOEH84We2BRNcpzIGd5Zx0F6IT2Mv0RsvD30r8/M8NkOZdKZeR+2HomjVC+bl9KLr
iPu5d117lvSOet5kta3O67hszzFMwzh82xR4l5GIGI5WcUEMvKQnJEl1zyoiOYAESA0u7qmmeGlE
pO8ucdOQsEC8IPJS3ndtX4WaZ1Wu1C4cJUoXxK/8CRaagjKI/GZE7NldlcJmWE3HokUAo24qcSBN
KI4x+YX4ciRMFMxiwJG1bTB2oma86lTX6uroHY9l+tH1nDwyNVfLQtNlWVXM0qxTdTOVdO9TmMjV
TE2UxF1yX5fPPUNPYvxPQ/mmQLJ+S1vm8fl+NhvDhIbTJ0PySKWqKiyxTDyJODZ3Lb9qurOo5/2V
GlJ/sR/KiCKjmC0FVlYxgxXqehsRQdYTx/d6z/KCqLnQjCwzJQNRO9z3eoK0g+0VxcZQOCauy5g9
ouxIZxMWSsBL10KK5bfWZ+8KT/XNsGSf09Re+lz5un9rZAhgtwFSBVoPM5hxKFHFjR/be3M5qfu8
jV1LKrPAiiqvc0zPdsp5hjj+HSF9Y0m5Xl62vpyYvebEyzSh7hVIqf28fym7ehjXH0JwFFmnKjrs
Bbck6Wnp+rXnWgoc3iUzouBMI1VntZ7hvNarTJ3QCLtU3YYnSpGSyJ0RAF5ah/0nnftk7vK2NKmn
RxOgprYmKEOiFrWc2QAld3Gw1JOUfvOCoJ2pst6auqHQCdHdtTGIRgYHD1MNNHh5w9Y3FIQPh6c0
5MS1qGuTsyyQ1dD0mOe4M7uryRspzoNZw9J4btsl/0fo2+S3/bQcYytgF1eTwdZwXaPCjl0aSFlB
wMdOpmTv86ZKvjBkuWeVbdPLBlhfZCwKrbBTgwvDyexFxV0jMNP6fP9CxohMZY7rSu+SVCIm3DZh
hhPmrtU2RDJziN2sqqvcdPRQntBFo6BUpA/lIVuKM2/bSLfbOidO4rhWnmvBrO+8wAy6js9CJe0m
tMQYP+FmHhX+FeQFxnAbVJn4La9C5liZ7LoX1G2bRZRr9sLvPMns3NCf4KddNQvvFJEUZhlDNXHR
hwzqXDIyjzpW0LvJZZzX5DeZxfFEampX9wEKfAakmqH4YKm3d5W1floWmexYcmLXP6ehpJiVQ8lS
YbU7axGczdPcn8r7jm6NI/LFjI/BTRa0gIOEI/zN2LFCKqcf+6Rq3ruENhMK4C4PKqjZ4cw3TLGK
gcLITmzvTZJ424aS71h9qEbvgz7obhyohYvOp/ZbpcnYRdExd6HGSor0lR/P6pi1V5glE5ksifsJ
/hmGtIpaH1MYVFWBfGoqUwVd62Y9FIgfAdXUSN4F8OC+xG4vwYIW2czwA/pB5rGWm1pHs9vEJ3Qh
R516Fti+/yZVHOecxoE7ZfvGSIE4HfE60VFCElOTkUwayZMyx8pTg97KclzPIr1uwqnN78aMFNKp
DSNScWUlYG3TomtoV+il61gVSlNfEyU1FmGep5dG1GuXaaUn552Ru+eGU0iLNErT933btVOe4l0u
aocjuII7nlAtY7IiRP3gBaOymSQtaef3v8RNrs78JK7mpRsWs6wqOfLARjAve99/23ssNiPPSH7Z
rx1HMI68A0ahUQPVMVUTJK5mUFmpyqVlJLPgvYR7JhfcCPIJ5h/RVqjiQbWiIIZYUBNcDIgdc/W4
kZZOX36RyrZ447nRMs60FvrLmIg6x4BRgsCcyjCBlAkJe+qltA/qUlq2flAtEZeyBey7dqWFMb+E
1g8+HI5ClD6QM2M4BA3ltc1MruFzrQorbI4a/bwhQTOTPBasJis8mrUfIxR0I2gEHA5GdRtKFTdw
nKpcWrIqCc1U9+EL2u1UzmZYq8CSmBiJIizmB+tQh4JgOGGXV2WPQMIve/VNmTblZVZ2hlUXifqV
0cY+KzivLTu12YSBGVH9W5AFqqHG4vZ5hv3VueZfOR2PFkYxaB3ZKWZVkjWXeVJ4hyN1qChhGpdK
Ef6L2/V8WhY+ctJL4katJdfQ+r7UFNZ+BhlxC8CMBhKRdLjBwRC43wt00mh5ayxJpIezNu+dmZYY
ipl4xJ8dDgp2jMDMyCh0G4JbUNs5CRs3N5auW/PPzG2NC5/6xWsuu918P6ihZC/yCnzLYXg+1DUC
FsGCKGUi530eGks9p+2y1RM3WhDbT8zYa+UbSpp42fuy9033edjPWq12bhK1Im+VXg4spgf1vIPh
vSoqKjkm6VlOzBTacFbUffrGjTU+76qqWQ2/elSM7pIrAofDGyXDdWMI5zCSc1uOZEQ2NrM9Y6kF
YfpWDZvCtnpCc+6ZPKqiCAxQuZ2JvGb3wQt7tTYN2fVuAikJPiiBZl+5HVM8syRyn5sh6J6auprQ
eNY1TuVc7cfxCOfgXuthqDFuaeEoNGwvtkoCxzdQ5lxWcp5Xc6ZInQvnIDHe2jzSF38CGOqCSIIN
VQZNkP0sMCpdIhVfSnVMFkZqeGbXSOGC5flUYn50XxugBGGXG8PR87LlS1547TsYpuJcUdrmTdb2
9gTBp0AJwtfVjW2zpORLN+DFpzjI5TOGks3rzK0acz8CR1Q07qmTgTzoaDgOw/ONmEtC2qduu5wv
S63sZ5LL+4XRsCnPbRwKgysOi2OgL2IbSgjwnZ+DTMjhV6YRF5KZunE0oUjGhBvXXqDkBMXFcVnx
NpSAa73chhlf0jrLvmRthvq3LamvdaRhTaQp7cqUck+byZUeVaauF8GEPRjd5sYChG02LCS2Khfg
xhxJUbQEdKbdNdrENkehYGA7JsEie4QLBre32fdGQLwgBSMSj1j4fy4wGjkT7s84FCRcMbuco71E
4EHe+Z1dRzFfIlX+m9tmzpLEWT1RCBlldETaQx1EhUcp6gpkcRBwQldgjKv61nWl8Esjcc0qUnsq
5zYFatjvBqMnecRzR4dMZUEZXQ7Xe1ml2vQzv02j+X6ZGgOFboXBeiJ2ws3M26AUvXaH1h++rGUn
OetKv7hou9ibG03JFvtBjVHJgC8+VHSJTGQBlF91mVE74LheVwIzq7gz73wpmoAy8K1of1CJYdrd
GFAkLrc3ZMdFGcS1DzI1tXaRdZ53EaJn7UzVCTU9heeXdeymP+/f2ihQuPhAINqAkF/bBlpXRIrr
QGdLv27SxVAHWxi22lwmZdm/Q964/LUKqDeheQcVsbNTfUjjabBhhuj2pLnBat6B61M/0N9GTUOX
CpfShRZW7A1zaXi4xoALN+T3jWHk0HB/1iZX1oHWp3IJWS6TPJ5XXpnMtaTJJpT8yK5QzsTtJmhV
JBiuLsiyrEQoF2XYVYxQYk7SLJ6Vkp/OIs+/UsJaneD/sbQB4GESHMWdElBzAr/4SZTmNXC8hDn1
I5QmleI9rRKpW9AKsYZZhVCPakrjK6dI9WXqDSW1BlWfyzhwlHMJ7soEBgaIAl2hwmQMRB3aynRR
m1G5UrsOhY+lkdjevCyRr6A2qqSYbP5nSKppREX2jlIDPVjbJFXRpZkHcIyWaZB77+tGc03Vqfn5
fukYEXzk7DiccxmMqjDB1OhS0sgFEtLLkoE9K9mP5l5VuIebGgxhQkyFBCHgaIJr7lR94ds+oKTo
y1r6rLru8zq2Dt+KLuu4LhEJfaQ4BB0WsFpOw4iwpVf4/YJ2ITdzTT24CwrEgBLBP/pQ1xVb/rjR
K14YNmxJjTyfGUrCzYa71QRZxvgMrQmUIyEIX11M3FIihbnuFmxZFB0/aySHXNiSG73HpeT5hJSN
gUJchu6g4XIXlEe3+ax34pA2ncuWDQJFC8EONyUEH8vYldUJCo2BQlkH4SZqzjISgtugApfUrG8d
tlR5W1h5x71ZrEb5wim0KR9uLAWPEhImfw0XLHOMut+GRYiPRmv0eSxJrp17gRSYSiItkKD+hUml
Y0oO+xwbvJplsQydUSi/NmX2dT9Djm4XbSZgFBWFRLF70m48OwhQB4T6quJlonFk9AI1XuSZ0UwQ
ccRlHdwfosHgoPdcLDhoLS+DSO70ZZEq0qWTaMo8dRTESzYhbzRPic22ibMFmtLr9zwrnD9hflBi
0Ay0EA/Bt+B/OUYZSBA9fRnyUDWZGpezGrpyQvnu0hSdvEO5TuVMh5MipiwSyYg7r870JaJA1Wxi
z45NHGZj3ySSKZdaT9R5Wtj6Ik/85HPVqPXSi6viSvV7pZ1Yy47exFKgNNErM7Qv4W70bfbqM6K0
QVvpy5LL0aWqe+GFXss/72cg0d6ihw8OC5pg0P3L0AAuyIvTGU3Ks7q2GM+SNwX86FlZxtnPDlGc
DzFSYlPJYZFj7wAiLY57G4fGBVFPp5oTRArBOQE9z4qFH4TOXC9r2Yzzoljs39tgWDYtKTJ2qDsw
pE5QoBrq69sINFzJ1ZS4r1G7VrvfkDP81stpOo9yJzsLdO6ctX3RXu+HKW7vDiaHLWYEgDGWcRum
y7o4V2rgUw1zZd47rW/KbsJn6P/qJiyeSDokhtB1bqg48IFuTMQl26A07ksOjfXMsqHmlyHB1qpE
Bn+iJc+U9Ng48JjCAA9pZnS2DK2YO2GW4iVdVNdVZrUxLaykVfrz2vGz1qy8oF0Qt/FNVJL18xZ2
5RKVZled2LAoEHcLGGJ/JE6Hu1wEemaGH3JbDzOrKwsWmLgNxjcjuY28CcHb5RsMdYaZQnIbBSsu
drLwCre1QyBTy+CeE8/SWKlvWr0eeuKT2DvnpKLzCI2OB5quYXtgV4yMHO7gQsFgm56qrcAdRLnA
Curw15Bzf5an2aeesKlDNCN4RBYDIQPF5jB2X3CVaMobKSNdYrVw+c6jTE/MzpG6s0MlAa1wGu5i
QH0c2W5FgNI7jayndZ5YyIM0PzfUls5Rp4jnciwFkz7zoP23RR0Hn6Ar725bRl1eABZnNjWq2I2s
NMbhgVnTpV72Xq2Qalyge8UuZnGTlPYicFvumE2dFplJQNd3Q50O+W+76b9CcMN61sl2F83dRlGt
NKVpMivDlF3IRVC0ZuAm6VctYc63wEXLIjKFkV1e9npRdXOj1yt9FqGS960tqfepifL2vEuiblHL
Sv4u8JucmhKhhbp0wzyOrIZ1vYNWiLBOzqS0p1/ksmgSq9C6fCbBK5x3NqG/ZhShLDqeabRI9Uy+
9uwmvJU6Ve7mThnaHdJuOA9kxm1en7uZ1JFFGVb2mSppfbZQ0iTqzTpgyAwrqpOYapwzb0LJ7jIT
MI/eQ50jrpc1RdBCPQlyw+782HKlqDBVVhATjZJTJ3p2dR36+RA6IBjB5c07Xahy0skeUguRlTmV
PzdIqc5Qc7MalTizQrLzgzUNwA1FLkjJoG6UbVFs/TwNYtx4bElJbczQS+Qsw6CdahMe2RSuv9UY
0Aelhjz0NhSgzu8jV0usSg9+1qOezvxAPSvKyDcbSann++VxhFCQLxX9iHcdZ2K+oPRKpsFpS6y8
lfv3tEy6ZWPIh7bcIvaidOiEhZM4JHoEQVRtSatJRhIrS0P1dROS9gtN5GyCPrtWFlAQt8MPZOib
EJvpwy7u8rBUcQyhl+0lTkchl05q1WojWkwYgzG0geHQl2YYd3OWt4nky1oWBJKcWHWaV6aMtkCU
76t+eThxwN3oa4FhhRoT3DAJqW0tbEOcE2kaMlPSvsRhBGmqCDjGcKh1oBEXJ0HRly4wnNEmUMCp
EVtNkPFf3K4gi6oz9EVg1MEsZ5l9fviucOzKGAw2kjliyiisSBRkSh9blY86FmeSO4tc6U8IKxgB
u8EBRjZcNLNNobZKGyVuwthK0HK0iIsQPf16wg5nORX9vPC2oIeGEsQ2FKrKTk48mlhuU0dniD+i
RQ+0oQ+1NCZA7XQuQIgQU2IvyEritIiYa07D0oskHwYaedvS5D5faAX9GXXjr7kb/haF9aVbxR+T
zrhMvfzAmu0dbJySwFV5uD8MWdHtfTa5HTbIOySWUTndzCd1ikbUeGqLIwKMn8fJERTbwe4iFAVq
sbDVBFCSAn3CJRSsX4TvPZ5Pqb1B4QieAZw5XFpKAQbbESTL6DNdwkGJxEKLuru0s0ozeUEryw4L
/y3tHWWWoO3jDN2gzocsVIsJL2hEfcCpA2j0kA0cKoDXYLTSrPISiyVGN8slRVuiPFpOcMyIYMP/
hwlGiy5CATHBgkA2krUaJ5jcUiuu/F5C77fXqxlCcrgOZhzI9QTEXR8ZLd5IPCs6/FWUQwQLGZAo
lmroYSssuuxST6rWTJ1EfZMTv3dNOEOKiWaHLJ/QxqOiMdz+C7UPLYmGkG321FqniCXbhQpre5Ss
Kk/67ORxcMFzRb1pE9Uz4fTRK1y3l18ocNK/VGj+mVjEyN7h53CYA/jpXBULkZ4aNaSSjcgipSFd
+K0fvlFlZMILrcTZUl+p36BRYKr1YISR0Lo3WAfZQHWcDc83ikIy4WXepPCAcjSUnXWBa5hMcsrD
2VUb/B20tA7n+MXmHg/ammuRElly1jnvezct5xKSDhM+45C5EGRSAxH5wKugoygULmNxFYdNZNlZ
6b1L+lR5h1Om8bwtSndupziP6WeuZCZZ5cz3W6QRvYMT9ogSwEDDaePh+QYWy6hSfJpnkRWlSmbK
iFHNgHbJslfkZiJcvtNhO7tEUAfpx1kUdC9tw8Kn6Clq0siSdP0G0cZrTSrflJ4x98P8SinrM72J
DHgU/Dzrsnkg+YuMOmd5mvy8f88jnIOMNc6/4TAgTlqLDVRKnDlxCaOFE9Y5NGAUR2YZBP3hnIND
wsi7DkEsrsQVBJP6OFYUOj3OHKrEg7dMtaWjF1MtwCOKDshExDG0PqNsLkCR2zwjRYS+ZrVKejOO
Q+lcQiuaa4eOybh0aJUcxnA4YQdOhe7GGUfBYaJ2S6oyZYHl5ak8D7M4/4daN/3b/QQa0SdDBDUc
G0JTEYZnbDNKxJzGoyQI/j9nV9JcJ881/9BHFYOYtuIOnuLYiTNuqIwgIYEkQBL8+q/J6vH1Ld/y
u0gWSSUyGo6O+nT3OaZl57+3Ph73y2oNHTwvb4S20Q23TXRJJBqd2ReI3CDLoiEizsQLce1a8r6F
luMImurgaDB34iih4rnKRTYdOW/cvpZL/LhGMtpBp4AqdGDEwY0kq4K0EFWDZ+sxrXV+IQV5UZTD
tOMqC8G8BuKxgVvPJ2QJBG7sFsnVkAyW8qDO8fbuGzCByruC8Pu6ZuwQh837vJV3vHf3Uhcx5an/
/frCnJmhMgIdG+pjZJYvjDm46YlNNYRrQTZFN/NY6sOyzPZCNDw7ChwQUPLbcLXTwriyk5/TPuBH
osGNE0lmbuop/fX6p5wJfAB5//W+zJEqn1Z7xl4UiiwZP9arVTvftmtVjtBNzeV8YaQzRxSlHmzk
DPU4sD+3z/1PiE08KLkrX/gx82tXNQzxbcwbrB4y//XL2nSXHoMvMHtsF9xVYFQBtMfQp0WQsXed
sAxKuGJlzU2a+H6gsgnYRzc16VGVXuwCz8xuFEVJ/bK0t2YZeLVmTF7YueeWEkj9JjQGBw7P+uff
vmVKPqolP0ahNft1kEEVgOV5gcZ/bi3JRvQtUA5B6W67Xv8zw0XeNqIdQg5J7tAcZmn1rgTJZreQ
PrwQml5+ECSMqA38yyrxAD4JgOHSEpfXUh6hywquSe1/jo6EF56JZ5I6jIJ3AMj7KEeXxUkAXELN
+RQnkDJztX6xpsy+aZ4GVREF5lHJNnoXSVLgPjHxTd6H9S4qurcWDpFW4WcAiAXa/pbZnbwi8R4S
8cJThMBsbQ4+tiv1Kh3pRPJLufO5Sc2BmJGt0olTefK5s+vmcCwhz4911u6Hpe52SDPf/vJAW0Kk
OgVU+ATX/sk5LFWS9ro04th2dXKVSmfvBeRYb96LCFgotgJaAocAb6jne7GNF9Z2i8PSMY5KGS+6
o2JZW0Ex/laNzLZC/x3q5HCRpsPqrRhKqOEptJAX1LUMLmRtL88WBsGrZmujuYn2Tr6nb9Z5yI0V
R9uEI0RMuj7UoDjS2S/ThaFeBkoMBVoJMoutx9cp0WMFq2QJM4EFMqq/GdUUQ/M5yLASs1EtFb2/
VHt7mWhgRKwS0AXk96gxPF8sXhtWGo4RUz0m73Kg/1W6uHxniiGuNquSg+XJ24ETDAowcNPmwLQr
PFm2ruOIK2Urjpll7sYOCaM5RAS4FJZLhZszBwsiCGx4JFFQiJ0KHAvv7Nr3ZXdcmHTvhIyzH53O
g7dDglB0bMUwHN5ye9s/n8Z8lEMYmgTDpLG7j8dh/Db1jbwQFc8sFk4UbjUku2BUk5MojywXPaxB
QTryQTRVq3R0rVkY+QrS3+idsyzbWZMXF1hlZ0dNcbmAmpoDKT5ZLSj35mzRS3dsoKA6aJLoKpo8
v8/qLjwMDeGfs7VMj68nJ+fWDd+IQhCUUrjPTg4dqqjxhpJ0x0lF9oqVU011zi45ab1EgrBsYDBs
+Q/eJ6ejLFObEQ/7tmM6Ffw6Q0KUUz/JX3Am6Q4lG7Oj4CUI8otsi5tkqskF2ODsV/5n/JOpxVKS
aBym7uhW3dx5VQtJh9QOFyLymRUEby4HnwuJCCrEJ4d87OOlbnXNj2tPpnubLmHlSaMrb+d4Z0di
rgMpm8+vr+CZlB3VROR7gCcAcr0gebFxkVxpDdOF1DK9x0VT3jNlcjzNxuSvKwrzy5owv0WRztI4
5P6qDYL4mEGJ9y6UXX1hR50J46hIRbA1BLUPe/lkR0nEztgHih8hv3YVdIFi3y9RuNNt0l44p2eW
FeZ5mwUHNi/QsO3v/5ONyaJeYuHxSEBWMVHe6m7f8/lSme3cB4GfAbAErEAw3E5iDmGhCWuoA491
10J1vK7q0Ie8eJek7lJZ6uwHbYVbNGvZnFNOoL18COtIpxiq1eX3Jiv6m5C1l6RB53YpCBIo3mxC
RKATz2dt9i1kEkXMj0lRMzCbtd+rfmnuSLsEVdtk2TWoiZdeCue+DJd7jKQIIMULcjCv5TCXmDYI
0mtHUWV0H7wd9KfXz8KZex21KVyyG70f3MoTjAJGXzWJJR5Aecrc+65pzEPPa3hwzH05VVOdpBdO
/LnPAnsTNg3I91C2PB1w0WqyjcFDPhqKYxqQ8RAs4SULvXNZOl42CQFPdEMhT5k7IgilJZ3lx1JY
dxO2zl87GbG7RM3dQ9NAVoxERlyD9Mx+jOMK/KeV61C9PrlnzgGmFmZgYODjWX5q7gI52dwXa4M4
U6zkcxlwRnUIcwVT20uM/zPTisOWonqAj0ar6JNpnd3sfCEXduyHsP9RMoLdOZb97vUPOjcKsjFU
chKwofLTZILHjvXD0sHQJIi+awkCYaKhpn99kHOzhvIbdKjY++WLKgRgTry7+5YdfdcEFWAmW/VR
tlAZJ9OF7zk71KbOzzeieHYKjsvV9ZlReXuM2uCbbny9Yy5+CAJe/w87AR47G/0dNbL8tOyH20/Z
JYd5ypBnTTUsY7hPPGtpVL9ZuoCXB9Ql/6AgPFIBbz4PVgSuIBD/x/BpIRp4lAHVkgRNsX99kc7k
J1u0hQIVRWCUi04SPm5SK+O+YEcUpWBtAIJ/zQ6wcsvGPaQHfu+WLF+qGmyMlToBHQL4HEF6Qeby
Injh7ZOj1r3d4wjNp154G9VxakacL/gwDu+Z5WNlQTKlEX7snZR9/VbYeBsP3gAb1Ifn1un2L6fI
wBa250eb5/JQhm6mBZmaC/v/xSFDAgkWJchceIbgZbdt2v/c0SSD/Sse3OwYle6XDma7CyNTX8jv
/tW8ngH+2yjQEgCGytGm9NScGOA0IE2m2TEAlqDogk6iRx7Al020Y/KhYGV3nzle72JigmPOo5lR
aWL5Lo/hh9eMYyerMrLzYR2bkQoNe1KTOL/3IBUeRBoEO8PatGr1vAZVnujlIVhY9vn1Tfji+G7f
gEcNbq7NS+E0yEtYIJp4wkyRdhrHndZgT9OhyASjHnnzhWARb3v6+ZQlMd5S2PQbVgEK18nCMNLx
JnBwD4lj+BA0i+b7ogZkdxMCO6lvxtwNhArjQYGvvf5t1qW5Lwc3wF1lGQJa1FFxA2Fx/7vNkuA4
LLGXdGzS4R3rc3vfdqTZq3zWt8g1UAfFyaUWTshVn6zkepp4cextaK6kI8m1roMfYP9e0ny/3Hv4
xI1QjOwYAv1TRIFFYR+hTA/DoUGk90s3ctoRxS6co388q9OZBH8X9Fo824BfbQnXf7Z4xpMmEnA6
PtYxK+m8xodQxR9aPYGgXX4e5/iW5PUDLOMEJZIc8Cq+LomwtO5N1fbLg+/tU22BtLvQhdQ4c9Bi
TugCS5kh8Regj5dzAuscIEbojb0B/KeCKYiTy4Cg8nUgvV0s7QciNYUiILiwv15GM4yDPAw0fYz0
otzXdLB1gNS9OMh6TT6ynPc/B8DQEoVjIT+s4AReGPDch23yAzxiQU0Cbvp8Fbox92bG1XCoSxtc
lxzvrsS34q0JHzghG0gFssu/isHJfZSWrLBA/CDdUMZdk3liu80N7n/5FhAXkKDjBQUu3PNvyZJh
WpXEt/Bpad81oXZUyY5deD69DDh41UDuBJQD2daL0JyOkyAMjPpDg/m0OxWLsKPt6JKOTr25RJQ4
NxoMYiCtAWUIC3Vyx7ZFPNjOQS8xaaV3mW6pLYY/PbgZFybvzM7bcscUEoJ4q4qeDDQlzTS0Y5FB
x9Yst04L4ApJjpeOTd0nvWSXosz58VCk2qh3SB5O3oeMpBNkc5BHyFVM390M/8lMwhZpgh/l3g1R
+vn1e2Jb/OfhZnuIbl3v4aO2oQ3PN8fa9VMEp6vsUMRTfFu3Kd8DofKH10c5u1ybhzYKJ//sTp+P
AnF5CUOv7asSEGda0DGuxmTxNF2yS/L8cxOImw9hGiSvM2WrpYAZX7JC+AFA+2ZddfLeetB017vU
cHVh07+cvc1QDz5sqCtvtpgnT4uJpcOQ1Cw5mHjJaGsMFsoFyf6ts5fiboVo55+0F6ny89kbeLp6
DBMfCl3+XLMuqoArlAcTzuICanjuezY3MuTiuMahSH4+0qStQPyJ44MpAwF6fjrvZCPqN4c9fA94
n6jIYpmQiD8fZUma0DVNEqMIyzll3Rx9CsZofnrzrAGNR6kLbD8kJeHJzi5hytgOtYsPaoEhIDxS
2IGrNPw4xml9Yagz0wZWQbzNWgl/1FMW3ErgETwUPkaWr69HS9LbWeaXXPjODoLFASkD1ta4CZ/P
mtd1COdeDJKJfkFtIS9umAsu1bReAoBb3oG0NwLwiNLWKUDVWwHXUymjw1r05sm0ExgZuFqm9jEg
eEY8RLUb4cEaqg7qrbpXIVUQGzfXphGCAZd07YCKbGovBcaXnw9a7T9mHBocIPKfbM2wkZNjUHQc
SJN1fwT4hqh+h/pCnfRl9ABIHwI3xwDFZsX7fJJLuchRpH2ISUY1rygWWLw34s62WlWpFObCyT47
HESOqMtCQ5WfGlqHPIa+RjbhAQdmve4ViQ8sg1tRY2VLfSgvOZW+mMRt5pBuIJNC2Acn9fnn2ZoR
Q3qSHojNSgo2e78PV/Jmcg9GgU8E9C+QvOHmPAEeVbjCkm0u0sO4sN/ETnllxoVATz/9CoJUXnjp
nvsmQCJ4eGSgJuMIPv8mrxgftQnTg1dEVDBnV/umTMSFSP9ipfBN0PLCFgCsYdzMJxtDQ7/HVEDI
oWyz5uhLYP7Eru56VDkYk6S9ZEz575H57GLe5KhIAjbXwo26cjKJbEaRaIaD6IHrGnVLtdqpRluN
UZhq1QQqFkKUagGEx7A9H1cRp1Sbxn1Gj4qU79qgIJ+sVPknAcZPRIvWTdFeDFGQ4PLQw0RnN4GT
LJxaLpXV/mG+L390+Cggdwb8cKrFj8bMyKWvySFNOFjwq54jTZ2R6G0hnIO/E5zj/6CAErQ3iBaa
UDh/RDe6GLuVSuEbwCKERX43uQF2U3YKS3u06dj/HVzepbT0ORT+plb2Fjeg7qhbos5+9CYOP+Uj
3EP3Ntpem30a2f4CNrBtptNPwzMQNHUkS2hDcrIqM8ei8UiTA8Kd/9KDUrFf+iDbJQoCQZgkFXfe
+eTCoC9jMvYCXFfw5gRXDj7fJ8d29sUa5g1ee83aivthseVtCXeP20IU9qrVaE1Bu2xwu7RRQY/1
zYoDYNXhngy8/mmTbL7wSD1z5AATgW0GuTS4WqcwTBNaZQmHPL/sW3K/wHOJhmIZ35om4KthEQqJ
MsgkUPCepAkAHyd0lZlghzGR5Y44lQETzOO3hw+kIPD3jkC5Bh3xJE0wSczg9tGRw4IGH1Vq4Xk9
E5yg15ORM+EDxLAtIm6tSlDUfh6kOOCjkPkiOfhxbIoKPmoBSLNB+HHyS3LnuoJ8eH3AM0uEtYF2
Kt/IWziHzwf0Xb5EIkFmGqAgS8G0wKmYSnNh8s4cB1DGwRXd2P8oU56M4noyh3oO4wPZXLzLCOPs
YawW7WqHTIUyhHsKGsn0+fWP22br5BTC7QB7I9y0xxj9+cdliyDw1lyQCkW+ofPixRN3Pt9HaikA
Ddbzfijq8LEulr+vD7x9z8uBt6ITJB3oGXUysI5yeJQnFvlxPI/7ycr5voMP/fUyZ9HV60O9RCFR
QgfSsdEfoCN9gah2ZmYKvZSiQ89CBDPTKlHBaG3EV3sVdLsa0OWvlvB0Bxp2sUexf95nPOekIusw
7eEcZ27AgVl3E6Ix2Oba3IimRZ+XfIKrb4DCYzkP7FbjaNB2iWU1s0iNF8D9M9sQtWuQ2xAtQII4
ZYiX8OAKsTTRoUxNdhX4jlc1ak8XTtfZUeAYEsO9eDP0OInKoyQhgKgpOgSZeW/GOn+Yah5d2HRn
jjDEcAA2oHgHlfiUWDaMwIR9OEcHFqwItcz+LJWMYSpmr5cRAMTry3/2k5DowqEHjhBIO55v8Z4l
7VyPKjpMaHpCwynJr7sVzaheH+WfwO5kQ0P0sT2SEABxhE+iX48+QEZ4FR7CPu3TCmJz8w1NxICs
AlAqfgadbD8PbcxZ5RO4tQGS9W48CAuslzZ8DiF1LKLxr058raiBu+efJB/XH642tqO+6BjZQ+Jg
WBUYkorKgDrNjnDQw40lyLwq+GqX2Y9UqrLckWSBexl+g455SCLL8LKok54yTvrv0tXF7xLF0T8R
HvZPlhTuk58CRsB8Ssg3dGjoPIVgPv1CmhGSAMhapoiGzkUgrMYFWICCNKGvJBxtPxSdDYsK7UtQ
YYJec/gomOu+NUb7pkqIjG1lw2E1VaQK328iGDFR/OBLuv+/Ysjzthj76GBrwTOaNeD90nAo+p8X
luZFqAEdFrEVuB0C3QtHkLIQagV/LDxEeDrsYy8U9QFTu3H0l7yaXjLIscvgHwEtDBg1SHBP8osw
nU03rno9IBmzfeUCgrpwCE8CGknJzLU33AZVl7R83tXJTI54WoBVJ7gSAl4pTt7OrK/nakF6Zw6k
64dfb54MPMdwgQJpAWJ6uk2914oPUCRBQq3jqoTWcYdSbERjpS+VMl4ePHgcbW0/wFbavI+3v/8P
/m6HXhtJ2HoQHv6Wqyj5jYLr5ZsvToyy4RK4xoD+nj785nAKpmJIF9hr1nhOR7pWj9FKFmi7SRM8
wKQLTXeaJYFp1eszeebzNhhp62qCp0V5mhekUyramvjlsLhyvemG+m+ZuvDC1xX/UILncQXpDrwX
UCiBDAlVqOezqNZ+Mj4qx0M9uK680uW0BHtJorXbJ/Xiv5NUQ9IfDk0y0Gwqs8+WFTzEPLgMrV70
WNe7dvAi2tlU8pjCVjcglE2JZjSKXNTufanSeI+b35N9m3r95Mt1aCtXM89hGwCTiys0CgQUp2Xp
9aERIxTmKQyH9z3k9snV6lrVVX4EikwR8oWhgLV5U7EaeN69khIdT5ZV5LySadx81YstgkoVti12
Za+KO3D5GnKVNRqU3NwMJVWdi5/CedYNtU4GSEFq3ti9xVuo29eNZI8Z1PwSZaummKp/Du67eg6b
kCYxEkMKNxXzR5moFrskWjJFuzqWX3VmxBP49+LRFk32W9dz8BHMPkDrOlDRx1xH0Zc5mQuIrFSf
yApdu3RP9TikGcjVsXtHRBSDdZ368n0/m6GmZZfztFqWIfeHsdUC1sF5sA53Eq5AqE2vAwQqlgVz
g8plgWemVkXJ7vGqlCHsxXL7Ebs2jij87cNP2haCVZ1KbAcLkVVKurJU1pQlsC056ky1ErKsuOY7
1FSjD8QZluydiEd1JVszf07SNvmBgvIEs5PNgoGZzN5nQdAKWjQwA/9UMzXesnaN170mpWs3pdeQ
HCd8bF8VYZfteOFlQUnakL+lqbOUhmDKgQZI2iZBS7Alem8dYiztmAs/o+cKMQckIU25x04xj2II
7ADv/Ai9kqI1noD2ZG050RyOhlejRhWXwrsxqBHm1+VbN3Yak1YEOKbtHCxonaVGvMJsqXCEGUNJ
Tgxpqyo0zB0A1DbrT9vopcXDvECa5tZuvAPasyYHNdrkydpSzEi9wnbCUW9cWWWxj7N9lM3t3z4Z
yF2cOvaAqisMGQJRsAeBBPRD0WiBTLDMe7ubdIEKRMgj9cusDl2K5lw4fFAw1kOFJNbBOHxO7M3Q
dunPDoQKlAUBZOJ7ZLmSfcOb5a8yXfoxdjbLYZwe46W+TNnidi5Hbl+hLyoQVDS4aRGZhmJer8BQ
GmVVT034YLMAcvMMZIcqli3AF+/a2lNZFB6kIc7U33hI6+9pVupvfQGlIB1dkTyOm8V0FZd4N8JU
IzLvxux9bps7zVT95JQO/hbCj12l7Tz2FTxV8z+OePMN/V/j6GhKQZZDbBMpb0VGpok6xs0vCI3S
Hs3o2qI9xHPbMWoKy+97kJN5lZOl+KG0tn8Y4KJHzE4Nyw5sHV+FcDb9M5TtnFeoOwY9dehd+QPW
8vPTsrhQHQdYIeNP89JOu0RGyVDN8Giu6YrefE/AQpmoQpQGI9pDIP9zLAHc7Bf0okx381JjX3Qi
rb/inzFQ4maX0a5xvK1YqvM9OJMZUvE0yD9McCyer1PeFTSJxulBJAoeXGgHmmMzju3mzc5KrMHY
562iCZi8t6WLa31dw/PbHnCQyvdZQwp0AvMLaAUkGkxDxyxGPZbB3y6nwPncE1Kg1VAsoePIm6Lk
thiy5UMieVg5GGADeAkXcqPXMsKmjdrC3YyxU1Co4tUzVbBNbSTFBzo0hMuz8TZIM/ZYZ5Pvd10v
UvRLsSH5WLe1fMxaPWZYwiHqsBGn6CpFBeNhKDOIeHJUfZBWwf1H70eCVgJBOfXgDs7sboVf2ZMm
cbQeslyl+qZHSzldjczCRHcZy7WsmO3au607C/YGcZk/DErm9rD6aeiPduaqBzLXF/1VB0dIMG6Y
BF3WD+NXgZLEWIFIGh+LuiGIswpNrys5uvSumA2k1SLW0X0IglhWOcnnd5EeYdsl0dzwiHaVCJ59
myzsBn2Pmwl9RFoXHdPMIlRq+LQ8mY6LX20cuOaYssI3h8nynh2FW0O8f5DPJkeWuhK5qWoRkXjD
1HcM4IHBtshHICMto49ocNFZigWyv3WqzXfiEmOpJ8HSVa3Ixdckm7LgaGaLfmdosRq3NMVKdlgc
puLKl9KnNJnrYqBAt6evsmAhbAd4CJOaPifrV7SiRiOzVU7xYxF34jqZwZegzOnB0ySBmn7P84aN
VzXicLiLmzkPYJw25B8b+HuDquSz4BucDKS6znMVhBRvmC0J5L34I9hsCLJ+1nwDYcDcDnBorUFV
iwxwWZUjB19WtTzU5RpYdHzpJcK3qVNPc84hg+YB6bHUsOy+Fr5O6YCXwHHWeVitzXQHOfj4YF2Q
hocVCRynMXp6jYdUKYspgHsDWns1Wy9K1NTnB8J8wynIcs23MQ3kXKXGQj+AGhu/CedU/R6AqcW4
Tqa2Q1RyAkHTdIHaCd5zjeY/i45oo7KB7ZYlD+5mCRdPYClp+y0hU/ZuXbRjR0TLxO9UEOMqayOO
ibJEZtVkdNRd15r7h3Tm4zc51GKokiFnCwJq2sG5yEWq3q2guXR0cC61OxwaUe4baacfK+opR5hG
LwXgUdZdaYP7Y8dzNTY/urTL1j3rXBNdt33Qfs9DS9QuadOY76aoQYcxL6Pj5NlwGJmCERJJOh1V
/aLkHeaS4w3GhnGo2Bo0qophSXe/CqhHf6Kv6KCquZuyJ2XS5E9bZhCsZqNw4V5MBRzfe3zsTHmE
m5qGhUGImIZsfN8Zo/9MGrfdEZ6BILwlY73gYYfQO/5p3FzgagoBMvd1uHyJEi//2DUCiafTZiFP
nQ3cr8n8bsUh4nL9jYbLxTcv1h65nAKc7esJ5JYYLAx4Tdo80zusW4p6rgmWR5gPT7+mWdgvA9oq
C6ohwf3MfG5/41GCxE5lkXJ0iUckdgRmgOLjlpk8tvMStEcrWjg9luilZSkEEZCzmHSaXQVDC99W
q1+hgwpLZp+MifMvqkinr13Bxvkecv3+F4S8XVYVY5QbKuvA3Od+ZH/TqY+/xglRpmpIXf9FcMP9
PMYEkAu6pcqG4v/pP8ykjz51ocw/Wr2E4BHJoJ0rUBmE3nmEumCH0yjKayRQmd93Q+SvsxXbCSTk
bfd0UFnAOaSFALRopvwRDbI6QX2rWogh4TX2GA4iaXYumPpvqu7SPx3MsZA+c1t+CtK4TaDIT+Wf
sS6D971Z+ndA6f2e2ahb9n1k5NaagM0/pBz0r0VPULTJulbrk4OgL7rJvVNfONLqqyEZ+TdfJuQu
b7ooR3NC2HdRWwO1x8d0C4S+/dB9wsx19sbC7uRzOwRMQBgyBOp+1SYKdjYEQLnLEfwVBW6F24l3
LM2PKoqAW8IsoUl3oplihrfKKPn70GXL8GlkiB7VaBKy7jofgjKKkDA9wjPcqKov82WiEnv2vjcm
fFxEkKGLROgQ55CH9QtVQEIljVo0RaXFzMuFdiXsDCnKi2lzFZdo4YbWbt4wilK1mvfdVDSfQRQs
fw+onoF9mPt2pRM4hB87naHjzZSFwXeJbiMrsmnRfnAxrlTKGOAob0i90rhFLYH6oRkGGtRYV5zL
vulv0inyLdpB2OReAgyMj2M2s79+6uef8RB39a7kXubQ4/nt+cGTaKrQDELNlYGHZnDj0GuKwWmh
aJ94DldlBMIl8J/RsnexV2WxTste4iGI1odhplFqR1NR3DllHKRAMLNZHbJ6Zf2Vhi7iLjbTtOy6
hAMuxrO3O9QsHkYY8yXp362tMhJT1xfp9TAP/jcIq7m6kSRpDB2DvAY+Ezey6iDX+JokA45UN+W4
UQYz+/F9jCa98qoxsygr41LW7SK/+s99Ms0/alA5m6qbbTtWsZvUD1Yy01Rgeua/er6iz+nc92tG
C4H1qxj6VqeUBJP5MoUo+4FyJosfYphhXwhzN4BOUqbNHRzWdbAPpyzi+2RULZq44ZpOqAe9vtmJ
jIfNLlgbi+lZ2eZ32HSrPNpYQvmBJlqcoQcJ/DmOWS7gMeGyGahrw4fE3cMMoncPdsyzT0EOP5gq
XuRqdoq4+Ae4NC55yhUe8JhuH1zpeJmeAOM1pApZIj4WgcPdCyApQ8GkLoBwwVIWPoHgby6g5wIz
q9LG6vBKjyKJvwm0Dpnvg3FURQWLov5duzR6uC67pb2XyC0yOnc96SlerNM3WO5MDyZCv3Dq1yHl
VRkgga0QCaAOXNN4rqs+m2BsImJU0mmhF45Un4vuI9yWREJn25fokznOo6MZ/Jf7Shbl6I4TdkVx
ZCVaUVRF09r2Nu6TcrlFNoW+CrmKimuhFYxx+x5Wq5Xgufkoom7+23eIoDvXLfqDgwHMo5w7PBR4
g5fkLa9HgVgDEQe6dqlhau8CFRiPQqBRFi0jZWcwYx4H07duMBTOO+QHlOBju+uyVD14j44jVwHS
hmPXoRK9H2xYf186LMjOIB3sqmLS4aOaNRLNxIUD39vZBmabmnx+BFY9lLupm6eRFmupE8r7BBM3
JXGjkIOGw4ycx2O/pe0KHgC4hml02zHEp5vWmmlAxtKoL3kQTuy6g07qWxHCZGC3ro1Zd7Ls0ahb
uAX2ksi4puM0AymFn3CNfpvTkvs/EvXem9GmeOfaFW20KKR4MN4JlZY1olohLYWyvXk3Qof7ULQq
e4yDAiE+0o0M90uh65jaDBk3IFfe5YBUWFtirLlTVdkWpaLx6sJfhTWwVouVn35rDtbKFQR59WHw
a1nvsn7sf81jYsLd/yWtHRQ6irlDt72dhy5GsqkDH15qI7GB1s9RIZS/QMoCMQvQEPhmz1EhYFpE
jjF3sGkRAGQtbp6M//K1xcs/+Aa1Dbitlwi1L0s2Oegpm1II5LbN/u35mGIO5TKF6QSKKu+qSPJg
l4OdU+Vl+WZZEnA8OIwgIKJOAOb9yefF65iudTotB4JmEpQhczquqF2/GcHbRgHNHeR0gi5wJwCl
4LJ3M9GADlWw7nGdr3SNhjcb7Gzfgl9b8+PNR+ikstfI3OXR1C+HIPQZTfGwPrAJPdjWMbjkf3tm
haA03DR+kCWhrHwybRn6h9siFoAkGzATcHEgFciGYgT7Mb3kV/YS/kRROQE/dStbQ652gnTPoFC5
iKvlwAaLHG0m5fvWteL3W0FWuCbCNbWASOGfndfzPRcxuwzJ0vuDseQd7Gkz5JkjqgZv3wk5zhMJ
NyXX5sH8fBi+zIFVUegOIaTZINJDQdiHy6UmRC/rXuhNjR6aIIdiS7+wkkISMbYNvP8PJSw730ne
ygcjS3ET1Wly0EORXPDeOMN22IQz4JVvvhiQDJ8Q3VamkzVNG3dwBE0dU9w40lika4n/HMDXhha9
JpWGbzdNVzxLJX/kGd6H5q0NL+GwBEozGMYJKpgFUPrn02smixS1iSdEK+6unEJ3rh72s29eRIwC
JyRQ/sEvgl77+ShdDH1akzjEpzyDPYHJR+S76BX0+o58ccZQ2UHhEpKWENp9MNyejwKwV7ChsbCW
r519xwXatyAap9tDUVSvD/XiiBVbIRbcMaj3Y+hcT4aa/KSa/2fvPHIjydI8f5VC7i3btAC6amHK
FTWDDEZsDIwI0rTWdps5wFxgtnWx+Rkzq4t0EvRO9GqAARIJBEj6c3v2xCf+Yhmy3K87o3WaqIiv
2ike/9hi//HGoaz9x3/y759lNTdY7nZH//zHefwTM7vyufvP9c/+69fe/tE/Lqun4rZrnp6688fq
+Dff/CGf/+f47mP3+OYfHpa73XzdPzXzzRPkqe5lkPCpXH/zv/vDvz29fMqXuXr6+28/oYl266eF
cVn89uePdr/+/hug1VcTvn7+nz+8eMz5u12bPbZ/u//n/27Cp+Kp/ZvdxN0//1cR/3xs333K02Pb
/f03QVd/XwlNEKa4m7gNV0Xq8elfP4IVQHse3VqoM/TMfvtbUZKn//03yfyddY9eioLUxNqB5kdt
2f/5o7Wzw64wUfFSyfp++9d8XP1x3//xqpifP//9t6LPr8q46Nq//3Z8wCA/yHGssigxlcWT6Wi/
zwuWolOLUjKc9spRxwmV51YnMtr02V8FcKxjAW1efUVAar1zlxVbUpsBgxG3K7Se+lCYeHotVp4V
tSfgAu/wGy9DveBiYBCzt4+Oj2kpLIh/PBatJnhK1mEw74t8Gl0JK2c/b8gup2HY6WkgAJepHggM
3SUQr6I4LL/nyvMQ3giSmniUr0Q3mG2qKkA2lVR2BhUZ6egUROkYy7N+X+5ffF6h2piAht4eEYkJ
QI+6lEXdmlrI0taio4xlZRvjYtgVeZcrAMrxXq3dD979i03765AQYCOLEq7dqp+MVMXRywczjM/R
nFtuhT0onb/yOqyH50y2smt9as5HJCLtXBjL8ygWJkAIkof6lXU+qBQpyCpcGsNuHJvXkdoR9INH
UFo6OmF9Xg33k5COfixJs0OfV6P4aMS2llNjNEPr+6zpdpZW5e3Y6NfT0E5epwrwpKJFdXrdjDzN
AKmgiQgZ5ga8ySpA9rOxWgDxldeWVfa1bQRIQUN8AoP/7v5jSjhAVxYlwRCKIUcLpxkndOTSzsJk
vZ/cxsg1R5nTX0WGQH4Mg9bFq+Qh78gkpTY4EwO05djQdlWF+ubzt/NuZ67fBOgxtFRK7mAE3i4J
C3E+qtGkSpZQpXao1KE7KI3lKP19M8J1/Hy0d0KLLw/+7+FeiOuvWu9zmRpqPlSWS9mtXLuorTtX
04yPnpmDIk2Aq2ai5cWyiz2MatMn6ZxZbZxRq7/SvzoFbju+yNavw7ok5Fm1j9F8ffv0VJCpbwyY
add1kNk4qQ0eFeFTqnEvUodHO4BreUVRrgL770SzcrWaMyJGy82EjK5LaxEyyu1eM5fNTGN4X0WK
YAeStp+NanYXWzcAcbUk7U5UGu1Gn/KbSlkz62zYFoXxi7S8tQfrvMcZ8Jw0MHQEpfcDzA88UIAb
QRVgqsytYFsDurnx4NSRdddo0iWFCvVQ4cvgLm1a2XUYJbYVg+irqJDMet5dSLOLAWC/Iw3NqViX
jZsLxkYWsQNssaWnOdA2jpEFj4KY/EqL8RtqAvWZCVZasMLFNScRo2yL4ySN74Z4DeV0yux62S4O
g0VeWpgtlY6iPHHKfLiyVrcLUHRgXFjMb19lhEXjqKcZOXJG3WGeUHcFZawUWrntNOELVY3yIImR
7uszeqUGjnZE8C6dpj0c2h+fL/PjJHhdVpx1L1AyCNMv2//VKjesqu/MALNBo2HKlJaeYC6Woi3+
tKhYt2MLpKwTT+ytDwcFjo1JJf1i4rK3EyAuI/bcOCi4RXg1dJ2FBhuwJbWpz5e4MWwzpeoXJt8+
f9IPTzJMg1c9oFU26pgyW4wQHwZKD26r9bsWXWXPnKd0M1DKKAfBcoS2/26Ui2APpfEdl9v4kA/a
1mzRFz/xTdbnO95kkLQIgrBt5n9HJxk6jEtZ9aHlhs2oogxEsy8QlYg25pg7Yk3PfgHw7aBzgGhj
k0xu3XamJxvCBZW9aW/qrkDd055AQm0//2rvIHjremBZrpQeGjtwb96+mjQGSaKhS+Na+TfFqLPL
bIZd3NnaqPvwOCT2ztqGhtisKDBrgvmcOk9iD1rce0mudW4acj1JVOBmuUFstLK+tbmiOVkb5U6i
3MRyQ9ezTSxYCzABBJSgHaPQHcXs7WBIzmtzNHFvF75NMWYUVkPynT7qACrx9mJ1TNlZOiZbaxVP
w4G4wGQ6TuxOqCt71KNHOAyiHS2z35bSQh/gsjaKyUGZCHBESIcYeLALHCZxkAl2Qmx0XGSpDDem
NedINUrhqXoCNv7RpWWQeKwyZdDmjqHWGlSdAr940x0Ta3CVXnAA3HhyF9/Fsvwngef/pyG/vdx3
//GvsP5dGrJ/zB/JOV6nHC9/8WfKYWi/W5DIRER6IJOtorv/lXIY5u/wuGgLr5wdTofXCQea1Stj
ZC1uyfIqz/GvhEP/nfQYUVWU7IEpkrH8lYTj7cVOrAlTCFEpGbU+NMpAJr/dcZlOy1trxYDeiOjL
0ggm5pT139tF+H6IowunysIpXsw58IBI7pccqp52FeUXg9S6J46PNwfbHwOt4uWrJAwFtGOl0rYd
cnNIeZaFYwpDJ7dLLCes9RNE/7fn5/thjqoUmsg1CXov8Lp+IxB2tYPpGNH9589ydE2/jELeAbCf
ywL0+rFU3tQmRtSAM/CFQ7FrftVO5BYH+vp+dRE61cY4MXcvlaR/3wp/jLeKpAB9RuLpDxTjq6tY
V8DwSpUV+YM/3hu9PXuSm7i0CfGK2ahXqr04w71MMd5J3cwpPTE8UZZ5AY0ffYNVOpL8G14PokzK
26UoyMiKZCZy3skOeJFf+bhRbJsfSGL7+j24QddyUO/bGY/QtvalO2/rbbLpNoIrnyA+fvCC33yR
o2CX9p1pTGYdwUR8pi1cJ/c9MeWJ9/vBxnszyPolXs13PoDrmhWeVt2E23Sfn9d4RniLI7pYNV2b
Hj21U8nUqedaN+qrIYXBHItEZEj9fPRUZ5zs8aLc6DvSB6e70Q/jbeSdWldHcc/LuqKqghgCkHrc
MY7RvTS3lEStOibTBrzigiawgx0thw1Wi5voRL30qNDwMtqqgoiX1BrhcqQdPaKggb4389hvvfRC
dtqLzEWv5qq/TlzhJnWUTXoluqlbbNLL/ou5jf1TCk4fvFao7xzPq0Qt0rFHr9Uy+qLUStTiDe3n
LN+mpwS8PniHqGrBf6N+BXH1XcQcmXM/gb3w9eHOMvfl/DCHp7oqH47BfbQq64P8Pm4TzcvY0Vex
YkgxXQ7eikZ+Jc8AIdoTJ+n7yaIDYaDNpHH3SbQh3r4tCzfR0EybxNfixFUMerYceSeOlQ/GoIpD
iU7jZbw3pKpQgTaVSU7ABapnSS0CUNCgqZ7Yzesd9vbswp0bTQeED/hAYKNvn6TMMi0J5SDzjUvZ
iZzMjfzmoNqir3jV3Snlsw8fCXgWyiKU4hFFeTtYEAb10mPR4RvCY9mLdl+d6t69v7K5CtYECWk1
juTjVTwppTYhDZD49fQdRpUtdLum7WhH6Scm7sOBcI2gvUDiT73j7aNMqRwvBQJSfgE2SC8FW8qe
k/LWTL+ceEHrBx2/INjKRDkKoRZiom8HojxiRkrDQBIwl43qZS4ej6PT2RQAbvDA3uTdiUc7YpKs
Z9FqKouMOxJgCDwchyNWDKZzyfXEH53J5SxyYi/YDbZqWxvFaRyM2E4d8B8tjNcjHp1+mjwbRUMb
2Z/38r6K7eQb0EoXBKxNkVR0i/1/43xf9+jxxL4e82gPq4uiUycxEj8TlQQ9mPl+TqszY+zsyJwA
Bi2qZqMbc5gN3TeawafWmLvKTNcZ7KFTxaoI0C64zkJpk6XqzVIgo4x0jXziZjgxNcfkO5wh637A
K8C3yHRb6bY0T5xlL2yRdxMhrwqO1CohER2d/AaHQ2QVTETnmkCaZltyhR/pPnINrzxrz+oveGpV
m+QvlSX/XGTsUYpl9D0h471d15PVLc2wsFO1sfEA03IYmA4MEdcUTnXnPrhcWdD4lND8JC8x6HS8
iR9AQZZc5ELC5SrvkZ666Pzgu/EQOZAm/eCM6mS4AXa1L6nme6GTeIVz6np96RS8m+VX3+HdQasC
Do153mQXbnlKh9neyE5S2QXhKqAopz0bz6z7FY27Tfx1u/G9jH3oFNfClXSSjv7RufJ6To7OlRD3
nQQ+Hm/9wbwOt+1G8LIDlpsEqiUBzik9xQ+X8avHX3/+KoSrMKLpQkoIPog5R5pi0rWT9aF1Cj+b
4qOFPGt1Fi/zyxSb+8IPduFOcgJbttfA33ROHMynRjsKSuUQ3LBaFimn5BqU0u9KHcupXW2vb9NL
hPo+H+99bPN2DR/dnXGVj4lsxSm0k33V3rbWpZGcSB+sFzXcz2bw6ByWBF6TmiiJX4pSdRnkUXtn
VotlZ0g0QHoANaL2ccdV1F+DEm09C+a7Y1bFwZgjcM/VpdnND0HfKTScCtfIBcCDUg59C4gYgizW
+hk5XmTJdpCjX1bSpBdhgAg3GMvkgKzFeQe4zhZQ6LuOaytzDGG8K3r1a58XV6Gckj8ZmldV4+Sn
cWCC7+131mTtIHXODmEn6HNLRLYxszi5Bx3Ilxk4YgevV7KUhzDU79HDvkLqEbRNpBU2nUOgdI1w
r2TlFfRcaE3VTQLPZy9m2vfEoLS79J1HPfmylRqS5VQbNwswTE+1kNCH1WuvSKlrFPM2QyR7KRf1
VmnAiSfNBHW2rM66Cca3rtF0KeXItUL5ohhyH/9yogV5dOqugJ0FbtGFGtXbSAH8AKx4m0ToKrXI
VloJCoVDpT4kyRBtQSy6HZKTfjYKxaEL+xuQBvdtsTzDxHuCl2usqooOoiPECE2+HfXmvDeQEwl7
k5+Mz8uKMR7RwsnV5SDglbZfiqT02sH4LmTVaoJloVQ+X5jBeNWN7NRa7w/qUF0JUifAD4B/oCVR
50WqDsw8R127XHUrJqEFK2dKgZ3linCJAda+seLMxg90Fy7IQ0VJEbqqjtqPAax4NrOzeemfTPhd
dqHE4WXc5a4stHvA+0xUZAW+SlvEqXrloUa22p91JTwMkbQpLcqny6x7uWw6kQSKtyXPzYfGFfL5
Qp1WXXxD/w6HrDuH3HYo4+hH2/zhSHqbL53mmyo4SXFY8h0avecDIbYzDOalJQOLoUm4zctoZwFx
XTHKzmjJ0TaFm5OEcMkgg0Jhq9jneZgGjqkvPhSWnSQArSy6DWZmD2JZPYtyDymxC7bTaOHuFcPx
iILqJoOadCi18LaNkpnCMNYS6EEqaC8BM7pS5emnjrmAPeXp5Iy6nIAZENKtnjQ1Zj1kg0gKwe/B
gFgXfkEwAYtf5pErRstVbTTfIjGrHUTc75CucEfN6OwGPyknmwxxx+tRbXonAA1oyfU5Hl39NMh2
Hcz7vBXEm75sFBicAexOc1KfJhC3bhUUsQOzVkE4Ks88IWOwLM/3pSC1zpxaEaDouQJ91fc7oRTN
+x76idstPbAekLCoGQ+PdILVTTIZtR2qyL9PoNsdesH3UOTmHdycbivn/caKlvRewUzMgcM0bom3
nkrYoFvy0cSJRbHYlbIynguQYjZTJ51NPf33mda5IK0wcGlUt1mlfm369AbqwmM19c/zbN302Pfm
zbiXEPAFpthGdiNZSJWGICujckzAopdbcokfgPmf20Uad8NQPZeZOIPyD6Czxw5ymHdAojs3b7v7
1qyoX1WSQI/FvKuK4VxcpMqO69TyzGIR9v2IYF1uzboTVEnloF4RnHUBzIGk3VtieTb0YmbrjfYL
zcPHHjlukPUZEQDNQsdAa8nDJVK3mw49WmWEDGooQ+z3Q/IoAFvCu2m6t1DLUcHugXQfq22dddtp
UL/EagTNFUln6DPAy6cNS8Vl4GdBDaBAhVRLIulqKftNMnd3aTqsXUVvFuCI5sa0UzuB4KtRfi1C
c0jF+b4IQbAH7XW0IPQapPPPqZXseEkMu1ao32n9XZR1ThT3h6kvHhqsUe1c6g9ya23hEh5i42sb
XTf5nVF7QEJugcB/m4jLGr61udiVggJONt11c/uoZgDdUi2/HgsQEVqaPExq71VdmXmLxN0RUX0x
lum7qHPfSBVO4GiEBDlyzJJ2GzXTVpAqH1/EEnkMASixWd53uXkmFmkKlVPcz5OCsnzdOp2xBpYG
VBH6W6JdZMpzMfQ/KhRqHW2JN80gfR/z4E6Oq4dFyh6FbF6BJWnoIHk7ueiVNo4+Znvsjlg2+Z0y
Av6PpfRiVJJvkRB+6YbpKoAs5IssbdtsqsvFMHaLmtaQPqXZbupu2uL4w8WzdL7Rk5MWWYspJo0a
dbwBXw/c14juFCFR6ctUhQsBK7LDIrpNZu1Sa+ZtkZcz1DC4nRYugnCcMRC2jbb71lhd4rbc1V+S
LtlkpRo8aaOQ+ara9Xs5LXUPrk7hKSlOQJPW3QVaf9aIaMnMBjbkqbTkZ5ayiLZQaD96oZQAFyMM
US7t6Cd9GjlCKis2O2t0h1y5zFIt8GYxazZ6xgrSeu2L1A1fp6b0ecifZdta90kIFSsbNC/FmE6L
BB/hUgy45NZJFuu2WJLJnoV+2xpEEP0Ma1vPzrHck5yYjy2l7JteJVshFx6kQjBdvRoLCGnJLcBB
X5GiTRa2oN6xffE6yUpotzY5Uk4C55+e6di1pdRbjYLETo/3WhP7lW48i/38nBgBHILYVF2JW2tb
Tqq5MVOWSNH3BnwJuK1Q0ZMt43WOVjIlpZLcaIU8+SKCGeoU3ErC/LNWtemcg2Az5zAHuuVamMe9
rCmMTPKEOGZ5US/LVSfIlzlqcMxaxFElnysZSKEwlu8LaTHhE+X3U6ltaN/e1mNzZwx65svhErpV
T2MTGus3MQdzKvTtBRdE4A11k8JsRpphSr/PTbHRov4a+YoLbZFTp6uqnSCYHJh9et42enkJnLS0
TblqtmK/ZHuh1J7ApF+BzRgcayyUXawu1xEnwyxHP9ApzpxllO+nEIoL4o6RbZVYmbWQQey614fb
rlsipwJrAyxBfJK09Fpsm3Mwyy3X/EwiVXB90BJy1ECvcSOs6MbmnGxpKe/iGGPwzOglTxamr+ih
Db6I6K+bx72+UeJct0dp+gXrufYgnIRbToKDEYmREwrEnUMZ38CW8JKmvYuwMWALxVzhJpflUK9f
qpZsK5fRPE2s1F465ayZo68dXS2AGGgdNubdbOXZeWv1qotU1FOWNM5klod2tVI0830eybcTzmBe
09Kg1WCO2ou+iDujbS+kCuTOVHaJ30tx+ivLCs5tbVBQns+jr5I8S3dIytyXo3Cd0nu18VXaR4sB
QVSd6PiGw0gsHLapLQf9BZpUTl7IUMJFaM55czkryZcag2A7bDXZEc3husFLzh+y8FeiaDcYBNwV
tVBCFAq9tLccNRV/FICJHdFITQ89vt4xCSuXGMpBgkSwT2i76gIK16qY/QCHD61gkS5Tqahsc9D3
i65TRjTbDNRRLtrmSPCXa811hD9fIBaCizVgYw8ZdOthSH7QgYWeLhoXihpdT0u4NUfoBLU87lgS
10U5PCHDcGPE4mVUyVfcercNKgx2prWQFZPlkgOUmkUlllAZmjMYCptCrr52xoTyWw0zr0nnQxHC
NodiCwsIx2AnCEH0Fy3IFohqk2MOmhNk2q7Dw6DIgweti+C0SIMnyOqFWQSHBJofIUgM+888M1L1
Xmisn1Y259449ueRJSE9o0d7ZQj3ijmfS3hpJ6kIJ1YzyAqD6jlZDAoARuEqYU+FvxZvZItXXJfx
6ITzdJhloFl66kaIJbiBtLL4+/rWVIsrXYk7e1l51NSAHpU6OQuMmMt62VqTfEhWKvuUR53b9NPd
pDaKM2TDs6GOsdsvFHLrEEgNFZAWs68CitZglIQ29UbQGn9EMQGq930wmBQvq051Kin9EbbNddNC
y1pCE9EahJqvmi5dYJ5xH1slr1aIdFR6NClzuqz6EYT1xZDAfJmir0tXfUnR7yUONHed0mjQsRG5
c3PN6A9BW7pZX8J0SeieyeYvJEozW0i7yq8M5BNm0/iuC1PhVFbzRVlIRwD7D3uhFTVbD1CiIE1f
nGQcVKcUOyQJIDfaadszYqp8G3JB9LMu9WNz9FA2vy/hV2D2FMi7NtHDcwNqEyVqbCGzwi3USdqH
fZWzUdTcjSWr3k9B8kM2x03dEqoOWuOuahAHOTdcMifWbnooZPOGUjy+IOVT02aqraLmtFfqtN1J
1fA0Qswc4D/bkTKhu5vFKdEZgUaNBqukZssWfh1aAsTmTYqJahlf6nmt36AStB80K/RWxQnXDPIv
edP7WhlelFn1Fe9MPwsscH3l4CZqNvmRBpnHVMJpJ2WS6TWBELqanlaugASTHTS95CKbNTjQ41Vq
xtxaOTAfJ5E5BfNC5zKs0UQUh6liiae4NUWmcYdOyK3QjNdDEImbMLD6HW4fPgh+RL/IT4W0zM5l
qTedJImnbSBmizfKWntmzcYlCmvtAR0GdlrRLy4HLYkz4WOtxyZ54NRRD+ui5RuPo27LSj+UklJj
3cuku0THQmyb3LDOKprsSuVs/JSnOvWHME7O8rZPv5p6yOVpCqEzpOoI51zKAP+kPQEeK00tYpLk
ZiZImGN1C0HhV68bT3U3nwmSgRSRLJa3tQA1Tynne7HLHss5GmhOV8upEudat3hf10AemwrnCho4
KjbGUBwTVaAyNPiDK9iRU97V+3Zj3BhU3Qovdq1vpZ+6+N6fqBK94As/GfnYfwhiJs4NPSNLt+T3
0RVCiB7ldDd2Fmc8U219l+6HrXYR75TvwaXsitsGXh9Ttvu8fLQ+4Wff46gE2sSiHogR32Pt2rYb
fM989C9PVnU/6P5Tplph2StRa1Vbf1vnU+bOxBHeeikmN/5LXfFC86SN+FB/GXenB/yoLKYyjqSA
jqL9f/RcYZCYUd/QUqJJsi1IsHp8bo1p+/nsfdgSeT3MUfU2MCNE1WOKfcluvQa441yqOQ4KfZxR
V+SFTuyeWjsvLdHjd7bqBoJuAd+gHpfIYezoJLW8MyyoPd2hbTa7A+uG1tza9dG+fP6QH5VoXw13
jNxdec1RXTBcCk64QGpdO9WfPTXC0ctazXERXGJxFOF9Xl23yqnW1Uer4fUjHL0mg/41TFceAYtU
14SKU0UPefbwP5unoyXe97B4EY2lWUX5QabUYQmnltv6EZ+8+Zfl+KpaTsDe4DjJEMVZfCOdIQXs
vjT8Wpss2g3dU8yij7qZr+ftqHKO2fjYig3V+RR4ulXd5tlPVLqcBdr853P34hb+2ZMdVc2hU4ST
JPFkiuBrl/pmOIuc1BMumoOtumynDbKM1kb16cGc7EEceVP/0XN6/ZhHNXRDLtNIjnnM4mz2+k2+
wd6HBkG3AXh94uA/tdTXG+nVG8wkI4WhzVD5ZB40Yh27R+nnRE/gw6bS6wc6utcqS55QwGJDCVvr
Uk63sCYU/3sCyNMN94H79evi6P7oKhvrAgWfzLE2aKsE8CuczhFc5dfnL/fE7jvm/ElZI6vLOr2A
YTc6ZlURoV1CFPE/G+boFCmCRW8xwGaTd3dtFGGdXrmpeKIl/WHP8NXUHgMjWgHFbhP5Nz9TSbRs
pGzgujOrmpf5tEZB5EyeAuwJsQuEAFb409oZP7WMTn6No8MmQMXQbNe+mWYPbvQrPJBbe/F5Z0Pq
3Qe71Bn2xkZ0uw39F984M89PBQ6nXuq60F8t5MlAWmWumAeS2o06PajBJjfkEwHaBxA6oPT/vupW
QOnrUXLMeSQ8NZntnYU3vFduRwc1hbNmB9CbArgLjQdtl8ZGBCvfnUle4s22+JVAqQXkcfLqPXEe
HsvEan2Ldcb6dTo0rZj/sygLD2KR7aPpFEHlw9Di9aMfHUo5vSDTXCOz7ucKXawdEuNuazhUDQOb
1slev/lr9irvzsFj450kDxSUkRkyhJNj1NTmDNOe08u1gfT5Xv0Anbm+WGDEClhgCBNHTzfUZaGm
KkNpdrZLEW/qnemsv6j8dRepv0bazeQ87a6AR+Jne8s91ej+MAJ//Q2OTuIOhZ4qX4EGBxo7lxPh
f+aK3gqk4Qu4rRvYF5kX2bZwPrqh02xCevOfT8IHCAsT1goYahzT8R04xh9UUqzCFxHXVrHodDvd
yScb9iKnhsT5PGxyv3BOaYd/sK5wmtcBFGPQArjrOHpUoykOAxWWYuMuvuRmbnK5InFbV3JwaLzN
Nqc8HN5vGkjQyK9boDoskBZHEx1oldZlOhpQav48hVfqiOte+2XOHz6fzfeZDM8jAzGWV4Qfc/r2
qMDUfsljtWWYTbfL/GE7+tH2dGLx0UsDRAhkAXQcuKtj4JWJmiGgXjXzs7PqIdmZm8onarlB/dOi
o/KSPdFdrrefP90HCZTJhoGzK8FyEleQ/JuTUKJfYw4Usl9gBegFK1vBUxlPciRveTqdZXzw1jCO
glAMfRL86XGCCoq/5z8SKAleRU41dwyx5Wvu12LmiUd7f5WYCFSTqVnYkcJgOnpzi6j/GRNNfn0/
e81l7OXgXhan/YIY+0tge+r+fB+GwZeGhQkSHTomqf/b2WyLsh8nWCu+Ue8y8WfZffn8md4vRmud
OYv9xRnz/vONSEnHeix8cR9uCz/dSJtoy2i7z4f5IHJFG0KEW4RxFDDNY5WIET/2qsOpxzduZ8Am
9blxs4YAui9/PQXM+uCRVrwhS5BJYysfXcWlrldm3fec2NLztBigOOLrwTCcJN1pOVgLXXPTUynV
+0W4Sl9QMVgNst6/pglVzRyjD+oz2k1Q9I5Qx54Q5zCabj6fyPW6eZt+rAMZKtYfOjStd8DdMIxV
lKCIZhTNDRoKzI1qUzhDC2jeKqgLfz7cuxXPDsZSgY2FPDv1g6PgqSkor4WqUAJKEP1oSDehrnyX
5fivD4MyBAwdCNjoah8DNpdoCjuV5N2XVqp3XSCujVqYfPf5w7xbGDCvX49ytH1LISlradaq/yoh
Nd661tsTJ+C7LWuukHuYIyinY4F2jKylyxLC5pZzP1h2bSE+S1X39PmDvD/aGULmXFDYstJ7HHKa
FUCP8J+ksGLus93i0piEXOtonrWBn3FAffl0jv3+Ql5HRUZghSKq77HJeI/OcFU5Kxp3clfAWIhk
GhDX0S2vhk22KT3l1LHxwfp7M+S6714F702JxhD6kevxpD9HV5Qe99aFcL9yGMStesDMwT0FdHy3
lXnKlQSDEpCu/UENez2kGGuwgIsFn7ZEzj3K9jgAzFNrR/jNuAggfv38XX6wWmCZIdCDmBLyDMe3
dJyhck1zsPKD9kzpn+LsxAH/UvV6c2IQAXD7g+PiwuIKWXfFqymUOgvORssAyS7YrDWDlpC1I0o8
Jbnywbt6PdCxiIKSLtncCXAKrPgsahs7bs6r9P7z2Xo/Bl1PBGSgVEKgfkea0zodyTX8Dv2AHlOs
u7V5LqLY9vkgH0wZLELg4xbRrshRe3Tphktft8oiE+Pvup12MHfqpWmvoXX94/OR3r98OImwQ0kt
APvDx377btB26xTg8bU/GT+S4aoO/vj8v0QM/X9NeQa9pVeT+I7yefXU/PP/vCF8rr//L40Z83ed
CwQ6g47IGlEvb+5PjRlT+h1qEMmEjEMQ6ltrsfpPjRlB/B0uNhY+OEkpsOBMjff0J+dTQICGVIBQ
dj0R/rLKjPJimfLv7bjGBujYGPJ6N1Dxl48v8K7XQlGb88FLBSEwMk9U+nI+j1BYlm/lBMuX0JYF
IckPwVTU46/WopP2c2ymSC7sVl27/bQGs7ShoFNMIh35VAfWhVQJKmV93iA570qRJIQ7HL8HQHga
IBnBMxuI3L+iBffEyR4UtUXOGTFmTMLkaB6+CkFpoX5QRGPjRnO1zBdSupSpcDBiIeuAmcetEsZ0
ACcgkkmeVKHfyw3K5AD92sz4RfE1Nu+tpizr81yKs7R1UczutZuxKRPrflTzVLNsKyzq9BFISTQ/
5xqSmQ/mDN8WbcSqyqEHgVtQ2x8tjo+kDSDQylpEf6NN0utRqaYsv5pQMJyUexOUk7gaPUVC9VAm
CBD/jGIjl0cK2ZFZo1WOu0R+J41imtyEUZhI55NZlaXuqGHcaMb50kZGf6Em6RjcBnKVDhDWh85M
d2kpmIWF0GnVZijaj3MXPmiCqM53YTYq+leMxqS8PJ/HOgNp1w5dcdVngdTeSr0Szo4RTrl8V+bY
hoeXWSgvOvjGLNYTUB1RJIPBIvGc5ktRbIoGhQUi5fHMVNOl+a6jKQq8WEuRfX2YO5QQfKuKC/FO
0zNF+xZPUZnTww/KxjgkdRRbF0taqe1mXiQEV6PaUIvdbI5t/0zhVilv6NKX2kGfZ9m47JF4QOlQ
QFa2xjaHr6efJ2YSBI0tp4tW6ngjT4t2k8bouPppUYuTYQuC8lToZoVeHPiwMfgaT3MC8rDvGlTy
O26UqEGPhl4lOuNdldS+Bic/rWnxTshUYrYcCN+KKJyhVqooVp8lwEtkd7Fasz+nKa1kTpFXaY/J
AiBC2c2KRL6uhHoC7Z4WAnCPrkBbIAaNhOZ7MYXRPe0/7CIwak0Ap+dBU8rni5pn1b7DGmXe6Z2Q
dy4qU+rs1paFRpqoD+G8x+oAJGhrRUpyRjdT074I6LyiBa/WvfXY5kMbfwVmNI13SThW3ClLFGtX
Q5h2mr5PAGsjiolx9tSfcfdU47kE+k9sJLtHI0nai3GimAcz70WcRBRjRBgpSDrtEALywbNGx5xm
VyqZIFyqsmCgUZIlGvaHIrKwg5MnWq155Yyuj92buIs7UqpNKW2fRB/Dy1FC9chvuaPUy25AsOlM
mbIoumJ5dPKlkhSS8b1OJznbZYDGuj06K7L600TJVNn8X/bOZDdyJIuyv9LoPROchy2d9EFyzYpx
QygmzqMZx0/rbf9YH0ZmZUkulRxZvWs0UCggI5FhTtJotPfs3nONzMmjQ9Vma0bkNCut8DPb7c07
V2uQg5AcUGXWER1uZ32AvwobH8VIN8FTB3v32HWJml2jSWqmzUr75zCqrR1903lep3/VrUYzbkXD
9dy5Za5H91Gjzc43w2stcaknTqZcTfzo8igWdt1o23L0pIsnZXIBVD4qUJnFSjTczDU100U668N4
26durPgtyrPxy9JNHUkQhIk5zmeta8sRwm1UiR2caFOEJepO4BNmQyLhxxFcI6q4xllI3sqsyLhK
TcqHq5iYlFbfzMSQrQzowfToCXBHn5wxFfoFeUEDEqTKVZslZVbLbKaVaNozCwvVULNbdJt33ldH
FAXkD8acfucQbryAhIss/+LWpKT8sMeosn7Oo2FmyZXUzUxGRztGB5IEIpnoF9yaAKQ6RaI/7Zyu
D5Se8Mxmg+7TaQ4kx9o0EHNPWPeOR7IsKkhpAbyZE9VLfuldzqcAceEyGFyBPXR8AxBZRjZ5F3G6
ICQbEPNv0xZZ9FUjnEa917LeVY/QZ+08tIEK53dIFRZCqAaNjAaLdajXAK9TidswvF3XYWXxc8dT
6nLLZ0OpSB9sbac8LsUijHUgxXGvmyYqjQ9WOXXuTTRppXvdrQUC2k/y0JLHUkLDGja8vX17AUwL
a8MVJNSmexizdhDiqhr4ZHRh0XqxEPsu5Rtw5aRVX9+WSznjn9KayYVAq8u5Kr9iI06UfQRoPXlo
YYSRfOHObm1eIhYEBFz4mSAJAiiVhypO28VYZK2FQBzO7lvIzhBtA2kWuaPejQ3BYoY/LmUCSKft
MyLFRnRgyQ1LN5fHHnVZ1iSBKHHXMJ/WC6cefOqmmcyq3s8Dp5g/SSYrZphdrdKrArCQaaD6FyWH
6RjkW7vh5hpuRpQdcuhhtC0+w6x7ho/ncVoVmaLJxC41s30yxhDl0O5O2QBOzJPAjLMBQOu85q+k
Np4iDy/ELuulHn9Qe7V2Ap5ZniO2JE3MuuS+xc6nYvS6RPEh5zfAU6q2oc13MBvkSl+XGpf/musB
lZ3vhxg55x+byr43lmHS94pjZvOhz1LDeGoyhF7YN7R8PBrF1I+PHWlDc1AWs8nmgw1RG28QLg3N
x9SqRl4hoEQcfAZpoubmTz6+QOlZN1RcKvw3VeeTgeOocpdSx/c1cv8kFzt1dhbX2QF+noUWUoA7
Qwlpure7DZ9wsi3GPJqLwyyz0VCCJI6L5LvM2I00QUxCU22FM04IE8a0AcVa9YsIXewP0B2ec0QD
S6aFTw80IwgDxO2CGJDf3Wn6mfbEyaHvavb16E5QdazlNrTBkzJUJiPbp9pTwyR3brV6IKwE5bGu
o2jyIkkXPHPSi4w0dHYoB1dpNk1ki62Wi9iPMiSIJieL+6aGmjZq8XDZ5PM+LZrbqQP38GwzfPvn
RvI/Ywx//1Kb9OE1FBWgBMXLy4rCs2VnmsR8hmmsikvNxbbiIK/7osSFtXrWyvju/QHXEuXZfpb4
MDbstPVQsNCTQjrzcsBE6BV7wGwKB5K2DlpHohXTWMF6Y/altyubRV6Thsy79v64L8t06M14vQkN
hFeEr9jgn16Oq/fWAEpJKIElMAP01dzdtq623KqTPoUK6M9/dp2vxjuZAqQeeoprSSVQZKLf2/OC
dMIRFXCyZKbBLsh9bPpZPdNLev8qEQi9vMq2VrrWTuwuRPMKDr7gGycny9yqayycFudV+P5dPXma
61Uy2UFBgdsE0GqvBeuzZkEJrolgbqMNMyPp7so0rdxAiTzzpm4T5bbNgNHhCnPIOHt/3Jd1/e+n
ybgW49Na4nTkZNxGS0xRIYsPq3opN0MyZfdzr7XHxmvd3ftDnRxQrDG0ugFV1yYPlG4WbfyX16jP
huirPOpQFuNzSnskluhp15yQ2Z4eDfxnBBQApyoDZcyHjZ0M32oXQ8YyO3+1TP5Rff7/KD+Wmfyf
uU1+XRAg8vS8jF+PqP+q4i3nDwjprOHa2hRToVD+XcXb3h/AQTmH5YzJPKni+Ve2u8b/0qkm2UfV
+Bv/VcXr+h/wZamu2JCAHl6r/39Bpf5aVN9jxQKwYI48W/XMlRBlsN7R72elZR69nEPuyF5spGEA
0L+b4jBTHReYGfE5dn9VYZEYHxU9n9ULLAGI49WktpegqzVz/mbN0vwWx03kfJWazOKQk3oFG51t
zwDNvEraxIEB7v4qdbv8RrTXJLdqQ6GE7j1bVb6qoqIJxzcyKddt4eJtZ20a0fR3hsULI2gMtwQ4
mG531/MPPxpq3XofDR3ZVyGVo+mQalDGmDjVaImdr4lTRt6+MWf2376pEnIVQkDBrujSLSi3s6LY
MfaEyuKs2ZVowhFiYt4aCjG0+8KQnpFx5BZ13TEx2N98iBzU+qMv7cSpdKw+saX+MAupWAGWbRBX
kkiDSr+eG3vUrqTslfSqUseS7D4cJezfMowemJcGqghUxsagwV25cqWZ2LckqnhuHWaCNk/mx307
peJ7SuluZfsYT5Kn3yYEV44x2UZS1dIL0Vk4kdhxFxjC2UeTfGB0wrt1sQd3QZ73unfZLUlN9g7q
64bvOA/b1zIKhE0umX8bI116zrhTOfQk9OU4KsK6iQpFfDTyeRABiRYcOdZGj1UHpSN2KWKDRH2o
tFzn6892LpZKKFplWvbq2Oroq/Ec+ybY8s3Yxt3WmG2oslGLeb7xqvYmJyRvWfw6n71vXtJGe23Q
SP7q5n4sbxPHo3ETcxLVYOzSJDxes6SBwDhJlj1yq/FYUKWIdOOOY+T5YPOtJnTz0d3FvYESPnbm
6CbvXf7daOSZhn0Nf8ku7oaObL1Zr/FpDLLO/Nrr+nIXJ9X0KNq8mXfRNObKRo8HpNo9LF2SreaW
io/mESdsB4UugUq4B3/nYaoXQ9lMrUmcyagMuqhdH/zYnLaEROgmUSBGkoq2uDCoj8mhM60lywmf
rIAvfokbk2iWsm+NZEeHNpsfh7rFSUyYd8NxTdPn+eVSR8mnmgw4ZSfmxinDqZ7NNrRJsvtCsUhJ
0wza8NUCvodJcUKwRwpdilvWmokLIVtJ+dKY2CpDEpbnJBg9tshC6uzrS5SR7mVnSVpjEI71IZin
VB5aLy+mXTEOc/GlAvuQ7MiVqJNt6XgEzHUKKN4gU6b5W6JRCmIDqxbwp3Mxwdbo++jrEhHXeOc4
EVYeti3dU0J3QDl6RHQ+pXk/yF0zO9HAs3Mnd1cRYfgza9KcurptysAh3Y5WWDeRwetGHKLtMsca
nxaV/QfuJtvieVt2TxSks5TaL0MxItRHE2r5TVnyjAgkXSxvC2rdopdiz8juZYRVbduLmceL6tjE
Fil7faMM8zIcs8irnoS5Oly8YvKI7bMm2wmqmkmI74F6hcLbuVFJPkr457kDG2s7ovfHJlfHIyFL
sesn5RQbm6j0XLnrk3FB7zCQcWARyRiTS2VT7iw20QTYcyfp7WdFJA+l2uQKdixNPLlN4+UPdqLb
06GYXeLtas2SaTAMpkacGxie7ldWAm0P7IF8HiJOHcKJKm/KnU3pVMIFkRxb4kPbUtlTmSX4ehRV
IfzMU0RlEBTjtBE+spiYp0nl+NY3UpZQEqLMdgk9s7X0/RKrVRwmImLh0Hl5Iz/JR0en9Wp5SrDo
kYKeeignO+T0NVL3iqUiOlXYreI0qfBMbxUrmZN93RVEPZJfqTyISrc/gbGMNd+NxAR/1Z7tX5GW
S5zFKRS29TLt+CbPozw5jNFcUXhNXq4cCJsR5s5L8Z5smnHOui3Ambm5iCy9IoEDMLGHJlXJaXVl
9TBh0hirjipqqL71eswbOOQlNmo9nalby95xo4sOb0kdjFOWUwmLooaQS8FL/qGCM+MyHkezvbZl
UbZgqLXiB+2YRV61ZqMrF9x0DsZE2trTxVi6dn8hidgmnLBUmHiXMRlHCtgA3a1vxwV+70409EEO
plpVLLC2RvAkOYeQcpyh1+eAkDiAd3Ufj79ijyLQH3Q5FKHmzCNQweV3yih5hSmNAptbmWeGM+wi
R2JDXUriwv02EcMU5FE73cA81B9jG0vQ0HX1TUmP6R4Ba5rh1VTKYyrsSQ0brTTw1EQd/nClmgak
FQT3ZRynx07Kn8wi+zlZ1KOb1GziHyT79AQ0OW457pdmoeHuxWnOJ0RfsQIdX05jaR2NmL6ORlBa
ljNpPloyV48qibi4zFUV3xefm3HGmF/phU+4r26QVTokZtglKbfUgtmQHqdG58ZKrPziOIHo7X8W
/KIcv7auNpeWN+Je74xJlg9K0+MVZitflk+C2wtsZWJV8qO5t6ZHomaL7gnaeJVeZizTTdAlE97D
YtBHoofUZMYUF9VFQBthIBlRiZo4jE2rkdhgSrO+maWuyotRK7WfnV2OZVDPNom1U1KJdic92vt9
6KqRWK5WmUIyPph53rjF9WICDLhNM0ftN2Y9RX1g9oaUd1Wb8v1pRkLTQgytIy1cr/e6S0WOCzHo
HNqUB3xCRh4SLuo4QVYSufUARUNZKp8WvdEFVaIaT1mXFgk3cVBxGcmqVu8oSAhrAatqwG9oVnTA
zDdguuJDmk4XqTFU+ZWSdWp2GQ9u+Uuai2P6EWnED3LqFBODUV2BG9Cr3N52taJAd+/ageOWupoL
4dODjFoslJVhg0tweEUNXJ3kzCbsYMJccGz0AU+1J69kXzX61oHVU9y3A62aJK+r6GGyxIR5rNDx
ehakJ6WfqzjxkG7TFgUWUvUxfkhyQ9tHDUpDsstoxwOG7oF5EISZdnPuHDOvLONNYkZYeVNbur6M
9ZHLna0eH6RUR3e8j8uZ/YJgO6d/d5s2E9t0sEk6gowbVe4W4NiA79fhQT+4g+4gXapoFfv577Mj
VIaCJk5bDyxz9LtccRMrtP/xogz98hFLqOb9Ip+qYKWUdUl0R0tfvfsMyXj6pY3RwCmRZ7PkCfJK
7Ou6WbLkXoymOgY0PAGmD2R+Y67l/zDZtZLY3VFEWnY5LsLsd0Um0s/M7oVIMmOgxddqhQMgw0yG
baVC/fhuIoRswsioqiggzsuUoVs3Krr0Rai99lknG1fbVoU2abfuXK8XT9YvRlGw9G0BQHmarDBq
VjwW2bq5tq883co3CzEbREsKmTs7DuhldAmHw6Sxay64gMvYM6PApMkLzsgcZea7sWl4Hz1t0ue9
5hIsHAow+WvCpTJa3mGRUy8/O53bqwGPNTUANADQD7NxhBw48V0sEW/msdN+HLuRQ0KfjHLkX+wt
Vcf+WJdOyRe1GYvlGIOZ7x+Il+M/bPo0v0x4piQfa1YJWyxSRXzIbbLlwjlqCWsFaalLjssAb2xX
sv+nkbOwZmNPilyd+W6p7wp1NcMVThzXGykWoyz+7Mn8/3L2f64isv9czt7/bP73//pWQCL+HzQ7
0zUGpXpR3K7/+b+PqJFRrfogjpnxHa69xr+OqB39j7//lNChv8+nNe8PpGwer8+qeFilwH8Xthql
Mu1IgIGUu7bK1uAf1bUvqlpYkJxzo9GDoKkjTjXXn/C8+wN83F4kwZdhNO9nN9oaTMYVmf/s3rzR
olx7Of+unf8ahbah5ejwADkJfzmKllqNKpwIAXNWAqXoK78uqSHfH2T9qa8HcaCl0Z5E3XjSUKoV
yW4cXlxoAVhQpuQiHfsAW/WPfz4M0gEEHIjW6Dyc9JJYYMrRHp31WmBOGvHGKzCcO2e8HK+VV2QB
ag5aWqQvJiLKkwcTeZlCQqteh0kcJRcJ6IDR7+olfTBmYDwbJWs8iFcLxZPOMUDYab19TaJpvHVH
Y4SJRkYkMmrNXoCysOdXw/fvwsuu4apm1ogQACaKlhQl7qnEKEdO0Eszb8K6bLYyNeBYDB8LEkra
pWHfO01nZtCZ8V4pjfqa4DOKUnK195H8VsYXA7IGd760kjNEsZNm4V+XhnYaDDTXxUW+nKycZHAu
AzUiJKinAnzHEeQ36feBvs2uiY/fnxMPru3yf8/bf43HlFXX/73SyRLomwq1bZpwwntabeVvcXh+
VqP48vX4axiXIArTstiEryvK8zcdnz/bnCJtQtlMe05L7x0j20WJvPynEwOfIoglqjkU6KxRL4fJ
BomyLVbbkAQX6DEtFvmebQLtkWTeJN1Zc97Lttx6WS/HO3kdZ8UgFrlhPCsOV461uIrv5uxy8L87
uyr0xk1yB7gARPCZCfn6dq7WbFrLrMM0lE+tCnQ9TMGhGm3zQZHwxqr+i8Wp34eOeNKf799SbV0e
X84Quo9InByNHj3Yt5NH14I9SHXiFMLVVAtlAsKK3x3NjbGXe22XXS+huC322UV8c05Y/VrErZs8
S8d04Szbr7VLHuqWmgctQtoFn81w2ssLb5ftO6x451SY6/p8cpXkdQCmRRPMx/L0HKuN3YXjd9h1
tVoB0Jm/Fsm5iKM3buSLIU4mi510RjZqgwwlVelWG8QDVBSsA8nwkdr9o8ahVejI/AwO9Y0VhRgu
TyfQD0QHes+T56cvucTzWPThsMVNf2xupsskaL9z7o7Swoc3cm5y/k4SOL2XBsJPMtc0QgdOkwYE
cgy30CnXzJ0BVMlf9m6QXoG+2+UbsbUPFE8TJgZCr/30JquPNLDOHUv+9r+d/AZMGrTB0boazisH
UaYYWaKA8ArHTXTnXtWhecH2cw69bZX47kF88ULnK52bY367cu5XM2IS9vvqKjrzrXrjVX3xQ06e
Oh2AeHSI1g3FkIZxgh6nT0M6vf77r+kb8/fFMMbLlS+BGLno6/W2XXFb1i7ux5xt/vuDaK/XO95G
vA4Az6F5v8JC0FqgQDLaPnQ0fwyNQJ939U+chof8cbXe1ZU/PmDaujy3IXnzJrrMJ9Y6Ph+nFgtY
GTKuBtmjeBp9075PtO0kz7wob10bwkt2tySYI5k8uYN5YveJQsgsMpYmEGm6VUUI6nk7lPGZ1fvN
24han9eRc/71TOflwwKhaCVOPvfgQDfR1/heDduL9kMUEFZeQ5W60DaQH3J/3HuP7z/At+7js4FP
iQVdIWPhJJDzSuMqa6K9k1wlbn7mI7wqW0/XUgdzFGUH0oXX8Q59NNdFu5JJVhy2cTS+RQdvUx9W
FHYx+ed2MG9dE4Yix0Ytu2bPnnzzjSVDAzDlQziQ5GNMJZ0uEGfnQpzffGbPhzl5jzkcbJrJYhjS
xT+aF/JgHP9EWpDP99Eh4Qukxbg/Z8d6vT1b+SsULsiBLUyJ68U/Ox9vyK/iRLAewnnEMw31NOGA
oW8P8XgdDZq/kBg+mrv3J8lrAyjn8VDhCUBeP/mvvvg6JqZaWadndly2nn8lNou+mQ4I7ek7g+xt
wnlbpDji58vEt/fyuoR/vGR+RI36d1F7++dq/Vxb8loXf/JDTio3j2asSnuEH3JI9/gxt+muPKxO
jLN2sbfus7NOHg5gvDW++OV9RmbTxaKBpQg/QvgGfcPbMiQU5ba7tI8okQeg6oRIaL7+Tbnt99aZ
FeGttef58CeTSwi7HRDlUUnlRwdqoeE9dhEddGs4o3t4azfAYfa/L/RklYPB5Fpeaa/fxSng3BJi
ZQJMOz+MQNE2gFd/npvCbxSTTKdnQ66frmdzOMZ/BaiVIZOjDHBs896g6vDCwjcukv1i/lfWoXXm
PBvz5L1Ju1xJGriNYT6DAfB8PRQb4JR/UkGc2Z++nt9CvrUQPR9zfcjPrrPtu8iKXMYc1GmnZjtr
wITan8n5Wm/W6b5mzUzE5oXU0Tt1cOD0Sh3OwpgpEk+2uzMS+9wUOTfEyVvXj01GTCtNRNQxh4kc
F/3nYO20exPXeX/j1Vu6NOdo52/Oy+fXdfJJ1AGoOYpkkvCqr9/Du/SrF4Kv/RhvUOHlfr8/s7as
E/2dG+meRLDaxoCc3uFGWuxktOOQEFazcI3tQX1kUd3H51A7r8kUzMlnl3i6xhj54BW9sjZnD+4v
9Snfz9frimYf28/uDUcz1xf9AanEvtqJT9lKuw/fv+R1o//eFZ8sMlPbOYqlcMXqmG4MIIK5696k
5j1C5t0MVv/90d56G55f7clCU1Oii9LhgWod9FNO4JVj0zhn5uq5QU6WFsscWw7UGcTQjqaYNqgW
0CncvX8lb+5nnl/K+iuevdiSaOAFjXIfRl+r7mp41PYegK5JHpt73a8fzk3NN98/m08+xh0SEn+/
Ks+GI8AiazOLedJEOa6EckNS+n9z354NcXLfvEVNddF5fahX18v4C0yi2ZwhlLz2jK7T/dkYJ3et
QACuGCJa607lO0yb7tEkLScOlY2zoTX6a/AwuJ2b42/Vni9GPVmEXdJ5lFZhVH0H/gWN+EHHN48U
FcdqkP7saFkotGbaB/E4/ujuOU8/s3s69/ROym043MBnEUqHKlYE30gAyw/uOZv0uUFOlujCnTsU
XgySeiqAeds32//LyzhZj8nAbm0wfFRD7Q8VwigpB8H7r9WZaziFH4kCvLQRcQ2RGgUxIgNP+fhf
jEAph7APByfN1JfvbdSAG889hZo4pwmnXRrLuaCUN9efZyOcLKnG5M2p4zBCY93Tk/Y72s9Jfvv+
Zby5gVol4WuIPb5A62RKIRSwNGnEAx/kMSRVHc6l74SrDxoGbJiE3m195uu4/o2vPhXPRjyZX0OC
Hn9ZKzjLFL4dP0TJMdVv8uFQF1n4/tWdG+p0ovHgwAsgAixAd85XZeFdpVXl91m7Gc4nNb210X52
K3/HUj9bW6M4K+FUcWF9flHc/o7vCpxrOQc1AqabPsCPEACFb7XN9M9OiNZeMevhv+/pqcl3NAaZ
TDZPMYqvEvo/wJEwVJ756r61j6LoJrhn7ZLgvjqZ84pKp91Bqx5GV9Fu3MUXEJyBbsFs+53meK74
fqtF+2K8kzdgwai5RAnjzRcI0rf1btkZF7oPHP0sY+o3dPRkVr4Y62RL4SWcOaeSscZNmu/ZtQXN
xguUvbZde8NwwynSsqDcVfwMEgDvKGnClmysaxC2ZBRF12c5RW9Mpxe/aF3jnk2n3Bo0dAr8IhS1
5p3e/Yk8C5VQOr5x1RGByJ0XD8pt8uH9t+aNhYcyVdctU+Uo7FXIWaX3hlqSLBMiZz3Gq6tzHgi7
GM6h496aTy8GOrnCmvuNBJIEk3Hj7sp7L+czyhc81B9QDaWfcZrm5+bwuWtb//3zm1pnpdVMDImE
GN3xnWM1vrCe3r+BZy/sZKNQ61HeAhthlG11aG4NeE/llX6gED4sH+bLc03xN/pHaMRpLKw8H47V
T10AvTIXSxyP03oj7yLqNn+F+QwXXmj74th9XN/QdBuLMzu91y8oHDETrgT8Ao41aNu+vJtt3mmK
JNaDEHJ9UkiP0UWyyeTQhoWsjYOLHzlMCmF8tWoLGJ7dksjaKW29EYZYznxWXj1Zfgt+CzqQ9lrC
ni6BS4f/uK7GMRR5jhr6e5Pp/lg+vv9k12/Ti1XiZJCTFcnTSa8pqx66sp48qYt3HMR0uUTUc63R
/fT0FotFdu7KXn3FeAlBALBd97B6cPbx8i4P0rUTsNb0xBfSPcbE3hXwNfS4vUys9EYhauH9i3y9
J6C7ym3UdCwI0K9e8f9Kc0b4mKzTaQ3TykNxNXxiPkGsJFfiKr1pz3V133h4L0Y8eWGSHhwyirJ1
xDXelRSDT2vRDJi5Bwk3PwCCO98X4HD49eM06YCuJ62au547vLyzvdFV2iyLMVQ8A7Y7JyjQuZeB
A4iocgZxqAdT+qgCvTiYWx29sFQI4+jqyN0Oi6p+iiQA8Y5FrNrkTWJDI1DRHN5htcyvMhkbe1eM
eocoVW/nyylDJx600zBvy0GLt4mUDRfqNskFMUPjDUXTbAdLMU4iaGaxfE0I6tpLR3E+OwqufYAG
XrOZh9GMCL0p7CAHVtj5YOXq/QKGc9O3S3TbNymExqRt9147f89JYZPIxbvmMSF4VZDBkKSH2cvL
jeauEjBI5/kFwhZp7XKrcQM+gsM3IpGaemP1lYVs0EGtzPri/rCVDMSaM1X956KXqF3Vupy3hlXZ
vxBMF5GPy2i+XC2wR6gHcXLk7lh1OJaFWsKeS5LIHyqNeBvNTfurcXaH29WnjK4Pwvl2cuP412TE
6Ls6owKPELndL1tmQ0jqU3IJAh5/SoIFdwMrokJFNsWlvCF5g6AS4UntcsJf/qXWZB1zd0R9qwHE
R0iWtwfRtMq2MSb1g6sMsg2FNRuPpYbwec+yOcZbZemKa4NwMKzx7nLrJLD5d4rTuDvFaOut4zR1
FgyogIVvIUrHwWuOJPyU7AIKeyMw6d2YhbBjfxCxFSRKzTGg15jfbImRuC7WgAj5KG0lTKvmNs50
YjT1wiqOcZVlTzqxZ0ZoKyAIAkwU+r1Y0nynR2jyliWyrz0Oi/exGRfX/aiMPxZ3qT+Sc2Jfy7Rh
3TGwoXzAlmxqQVK6TUcDv3OfuqJT5WaxAI2HwCkMYmy0JPm++n2/CCy2dmC7KQcLY5+zoqiNmV1i
TKw/dnqa7mpzwqKwiJQn1iil7lflSqlxVbK9N6AQksAQxPttyw6R/mgILKKsIhqPDjl1oh1GkoEc
n1jj9tjlRXnfzsZ4FB0aHrIZ7BnEV2IUqKeFeIrVvLwxWkItTCcnnIloEP72qI8+lZ4ybEtz6MK+
SKfJ1yLDOca1YoWcrw+/7KjHWuTNmIE0yTFw0yvLz4iz/t5XM6XTg5nMlm9zbw6G3xZWc48Fy+h8
vVEVzEjEMViLppIDokXOZW0owIREQ6zmGBef6ibGC4TF9JNqFWglhVH8bC0NBfCYtlRHbTt7eAYa
5WeEB/xXFVdEIE225TftJO5lScKaNmC+dqw0OS6c0G1mWTnKAR1jG8ykudKotq3qUAmr3Us3hTiZ
lTZhIXXTbepm0vx5brSgH3P9CdtB6pe1oV6rg1sRrtGk2qGuNeenWiqpviHTBcmZ2xkFn+BqOsTe
vFwPfB2PbAf0iyXv8bWzX+jyUCvBRHi9212VLIafCWpofU000W6I4ZRFY1vdNEpNCh5nGMnOidVu
PxVGf9uVqbLvvKQOnYEoix4Uw8/IUfG7kI9318xEWOxwM7eX5MvZmxR7/kXvCBwW5QqACXoFtTp6
2TlGiUyH8pdIuuin3WuRG4BY6ttNO2jaI8EEWoLRaS5uRTEme6NZJv6wW1hZPVd8XDpFuxwWiXw6
brBChHrE+uYPnjNdOEMWaeFoT2La453FGVNZ+MI0teuRl8f1Ig9R5/4s1MSKApgro9xkkzPcR51S
3XsVG5WOefEtwxADEqTBCRONtrZsAYzITZk7mBZsKrYoFS5hM7pRBWYnnOtaiYpw9twBPHtaAsvT
EfN3i/ajBvXpdwXy8cIYll+eGOoN76aJi0jPpq9e3RBpKFU3sPqW3rfbDIdWxwTfDHx9XNxg4eQK
LQ/SUW+f3MFIRh+/7rqpU2YJ5EGKOOzMGTh4hMeC2KU+Cx1weZ9cS7GuNF1TLnSW6sAmAzJIWPhC
qaTYq1Rj1h69nmgTn6aG/kPBYnwP+aF+igk0wQumVm1xybxIPUbpdLJPY0S9Y6fLvZgI7/PTrK83
XubqH1NwBTnyEmU5zL3rbixyZ57GdBkeRrOOLqZxHDm2HGY97A2Bhwg91UbpdTfIBhdvBHGLfl+U
013ljsqx8uLej2KcN/ifyLBoeK0HJ1t9QGN076lpfyhbAQCfPBO5UTsZRnqy6QY3MKOYyJybxQ5m
UT1Z7bRD9cKXyOjozmEqv+QlonOSKvYm0QX5lrNcgqwySdcmQO5LWtnZrhvkcis4l9yKXnCDll62
LJdT+rV0RhohSTHeCjnAQlFMwiuHbBl/xu0sd9GSZvxaRxtJfFvm+C5BmRhw1CqRvZdzk+O91dSg
GTXrrol6ckmQw14sQhcAO1YXSduzJEZVZVBYOpG4Jpql8CuRpUHRdOOh8FJoOCO+fJEN8aPpVOCH
YRAFkIvS21zJe1x4hbPTcHxdxZ5l3gzrF5kVwQ01q5n36OGSixmY2rYepTw0bWReTEpxWaWoC+f6
em5r6wOnTn04KZ34mOlrOkjTd3cxCAjfHh3OS1CU+IMkx7ORPwhd6APRWhdZRcQCAU6beXQxChWg
WbSZXxSbqO05+Bv6exw+ANB/aIkcNm2PUK02hwHZ/pgFTgHhA5WiE7iZTYyS1eQHN7GcW5AbRmgp
Gt6NlhtnzJ0ddCXEDHjU4JF7lR81JbAwGw+HkxvFtq+NhlcChW6dwpfSIcxDT7RdmcTLFKSFs3zv
I3JaQZTIvNm0nq0c6nQSm6ie5I++rqr7wsGzYruZzgGe5Zrb1O6Pyki8muVN7a96KpyrOlKndtM7
s31v2rj7fOJzYq7KIxUmb9yU4hyzYtCWqvoddF335BZNqoYx/ZKdmnfjVQcv4kPMx+0w2zgwd1Pq
ZB8yXalxiLZa+TGqReyCU4qdDSqbaeVrzACuPxNLGX1TZms6LBpxnZ1EtU0kqxdgzRoDlciZgDCv
4RNOTDYCRVxf1llkpQEc1PLBxfnyJZFuxzGlF3HqRGQ2Jha1NK9rGa1iycG4swjrgAw3m/EtngyW
XZAL94QMUWdo40QUcSM7EcaTrcKNqZU63g5VataE61Qt3sOiRJCTNdX39wuQN6oBi4YWugTwjNYr
CUuXjkM9T2AYekrFVL+0nAae1jkd8lo2ndRynIJgzVbR+qr6qSZHlW3TJtE8hvrdmF+QCAVgpHr8
P+ydV2/cWLem/8rg3LPBHAZnDjDFYrGqlIODfENYbpk5Z/76eSj7fK2iasTp/m4H6IBu21rcee+1
3jDxVsfnEMu375xukg2XxqkP8gUuRdPTx818l6Qmj/b2AxbpDwt2BU6TEzZM3jGxMi4RKwHeZZAW
ARbPm4bd2lDTOQAnvqun2Z/yzHhBJjW0VTVZeYC/L2Utwi0ecUXUw8Mx6dC6R811w2UAa53OTjL3
l8PBGqzyfZplEXCRfshxPfYagYDDbthCg7Seg5vZBmZyjMHOvq37SKw2cZG75qJVBzk8PqfZ4r/k
TPvYbnfBvUL+M7PX0jpnkg08ws0Z5sgblX+fvk6LBMmYMJN6R1db3IiVTt76cQJvCtvdKi8dhKWc
rFTXfGEWAjEkk+nWt3EXjQy4w41hQdwJXTAnvQ/s2tXLTenOCAdcgycb9f8BtfR8JxyUp8D9eFnI
Z/IdJ/EX+Q4tL5TCnNstuqo7pwPkT7K6wYuZAxUEltNuNfBBzVW++/4r/Yy4xTZyg2/CI2rZa7Ps
3CpFlXbG7SkIJSxzXJWMKkDh8zVZJ//ZpH+2avjp4waf2e6oZf4VYdHfRcbVHwA97cVlOfBveX6C
J1/Z7t4Dr+ZRRSNkVgmhUvDa628ynwUiu2pZz+24bEBYp0dpj1Gd75i34tNgY8fW7pRrzeXmCrBc
uR2/aAdF3QZX7Vp2SXm37xqk6SQoM6YG4PJ1+r35kKT0UxiDyE2Mx+qgv8xF2/CQXbfgZMVNuFX9
lbLFq37F6UZ/EnBZDASs6+XCQMDgED32x9Z5lRh+SG0V7oO6I3dnj99CPuNHSS88AaxxMAXvnOhK
2aiuucbCeJ904nMYAF1iLN5r2E5mqUG4Q+dnBofMx016xXGzkXcZpiH5WmbtXDSA2Rp5/Jn1sUQw
Rn4lIdIFtxNDu9nx/dUry7DRivyhfQp3a6vlzA45q9dD4oI6Y8wz7XTTShIN0YfakhwM7x4VDDSC
bXWBeyd18exbsAKrfb9y2BtF9GZBC6sQlhYFqU5OphjxRSy4BJRDdKeeGsfqzJUJ9B5toBgI2oqz
FDqqUMYSKBnm4qgizqiwdDx3OhjP6YuEsulBYbVITn6TkdJ4ke8/3hXOJNfx9kNPF/lIA0D0ktZS
aj5leK+E9cU8kW1lK+2rvebqu+ZqrdJ2ph9N8JiijNA8q3LpyEf+UqNm0apOWJSPiYX29eBdghJZ
Ga73dQo0xwwOGF1iL8WKZDE5VC8ZBa6ZqiPeWTf6cXjU9uHRPFjf08v2sn0crkJc/9auWa/n5On6
JyqCOWw26Hq9o180EWL2EO2hpm9BDOG+kYH29DCM6+zOGRzfxjVuZ60ajbw/OLAgQPIVxCdCdZBb
TlcCkjaY8Pap6pBfujDy+ltYrFGS3l/wCEFlgP3UgB64LMhik8tLsAzpT4xFu+7WwmxKKq9LfQVv
8/4mMscxKAhqc31liSnPxKxI+gQv0di87mr45/6Fbnwxu8jxtX0uKivz5P10hH6kg/I2MGiR3qHl
K3nq2ymDiKhnll2OTwlqQoWeOh8vsNd9fzEvUFUGAK0osKFJrJwOkB8Ws8IwC6zDtnzbfU2/k3Vz
/btuA3fjILjibrYoP6L7cZHeJKtuUmcGz0AUClYDqVA2yuX1TkhaEB6KSi543BQTksG95cRoW/i5
tbKDnZmKhAJ3DRHP4OSZO/zNkSvFKuKS3aA6VHXvTL/6RHJn/3Fvnm0NRUh2Y4k9ZDkVcy0CH5fJ
2M1OKILCxA/jGuPUwC2Ew2uk/0/M/o/5zvYvDPs7sfDNC8/7lxOZMX7/bya2CXfaYjKzbmBA/lL6
/2+xcOsPavkcIFRomeZvudgmf4jBsmYRuflyy6D+FhmTtD9Y8CwMaLBMGcv8d6jY3HZmIgpVNmY5
TNDFBbeV0RZmn6zdRgjI9JC1yKqjX067N91x+2vlvoX0n74bNCgMhOGKg+wfTFDOztNZPk4lt65p
rN1WEC7yBpvj8dlT/lSG4DZRV4ko81n11+7xOxqXdjin8Bh4c51Gi2mS5MlT7ZqVce0DrbLDsv8K
QKayjTQFf6jCe43Jm6ijtK3M4BY65TfJSx8yI7xiuR+GinRSEO/Q3HomU/7Y1GsYtQW98vc3cuVH
320ucRrzvvB23fcoVA3WULueNYSbUQIpWyjmpoB/v40S4SGQysdSkveaL9wXsVxuprlII0TDrRpZ
l6I8HIC6o+2tJfI2KPMW8nm6MmiLXfjXNzLHYFzPGo3wlk6/MVC1fIr1snYVQyULTFJfaqtdF6Ec
jMTtUVDzr+rQbNCL8O0pGq78gJqsUiJ0pKT7Kmg1WxTap6Aqv/VIrEx+ts/zCQsZ1DRWDoxzI44k
HzOYlTYLFZx+qaAZipEY9KYvq6lbpCN6JiE5f4UKaZxbxp57T72JK2pGUy9uP57c81Atp5sFewxn
IxUL2uXVSWzNQo+9onaTKnQz3WMdCU8fh5hPgbchkHGQcMhhPqPsD5Bkbv+b2cINIISAh75vKpoX
aNzuQw0LpVxfeYkumDf8/DkOEAPuttD/YVYt4jRSOkZZAPvcql78zCyu6jgMuSbhOK6lRuLGZuRv
wzHxoY348aaMqpW7tX56Wv36BLQUeIfRobO68+knaGlmJEksVC4nY3wZk8d3qrTons1+HHdNmlfC
0W/68UtYhMKmEzzpyY81OApJa16KGrV+W0+T8KUrEtj0lpFTAEkV0rSj3u8ljR+10zWh/jZUIOVK
67oojfRKy/BslMA5TtFEXUaVNmJYRagBFZKLxsFNWwitq/i+uO1946aLcwR4J+9TnqPJjLbiJTlM
Zc9nXApiBSQuFrSdJw3UBRpRtQcT6bleRYEeHaQbs0BcTQ0j8LtxFNl9ZaCqJwaXiN4lTm/kh2YU
IVlS4dF1g8R3EwtfhB4BMBFbA4SThmc1BW0q6SFG66Lg6N1ekXvZAWZoXWpWsLKwZieLdzOPyyUl
Cq4pOhv56XDkaWsmXVpXbgJ+0pGjgLRa1Ac2WwPZaM3O+vC+CazQLQdzyLZFEbSukVXqISgV8aUN
tc9tq/Q3fatYSI4pqo1Yn+HWaU7Ry0dJbez8q7rTNn4Ff39Dk4UvQ8UvFpVfbkjB+9/8CPtgylt7
DhHEHZVy2vii+fPvLzCePdz4eE0yWgtayOiLgzbVCWAWuRY+JX7YXPlT/Vi2Ccf+vy4Gt+9PwtP7
+q/prXF086Ljb5yVTvuzl0zsKzA3cAsxifdZOQmtbQ4JZvOtyK6VtD3QtDp5ipgHK1fNc5uIjsop
N0G40Szv09CiQkGxaIrKrcM8filr8wpcjPTkTdkafHB53NOFCBWI+JS9vieXkbypxuFQ9GAHZsYt
pVR0EhP1weeawWP9FpnmP/92p+LfyLtVQuYFxPfc8jfboyR0XtbHYuWKDS+uWjGO0jBtQk1vtjgG
XKkAUZCX+/vdSVBDFA3gSfNongYV8jpKhrCv3NRX4q2lR5dqj1qyrFIq/rh557ZlXeYNybaoUSSe
hWrftk/rBdMq47JyZaN48cf4u2L0k2tpKMtZlb/V+uGAhsHPEqFGu07jHx+HPzNv5mnDhmwZMk+y
xZTVS7MzKot5Q4p9k2ralR40u7pcs0M6M2mgjUDl5ZZM8m0ppWO1CbJYXla5+SR3O3nKPodVghpc
kWz0RHosJF6cHzdsgaZ7XYyzFxZn9ixmDjjxtF8lQFoT0mylKzeW9kVHhU8u6gOuJ+y+Y3I/grTb
CopeHHDJkB1TrqInsy6cvtHzHQXw6YCJjb6WhJyX4eKsn4UbeCng2vn+9qq3Ail2P2CwPXHXGK21
Kc3xe2H9qGaZf2Ma8LkU21tybnhQote9cus7Owywt8EWwoonL33aJ4anRFrVW6WLqul9Y/Wul46X
sp5dj7L/HFFD3n48CPPcXTYX+yLc0GZ9dwxRT+ONOnqu5PZLN5mso1zmX8pojf16rkmzetJsKUsm
cnlB8/UI95ypxzOmCtSd2nQZOoTVuOul8asv+hetsDaxlvdRNkD9TcSlcpBvoWdbZSMRUfF1Ijwm
boqqAEuQdd9rrUA6vsJgwFURbNgafb3HHOey1eOnrpavE73YW5E2oDtZf+9S+covhZTfrwx75P9f
Pu79c2sbvwFOdjClPAIXF2eq32SQurZ0YyH6bCTDVa+U11oU3P17YRaTKm7bQNfbrnT1uhSRto9t
zG3irSeCz/g40pnrI8rdfzVoMZ3ypLLCaaBB4TT9QJPRSTvhJmn1z006rI3yuZX6es7NklSzDcLp
1EXfQw5AF5ZupOQUqNXLuLX0TRVL17WpXYlmchDiZC9SlUf21r//uKHn1s2cxES9CdkQ/loEH8IQ
dCBTLJUz0cFCqXuu06H4+u9FWZw8eRMOyBWLpQsm1CZX4Ix+8g8eHTQETweVnR+03uKKmekt0gP4
1IDaGaDpIUrpTOM9ee/pMBjsQ0iqIgZeS/uIcskBXeLHj9u4SOf/OgY4WtH/gVTBHXDx5IiG0QMo
mtKVhfQtL5MvQgBpXI97W/LTT0MZP6lF+BNsYuY0sYSgaJ5uP/4E68w65Nlqqeiv8xnIWJ2OZh4y
0nGRFW6uVRQyquQlnKT7LsMhq4K8C5xrHG3NSO7KHvHgFFCyC+7JmWXWgRDo0pa8RnxXj17gSmV2
RCA9sjEOS3aDZW6VQh9AN8fxIVFHu8qCgiL1dG1pnb9rOsSCqwAPD7//PArIfmeDdjEgBew2Ddq2
pRTFrqF4oS0pnbhteuGQlNn0tQ1R9UKc1rMzdI43KSOmCxMqyQKq8aHsobhbQL8blfgBmFay1XP1
tqiMQxTkKMtZGigegKl20KcI2ReUPcU42chT6LSN/zh0KF0WsXIcquHSN0PFjYFN2wrgJzud9NnV
Jha3Ks98FYRf7QDfxuBaKB90PJ6Qkvf1gzcpN8GgzDDpELJc3GdP0mTBUMq9ixJehFtPAn7qpnnZ
5VqyG0VwaHrReuBOKSCp+Gwc4wo8HDkDTOSM5xCImpKNh1CIYLPWVr+R8kq7aCUJ3JKvrhzCZ14J
v0xkLZYECY3FfjlYXunVpVK4VTtcdXn/ZA3TvVRHAKC9B7FE3FOj71e2zjPHJCyNGdWALi8H8mKt
e1EGYEscC7fps8ie+glSox/cIdV/61vRPX/qHwTkwQWTgcvG/FY4nfT4Dw9CFJSFm5Fut4sEvmwb
iA4q1Udz6kK7b7KVfn2X0uJgxkWBsgKCWNQlX7MPb14KahUkY1zrOZfMUt6W2oh9lalFD3lmoGqa
hd/bkl/Uu9hyCku7S/FlKvLmkk/Lrny5QM+3CJIDrgjyVsOp7kZrsuxZFWRl14ID20RmEvYrvXRu
e0Isk71p5oHOgmin3TRifTbi1zhrW6eXplEcW8RWj3hN3aDPD4wWQi32P1O0tUr5ZyeYD2qFCOXH
G9SZ/QlIADcEillsk0vAC4R7xWhaI+e0SW0tAYbZN5qNWu9aRXeeZIvr4Cu2bFZBJM5yI1TAerd9
PuSuHKff9Ejb8eBYuWGfuZwBYtFmjjoeH5SoT/uTbAUOXVUHWbCXP9d9BbIjyz4nebAnL4MBF7cf
3VfujFqrV4by3LKercqod2JuDEP5NHIWR4kF2SF3USE+xqb2khTeo1ant2OQ3ULEGu0s6lYqdvMi
etehWNZr83OCnNG86t/M+NisENFvJFoba5U9etNDqaUOUt/WTvX6lWDnupZCAvngudrxLrvRjgnw
TdMq3ETTb4UI3xvcmXAb0C8KI78QVONBKfWHKBC/fTw9z3Us1Qsd65W5lqYujk9cs4JcUKXC7aQN
mV6nkD2woDg3bIsSNMeIEHoVx18+Dvr6Il10LUlKDceXuUwIWHHRtV2d1hqnqdtNVnxQhfpSkniu
qbX2rMSDvwn9UZ/typ5R0t6TXtpmeEpII4aMQo39EHZ4pUNSNd35/YgtagXgctPgfewIs156Ff1Q
1YJcoADMU+hrTC8UzZbq6sGItWcrbp6MYlK2sN0/KXGLtLOEWacRY1UhWDCy8uB7ociAcSP8QbTY
vIBA023wcQ22kRUHToXi88YwKnmXQpbfdmH58HH3yPM6etc9pNJ4RFoK8IXFOtMSVS+swcvdoU65
wcGUgkDEA6yA/VNNuYbDbGvsCk88jvOVJBDk8hsOb7u4TqYHMVC3TRvUjpGnB23KI0T6cyDfQqna
Uag+gQtOt5EfIkirB2uZsjMn4Wy+iOUXaQg8RhYD2/jwQ+Kq4JTQB9zp+J5Nm03SFpcc/9IsGNW2
NM2VtbMA983XUOA55Nw5D3UwJcuid5IMmlzhk+qidd7s2mEwbDkhA4H8nkUKpMCBcUpT29IEb1ck
oWSrEi+LKMrEjeUpnxB5fR765nPbeT3EoekuKnRA5WVSOmJuCSsn6ZlTab4kwCQhf6JASlgsOZzI
/NJo1QyHEhK1TfSoZB72k3le2aXoo4RklXwm1WYpKToKMWW67+VeWjmX3m841Om5q1h0GqWq5Y46
RGUBXaXPXGGML5IRMo4Y2HE9Ok0AmGS0LvEBsDWzXntmvk/JKdwkRANlaVI0nCHzjvRmWwWdHWpe
F+ZuAvFnI0iWWwRTvBkb0xb958oLHpilm0Frr5Jmpc3vzuJF6MUpgjKrFKRiwhHZjPvYGw5jTv2g
6FZGeCXMMiWOdD8a+mXMIrC6qyxpSa7Wrpyv5ZveHfhza+C0IELMECpLKzhfRJVMiejIflCrg6eX
+UUiqWuIkvPjBQt5LpnDRp5twN6Ol4xqChiyKKdOEe/kRn0IdPVaD4PnzrJuWx9tK4paF2VV7uV2
TZ3mfHAOfNlA1sewlMV+UiRoQMS9T/BCOGatctd60Z9j3LSbsfheNuj6RUGCJ8hjNuaHj3fh9+t0
7t83sRcNjwQhDDC8zF0/bHealTiVPldqeWlCac267rFUo6+DKTxiIHppSWvaoe+20jm8OgOlwTfM
iMDTfvezGUYfW5nbmc8BpMQq9S/68kZOor2hroFp5racnDiLYIucyCT4Aq92I3PTrLI7CFJ61257
TSZr/duD4MfwP/2X/PbXD32LaFgLNU/rN+sf8ZrS4j2KaJeIsHyf2j67Hw4wMkn5j0fwfCRNAggF
fgfvudNIitoWpS6xQOAkqE6h66ikiOPA+xn/dABFayDzs/Hm04gVKeNDtkgJplQk8feiZSPWXLtQ
BphadUmx86pU3rYD/NB/0L438RYzxMD8sJWxUnJDv7g1pP6qrspDacImg9z2T0JRXlDQIQCFshi0
aCQ7nERe5kohSIDCVK8tTIqrJIU5Hq8V09/dSefJSF2B5PWsML0ct1qQMw9xH9o1qqjpAJILMSxp
rcapy+kQ4fgSC8qnjxsIQuj9EiCVZs7CD4gfveKG3s7LupnYZ2IuXbosfIOC5N2rM4WVI8xO6gz+
hxjcjZiQO6My/hiLiGojiTEMhkIQwYP4EAvlTwxPyk1oyp1rmFF1wEnP2CRl8RCDMNsZU7Uf5fqi
zNGSHeS7MSvyTRRin4WBXLfrQ03YBF3Zo381iDaXUsFGa+ITWZz6csx9y23Iz+78KsNnOc2aGaPR
UrNvsLCxW4+BobqL0VKhxKFbd6n5E08kf18lgXaZd+G+y4TbrlXSi5hIuP9OFuZa4lHCKm6Lf/WF
18fNrqut9nbKBKfvrHjf4dTrZtjOOHE6/Vk0sXoN3e6rTxZoO1CkLLXK3xhp07kQQT8pUZJc1pL0
TUt0nHt4ztk55hQbGd7rfvDRJplGz9jrBarHspaUh74T8NsWmtyWy+iinYZ9jhk7VoYC9+ukLe+C
CMHGNjO8G1VNJRdYV7KJ9Vc/Oq75utRsfdQiNqEnPhV1+9gLWFQpmXxjeNIhlgqYr/ooa7uqLnQK
5LLxFBB35m3Wl6mh4OnoC+PViCPaNogn7y7wkA/Nwqg6Ut3F8agShWNQifpGm1NsfRDHL8KklEdd
HotrseKu1DYIOeAW51hRozm6L0eXJhBnG0LaoYKa66h6Ix76zL+UkHbba2nSH0Ko3g660A/K6H/3
0j7aRP1DKCn9MZSMdNMVFeYvZvwjU5PiupuqZ96FE822tgrJrY2lTo2rKMhK9WK+7ymGOyoIJjZt
lDtnZMrekhRI4JG07zAHwhbYsnVrVBw/irQtdU5lL+jZDWkxxm52BXLDAfGdCcuGr2OhkoYf/Ki9
AE0y4BiteDssvSEs423RO2kVHNHTrD9JoDKgh5bdxjLwrZFSX98ak5of1Ra+MkzFwLejsnIiP/+a
m3Wy85UIC3gsD+/MpvN4zijtQai9q0IfRYxwfO3oyz7K4ki6C04OH3tTWwMSDSpu7aagbj3Mfb5p
WRW5GR1fOyJlawXeHhy+fTdIwpWuItxCkrXSsN70RmwtA0x1/GDXKVN912at7BpTF7Ob6LGddNoA
87XMNtpUFBcpecSDIA6OVteRG+W5zh/PPxsiev1pn3/XWj0/eJF2z8Mv/kwxTpQ3HZC9Q9npzfdA
KVC+hYrnbTAl61+0IIDZk6h9Vx4RT+nx5x3xLYuj9jEcpb3BC3sjp4HdeAMQ/x7FBavZJUEDdFzW
nhCbli7K2T2zLRAc6A1jugHFBtXRF3ZtxZhMCtRoqazbaiu1PDE2+YiEQTZZnYt3lcCWIvQ9Sir+
d0yndMdrOBBSRYsQH6/86aYpwEO5vjmCh+Oefm2kNYoImOpC+JfG2reVdJJ3aPGRpwNVO9mFXIOp
8f1SRj6i7SO7qAZ4J0aUF+i0ZN2VkVrdsZZYMzvM7TMn1YX6IRwF6aAmOdaXwMXDH0Pu3RiBiTJy
V+sOGiSh3YmeeCd01AM3fc5ONqY6XISoP3R9fY2FO0L0Zfan1goDUtFB6DtFaU1YGYQaSTQv8fSD
VGt+7eZx1V9rmXYfK6ldNzz5LNIGF3EMxzwtPHWLt6eNJTqumtEt2Lq7XlJ3eP99Karoz2ossFyx
hAstSa5NH6XksD+qU4FXW6jnW8MIECiopC/CNJFHEMEMtGZE6jNJjiO4EBcr0QtTT+4mcSR1EFaZ
M9VCsuXC/JUCer3F8bLZxaL0xdA4MUpOanv0lVuz5t6Mbxe82aC5Jcn0Z2oyL4Z67Ldd7x+wW+5t
jpzPcsL/thrjJ4FarLK8q6bsLrwi/JS16rZXvkD0BjpYtV9qPf0SiDwiIaPzqhOL+95qHmJTuRJS
1BziJr9EHsPpBRWUTnnf4XIL+xrLcb13vGmkiookBz0jjdYd+gYssc9WW9UbQcd+K892JtSJTPeP
GOnOKlO9tJFInqAhQ+ZPr1BGyTTba9KXqKMDrc9BDsy9sD7NuiYkZw+5Gvz0Ih8SOZ4fSYDMDwxt
s30Rk+wT8i/boJd6tB3kObvHtVMH5RQpD4YkXOghvDxeUWOouWR7rxX/SRqahGUefOkK/UqJDdlm
YpZ2H2e3sjLtLZ29YPCT7F6QWOnxlH5WunGDPIsrafkNxU1b7xqNgo3wI+i8jt3Vv1aldKuG0pOg
1ndqPOQH9pkNMgDfWFPf4g7DaSN2mkHKni0yVH6QXojVbMxq3euevhOkwfye5vFVk+pXVYOoRNQx
HftK2I8J6ueeJu0V/segePlt5AfJtlS1YWuImCkghxZyIdlmVhNt1VFHGs2cXIht93E2vPRj3R1L
is3NMal7Xx/cQO/C+usYDF14p6VqVuV3Xm4MgQOoT99hezgdSbn9/PiCdOZRCwxAFQ2ZNztF78VL
TBWDUm/mZ2Cv6QdT6mw/bq8mTIM/DnPmDs2tT8QPilLKrOd6emcPolDMKDzlble3R/j/0N4FYF3V
Tizlzcehzj0u5xsmh6I057ONRTpAzfU+gl5PjTnNORi8nT5+l7PPal1MtpLVZLchC47kyApzrYAz
/+jFe+tt6CXOK08rLwsbenNMxgtIGy5Sx/ORUBx6EyPziY2yDYxjp5p//81wEnjRv7WAKkLaB7mr
eNajVNU7LSt2bZldy0OzQrA5N2N4C4Fel7hWgy4+Hcph0uKhyHg/Y9Y5X3juuLraubkm8H3mnazB
vMTiizqPSVb5NIwv59hmURx1277d6NYXOenJnSv7oI6dWFgz1jiXFQDfDehjxpRhJLR4KatcCsXG
mx95bWjnoyxsay94bsrUQSzogCH3ZRmgoegntLkxHpKuWinCnO3WNx+weIq1aqH24kBeoAyB5yf6
XgXJlOAu+fHqmH/MuxmKYgEZEMBM4PROuzUp9YmNl0cYN/rgSA6/3LDi156w59bgzO+ArGTOWt9L
io03eAZKfySMI7m6NPCozHrgruaT3N+MsngDKP2zr/b71gydj9t3NjLI/JlYQh6UZp42UNRbQy6Q
9HPZYI+62B3TvEMUyIyfp6ogqcU6walV+eSXKJQYa8jEM6NIUGqpUJdnBbzF2z0Okhhhk5x1OKXk
qPHm3UWGHtpVK6krW+qZhy1smDmDhM8rldDFNjcWGOkMVZm7QTdpF4WWTjusbRG+0/pwj5iauJ3q
aXDMqdFXChln5tCbyJK4mEOFkLHJGzTSqM3DXM/yzDXvjTPnxZyVYBjxEKTyvxhFHxPQBMma3NXG
5iLT96ZyrfBewGzF/Xi+nNlmwNi8soBnYdol7STVrSrweg4LM66+yuU9pq9/5oLplLV/gTTUyjZ9
bnrAjCCvC2+BKtlim54Ec6hirs8uRRzkyWbbW3njD2u9d2aA5gfg7Pikzr4p82e8ycVh1DuNKNHl
LkXyb9UMltPUu4/77WwIktQzeXquTy9CDBiti4VIiCEcr3TczjdyYz7+ezHmSfKmGb48ZHpgcdIg
hGpTCNs08Voa/MyAWDKYbNJf/BtxxdMQ4DD6gnxF5jaW+NnMwz+7Qt0H4rhWQDsfZ2ao8RIFxbro
rm4w00HUiZMZ0+cujZ47BeE9cMzOx122FmfRZYbqd6VWcIoAHsHQPe62vWk+luSYP45zfvj/as/i
EiD0owIUjfZAOruDFXsnpMFa8vpsDA3Cy8zwsfDhOR2bdtQr3fLmi4bhOWgj7ctq7a54PgS1MjKE
+KQsT/3CHM2BQjkpyUY4Yv98icv9/uOeOrOTkUsEZgCxTZsp1qetEDsLkJ7FxSKfkp+q116NafBc
1ilye2sF5rOtMagYKRzv0rvKkVR5ic7wZ+7ARRPzaZrU/W30BCAN8BoKiGwQSsardMebNYmHZGx1
sZ65IGOuLWShNp3Z7dQSz5xoTX7iXHvmWzwkLwNigbFcnH2TaBZKb9T1xLupvve9tR3m3HJRISyg
kwDKEOLn6eDkEvYBvtYxOGN6OT8bcy8mhxiuoDHOhQEUgXyTIcOiXpaGEyANpu9xyChGtMGbnRwk
cEqlWimMLNQDKBkwOOwwEpAkrj8A106bU2YDW1lGnLqubCswUU3B0kh4yJP+2vL0WwWCsycSui7J
HOgvWAIfx8q4ayTjYqq/i4mwbdZAwQu18t8fhQXha5FBAnJ++lETGXjTS5iVpL5v8pEcZrDD73VT
FOXWKLSdEAHUsoxtU2kHjSSS5MtuXz/FerjJdGkTlsgq/kin+WIzbdQy3Uyy5cZ5gSN0dcx69SHL
J0fA57RS2o2kXHeatnJqn7kjcAv5qwWLy0gd1BTMLSVzkwbr2fK5UWU3EvMrWa0cVa7cjzeMs9FQ
m1HgHTJpli9y32rF0ChYYWEVbsXpRhjHjRCUmyH/iY7dypQ5NzO5/vwr2OK8SAdYbmZIMDEgQ2ym
m6A1Nob+5Z80CUGN+bYK2HAxL7MgbmpzoAMHbUQE2LQHZDt94OGIEee6sfk42vk2/RVtsW10HZnu
IifalBuo+I2uJnwO5JU78PkgwB3QIeFIFxcd53VGmaQFaA9TGB0huxOtfBtX5UpTzh0es4rLf0eZ
58qb3TZBubk2dJlXKWoZonUxNcPGJMEsqf9mcxZTvAA822FkT1Vaybdm+iORn7RSXplsZ2c2gB4F
9WqRksPixcIBbHZpK82Xk9oV+p+KXrq5YGxJstlCaa3A6M/23V/RlpQTSvxhW/dE89XaGXxrO0Gb
HKmBB+3fxmjO++58xIOm4Fm9nAx6KRaKqI9MBhHpzbzfpebfc3j6vYu+CbGYCXXro2ksDMwEQ0Zt
9Wjm7RYH0n8y3+C1ciPmxAV/fzrfqCKFHjWVjMfzlRaIEBxyp8AMr17jCp4dHE5dpHz4xztcpK+O
RqYbHO0Nhb7B0J1RQiZNzjbqmgz++0gQxSWe5DN8TX6X4MzkwhKjkPtXpuk7RUFiu6YuU7Y3EdmA
jzeeuXdOcyuEmq0o2OJeCa2nvdfJKEq3MMNcTzB2Zjl+BiXgBlJwLcSBmyqXFImzaM1O7f1GRFAy
uLqIZhAI8bn9b7aIeLIS1BInrjDx5IjGFytPrtO6/9tLlyizYblOSXtmJZ5GsaQWaHPKePXR5ED3
oOyYOrH4JexkUh3648cdebZNvOVJ+0OcfQfwLuFeacjWMjuEeCtBAkkEqpR4RvyDMNizzpC1Gfyw
2PRQ/xV832zZITxMQxDfRS/dFuCqfxxm/jHLaaEB6efeTO4b6MNp38Ux+s+oHyMtKWNzG8obQaAk
NN13iHiKXbDNy7//2oR7hVqPQffhWrJULaCom8QI46dca1EPzoVLhnRTttnKDvv+fj4r43E8wd8G
xbV8oIkTCN8wNlPXr8VY35qF2DwikxutocTPTAcJPhl6QIDtcfNZXB9wPE7CxkLHIs3VByR4t1Kv
3cKoWcnAnmsOKBG4EGRNwKcsNj9pihMlMZQUBCl2sqYGRjIUtJWD9v0ZKGmSiYANsNbZinwx5xoz
6oqhmVJXtkZHk/PLVMSZYywdGQ2WTM2eP557a+EWbSKR0SNGL6Zu2Y87crE3eOls5ieAVYbbKq+f
/kE4FEfQ76HGA+bmdKpnQS7Knd4RDn14FHZcT5vcALnTJDQ3EaXWj8Od2XBJZbO16zAjQPksJsZo
1UFfiWnq9lO6GST/uzaVDvA+29Cuw3Hct6OxF/y1Z9aZE+UkqnzayFYvYsxNstQF3GEX4QTKbXDG
GvvvVP+1Q/0t/ajHPOWv/5z/zI+8GKvQD5r/+s+T/7oKfzBW+c/mw9/lvuTX39OXevmbTn5y/V+v
vwzmbxZ1OvkPChtIr9+1L9V4/1K3ya+v+P07/19/8X+8vP6Ux7F4+V//8SNvs2b+aX6YZ2/Vouby
zL9EJN6pS/3vyp9/SvZ9+Ud+C0xpyh/sEkDBUPWnPvVKoPwtMGUof2hkK0mbs21xLXijMCXI0h9I
70E0505CJlhTmG6/JaYETftDnNP5+pwp4uoKrvp1DGj97a+9no77v2IlTzc0AiEYDX5xSVGN0ziq
efYHTiZNwIEyAFfoeoao2F8YfYp2ypte+R32LSTzdEP7K8xiFSqAoMa8zALn/7B3Jk2S4ujW/itt
vVcZIMbF3YA77h5z5Jy5wXIqQCAQkkBIv/4ez64hw9Mj/KvefWZ302bd1RU4IDS87znPGetBfIb3
Rt94a2L+2c7jrz9/eppzoPqDvO4327gJw+6jj8AXrGS2bgbzDoIg+JMu3MfTD+6vC52uL4gM8dIJ
AoMtfADLfCT8QxWV0j56sJ0F80UGtL00pZy/Fs7dTz/qiE8+GVlYH46d1CMIK0TiL7xl27jT8Xut
K/KPakJ/3hQU808vpBOI1Ugnm4Ot4vkAHogqcXagOxFSc3j5/Z8wtf68Boby02u0C7Mh8Uag6hU2
PgkMoMnyzc08INBmhKlAK1rDebWdm3B8w/EQ5TsFWY3v0KLr2aSLdBqiapdl6JhHoC8EEFhxXyEM
CAEV7b2z1n9rZhPuDbZP9EJp+aSD9+evRm/56a+mDWR0EPHJ/ZDF+v2yIjNgyLoOxQ/EOUSJqeD3
mz5xnxg4r61ZryGqoheG2jMXj9PjuPhpG51kCoGIbq731iLDbhwraIqUmzZ9NncbmTQ+NL91eOXV
SVsOkBg80FHof3Yq+vPOUb99evEaGXY+s7re11D+QzJDwfeBYvtxgRlg14+QLLw8MOjxD/69Jf3z
QtHpVnQUyoFYZtVhSVNePTDMeDVy7Eh7RPb7/bow2BjbatlqPqsJXVsaLO5GVV6A7ktsfK4cgnOI
DzNH56KhlL7iZigWy6JmKEPAGdp2zxNtsvEaOTMwaN0OMIbID6nXwMBapv3kGwQzIRwpiQ6ZhWZh
2iyMw7aSw3Fu+nepy9YEhPIFPNIVCg3mgRmaZ10mung7qNW0yaZlqZ35Lb4YuoORwhunh2nKKlFd
GAzn50+IEJ6+jqrtxtmXwIVCONhC2AmNGYbCemGc44ecfQtYap7+fXaU3mpwXA6roXy6H/w14t0B
rut2UAdvogqxm25yyn9ow0CFD/gAiJfmQ7tyqFZqF4Q9Ag2oqMYvSH9KTXxdqaXrkcSFjnBQrFWH
40bZDwy5U6DoJQ0DDisL9VTtkyXJ3FukHs/idw8ai+BzzeDL7HOu8V/e1EjQirKdCf0O5gg1Q49l
cIDgrPMOw9JE7FtVVca7RZfbtSABOm5myDWJEeM2mldD3LZnccT1HmxlNZDNyjWCIYqA6bC96dY5
QfIUVG0qAr16CTr7llWQjrgcO/yqAcylA+wsRjpREI1fpE84mvVsRu3wW7UuWZXmAdq1LH0Y6qgJ
4007atlCh0cbGFVzw0A1WjkEkWsbl0i+a2NXeGsajHd1FXUdzRfEZqoHOdVzBMddHCbVdEM0bPxi
09UIUbvNQjRR7pwMF7XX44y2cRGnpqO3Ibz8kGhm4Tc2NluK/ioChBa/Iu4mQ1JaA87+27GKoXas
/Ca9FoIz2h+PD9HyGgdZ7GA3aENMci24nFrYTOd0CalA0NqEb+zVmqwJXR6mRKzRvea9BUVJe9Jm
YhsEooINMut7roe91nOfYR5GpBgN4Gnsh+iRAta2givfI0dJ3UyIGTgq7QZF5tvUkwhNA/WtlvPX
WtO4QeI5HN0OqT5EmYDgTIpPu71eRkSyyw2AKCq8AUhDD/euk5x9tDgf8zcOkY1uekSwjrB+IfD+
JDuoPmx8jIJYcik3eCLrYookbbn5DkmcZeORSkA1tKFhnUQowbLGVtsuGbNG5sdAPxS13dLrDAWt
DicvaMGiJhN5ioYMsrE4FIMAZQVm6thOLFFXz69jOVEePaLkwaDx3kYcoXdtl/dOOm8oHHw9qQxz
y9OuUodQyTXzixQTKExbvfKhfb8N6hmAu2tkNAlqX9Wzj5y3I3LSyd8DORLeo2+Guhp/YDHa6M0e
CUV0SYvOT5qEf1t036dIA8ZesfmdzCtIIBtHkmQGgQEpQnqnJbrWzRZOij7oxi3qZ03wno/BrEB2
yyymweu5aVNyg35pGH4DRq9p2ly0aey614NaWPgwwT9A/JJNmNBfLVmt5dc+Sbnv52OH0z6cGUE3
2ZtpbSTau5magrrFKG1iKPExayKSYI/0FXhhrrnGohbknQPt80DrpOpk6Xdj5I85tXRkeu9poqYa
gKeaY71zYvCQJQtAzNzvZAvHAUhTSSjQVxnjrImyjTdi2dd7UrkMvdgAH/QstpHfxV6L/n9DhP+R
QX3fe1etG1v6TTJruuphaicMga2EGXCdt2MK6b8Ey66nCZq7sa1jebBITvO7Uldg876W4Sqx4YNs
Fi/9kfZyhXAT50ceIOGnr2eJqCXXko5keTDDicdELhUdLb1RIom5BDcDBTp4DKZBzbcATkvp39XG
s9jZYS1D5hrgnXFfm1yFcAO/C7H8T5DKjC4LQQjpNevuJPh9FByBjk5R/3ufdYGdyoRFVYN0I3Hs
3qetg3W57INooPdQxEQk3VQdESwuRaSp8wo9dW1E8WhGO0CIPfbeOiqRL7WofJlPbrXYv1IGN8Gb
vg7s0udri1Q/7DxDFP2RWphQlXrbiEVR5UPe3kzpDScQ7kdFMLNoQQbPPIbjdA1Pggalw7JaAAti
ZxpiMp0sCYc4h4UhHWE8iZ38Am5kJHaYLFOFwtAKUHaXgyFHe9iLqdX4dMKJtl7BEJCC+DLgD3R9
3PmAQPi9YcILv6zSjNLl+OKbtM6nWmiF0KpeqRqdHY20PBhlagiAPwVYioZxk8E+omCnqVGOj/IW
FoIMqUrBWOm3iagc/kbFKfaepWo5r8YcK/sMaCoLuhBbPw23gn7bMUieEVNIa0b2nWUcb7hTdQgk
AekZVOwgRMbgboNzh9UwD8N2NtfIJrUmKVYyKcikjed1rNunEVdxUWVdNKw5zEg1hpWZoEj+XoMV
dI8JCOCbzUTHRn4PeuAvQH8JwWS/muLWx9awhoOnA6T9GFhY6VkhlDKZwg5ZizrT2CVnjkh8zxw6
avOtwhqvvpDJVnLMgVNExQQ/Ec61zyFcPZgXj5sZSFQjVqFnACu4bga0QaE3hNAQXi/MvHmPTZT/
LZjSer5jyzCu2zYQxL0zgosEaVed8lxXxMMATXbuMjb2D4gAUOL9XElpl5xErHff2DBVUZ3jP/vx
rU9tg8tZMuP8lA8dUG4fDHwX/tvUJPiec2a9VH9sla2rN4xPXZXkdaaG8ACWIBrym7hlK9T4pA88
RLoZvsz6AKdexpZ8zRDdgbZuF3furYrEwKIcwnbZIao06RzCB0IrKo5n69XI2yEg7EcF3LusCfJW
TiJ5l7bRZPAgiWNjSZuKVx9UbMFP3KwNzrWb1IUNgiFMlYW7uFuRf43k0RpG3AXifnlIFAvBl++q
AElsOTYLq7lHmCA4AwWeFFBYmD78cUT+ThJPrNn2AWAiH5oORL9HFQ9NEm7CxRfoEKGC0MKIrxsk
ROZ2WSv2qLnrxV7ECMl7uw4AmB78kaj0kQFhMHXF0I999rhylukJO+cBVrijn2SpPARedVKPeT9M
k/+mmrOk+uYP6IC8mrooRv4bRqfLZuSxtXp9mHmYIUvSrs5lr7POC3tw13VqaJ0jejObMPid10BX
jHEsCMWn4KrlNcj+wQLrjwci051YQNb4ttawXYBZg02dJ/NsYlp9m0QEuMyD8FYOTxuEQY269Ub4
ohAW6UfVQLFeVnZ+4FEmUQBdgMeEX0WN0Sx3mQeJxP2YdoDOFlqKRH+vbBqFNxbolzBShXCx88kj
ZzPPsseJTX6wefnkcr5yAk3b0y0zBkOzimYl+8T1H4MgmO6GxQ0b2mvvQgnzuU3/yaYcDGD02xVl
WyA7undJ1sEDhpF+SaNz/gZQgHp6A31FxNDNnG0j3bB+F4ZuNodmzTy4qVyi/5ma+K8D3ikah2D/
NsAtAjta6zVXstPd+2VMTO7G8BI66HylBDL7p3fi9asMkb4nDpnk3l3qgUI84NPaz1ghD+I4Ub/8
yk8iTf68l1+0edDNksmYFY+JtnAIBojZrfKua917HoTDG5oI5u2FDgsaHe01SG1syVxfScumx7lP
7F0LXEiXwxaYY2mOy5d/1vkXibiTp7c/iXlFRuuodhlO6LAQtli0lLS/wy11yZvxtHH0543/EqJt
hrbSxk1xCZfQfAdOS3rosODeCd/Zcs7U91nQ7DbpbHyhLvDMPYUngzMeA1/7+HNl3YX2DZdZ8Mny
RRxkF6+vXn5sz9Sk6GmNg6hOE7aEUbnECSk8mN8KYUOWk5bG+aKSrz4ALgJxHVg9G/wzE2CXqivk
NsKrtzXHjYUXyYelBfYjncKPtfOWjXTBpWi4898/MB5P3ytOKH4Dr29c8mNsdBFHVZQU6LCFFxXq
T7sWf75WJFw9vcIULSv4TmgvRgohvhyrb9F4nsbETAB/C2UCR1s0X7Uxj3HOra7T4SPyzUpvbTDB
Bq9iRDXm2RGO74dzVmJhwVw9gs3gkXq+0Nl7ZiCcBm8Fs2eIYQMp2xBZijNiv3MGlhDSnxO+e3kg
HO/21xIUPeVO+JxgORorAMFRfdx2kKUhA4FD3ZIYCmY/4jtfvs4zt3KasKBDbAusVElJKiC0Cpze
0qGoJx2/mgchuvLlqzz3To//+09lQ7BaU5TaRVaacArfCJGaGylNXKyR75WNIPDhZTNy2XHaPgYT
k/3Llz0uSr8+RD89mYM16mBhk7msBFhGNpuIEfaRmjj7iMORGPLBi5H5LXFKfXz5eidInr/H7klJ
rPNiABndXJXMR43UjANsgunyuaNhaTEjgcjbqCImOJAdO45FG8a80F2aXPcBcQX+nbiIuqHeLN4x
qJtn08aBjr6NCE8/V6TKvr78O8/PnPCzPX0dMMLy3udeDHfzVOfO9+1uXGvQ5gMR7Ty/TvZRO65X
6Uq6C8Ps/JsAbevpFZcxXbTfJlVZTal4ZVtfbBvozjbcd+SW93QtMqAqLuyCnhltp/2jGdEZFQoW
yMhlBC+AIG62pxZUJNEh0hGkoVLKodoMaY30juWSMPHEI/XXy4+Cp/cY8mrFewpJSUWEiO4JOa0S
hfltmOp4t6IwlZMZNH+ghxji5kODYN76caqMugSEOl8wDU7BWWokfbhWYC0c6yqvFxd8SXHK2YKt
1j2qdAR3Lxg+1aGLgTGm/i4U/XhhE3J+FvkF9b00DkUU3WNllPYLRYTVNkYp9i0OPZcWxvPrDlyY
Tx8uW11g6zEmpUpQnL/KWsQ+4yTXeerCoDk/QsG6f3oBvcaatt2KC8hg6Ta2Q1k2MNyJnHojYhXn
1YMNKgj0fKHA/cx4gQPz6RVXMYZZK/DQuFzFHVQxw3ZVE3KvE/O5Rb8WKLexyhs7uE2roGisEDW8
oSsCd16eBZ5p5kBw8fQHzElap2u8xiVrUJmrIHgDW67rSr9F5YCMq0LLXqLKkZFuRzJpt9B3thds
kuffJ1QJT6/NKuUGaBxJKeteviOmE680gx3t5Vs7P8FBO/f0r3skbQYSLaCO9H50E/QUvv1VvouA
riiznvr5CE9W3qFG8F/NbygFPb0gIA2xCtIkK6UOs6L3tLuZDGgSSw/mb913AMi2lv93z+608TLa
JUGx38/KVWI4bkOVCl7aJWouIX3OT6AQST29m9D4U+8BfFVmYn1d9RLwlrlIJMBP0VwhoftYtIae
Ch1ntlySjTzzyk6NrEkL9wIwDXHpw5b4Yanrfs9nhg0g1O2bODrmVCvHDqab0wuP8fykBeHe07sc
ZlQhK4vpEp0rcT2idbqFx8JeL3Kdti+Pw/OXQIbX00vYNa5j7FYrlFiT9G21kGNck6g+pdKmF/ai
Zz8kJHKdTIwOzSyFggjuwvfEW8JRjy9AD0n+mc3oj1UN3o+TkT2byVKCr6ic5IikVVSxbxMSXAr6
+nHi/mWL5gEb9fQJUUumZSVxVALy3T623rxsakvsRiTBVDZx9wVF2X5DZ6UPjanNdk4aW9paV4Vl
Pn/7X7wm/IiTmTiN/D6KVoXxHsXVdRXiVDHVdVy28zJdWF7O7ufhbDy5zw6hY1WHSNISdow075sJ
RE+dOXxhar5GlelSvuPZEQcP0slwqBglggPlU6KoFe9CjwV7GQh3M65ACL38tI5P5cwrO9WbwNLq
QfoXxwB7zLpgXoPyP0qLpRF1dotS5rL3lvGSP+z8lvqYOPd0gDA6oSTE8DIYOD/fkwUw2s6hg7hM
Y7qxCIsp6qV+ZAxR0u3svjuB6MVRBdFGjaB189b3cg6mAbokhGE6hgNrEcsMajRHkXjxswvv9+yU
Cd7yyRBa4lm1JI2qEq4KdZtqhA2PoPpfZyquP3rx4LbIhl8Padzx4Zhk5pcvv4zz7xveqaePB+sb
MBzHso1IHAe1JNUbqWuHrbwcL1zi7MyMaf1kSKWdmFC+x2nBdXAwrpTdd132tgGVotEGhV6LbCcU
7d+8fEPn2/643MkLFxzBVzxBdyiYzXA9o4NSLvOqNvAJi8IDwWajh9EWwYJTN7oFy7WqSbed0kkW
TGK1jUjsdiMI/DBdrtU2RgjWnmRTCsRYSgsLe/uhHpfswsdwfAi/fgzpKRgcBnAJZC808zyT6Q2d
wwAVv6y3Hz0kt8KR28ztpf3i8QGcu9RxCPx0iFbrZAKPyaoc+L0BLHhjg/QjRZBf0ceD2sPAbjHz
uyQPVWxKNJHJzmRHHfUcuEtw8WeGW3Qy3Favk/HiczCgqUZkBYvbQ2iYfExbtD9eHgA/Sg9n7vPU
M91gDRgXBH+UgJ2lRR0iuCbgMkLZJ8a3THvEGUoDC96MiQfijB6tekDoVuWTciVjuKtGJS/9lmee
+ek21TnCTIg2Tmlhjt9N6AdvVNCRLWjwyLJNSHVIRAiGc9u3h9Rm8X2Cp7ERiFfKkXYwXDjZPfPU
T9d4PWQeCD91DYp6NbsrNs9QNYwpCUxp/Gj5/PKDf+4qJ8cBrBCxsYuXIaOpsqU/h+9Ypfs9gyP7
wuM8v1dJfxQ9fxrBupYCf5qSssYqUUGOHEHnAtj1dKmadf5Ig2jck3sIYV5KgA/D0T+N9fchkq9S
UbMcjJn34VoPN9q2FRqw/VBAFHvrxSJ5ePnhnZ8kga5++nG6qA4ccvqwZwjjaYv2tdyjcXqTSOh0
2kkuOZNa5YhI1NuXL3j+bSWnG4pwNqs2WAlLM1XzNojsAuYTJpvAgPf18iXOL/TJqUw99FLrc4DX
S6QqVG9GFn1ZBhQjYX9KNzJQrnCtvaQsfOZap7V1hJU0fYS8dqjjWnI9c22vkM7Zl8Qbwg18NUO5
Rmq8f/nGzh+9IQ842dQOBoEmgMtimAwBvc/qqLrGoafeTgTVzzg5YtePJBKvMvXGaxKQFAP//Uj9
+uvLP+D8biE5TWf3rRt91wqsGlDsbzXQFjnkAm8yhKYUC+QUUCIVQ7e+qio6HF6+5PmFCmSNpwNU
CjOv1uGSaKSardPJeBsBFFYaGdQ5Ilkv7aWfu87Jh1A1rWFQtUGm5C8ul4CDvDKj8VBsXZcdEk/6
C4Pz/PiH5e/p/SCUxQDeZAkUQEldQv+BTy9Nya4GnO7CtPvMrZwudsitYP7aoopw1CbkDW/GA/ry
0y7TXX0Fet16Ye94flqMo5Nb6aHSFggd6baj160PpmmrTyBbe5c+42f+/Omn5bNljuQk260XCnvQ
oSVXmPjgMH95YD3350+mXASmLrZJRb+tGM9+h8QmuG8TcqmW+8xrPmUCJNb5AbyWybaFjmcD4qpX
BGBqHGIo58ofN/CPXCT/bxaRe/F9eK3l9+/69rP4/8AnclwGn/eJ7OTn4fO3zz+7RI7/wh8ukdj/
DXwhJIeDxR2BlnHES/zhEsE/glMXHjCkOx7jXY6H92GE/uZ//u0Hv8FmiXTyI1IYzrrj5/mHScT3
fwMRI44wosF4iBKP/vceEeSnBTE6vzF+YpAhA/W0FmbxPw4imdiGorlTcLThtnXjQe6Cos6Fz/OH
6ezvDel/roWfC1c2qEHAZp2sGv4IiczaK7aZoozc9vOCg28FfW2m7KegQ2cn6Ppm26yIkjK1eJBI
VYARFDLCYUVjPoxqcFD1tDOza66DbsAGkjuFYgZCgg0fS76MbCM6ieZQQATaExBMOReicd8Lk8eN
4EWfjQ5MfU0ff3rhD/+5h58tME93LT/uDIRw9EXwEGFRPF3pk6GOM8CfGVSafl8CIuoV/qpGbCsg
BQRRCkRXHGaByeWXXJ9PZ40/rwyD0XGIAfZ0UmqMV7forBrYxveHehstfNg4L7QX5qZzrw5vLQaE
C2QhOD0wiH8+O40G7aU5y9oNHiP76iLTfJKzZVeA+9I8hAKH5p5z/a1GPLQoEOVVfYXGsv5ohXs/
GYbmkd+R+HVC3FViuwBR4VxD1tCP9PfGoHC1Zk4DvRsaOW/aBbhq6LFndr2ChPqJgRi7gSd5lEiA
i+k1nTp9mE20vv+/+Uvbw7f/+Tc4fD+N51+Mbq8/D/96136F2e37v+y/+s/qX/+Z0mB9Uz/Paj/+
zN/TGly5mH0wPR1d6EeByt/TGmziAFb8AHGkmKj+ntbob6AyHJ1tGQ1QC8U/+XNWw4QHYgOMb+DW
gBdI/X8yq/2ooT2dauBLBt4FgS4R+i6ncM4qI6jqOAVbN/qYyGtFFRyc2WwBdl5AhIsuouqCtyRe
u/cZgMtQr41N+gDdtXrrgQ/smYAjjW4MqhJf3RHr7JPs1s7Rfm1WvkWuxjpiMoGIECK5dwJk4n0v
o+TeGypFNiGxyS1V0YVtVIBF5KfCxfFbh5MX/wnsDmS+v3yEbQYJeMiGbmNapVDmTflDKAwUy4wi
GNwqlVdKJW9UprH1tmN/S6UKH2cYsXYNsEdQgGTg+5LxFosL1LHMVnnPRtBvG/8tGLYRQL7K7vUg
1f6n4XRmejxuwE7eRnhkPQBegRQu2B6fzh6pPKqWbYeuIOW8hOho3daGv4P2FxYrPo25ri6iBE6O
sD+eFjiXIFT5iDVGZ+1kZkQNLKNjGoD6s7AA4l77ThhYqYBOyIoxCe9pVIvtGii66dPMlGIeskuV
pqcb3//8BKz9AdxB4MP+AqRJJmFssuAniEEm25hCs2vRpvyw+hQ05qhJbj2Vyk2zouLmE0a2nQ3Q
ybca+fKxBeUYYPeciu6r4IbkKE1fOuefmdfDGFR3BPKlKWwlycmS7JKBcCDy8ZDou3a5ReWokGSF
HtPPl2HO0bMoenYfq7Zw3noV8Pimp9+wyQEmHEFa1bGGtiMoFfb4r25G5GUCtWQGOwcUV+F7gQCD
SUHmk72Wc3hhTTrzcJE7hv0Jdk+IbTqtHE4NGwYexGyjyOjnyJPmG6QJNkXWoVq3ECcuHPx+Sa0+
bpUwfLHOAhZ7DB86GcXREmYzjpibMCAIMU77a4Q2st24GL7teVfdBjP9MmvQ5xESZLZph953YlA1
V/5M8lTF8U7DMXXhZ/36GPCrQPqL4PX34XU/+VVzlsrem/GrMrki4KyRQcEblJUx144bqK//6O//
3y7/33h+P01rv66Ss8SCyH9eEH/8G38siHCDZ9iwH5GbxzxZrIl/LYhR+hvC6sGWABwG08APItEf
+/z4N/ALkGF3DJqEMwvy379XxN8wd+H/jxURk30AdcGJ9fslKzj8Mk/nYMy+PkidoGegtgb8RHJc
XH6qHdZBIGPmx2m+QpE+Aosm5tJgTB5Vqxl8kelQV4eR0eoR41Y+2hHBwFR7WVOkfi/u2RQMJexm
NYejLq0FGOvDel0NSn/t+yY4YA8430eRYmCU98BBruF6gImq3ne9S76EzK/fQf4OOwvtj9x7ntV3
qQ70YYTT73cv6/xNgJrwtb/6HHxZDtmmHNvslvuTQKsihD2ERbot2dLwKOf4HErEdCMudUmFu1YE
QRRee4ToBwAbtEXXQLgU2pZ+TbJBAXhv3Dt408zXUGTia2Uifm1xIvrcu9lVOV3hsst61d+EdUy3
DkvppsK0uR+mJXnfpGaGw0rRV7BPTh58wlGw83iNWPAlxAkjshF8ZqhB1XlAMrMZ2lncj+uUvmlW
FV7rBcspbORjuGXjKpG5SozMx1ahrMoCp6eNjpNlKRzhSVL0MJZ9ScEW0xszusYvZyROoOGiEkwh
i2f7qUDyqesew6p1WY7EPMu3Idq5PDcBnRDASMb3NrWIUM4GJAZgLX6smmbdh8TxLwjhgSUJcS7F
NA7eQ1WvBtEPvtmbJGh3kOz0B5izlut5rb8A6u9tG+TwbR3UlegPpfEr24v6facogrygxl6X3DZm
J1Qmd5VAVl9m+LpZ/C66czQJUC5J2a23+m2NLDpago9U0ECAid4pc+2JMLpteDhtMY97Ba3SdEtn
8xCP6ZtM+0NJQz4comn+neowKlQ/zzUYkIjJ6GS1qYQP2LJLaOG7md0NtOb7qsGOKCep195Hs13G
PAAF92YR8ICSLIR7xa4FHF6qzSsywoE8piBX9jKu+g3sxR1QJSBL9la3B2GNzWcpHLzIXbBFolD1
BTyX7HODhfRdyBJErMAhHn+YlwhZydR3jxmru0ffUFWMAaO3QP0u8K35jOWTCdsHPY36MfMnnUMm
mmyrRFawTk4Nkmoy/nZogA0LWu2uR+t6xMmu8a1vnN1TT2nsWlrynQGGDkqf5i0AOxwwn5ku+ai9
9gppCOFWUhLfNpTHr6MJNg9joqumwpFpUye+fUDORQVZqEduh8qzX/WyEBiWoEfi2q338yjTQ2zg
Q1CNhR8E1dsdXZWH7CTTbhugzIq2GdCnmln/oQeFaYPTudlghw+h8MDjugxIP13FvFM3MyyIV2rx
9K0SpsNV0qi9X5tKv2oSr4f61g72GmfkSQPrnqmDSxKWlROF16Xo5opuli7Sr2H3VbdqMsgxbBPk
NcHHx+5UUtl3CCCi/AZ4i68+WAMgN6bew0rrIJ9rP3s9dG68M2midih7SYE3nDBQKJNIbBWsUmtx
LK6CaudCf4OsO6aAX4ZvCtkzcDnmyEo+MuKWaNiYaULTlFf6nicedqfW8r0YgAZC18PDeGph6kMW
JVniuoDBtrtG9JOADldzaG4cHM0Mvfy9D6ZMszVYoVkOO/p7v6ukt4EnuoO5JeAMEsfKO6RkMe/N
PKpbR0My5TNbyNdgNYvahkgC31XSn6G1VAgPyTVCundN5RCWm0y12TcSwuxcy6D/CoNNd48o1klu
aj5/A8ICYjCgSZL6SiBYCFs7tPbgCp6/abjPzKu6F4JAJA8rEezA2SNTwQesWc0rkAD1Z0/Fidko
rWWSE1o3m6F2g9qwoZ5fk2mSX2bGWlIg0+mY4jtNcwh33EhmbB6p7r28w7wNh4bKAn0HK1o1XNu2
NskVGt8SfP3Un19RBuh9kAqzDZ1tizCpV4bEUiq23hAHh1lIB6VCIs0Af5WzBpk4ZJwfPcuyGUce
KsIph5zOmT2E6c2dGFNkX/FwbDR83Qo438zguHRTZXh3E9xRCKTzvObIIwVGPq9MSufN7KBPAfx3
wNTiD+vVhJlS3vO1RX4TpxXErloSqIyzecc6Bl4FQd7D8VzYw8BVT/7AS0ifMDsCHMDvEHDWDSXr
Q+ZtV1sLf9vTinrY/g3BjoPNiwQy08GqFg2OrnnrR3VdLF293LQjYnSul+kVgC0kKXgsYhzNYJ4U
Wzn73mttaoiaJamtujZwQb5B+gMGKDCHS64Ejk40jGtdwszpfwdmuME51FidAxSHmq9yzqux4HRZ
ToMP8ZQcgsx7TAMkvBhkOtVLCGUtHIrJfZbCYVUAg9wmSMhp5bWL53brD2HzYWBUvncq1Vtivbpk
WUU+IAYegULUDuamI3ZmedLQ4BvOXBpGSJYtWNbDeI+SG4MrNEuLFiWyW9WT6msLm+AORpvwsQmI
vln8ad51RxVGniBO+CsFIuVjzSssU5XnvaF13fE8dQogCCUQQBVFHL0Xm+3TNfiq54Uj7QX09SIh
S1TA0Uhft4zU+3FI4z1KhOZAltne9zZLuwLW6O4R6Wrm2qBAt19DR2/4kFV34zCYbg/lHrzc2LGt
B5/E7cMA0eqnajEKyT2AQXwdVI+xsUpXXwEc3x8YgrPuLRz+3xB/TMG7mMPt6GrosZGxFT1MyJJx
uwxKKw+DB/uifgwErKCw+qZYAZu8X5KaFKPR4tUS6Ijm82DURqgR/oHeiGurcMZau8GSbUhhuc+b
aTUQ3MX9Z2+ORhhPbaTzKRk/zSNO0rmlDjWKY1bCdnB1e89gzZUf2y7Yq9opesTnBOGWe2p9hJ2x
cTtHEINJR0TO5I0nhMx1tI5kmybWIuWmusaYe9MfRa3IYGivhWVkZym87CF8mHukNgV3C1JBvCIb
8TYB3oy3OpLBt6ltp/p/2XuP5bixNEz7ViZmjwp4s4VJRyadKIriBiFRKnjvcU9zFf+N/Q/Ymmkm
ks2M6t1ETEQtOrpKOgngmO+832sciWbJba7F0esg6L1qh1Et/459uXVBXtQ9yr0icIbRt658U/J3
/sChFvpG/zVUOr+Hq2s2j13fLrnNU+EplTi+ZJ2Odi4z9d+4UHe3+Dfp3xTyLDK7NfJ6X01Vv4WO
K30prGlchK3j8AsNJsVZQ/jabvR7bedndfqrEVrjtpCK+tXq1OY6N6hKXHkSkxu9NmqnyJPMrY0h
2ouSsADS5nSvYQ6yZDordYKKEdpCKjSEBfR9ehyqsgfP5JXv1bYefkej2H0zi2TYZWbXYgraKeFt
YhEzYBsZZoZEkxER3fGtRWaQjCOFlm5lNVQOg0miPCVSsR/L1PfMVFVBRGvzKjYLy/OTaPqZQHz/
6SOYf23zCURH0bKbdLTCK1wbolcDdtcOdVp2U2tiZdGtN7aakl6PWt160J/Lo4pk9sCVWttwusFq
V6XudYKv4GIKkh1koVddY2zLJ45Ccx8I5XiYYlP4CQyb7UahE39NfdDvjdzX9pGQqW4idChm0yja
6BVyLgtehdOhyNj3lta7FU7JO3wVzIMphGwNpBfpZHalRrlHI1o4uGqAIhg/u1xuvIbLiQbKXwc5
cQ/+6GhieCuNbP9i0En0dTEyXO7pr2mp77va3M368ILFRGrj7LrhUN2Bnrh+bBL4hNe6WqibIBVo
DXQHUazdJKyz18T3bypNfEArux0HLZp2DSbkuxjcud3VYWM9BTGRbaFsDm4cT79wfwj3rdGzc0t6
Hz4S0TVdm1klk+OoD3ehIc83rZQVTliGwa9GNMdbSdFa/1ptErg22VQ+CF0lHBKtgX+u1jmy2Cnd
0bBuvVGQDQTGE/40uMF0VyUrxKNxKoGqIKOdrZlt+92t9QMw7rQTiFkZjRccRci9sHBJPjN+LqI0
NwXifh2UuS9S4ViNtgmLafP5KKfXTRIh+MvpWr3FauBwsg68UBrMS4YAuDXViL6dAbn+cIr+HxDx
P+WF2POf+43A9e2P/3Hdvf5//+vHezTi7Y/9b3he/Ms0MOc3VdkwUEGewvMQeyAPgSmQTW4tyto/
aISk/gVZXQGeB016a1b+G41Q/jLEpcEEuEFUElb5/wSOoIF5AkeA9JNzaGi45y2++MoZ8JiM8TQa
cZO6WmM6ghg+JbPmBRm7nLSvyuCuLeR7DW85otwcXAMOhdJ+JRD7wLb3qObFTZb0V3WrKLbfRrt2
KghvbPA3LK9iUvi6Ltu3TbgRwnkXlsqDheO4H9V2008bsW53cMoPuLgA5D3LSrKJom6b19BuW85m
1LYjVZMeCZtWtp7lGcOJMb0pK2MTqpS80atW/4CpZKM9wxnnNRtE16hFL68DsiTlfaAl4CSGxw0b
z4Bho+v9NQGSTmoY27HDlGr0nQBHqVL39Fh2cU2CRpuiVK0B48fdIHzJ+6e6eZzT2dVQOvnFV+jC
h2bqDwN3oV79kaA5EzpSJnNsKlTFxvSfK1/mVAN57zH92+anVZIb19gKhh/DSwHRF+LrXsuCL2oN
BB3NXkxdG9Q3SdduZ7yCp6LBzmaikIicJVe9HfqNnHyjsMdHveAczDDZmR0D3pdePphdtO1TTtRG
35VpSeuBuAGyS+t0G5s/ezHZIl7eNpp2nSSjXWs/LBVnfcuJUU7R4rNx77qbcQEJhHovZZgOTYmr
1z9ac3pokoDtrz6UAmK/+VULkk3eji65CRTT3TEr73o5ezDaJ0M/xshq9BYjqniwK6iNRf5TC0Zb
yhU3Ue96Ykw1+gt9cJ2GPqdM7mLO5AzK0ZKuQ+nLoEtXGcZuU/U6yVd6Vn6ZdHHLtcuRxKNi3gug
ElI5bqUAVzjR3If870rMqKASIPmdaGRORIGR4DYaZb/89KoT5w25f7jGvPrN94LnnOvogN2eHYmk
/cYR8MH3Qf+eVO2rr2h2FwZ3ZSISzpv+UiKuqGlwL87obnV5K/MzrPl27H9hVAP0nnqcaNdoOm66
gURJEt8aYyL6ut+QdXxl+jdc3W1FyrbRLKA82llNfb2ca8iNYFE79VAhHNRdfB1sg7+g8W9CVb3u
wvhOH44CRmz4+NqS9lvjTjgoXHnmwg5qZj5Mfq2ghhi1qxbh1JLoGRmli87xAO3QTsv2Rs6i72q+
WASxwLT5WKXjXStzY+pLiLVM0wEb2D5zU7psMnY7SohhVDa5I7Z3AR2RsT424CRCIB01I+D+e5Va
xKP12754nqfbokudKZps3B4es+pOk1pbj38rA05ueuJGwW8Lg5IkuYuVRw1EoQXJqa3bdvrdjDNl
1U08jpjgPsTUs1X0UmMT5IuZkwFPTtXvKKrdLA8f0xC4SFQctf/ZLO7Z0SFUf1ThVykYN0IVOxQ8
CGlK8K6/o3zYDvqhFUvPaLA7FoQrSyQkFzvYQfuCg/u2k3ZZ9TIFy/orvBFVUUUFJZWbOqFPwTcg
by3BAPKpio1d2F0p2n2nEL9caSR8Gg6JpZ405Yc2E7wqHg7EctuFzF/UsZb6nW+Ktt7mbtL0ABM5
lelzVDwawTO0rX7mokciqZTfqWrgJKl2r+vf5+kbDF+MyAxbwkY21Gb8RnpWHdtIXB8FhaRlVdkq
ys9SIyaKmRDIXJH058jYj2boFPw/CirTQgI/E1xR6yjkfwjGdzgv3BPBJfmbs/BZqnuX8N7DYGnM
wQk0NHcz8sGI1Myq0THYqsoS2ISM3TKCgE7uZFzchWm5z/rneXzg9o2zDWjYo8VZIMuzW1rXCfLz
Ft12j/Agla1NyAYnF18T7pMT0Ew8g5j4jZO22ZE+4KbpR2cMfwzwzVDDeQlJk0lUOQQlb7KcQNx2
cjRti5DoXkwVhxWDTDufbYi6j3FquLmvsxTyTaS/kBmMG+Xsonq3jVkhR+XRrEc7xuKkxqNEY0Lj
hlYmz2Y107+8TcqQZFI2xfFrbzxiv+EEpcKPSO20xbwufAn1DoF2ac84SFi18JLmg22FgyeMpMXW
JiGed2Z0Y0QPbT47bXofNIM9lD/yWKVEc6Mq2/VKuwtTEgKjjbawK5N+o3UzDO/ZgbV6i3sOUSaw
L5hMtRa7nf9TLdDymyW7xJeiSD3dupW0b3IGpD6MiT2NR5Qu98ko262YeWVzZ7atU1H+a4rEXzO6
JnRs2xRaQCYRF1Gl+HsuO36OYmsRB4nxRczvk/AB/wDH8hUPez27ihTOvcDxa6DdEjCmPeKScYPx
gYchzVVQck9fQtgzGDuCNHzxw/oun4obfSzhpUPfBLWkDY7ZRXFtST/yHLkHABS4DvoJaze195lc
uDmAk8CxqUxkVyPDTTgk2qbedmyV5JvexYXqdrH0lGM0FkekfccbKAH8Z8IONzmcdszEVXtipufq
FvvLay05YgrqBAZQCR28JzPDkoA8TSEEKEgzB/4wDYrBtYiKSZMRnT93bfV3Hr1WXeJMoeVMdX4w
tecaQKzp5m01qZ4pX1vh7xRPrUSzCOWNnJHtmYbEHcaPFCPxLslLQl6/NGbsdYqOe5F/T5I3DXIa
DECFhQjkxyttn+qMMzvNPMzY7KkWbbpNHrCo48/dlRT9Vke8ZOEtKKN2H0ziscJGUEbkU6pfivqo
iY1j5vjm8NKsEouT6j7K9LtSze+jUCQoRwOpAwBNxW2Oin3u95N+PTH1ytZtSvNnnjwM6pOpwr9C
zmY3SBjn+Rl4/5jluA3Fd02312V+M793VEpXTfuNz8ZRy93f6fyIq+02lZ+rKHQXH04idpK88wJQ
0TJNXgcp9ayudARg/d58FmLdrTv9BSXCHk6VPcr+dZ+bRPJNV5E534Z1/CXGOjUNZhI3/Lsoz49m
ZB6hqtj9VBznBJ4m6FpPBqqvtm7bDp6GA2BL7QibI5H/VgdSiWlTWyJqiDz8rajldTc9zxjzj8Lf
EIrdLr8HPnMDDjS4EAALlF+mfhXTJlc6M/MEqz/WnfGVPfYVmdjGyKTS1tRqh0QfLM8kXQLYOeRR
Ve2aHA1DCW7Y8X6m6X4gXDv2QzZA36kQiDYEmPvm7KqTeOjRW0UZQe2VdUcIyN/Q5XY4WH5JyuhO
HWS34BD1ORU4wqtbxQocdYqP+H8wY+vkCfsmO4usN3DennRYHblwTby6k/vqz1TkUm2kO7lr2IOT
jcqWJPfjC3jNvRDKbuqHt538YITLwzWummzMTN0IufYicRDnk7jRBvlb4CfflYLXVAJ4FzvdSH9Y
c30Peu+OwkHo55fM6BxCvN1Rtw5hSgBGMNyps0HkRnulRNjvjeWxnHynJTCA4E67U35Awz8oYwnK
KjlGVW/IbJdi1W2Vp+XHslBcVZ8RKi2y2WobadMhRflQJR5Gnp4sYCzXFHdlbBAionD8TJatZear
Vnzn++6yQD2GVecpCZVPYpLKkXCYk6qcgSMsKG+YZa4pkKtOM6szm0NrDLhkMe3V8vXdHe2Da/fS
yX1Hgnm78eA2STOXFoGOocuqASsFgBGK2aYuMTGu6uRuulfu1G2w065SgKor/7G9ylRbcHRb3IA1
46jkmK2dby8l1qyIDP/6JQqUG4VrOSTTNS87nROtSzDl45dkP4xnYxMdelu1xdfosbxJvXQrXeAo
rNSpZyOuuTiRFcPTr95GRAXvSLt+l+9GR920W8u1Hj9/0yvh05/RZNGE/kOyImG7p61uMZQbs5Kk
1NWPrOJdvsG65GHealt5k22CjXRBsnJxvBU5UiIIgzgtxhsclAFu6rbFTm2d/m9r2zqhJ3P7+OPY
/x+t3T+4PksKoXVc4RVFhUCwekTMbw2EkikGINMuFgSnsyoH8oqtYy0WU0h9/krXmNEblvDv4d64
Vu/IA6xCnbYawwGkO6UMpaVy6VJ4n4/y8TQhhk+VFEOHQ7h6KjrrU1M0feqKh/yOlsC29pSD4hCh
7dBzcC6MtnCb/s1K+9c0gf0EoU4jxFQxl4d+91Di3Ol+QhfT7TfRw+w2TuzmHNVOalvbYhMmrn/h
+U6pOucDrqg6U1R24igwYCMKdif9GqLUkSKoF6FwgSr44ZtUyVaS0V4vQMuK1yUXEXwtUUvd6SA7
gh15BDYIrPFib27C++ySuuDj8cgjekuFBFVa5uu7dwnDLqXZxXj0VJ9kr9rW3/Jvo5P/QFh75EZy
4dMtK/js070bDgjr/XAWaWgl+cipG+9xMXWabegmjraNd/HBcD8f66OpD0P//zzZak52GrZOI21o
qjH1LR3Wjx8K+evng1x6f+sNsqIJks0TD6TZk8NctGM3OBiesVW88HApaHClBf8zEflI5GqyS5Il
dfr6RNLQOpbgsmGJTv8o2cVLWdijK3rlpvrqu7RjU0d/pgepbEh8usAG/eiNLk1W0mnkZX9ezRVw
6URpBuh6JV6y/nhsFM754dKm/NEUIWKddY3wTjrbIbNyMiJV0JdnRNl3jRfLlXg3bWRX/RZvL3y9
j57IUqA0i5YGP1BcTccITeaiNuBKyFt8FvmAxlXxO3Hiv7nuXotu+wJz6cL29SbcP10DuiUhASHv
1eRFrjdLXQ4TCcvXzI2e/CPWr9mP/lr18i+hW15F1yJl2oGKW9xM16kXbTqbi7rgXhItfVBLnPyK
9cnQ1XETF0GVvZ19+HjT5HtbitGduVF30ZfUMb0Lb3s5Ts8e3EQeA24M8/GNJv1ur6kFtassur5u
er28auXK3yfOfFA3xW3gXnrNb46Zn422OtwHKRYxhllK75elbMNqzAXDc2jcbdRN7Uy79JA7F0f9
+BkBUBRFsoiUW+06TSLWkKM71Pg2CIEdcjb1V8t+kHvhffWvBfmPOin/t0myFN7Yf26R2PWPJkrf
N0eW//5Pb0S2/kJ7YGJi/qfJwb/6d24PVEw6V5plSFC2l3CuP70R7a9FlKDgsEKijmSJi7PkH+0C
CNlf+DbyB2SLXGRFhkj6D7iap7sJdQ/CBQoSiWwwjm6UWae7cyblcz2IwfewyuN+M9L2eYCOrGWH
pqSX8O613P1rHr8XLr2tz39Pb4j+jCWyTeIIpsm6vF5Mc4CD7zRxWRanvnRb1ewPtI3TrVmq3aYr
hvDH1DfgA8iM6HiknjbO4v3nv2GZy6c/AdSEj8GSJrz6jFddWmIBtazrncXKeMm1FNyM+5o3tXJ6
NeHPsdgXSfe4wLUPi0vIheFXr5s3gE6FFuUSt6TSFFu97jKuTQsz3s7B4z9yYoVkmIz8ihv+zCUb
hNOqfXnZKCBMTRRN2q+oZ5ZV/27nSiCpoX+Fz5BXYBh2H3N4gZ4W9fdmLvJfGriuvh8Ei07M5694
VV8wMvxEjVzwheuPguutIng3shSC982mPIFASeZWC8PYGcIx2udVJjlF3UlbS9DDq6AVAHjnRLyN
Fal67HtdPdL3vnR7OS2E394Dmzc6Mq4uoLLrGR4HhOAhKh8cbbD620gEAsq6oHJwbQsh39TN/vPH
P716L08vGTw/+hk6mwgylinw7ukTCGVqEI0EYrd4ndgET8hfJFW45Fy4zJSTibwMg2U+GwDzCJHm
6TClmmmoc4C6AYr13zPpiG4LR/VazQgpgBI1T6D+ouT0fnVJxX22hhR0ENqy/bCEeaGrSQyMa6aj
YIxOlGqmAGlLHgUfd9ncKn6lOrGxx6DEx9GdtKIfcZjHBQ+wpCRX/fM3fTbD+R0aZRDOEabIklp+
57s3XdGokwpdhWlbFyn+NsKxmG/AMTNgzkHdEgc17T4fcZVG/ja1SeVD4MNJKYtobE+HpMEcGdGC
QKNxApg2Jh2LCj0QoDoragBWK2USoKzQRYtNaljrqTPE2Pvj5phMs635MvRDUSUe4Ap2lgnBUuiS
Z4xyyulaMCpUsbTOgofPf/XZpqPIElo3Ulx5VXAlVuIknUwCneWPzxBH0VYAhvoekW/j5AGBPRe+
ydncINteZbVZ5Dsvc2M1+wvVEIiAS7GHjRUkWHnWETaEib+tDabu5Ko87wZxam59ZfaPZS70F6gg
q2WhLzJBFcLJEke3zNHVXTQX4IsN+FbbcMujY+cHxpM1tuGRyLPprlaFeJsmxA+Zam1dqJHXpxuF
E6pcgvkswiLRZqwtIo1KBpcBU7ADrU8Tz+hTEkRKlumPMiQdCl1gLKaOli+hCnAY0h9zWoSPTdro
7YWfsvrgby9B45BD6oFk8iwSK9AajVw+okDkfppfLN839vhCUkUSynBht1tv9n/GQs7FDU+F5bPa
DJpJaaSOlDOiOYbuGoDYaGEq+I1bzbr2IPtFbldLvozSiNXGHAvJMwiBuIny0nRmLE8v/J6zR0du
8lZV4dFPX0pdzXVWQDuOGmxOuQzUxjP0IYcGEVfwt/18ivoLw622IB32qkSKK+cLMlLKp2U5vNuC
xFQttMKXIGckjXWs6cHH8ZC/Rr2RHKtsUl+g4cGl/nw9r06Yt1cOsWqppiDVmGsZfVnriWFBCMct
V5f2cTeaBDYVxgVk8+xNspIo09B7oZ41EBSdPlow+MM4k5tGtAtcz7TLoDf06iLOGAfvHz8QawZu
Ng8js4Lk06HiOYKKYJYT5PtMkj2VjL4SoUkwWRegqlUtsLw5+uMmdDFFWiqj5c2++1xzpmejwU5s
l4JOf7+ytEnC2QjVx3ESgjh4xU01+mcO9NQ/DCpxQnNtRjoHqel0UD+ZfbJhKhqv3QT9SKb1jjOJ
4HHbvOTMuJ6Ob0OBaJrc0tno15EShg4AEviY6pkRDQsE/OIzwp5ua2pk50Sa3+xGude3n3+9j7YA
TmBJ0VHAGny91VvVany7LWjDtkG0dS6Hv0H8D35Tf60i6RDF3TGq4m99WY0YosP+kMKc8reuLvyM
81VBr4PlyPUEDIbr1OlrLiPymrs5noih7ttbC33E1Tx2w4VR3hbXu7qLr8k/Kj1pHpZjRlqWzbsp
VNZTbdZBOMLlsXLOGSLZJMWNCDIyj2UxhtGN3s9fAyulx6k3T2RuxGTAweqGupoKcFwvvPzlQFv9
HllZDh6Id4Dm2urlm0LX1jkOhjYGXc1GXpx/hznUt6EKdT6zaLLpfUBc1eIQDK9Hd6lN2s7Oh87f
ocbJHUuH6/75j/rgU/CboGNSBYCtK6tDWEs6ISEljNgiofTdqTWaYx/l/7CsWb4EsAwLig69CKK+
+uCgY21MqtZABhCtLBW92yMSHjIFTWX8/vkDnU/x5VjhjoxyWeQqsS6h5jRPy6JDsIA232GtU6ZV
vp23JORVNKjz+WGeYvhO8XQf4o+ahGJl6/r49+c/Y70lvx0xZK6zG6PnYT85nXt1KrRygPOFHTW9
/mvogmBvSSlhcRktoQs1xNlEfxuMOpfZLhJSvr6qVrVVpDV6DZsUJGsfdpCQnLE1uZWXJeTkuSqP
Q44cpdTFYK/KokDjVcRYD+uoC1X3ejpxyMrUMjjH4CjK37Sa4h20yRpfb/qWRRsiHDHVhzquL8Hi
673zbRQJ1AUAjH1SX43SAr6RzggDJJnrLy02t3aYcJWocJ/3qqF+RR7of/n8ey4z9P3a5e6i4ojD
vknJyvpdHbGJnhEHqItksmNO6EJCQTWDBpVExLZFuxmXlzwClglyNiAkWPZolT1y7Y0QmfAGrYoB
BUW+L8bpe40YA/ve8Log5jJuWrhVs+/1EjTXUL5w+K5L8wWwlrivaVxEIASv11BSkaaXsUNCS1Ok
je8nj8RfvRIauG/8vHaRd1nOnJp3n7/j8zVzOurqxtbJcpHHOWLdYVwSuSy50QvIRJqFFS0mEZ8P
9sEH1fAiYcsD5qFqWubYu8Ohbs02Mqo5pL0fVt/MUSJDshq1Aw1TGDpzE18onM5eKTsS+5LEz6X3
wOl/Oh5YRNFlRoJqEB0JjAZk0ywUwVPM9Hdqiv5DUFSCV4TzPwSX3u46fESelSsvosZVxZYRDyKo
FoQczRzI48vabvw5W40UO3EhlD8zvwy/4HjIHvn5Cz5/YPY+0spx+BCXibRaMQGlWq8ZkCO5+ViK
O5Xw4raot1r1tmopIRH5yXNxpxnVZJHK6gcXg7vP5hNoCx9YNSRe+7Ibnb7yNB7GsRerEpRSRFXZ
dPm3xkrM69BSL4UNfDQUt3Z2oyXUHVDpdKjeJwoMAQUPW5fmK/zgztbVtvhattOliXS2xdJ0fzup
eW/w99e3uGrG1H+UoUD1eVbeVqIy3HfJZF0yjDx/osUiBWcCcGeuTGvD62pE8EnID/qpIq4PYqln
GbzpupjtQcUc+vO5crYYcRlZyuAF+VgcgpZ//24xGiV+kdHYIFY3G+l7EKfSbinpvshFH/70RZIp
/4vxZBB93NckA3eM0/HaqYqjiOYND4dEl0hg9Lt2W8ok8cZcPB4yto3wwjOefTeORklckA42dQqT
1TrsiqTtTQvGfDtM2iavfX+POK5//vzJzj7boq+hIcHbhAAChnT6ZEYt16NEvqMtEOqnudxg1JmE
i6huXRPAY/4vHkollwRRGHPSOqvkodrQjSJfEegvv+/6WL8pKYoujPLReQ8jiWa7hlcpXILTh8pL
AFZTwOBbRk/9FCGVwKtax12BJINHJdI7ZAhTZX79L14lKwxjIkMil369fYiFXghTAGl2qqFDovAN
92k7WlSx05ReOI4+fERKRVMDkQP7Xs1ITSZPtu4sVoA6S/TZBT/6HmYTzPAs6Eu0EEg/oWByTWz+
6VpYZgwVOq0A4GlxXWi0kRhVFQC1TXdA+JYlZfoYYT/YAMrW7Yva0xDb/BcvFvsSLvcshTMMocqa
JWCWoKigkIONEg2lV7Vq6OIw+sd78j/yoc6RvreCVF/64CpXbWVVU0ikh5cIdHOOeav+3ouQmBEy
SiRBjbXn1wRJjbnU7EMBzSzK0K9xEg0XcjDOy3N+Ax+Vk4GqGPB7tfJJkEc3RZaIDbkBc+8OmzEq
heDQKoGLV8kmE0CgGd8v83FjquO0k8RA3/3zl76Y0DCf8VfDI/J0DQF4Ex9aYHQVcbsnQkua3SWT
F/ajHl2oHs+uYEt9ziReTA9hcuB/eDqWHDRjkmE7YQNHSZqtNiqcbvwMbF61bKuVMXuNUQtwvYUm
300C6dnPY0zTQVOLdtP3TfZPYda3X8TGwVcga4J72ekvMqK+6gPIcSRRdjS2ujHZdNWYOP7YXUrw
+2gHNlA9c7agiTPXLENfGQYda8cMEUwEm5Xj5HdMtwvBmV9f6tKenZvLi7bATjlPcNCkv3xybkrp
YCbFhPrIQjlQ2pJPnucUlpC2p0qgt6PNBlcFS7sLR3HQbL2K2ngJvZO9UJjiXzqXdeFgGK36RNu8
uqonXJspi6OLN9Rlip/cZpa2JmU2+ww2f/L6hhqP5Fh1JYnCidCLTiYr9VFTw+6OoDRYTZnwzEcL
PAw/JTufRcHtpAY/ETOWN3llDt8/XwofzU+8k2Q8VOmIYZO1WpAtNjRJMKHTk614vu1qtXqa0tzY
4JKpuG3Wi1eRShyKiFri22ws7HHxOMqsWt7v9sJv+WC6QP3Fpwz0Hw7B+pRBWZ432GKyObBCvooi
Eb+60iZbAwXcNimHwYl0HyCjHtt9rg0q1Hciy+kUpyRJD6pOY7z3AeqBkJShtbzPf95Hvw7CAa8J
crJILX06waLKqnSp5wxULAQ3QyYp+yGtZK9ue//CqXB2XwBXfvNQw82QakFffZTUavXKlxsOeR2S
Ujj0GGrE/UEx/GtMYqC5F9k3woUz+/Mn/GBYroAyFqbcVdgfV6d8ZUapgKMCB4QvWWQ2a6MeuZXa
YhSUVs34MpKMoVOX+uW3AWVtfmH41QvGdAutqwRtH2SB6mZdr1lhAwWjMjGPkwwMJGNULkj+24NR
4Yjz+ZMuJcTpGuRwX5ofSwGqsA2efss40RJi8yq+pWm1nhalqtPofr1VuowGY9OJXjMilBdr3USd
LaQPnw//wZP+awuAx2KoMDpOh+/wJUjbXojdutEgtxr0oA5RlpZbYq8ufdTVWEuvh8MWPzPYYFy3
16e+ZTBHC5Ja7GAoZ2DAgRXVP2Oyb2my25linV3YUpZ1sHq3zF182UTeMGjN6uGqEBZFnRPnrlmp
lntlKHbj3lcbdJ2fv8UPBoIYQbNWYuNS8YY+fYvpXBpsGEVh11EntncYs6WN00uTKF7YmM5fIZeV
BTSH/EN9v76+t0EO7QYp0CIdVjCqlEJPK8Jymw/yJev884m5YHmivDiYwmpbW+iTIm51WUONVvYI
GMuQk2zpECA3jub6hkwS62CJuk6yJXLEKBMvsmA+eFY6EZTeCyjPNrw6Ron24l6RhjnmwrNcucSF
YkcWwmnH6CHVZhDVEQlIIDaTg4GT/w0HjvnYh10xu0ludQ+Qg0YcvdRpOiAxz+59HzaP8/mH/+A3
cvdBmw+MvtDAVjtx3Se6FDdgnrkVdvukxnzOtwb/Puuy4EL99sH3WBT4Gu1o2vLsyqdzrO17ow4L
QFy4wIqXxbi8JNRPu2RK2COqIdsKQljaPco0T8TY6ubzJz2/CtHwezf88vPegQG+iQVAm/GkqlhJ
z21YGk+DlJWt1061QeBUagq1U2e49V3Yi8/XFgODW7NfsEXR3zwdOFG0UO9N7s6I6iNtMyVRiipE
gYN1YaDzM2cZaDHrRfRDKb56wRiR4gVDaCqboJH/Lbdq6eRWEj7FvHQnlbTcIV6r3mmEfrmfv9uP
Rl4gFpOWI3cRbXXa9aXe+JBicuwRiL20EzEVd5hopZsIPuFilShjWSgnrmBo8YVQkA+HpkxlXoHz
wA4+fbt9EMtRM3HPJMo3fMIxcNzNMdqzXmhnpyH3+bHUx3ifDVNx4eT5cGRTpfp/+2cdK41/ZzuM
IkUMFlY0nawY+MzJZlkmpnYaX+TQyv+OTKm6r2SNTth/8capfrl30FFmOz197ExXkgDJJftoRZrV
XMQoSAskCjT82jJ1CjGIPfJlsg2ki8fPh/5oIeE9z66BQQfEwtXQDb+qKLHHsmUjMxwzHNVNnPt0
QW2ly83ia9sFCOyAvgrjwg7y0cgAz/BlF26svEZeiyFPpWriodsyGa/ltpi8kabNfaKQMKYI2OC3
5ih6nz/uR8t3odouajoO4nXvSQ8LgC8ine3B6PQrzv/goaTg2H0+ykeTCVgZW30AKQ1mx+n3HEoS
P/SSepGo1c7DgCnaDj2pkNrQJFd5FRDoKEbaw6j15dfPR15x6pcuBUuXUhGLlIXUt57HQxHHVSTj
WYL6uLVnBX2i7Lc/8VKki+FLpiel40sdySQtLvabKmBmEtc7UqAjJ9QsGE7CpVi+83fOT6LPupCm
qV/XvL7azAc91gA1gRt7lL1LB83DuzG9FKZ7PqNwuuXevgBkXA/W7RNTjHOzL5lRo9KB3OAtSy+1
C8qpsmO8z00smIrMsvtmKi9d0T56xgVNBW4H4QQOPP3iuTIXgqmwcSmln/0IKazJa00xm3QvfN/l
LzotInnGdwOtphbC2FZJMkSfw4TnRFK0/kveh+EDPiaxnvRe48f+tybGTKDOQNLtUqRMkcbgQqXx
No/Wv2Ohi+L8De4P9r96YKssohgDcDhpEUZalYrjW3ydKPJjqOBaYaQ9/rpIN3GGQ4ncF798s3vG
PeCY5jTsUlP6WTb1a5HJT6U15xRSMUozgqUdqxM1TymItJMzCx851cS4ZpYk/KgRJk9Tf5uFwgWM
5Hy9LkuFLIKF7YvJ/KqayIkPyzuFh0nSSVZt7iXBjY9VwhfFxG4e8jicAMku/GDafv45VwXbUj9Y
GmJaIGsAJziWp2+xUEsRGzu4RBX2cNoWMKMSDzpp28lBa/uyvbAvLSye1QQ6G3L14ay6bsuQVp5X
4mEXNYZcES8c4/Vn2sVIfLu5gQFH1oFtjjgaDNjnEdiYgUgKE+BcX+NR1DlDKhfm1uhipV88dQ1q
hdyoCoxBksHMnqcuaPDL8WFQqQbMryKMMrefqQ1bbgmNULfOUNTieCcDb2pfxZQQ2MTJp7HHY5oj
D0zKMX0cwBC0m+kcY1uDf0RJUEHTwch1OMeKUnH6Os+rZWKouRJuu6H25btcV5veRhcwFJtSHxof
r4XZTNAoB4M4YsMUjJ4QlfE+psV6NZUy7i21LsSHvJqVQ6W1+nUuBpajyilmm7RjHwh57DAnbYtK
sfski45jZs0Pcl5Gi09FdE1TEj32MFg3dW1VmznHo6OUoIaZVQ4az/l6qNNKeTAHsblOo47AOIri
LbF4dFfLwt9XvZgRt4sDuz/7maOncn3AGXTajZkh7Bva0l4ECn0t/P8UnVd3o0gQRn8R55ChXwnK
tmU5zwvH4/WQaWgyv36v3nbC2mMJQXXVV/fCid4NhqUCsxDO2WGowuhbm91fzQQcJUmmPbEmUZ9S
eBC8YjhkjCUzvnpLLx5IWvlfAA3Lh81blh2JX+1tI543QyscizlikgdqbtLy16XzjD9Fw7K5Tv4K
xAicHVv2IJQrNerR5uvzQ00sNPZ7p36ZJzf/q1WSjtSSL68Zo80ddGmO095chYVTFUE+DfpbnsBx
cw2t2sJpKxoy3bWU357Vpac1pX/Vn+/LJF7Qzne36LqW07c1V3BghZFAwWwGK6AcvqtnT2odA4B3
/h9rHYlYeHqXRkAKzEgpDTy45auHtBf6cQKz+FRDqnt3Fh+Fe6vyC+cvA4DCMDyObA4gFgO+909r
9eLdzUCF8j364VxUWrsCPGKrwNV8Vhs1dwgqUoyBVVb1paqAODsFuT/HWMw/JGHbBzcZ1Q5Gqfey
VozuRZ1UB6WvXTSvGUmaTLYIw7dtirw6IzQsNeeQ4Rf62ox0BJjZmIGfCMUozsuicVnqB01tdyO8
xVVmqQkcmZP6sTn7QGgKopR7OTjPA3LKWC8GF3lBNhxmZoYnIYrdnDnx1vZAhHofkF68eM3ihGNp
LB9NM7g/9VKQY9/0JM4b34uSzoBEuJi5QaCv63b1YuLTGYxsave0t4xbsk7k45byCveYBsn4rzbK
NyKI8bTlP1slDp3sD8VYAT9q39qq+1Wr9h/nRgcwBxsxYqsJKoKBBjqx1FA5untgpXvVHLBsHssz
+bLN0BtXdXI7y3ywQalp/Z06ZFQpH3nxrmUN7wLgI8hYoLusFz2D/Wu1XhcvwljCtdPta5HUT1WV
L2Hb1zFtuHsnsmdyw3fTNyfSbPUpx/zNzc3PbTbAPnuyDLVBSyMz6Y9TNj9QA7U8z5pvBrvvNqjs
IDXSlXQJEAknK61jR3k6QAIOTLN5FqCktrp5yv083eUygUapIX5hRLEGNsK6gxQbhNJO55okutE4
zd7UXGvH9KgP1yb/yxSnhftIsjBlpyYiW0/8sBNRsUJvkgkOjARSD/GE8rTdQWvl6MyXdpquXNIs
vpp8Q/yBYUKEIrKWYePzaiBVMhlgcNsC7HkbMmPv83oHHWFn7hpsaWkOcI5kdtN4cjczQBhIqr1e
FY7f0WV9wKpMfmKB3rXzjYXJT1MGla7pJE2N/0ow/Kzv+02wQlkf0zLbpS2IcoD3WVT4bInngD2p
Iaui3XtEkUH9W4mKoAqpR2O1lmtddNTBTGO36zKl4qnTSnDqvl/ilPF/Vy07i1o8LUbyxK7cJ/cR
rm0GjQHLSbc59Q++xziq6uYHljGuPZsLYUfOaj8srRsyV9iziQYFzD6siR2begnXyDq1DtD3pIcU
0wNOI1uYzuByMLZDPMglay/N/JN12xji/Nkz8ngt0uJrdJfTZkO3cZ3y4q3+vqD5zCFsu6hteUOO
89Ca7TPrbzLKdb5cRb+hWzQ/dOvqXK3WubsTD+gK52SHQHWmT1Dc9mWa/C4dDBdUIchHaoDQ5FJj
Ma3XWg2Yqnw/D6VW7uaaeh1cHYRWV4e7NZlxI7WHbnM+67n+Az84tPsqULJ7li1I+RZKoFZaXEoc
Hath/RRKHsA/BVWlR4ZHOdhmyxtpLd7NtCuC2t1+0xbLh12IeGr130lP8CEMEkafDT3VC9JxvaAE
Mx+6zH0x8upTutscSZcE+SLyG9R7FcxdvhNWjr+oPHC7DxIjOzhtf9JWAHq14FqGQoE2x/a+vSa/
rJrFoY7KINj07EfPttj0Jn5cskabbu0lfNi4HMtH0doP49gXwLM6c1j3rpG2InJHLSnAl1ntk94L
+VONefof7rT6bE7KjEDRfCi1sR2wKdg7/I07hvsy9H4Ms/60tSUdhHyZ/qAfVXE5Zz2p6nWXO3y6
FLQILpAi9W8Dk4XDuLWg0LW53ymQwRH0p5HzeF+HwkjPHfczfpU+Gvyl0pCYLpKnuoR+SwETujLb
F6KM28LkMpZcYibdc3s9yBJqu0ODjsdP9TgP5s4e2TJa2R2Eyc+EJ6yK5lauJDAz47HS66vXQMmT
S8piv96rUAxJGo691fMXrInpF/xxvcj2GssJjP5hofTmNa+NmJxP/ogWAOJSn5962ghjdzZEd+hl
fkoayGZ5egdGSjBqsAKLqUDGkFenTaQXu/TtoPTA4plV/qHX7D51E61Wzd5lG3GiSn32oIdmT+yE
W1HoVM5PCh4q54HpbdZHk/fc7zeuIP3L0NddNWdvltb3NFRgizgq9qZtN0JH9+f1z1CUHeg67XlF
aF/37qsAjiC9VAZebh5SM933MolXG9zWCLhasx+bMuGSTrr/jCT7mzrmu6MvHs8JlUdZawSE1wjt
Lv41Gb0PwwKti+sY3Ji9s4b+pZyNG7ECGpNcsVb65sn1qzbJd7OZrfVXvxKXjblk6BjtsfDbS+cW
ALMc8acvp+fZzuIRN1a6MHzZrGApzINvDnHVFmdqsDVQdwZmrqcvi1596XnuBEyqPqaVMIGskq90
ba6bsR211AkTc36uhXXNQCMGFm6BbDb/FBgkcNr9Eb1fcW5vpiBt8qujkl92bqjAVvMPQjvWEDMR
5Uq7Nj78dF3dE7psjnTGN38IbalDePjl4FjogNBFvlNfHGt72zJ11O4j30EujzJdWOKC+D/+l84T
l7Hx0MJz0FnrK7Ba2yt3izFBKFXwLVhvbdErGKcpU3Fq0nCV9rXp5E7UzkHYyT/X0Xmu0SeEhhKW
ykjoIJS/tZ7/7QSfcDZb3iq9gf+0roFbm0+sNv46d4FxUatDCV5UyDHyFS+pU3daUPYF77zhhmpj
mNpohhZURg5reazQYWQImyi2bLuA6mSfzMIsoOjrD6pYz2Zh+welice1rNnDa85FPd5f6hdtm/bW
5JzwdWHrMGMHY9bc+YKDwXRmJPOr907CLTbb2bl8caR+rVJVH0SV/9cCxA876EuxVouX2etgyRY3
xyr+WduM7AaqR5vtOq09J1QLdAZYm/pLqpqSy32Rs/YnNdrTQrWfNO2BD89RZXm09vlhTDUaL2NU
Fk1s9H0RjNK71XoaWTzIqnXZE6lJYIG5ZCKc4zC7EMzH2PZQhyQu3Cq3vK2OFS+Vcc4mO3YS8ThX
6mCSFmlJjbKxyjAacYm9cTtvCnyJZA5205hHxJU+fDj8ERNnM9AbLhgMNrVUcQft3gHFXy4uoock
NjjZD+3ISsSb4BmGmwHGqHVbFmFGZlN6+1W2H4LsLQ8O9TG4fCD67VQXdcWbI0MWJF8Ia4FNVcMz
4b2HkfUjYB3sWjjILwLbmiMYBtw6eAnYnq7ka9bbt87CgZXQX0/VZ2n5DHmr6E7m0rKUqkntncZ5
bSwZoVhg6+GnRRw2lmmUCvXIpuzRbnLwcP2jtXjRuubRkows7f3yIYgniL+buwSZ2V0KDcQEi7V6
Xuz9vIWxOD7Lqbxqkj/PHhY4l1ldvjh1FUsYj5pGI0O0D9JTQate3ZRHrrW9LvanNn9L46Wt5j1B
2fdh8HeSSmzMOU2Ld6f9o/d/+6LkxXNCMkxcj/ZbPh5rfkgQ9EG+fCXlJV+qd2vzTwgwI6/zA0w9
gSEf5fyoyVeR+VwxazQPc5BOTdS0P9zv9pa1HXXUzs76pk3pIdHKJyLiFahd40LRE2wzSDyUIVP/
axd66JUIT2QbWdZVa6gb9OrRlm5YuJdM/x4Z1lM7hiywvqA2f+yNJC67kSEsy61sN4KwCPwOSGgS
40s5dTVdNfGbEo2c3T5O21uuvMtstk/a8J4k1wquJk6Kx7zqY795l+BliXbEHtqTzc5xia/wXFVU
adCFFMBQCeZSfll9+cDwJgB5TwTo2eb5XII6yuv62KfHdRgpFLQzq6C7dPzZeJaWG4cUzEHdOp11
/ECjSHZLUu5Xfs9vEC2IdAcuPvQ5xhVlE9NwOBXWsz3sNFJHVoojwLhJ7WgUb2P+VbG/6AsZF9hb
Vk46Hbd+d4fRBYjnf2DYI2ebdpp9lO2jUT3Y5Ym9BXa17aiy8AeITmLBuztr/gB8D3o9CcDwA6o3
dm36ltpPmunfmuFjqPeJbUaov9f26y4J6jOf/oPtH1edZ8F4ZzFm/Y/rPtcccntH249ghvtOPiJq
2zlpFrt5dyqmR50EWmdxBqq9s7K9i9YUabAsSzTK4dVbQUq6HwmWKNUztfmaxuExqfr33v/L5jz9
jjzOiwR+cTaeGm79kDDjsn4T3XpM3PzZaeyXNdV3SdF8GKANpQDHCfh5pmzQkpJifAzHOyH/Hr1f
Uew6Y5iBq7ar8nAPHZc+ToPjpg2xrNfdNq/A+k3iRuaEM/F16tkZTV/9+RfyTVzbL63zuel2ZJVX
6V7T8bTBNBSlRivTfdDyvWvn557NDdVyC5Uz70dz30hlCYs+lJPtLL89yW7eM+TmpOKfPEedsSEE
SVanUW6/OP70Nk78q+uZIW0ap9Xfpn7ygJH5SX6xuJjLznrW5kPGrJRG3K9r0pixip1DLZ5XCjke
0px0PruZ8dq342nu6l039RdMLmHNoMQRMeO7/6j+DQLdy5Uw/ffkOkVId+OaG+13pcub6hYO+3S/
25YzpqZVJAmLW+4739wLDvPdgWgkw7NNBletFmV/nnLUkhSnZf4vW/HXJihZ+PdMr9LgL+tJN6HE
dB/MxD34fnXhv6mbKu0ha7Sw1B/oPh16RgBYR4KulldFYsrmxDcC3BX5Y7fEs+HFJdacgGdZqBAt
GOPymKzpTjrGW6FynjDe3s51njZTPOBLk1VxyvP2ojpYwUk7RY07wRn/Kht0YPnr2Ex/l2QOez87
CH0J3LaPebxydP5nwVNW+ueUrFRvRdx2rhmR7jyPCVUuF+RsUzyro93WD5UwL8Pq3Ep/3jVVysHF
FYHeLWNYQ4gd3K/ecM/ZllNhsyJRuTwIxn+oHMNM+9Xc7aYJKIR3J+a6xMnMEWO24nSy9hzVAvQ6
l1byLIXoSAPCKP8ruFmoQewM/o+VyHozOrdBLSdNM4PM/+lMg1cnfxDz1Z28gCNdWy/0qAx2dZ+9
msLXHnnXTX/EG4FwR2a7kelh0fCcgKi3X4blZUq9U2P6r4unTlTgL471Xhp62OGx9yYRLXoW2+Jl
4wRtNkbsNgeLd3Rrp9jjpqbJ+UFO3Tstp13VWEfTeGOOl0XG0F1tazyPd0jnKqI6sb9T13x1OzpJ
BoVoqQ5awczFSsuzl4sHaouDZbafDgzihS9A3PTJTF9VCVBYZFCULdYSBKJsoNNGMIs5bEHELoIE
AWBtBt6xW3Y74gxB0/yYrbPXfF5y9GzcTMLBe1G6jHuDMZ55bKT8z2hiKzmUuryThIu88ngZh4OY
jaPhW3G1mZGTQwLUFOKWJWjYSB7cJPK0MaqdCzGPiuHBTK3YHCSXvlt82CMUqmQIRu439vZHw/eV
zPUFzOyldLOYlUk47nQSnKPiPetysL46xjTrXeT7HJNXmh4yfpO8ZbClDnj1JuzN/1hJDnTuVRan
f87fp8RsPtmPo12wfrIPtE/9NzaMWdDTf/CPnDoz23kjH5jkXe+4h27budNYvlyW49iUn5LPNx01
aB3WeDDwlwWjyfE3b9xPojKPRaddyo5W2iKG/5I+Oy4s1cZKrEbUj+atW/t/WVewYIlHhgE5nmFO
yUys/yt0+92y2xvb7y9pwk+6evNTyzAccePNsupHvxV/tda4wfXmqbG8jRnWkmEnQCfr48vo3mwX
mGXzZHqfFc8Q1X/dUejsuUeJUR3TlMeaJTiUl5Gwz2J77NmIHAAL6suKY8HeT5nYpXV1WNW/MRFR
52pEkfPQYbWM/qQ7ztx4fuS0xfUsY49f2g58BB4GPvgp+y86uV3qfI3TfHB92Dioznma5dw6Ne/f
wGtZzpFPstfloXtH3/plF2JD3tepdSoVtyzcO6w5u8Z4Eq62l526pcWTM2Xfic37rGGP0rhq2uIw
VEtgqrE+uO66PpIxpn1EV4p7lFggZDfHdsOMILQdcp150ODI4ze6v9BQtrcPgdsyc+o9J/2j24mD
m356Ijmt1Xgu4JgXYxewthiuvofS6y9ruAxOzLDIvEPN0VtbWgauzvJSZ9vrZpSnifCoVZwyE6I6
KzFO9qolxtl1r/nAmXX63ZInsfAco1xiDh2m6y7thkNRcFPRAYWpKtrm8eAXtGWtZ5PauTQJRjcP
/fKC+IlC+ztRWK9YWq6n9wxlkppecg7rkhc2z09WQb+ifOZyDvLND6oVZDFTLLP7qM0hVP7FGaxo
HDmueJGdHSrtcF8taCRH//W3sl5t2j1JvpxpYASDyRdQvw0Icnf718hlT2f30mz19+BA4qm9qLAJ
5A4pMlsrbEuL/IJQx0XH3mNdm+pae69zJffNRE9TBR3DhF48Ns6bg8RplLT1k72niT8zfoCxMuKN
rnirnKDoOMjSaKqdsz+9m3X3uE70uHzYpXVC75ckhicPujnvsTzFPRVzzlg7zweIwoxTimKkVTvv
hs6/JXMPwoHHiPTlPqmyXeOWR9K/L9XgHMyiOZSudktcua9NpuBZPz+ournN+ESDYr6TrukcKGDY
A5tkTMppG25GrOlMo5rWPrNUdyha9NoMJ9yQWHv+kKm5jKYm/Sm7Dh5V+lEM3Y39nrNLjwfbJ77N
9LAu6WnRje+p9a4b7ZhDnfmvTsVhUuhVTsMKJV1TrnlQOc6/alK07nCk/Uz6PB1bnxoZqekQlkV6
IlyyX2oO6EIbW1ZtAM37Wo9NiJrapEM95226KxXNaaW6m8vmGVzrfCPKmXH8G+2Kosw52Et22Bzh
BwnLskSfkwPLuq/T0JrBNIu31p5psDRbh/Gy2i11t++V+qwN98keKDd690mi0gy3jHdEWnwgNbf8
2/g5k4OGb2AweZJVDg0s7RH9ja6xYzbHcy/n7jtffAuP1WaCUk9WTvLJMblfkSVDMsrL5tFcUY7W
yOSoF9bvqjS/WuHRxRN9/mSUGCEmw7x03rrrRuu4SaR2rNGY0VSAva4Hsz0aAvo98ss/KPIQNUpn
wIgn/+PQ5od9y3srmT0Bo+8ZoHePibfcdOU5z5nenAgZvginoO51ZrbbHI3zIeNvqggFGCmvChZT
fKwdySDojlkOkxPrrp9ZmiTDjyKH2XjxMFi+KdFiZWrEPL7bCX3Ft5JXmovcNO+E67QkStcO4j62
KM6UErN4Vc7iIT0bB52hj6J77aT6cRZp+1c4CWyI2s/ag5YVznvt1bZ22caxra/0fLf8b75Yyv+R
mlTFzh7ckpYCnwl0Xr310PlcVquS4kF3Z7LrOoOKbBj0z54gc2QOPgdTjhUxs5bsxLhTfpmjnRzw
iU1xCnzihuAPlU2fVAvbkrJ+KHOLeReaj6BCwgkb3HCPqbbx0a097vz1whtCy/mib6yYmUWdo6gY
7fxeJhc7QqvQtOfxNnKqPeYph0XRVNbVUFIWgU7LLdYMsws3t/XCtZo0DgHl/DsLDBvtjD1Eekhi
WO4+I9MzL5viPlAlDCjGas3jSlUOFgfTH460lRqi6fV0ZuoMAKD2q1dvYbDJZ2oN2Pejb7yO2XNh
LLoXawBbtsj3luwyZ5bghk+El9KOr7bKwm2DcWrKoyXwMOD50J/t9u7eLM3uRUvm5onr14z0ycJc
AuA2dDIDs8ZqM+iRRo0LZIEV5DXNxEHc6w9l4ioMgCK5iMT1Qtu9qwH8pAY7nqTmx3q/RBEKDHwD
NwkbDLFXUd3vcwugjtIEZ9BY2nRCN9QR36KdXDHAWtdza/QZ0qNt1AOVid6lnON2Y3dGfdRpCsZ1
m2X7xNSTv4lrMXJlp6F/S5t1OIk8M6J7gIamMqbiUl9oQKy6yQRJx5+WDfVFjXej3zQ5gb8KQoGO
GJhnwXBvNLq6BLh5oPi9lyBokN0ZRaP1kJqgLdZU4DHwmyUei9yL13Ssz3N5P5LQcN61W1PG1kQF
3BBRfMfa+McpZy9wGfBgBxqxF0nfeHWcSYVmomhollP5biI5xRbWAAVkssU0Z4NxGmvNVN1sgsn/
cm9qQqPqU5zArdzpLeYjE+0f2oZhQqaDRK0YUuOlqhuSrNZUt2oPuWHmMTuaXWV8rA0DQXYlfQBQ
b1tvPA1l45DDz8vsQWhpiUGDaObdXFTijkIbZGbLJC6t0kvWtywDg2NKy7DKqjMua334RqxLLPAt
I4GQjoEDlwJji67VU/XRNbVuf7MitS39zra3Adli6iD5ZYLkNd3Hpm3JnV6vKe91E8rlf2T9cADV
6vBGTB+eV1vOP9scHBSLQ6kZjPP8DVHSiaUmv3zGZ2GKUyFmW1CNJA46GI/n42VUWnUfE+WsARjB
sIlc83GVEGFgtAZkqPoyWta5flObcO9fqaXe8t8GMY1jgoU4kfmTS5KSMjixpj5P47Yt7eGbZseo
HqZ+U0kXGc5CtYZIY9C2K2zkWpwMt5sl28NCLu2HXrZumgRsCpkIXwZbqJSLSM0FSpKusQW9PVpw
Sf1Vkp6n8cGNJxt/NY8ZGif1TO/1/7jYPLrEhEz4JwWtlw/d11h1zfjs2tMijppd2OojSYxeHCsv
NZN/Hpf++rTKZFk/LcfurRMmv2QI+8FL2fu3x8Y5pM2kXD6NbZ6zGVc2+rsUDO/Ors3hImY/FOh+
v/a22jHr4FNj6bMnv5y+M/tb5U1LSyGwsMRUjwT0yam5Hoj5gZjVY991yormDpBYnPfojAmk+Km3
N9NV+1pN6X/1tu9xesHLmORxYW59xkw8s/G3hXVqiBodMHwW2oeDLZt+Rqut4VXkctfL8R8/cufG
kFU8JnTgTP6N+jhOv2oRWpFj7Ugn9VUTOaCYtBdPR6zVJ9uQv2n6OEGgoWvB26G3rfvpC274tOny
fOuOw7DolOCF62zWq7Rk9l/vm0t3Xhp7ubHlOFp7PIdD8SRcZdZxLemD0/WzLAzSYesTVvGCJl8N
Zs5mn07MdukYt32UStRhX/aEQG3taEFzqdKa4TCMoqjVq4CtbZlGoLVzgxN46q3nRKam95JyF6yj
Xk36Lyvp63BjWw07+dAJqzvNJUO6fyvLcIApigqLYecSBcVd7U39AuwFby2HNBPDdZvCuN7ZXk/x
rSZzLc7+2hodL84ote5vW/tNvpM65KCz1jnKidSyKfNfN0lviSyV6M67SPUt+UH3OT14alPzdEdH
Wh6TnJSfbb9ueU7PC8xNQ5VhlzKLurxqtV/YTr7/7urLgjws1ejs/5VDu+kvzGo23Fv6NGYXBMxl
djDSYgQOseXmio64mobvjT/VPr2m4PYZVNuUKNiFeu2EBpzS7l/SO6J8Id215QffJdlLoM7VRa5I
HlUtmuB8rvTxqa8cir9MekX+MbYMhT/TxVtQHyWD5V188tHTqyNXGP5ZOYy2GxSq6No/Rj574YwF
htp4HLo+XHhL/quMrE/3fFnHDlYUxmwxJXRstkRffuxSZPc1U+Oz6ZWYd72ZmYelymb7KJTvn7ci
7U+mVWFkytOObFTRb8t8rRLJFk2SNP5jxnj0kRslYVrZmZ8iZ1ANOUklIUO77H1a8HS6KbVq5aO8
jed+hRZm9B0NoCrT4DP6o7TJsE25j/2bPFUvEv3s6QbxNptwf/1UlHX7t+h961PJ+zxC6z3vtzX8
cdfwUXx2Cru8WWxY/slK1vKUpmjYlv5UUq9MnJXZje6Zouh28mgs09of2RCnNb+O/vLS6kKzOY/4
CQY9wRQgHAm65IGRlfSsmzztf0yoGzPLWHJBE1Yn1o5gK071ZO0fu27MwT+Wlf/sDu2EK6dSkhxo
1vwSj8/R10w22tHcl1tPDMmwTvXSZ0/Q+rqnzNBUrCXJp52OX5Rf763Xd2HfW6TwMCgGjc0+g4Fv
BvHv3nDHd6feCP8BAqMqEag/BgvLtaN96AtDNjd1P3LhjRfVrEgyTNJ2cvKuFQlpzpNLc0rd4bvu
VbPT5ea9Jc6gfmg5p7yR1RznrvxmnvykNZwKNTFvV8+T2RnK5rbnOdhcnMRSfzhWZJT63SmpkL30
RatFTpHQoZpQaG0om/ZpYhjv3aD6g2pn7VrwHNBDvdDn6tErE2acrrR2gz2qMxECnfgJGlrbqJ4d
GnR/V62e37turbubpZd2PDvJZBz9gQ9UaC1d/UCWgHBPzaVIsHfpxG3VTOs0uKM1hobL7mpAxqWP
stTqPwiU4K6Sw28+SDfa0CBF67SNe/7l/6YGTV4hxEYXHbk1C/sUCU3Z75q2McOe1/S4uJiBO19d
MrpZbo21aek4GWkG/agVFBuwNUYOVk8e0XBY+5StX4fDOonYSOwPRymm7I3lPHjAx6lbnObaZrQt
Zgu7QkdfU/fkdlZmkt6GbsNR3HLTb0zrYajMsy4qTicgBMO2tmp0aK4dtJ143ozuQj1DNiDxuHmJ
ZXsfRxy33GS7MEuMnRxVivkXBQ5PaT6cNic3Y2H1dDSz67YxDi8nBxtZrZ5sVTqBdO9r7veoxlKR
OSVX5xJ38zr2kX0nakfPPE+jc6UG+dYqSqOUQSNXZL2FhEvZTCxbCj+PKn4i0hs4zsbhQjd4VQtq
Nmt2gVAXPgSIJj11k3UaU9RKbl82odJFmEzosOi47gs+04Hhl14kGl0/LXJzdw72eP7GuPDAoV0A
Fq7hVF/KcOYT+ghF12OSW2ZhzbOHaOXzIiB4tR2fW62839gZFB31IS937gKHgTXmM3PJLDQ3I+HJ
h4uL7TwRsUP0KYaBViU1a+z7DbbbrMNo1X63jbdctNJ+tXuvZ0Lcv48uErlez5yQePISszRUHjGg
dhEPmSEq03bY5+XqnKH0anvyAPObZ9+3D7TBjglInNtppthoINd1JbfPrG9DxZM4bLvZDKRlHmES
yP2onEOXMe9YJPnBoi6vKBYZSg4jqkSOBcNU8D5rkxVvrvFH9YAwieIzsGp4gWEKbWFpo6mipW6Q
EigZaKRUI3VZYawuGRjk0wXTOjMvmtYMYdXFTnqGi6VjHbmqtLCqqYyQSX6YE5EG+/6UTrfXbCnv
VrDhLGvtxTMZn7feZ2HR92YqfmA31QmEl10Jeb2NNo2JbW5vibQ/M8r2e0jBxHHXTc+p7Ai/WfV0
LUQx76rRtCJdGVGy1Es4i+aD+6wVy5x7c16ynSnIMoarwyxFT4f0mK4mU2p+D05KinAqL22aJhyJ
6vtIuFrL39HQ3aiEJhNCNLKibPB+EnN8MvIVm5Tx2bbdlxrVk6n8xzwbn2hd7Brq4GAAMuo2mvae
p8ZT7TVMDf1mha/q0xga3w2V3DKlWztvM56MaaVVlvfLPzmz+W05OS3HpdYLvgwFCojistI5NvXF
0VYmvQ7T3UJmTfVxqWnNBtIp0gfPLjFEzTqXhQ8lbBws1tiGQo8H6Cm0GPr8RmusZ6RgVRhx0/VK
l2G66USV3xvRb2/Ktqfb/xydx3LjRhRFvwhVQCNvCYCZEpXDpkvSSMi5Eb/eh97Z5amxRALd792I
ocLcjv5YXRrPV7saW9Z5HkXiwpfX6KAgtGwvqqasXR70pueldCYjnUPfqVo0Yu6LgSyHaNkFez2r
oaPqUK6VASrUlJTdtXp/6W1zF5s0ra1jjhrBsNRdPrfaq9KdZeulOsWGyfAT6za8n9uxQhKUeBjZ
t1D5TSstm+1CgSObZw2uE9XsAKFjD8Qt2Dy0zkLpJhFx8ITKo1iRvIO978enWdbvBCbkQYqw9K3s
IECmYmkPbMJNNOhOd8pLdvo8pwMMKcs2HUqIGNpw7ZnqQ7V2N4JgudKcZUVSM6YtcM4+XhvAXUMd
Uhkj/QAsyDy6ghPWiN1SufqmMku1R8ktWIDKL8io9W4YYs61hnrKmtY7ffX8wwJEetRJAr70OR8L
n6pB1hplQxw09kvcYfeoMphSIZL7JB/uACYRdmsZ793YoXWIkwdrnSkFi6loIfGQv9A5I/xjydaB
wOZ2QlNPniSy9Nmkzyidf4uhBw9f56fVNwcgPbdDtmJRvVskKE2UHrk3vLM2QKe7uqF8fszvmL4B
mya2LttfNnJq9vZMhIpUh1wfVywC3mevxp+mp3+xY1beIcZAApTEvypNbuGih4Zez67otqZW5Wdi
Ie/XEhLGbnGjuxz1oPCodwC+2XX0mdLf6XZ6ImWy14mgJp/SWjN/FH585IwOh0T8ZH3zVozg2UW/
XgcigIPGpj6+besPt2ysbV7bv8ac5tHiWj9VwiO0Dq0eJDMHtD20B0GZTT7CL4037YicnmOZ+BGb
DlELdmdMaEaSN1vR1hXfAnQ2TVW8NrbxZHglyrHcR7G4LGd3zN/yqd+XglV8GfSfSc8jr6bx0Hfa
+NWRHNDoN7LQjn0wCVXs1VycCHnQjvrIwUAAzUz2T9GdvQzKBIfxA1fsScXTElS5OmN6PVYmA261
NGgSOlg30ctjkYJged4nT3QwusVFUGe7zN69nslXY5muQzHvhQXHvSTGl1ksYPdTDo+EfWpL0k0S
ug0dD1k2F+iaM3IUp46fs658tLFDFhCVypNfIWhKjdFB5WKC1zmJi5kG0YbtKvdldmODrlVHWkdG
anKsfVQCQ9de2tzrN25Sp3ikkYUmwj2X9NfPiZaGXWNq7O/8JHmevwJKIkbzeiiWcqUoZrwpQrEg
BSv3tpGVbEzrCVyJnl1juac49y8VNx1ijeASZ8EYOBN7k2yWe8m4GojJeCCc0Izswghb8GBEGPNX
FxdDSGwiZiZj+JV+494TnELggxy/lkp95iU8jUC9H8SKLbRrxUMxmg9x0e0Sie9Mn/ynVCepgMy7
Xxx/iFJcVQQp0oNgGKhDVUoxtqT9+8wWmfakqySWSZMxdvm2kzNXo2i3MNhUfPUC2WXRRqPb2NvJ
L4/E4aqjp6GpNqWxRjrGnZO61SB1hfWH6x79mSdeGooC+e0g0JLqrxLZzsjsSwOZjsUCJFPGyX5Y
kiMr6H0zx/d9zCDUA6ln7vTpJfKxY1OM1jb9VzGhg2lWh24dP8RayM3a+nTKKGPYGF38oKES87Tq
rh/dsyWMv5mwFGKltS+kdQfOQZQCtrUtMpDlJPcjQrypJ14wZZMPELfdd+yhiR+JHq1Xs3t0Vwv3
k/9jJqkfQMATqV5bb0ROXc0iv8z+GJ/6VH2k6RyTY2O8Z2BksCPs8E69fmCnoL5cenuJdv5hXKZ5
O+B5D3QPS36ZnifWiAcMP+bFY/MF6LUD4cwnVVcL1gnY8xjgz4+LDSGbW7Krd91A0xpHE59LZf7T
aVDGBa3tEpBLI4BbtE7FrP/L3P4jXiuUkk35vMbJtTaXd73CaqHrHZyaph40/lyg03lOydnBnbOT
WqsTKW99gBdAv8alf6g0JaD2UgRaIzNHM/kAxaMdA8NOWTS26HTyJjtmkzpYtUHfZoklmNy9x0TW
3P7C+5X59MS2vuNovJeGNuN1mP9IkLq1rghz39vAb/w+zoR2gbuKRsvxl2v4roIAivyC2XCK/TvT
8NBlaY9ObAyUUVUPrqoU08+05ddD8CI/3Vu82sADyWRZc4JOB2NEAErJNX2eSPHXpN6vMQ2zkhrN
oNWkCMtV/SZtGofG3H4qbYpwCr7iBkMyJu41Obwy51zc1vkmHZVVeMrrqNNQqICPaedqIvLGapOd
kiWUa4ONFooIvwos9+glVZS2qr9M/eozbmWXXDePdizQDk0/xmy+xxX7suwllAA/C6KbLIjBWW/a
VhF0LOQcnGBXY61CFwQI6TwqlXwBQmxE/pwl1sMojQchG3pPLSnQofL4uouNzCMzNwmD2U0BXVZ2
ekgyT0Ebc/pYJWtfrF4Ty91DxCFvi4tbUf2Lr9UnrbP2rkIF0ImDLWWYlx6jb2LvuiZH0FZ6XA11
KAqF0WF1PmAU3v2lp+Ig45VMDksKto4lbUQ4sW7BQKi7Vf6T52RJCNEUh13HvKFP+7QW8NK+dooZ
BYLaRKMwoINQnX2eHftmKVmADrOfujacDSUKh6oruw1Jv/oBJ8EuH0gU4orJLl6h/VrOgF9n6J9B
cyhOJ5xLas6pR4U6tiY2QSR0Zo+mYzrzCkS2qUed8y2T5kGoJvTV/FOY7UnzFK+cuOtF+TiC6fpq
3DVifU/9OAIVi+ZqhSHvl6dq0EKz4FTLxPBpC5kE7pQeJ2sI/dLSdyzUD6T47QCkdm2doZ6QATxq
pOVis6LxnKDBU6LwWscly5Cj1UyPxfLr0xKBdA3bGVfvc+3N74acaNmc7SdlD7teJ80mbW8agKFf
LrVq74jQdOGweezaEpvC/Ie75NZ7joE5zigaz5a3xRNPdoNmwO7tk0Uw3m6qq8eFpyigL2RfU5Cg
APtwcNj3TupCiJWXPkYw4SWYg5T16VXut63s90U4TmBbPCz4DyMyhvfCRMBWgwmDF+vlXqXloSvB
wFXXbUXj/C1GySvdH0uYr8zS99XqbtpufPGKap9N1gks/QLfy0Na3qU+VerK2dF+lKOqdY5tQo6r
YWgI3mIvsLXqagxWFckY4YafTvf+Ik/KqA6ZtM/mzdSJGgZFkdN92qi7UGAeqxh0v5jvQOYoql/7
bcYTqymUMVVSP1ZV99qY41UaKqYl4+ZekqT3TbijBzPblcOMyq9mbPFebBQDjbhz13FfeEiP6Bnn
sgbQ19qDY6bnTh8PMsWn2Xrw6e6DqbIw9bVomOMrg3PJR+k9JM2w0wQ1nx6CR2Ilig1LQL2hgfhV
m28OshRHAbb0oC7nu9mft8sst2C3BWcZ8oOVJOeQg/8+j3Fb6n4J9JH9uD0P1U1NghjQ71HWM+nJ
viAj2zjF+fivyfVPMrbOplW+avr4aK/zEo2eq4VGXB9Wd3oy7YFKeQ4Iq3zX8jYEyI+wQDGjqwQ+
0GCjNkxzX1Lp1DU3O9YYLY6FIgeLg+7Jq9lihFybdJ+Xzt0op6/Vn56BcdmIy1MjyiO8zrFTOC0X
709ni9uIld75vpOIpMY7RRxcUJXune7qkWM6HJvxpyasv3lUTw6moY05Om8AlXZg6unfmnJEdp4B
1S0IroyRFBLEPkZ1b566Hkl3Z7tHU9ltVJrWoZ3FtnHz7bLa0JJ5gFttn+hYC6zxI7blIVXpMeGQ
KVuwQtsFtQa18BakUd38pTfmUcz0jxtqm2rrn1H2IZv+2WCi6HIRTql5Hwv2h8kZt2M6HjN9+YNM
tDeul10I4YDvQRYYf083CVlZI3FV6iDL6XERT+RDvlm6zljthQ6myJvSXCDpt/vVDvpJfjatDk81
neI03QoShTlH+2cyjh7A6WANs+ForUWUlOA50wwoJWOUwRAgboB2AlWcRMAlp6EPR1kegL++M5lH
XUfwpl9nT5a4+R/6aevK9eqPxuuU0KVSrc0+nrV/RlZRmhBXj74uz55eiFC18YudswGWS7FVSRM6
q8MgNzoXb1m/Fse++jkgCQAFii7evgbx0WaeVqRthgEYUVlH1xgPCArZU6qdqNTGRFM0iqIE5wOa
qJwGkLxipG9DRsNHcu3DBNXAmE4c5vYlWcVXExvfcY2c1FfbeFa3J3iXOshpVbeCSevWLoeP6j0j
8mZ/V0DeZmV9Xzikq/Jynl238KIi7kOVjT9JUz7iTb3LsMfhHGgPlLCHWe2G/dy/1qI80F/R8YIm
OrqxlqBbNe/nof3uauvmBTL3OK50BFm4VkV/pw/V2cNjbarHsafmIF7FIaHN3c/sB61MPyekNK0P
PZp593b8PpfkjsvmVOLAMG+/qGNtSfc69aW1r1sPI5z2RKbZUWvmPYl1F/zQycbBBtyM1qNw9TCx
OoZeTzswDrcBnm6FzQ4xjlHq+bZHE6zWVwUPapTy5MWNGU1l8Zfm3rOjY9Ws8GuE7pjRFOphB2Ut
qIK6BhGzm18CdfINMhponor5zYFvAb3tgjkDPRRyecLxjPUbq0Ba5XicLGiEVua/XuPdrT5Uyeoi
XeeMKXLjYZL+yV2b38HNPswqP+pGxTsI5Wp6uAbbN30gS7sdr+1AAxu/EBr0KRUf2dDDWowUGxRj
GbkermMc8hCFRD2yK/qsA4jEMm190oz+2ht1iAwWDcEg//QJhdjckvGMCBRLtO/ZL7z4UZm8NbG+
K4S3Ty2eJo9tKp12IJIBRk+EnoVBdZQCMGORLbNvYSIza0TYmx4GO2eCk5A2hkW9CuPJUqFZTcld
v7okpMzgs2gLHPhKFjbDGnloDTnfjwk+Ht9RzGGVW1/aOFWIPMRyahdl7jyn77ctGfEPfYO7EhPz
zxg7DQrLKg6MFoCw0PXqy8VfSdA4aflFJ7JQR9pz0UVXoOgCfZI1bE8SoxUo44h6r79Cq48MensO
58idvudmIkPF2Y3V+ttldM+DZsTlDqL40EH5kKA+4JVALIFdkfPbcBtGjWlTZuK41HSqtPDdIHlg
5pdEkeVRx0PQz2KPCuzQYKvIcwagqkAjJbt+ZxfN1jfUHXVHG8zAmwTPoT3Wke0uPLD6tSIwQ/K+
y7K53AzxjumGA6O26Q1X/f/1c7yoBNzVImcjr8Icu1KVz4FrTH2oZcUBOdAmM5Esxeqr0eVuGpvf
wsalicWmFM5GK9LnamIdVEl2trP+3a+cCy8HRj5zI4n1cGtcMZg+zPgYq/QUI6T2WLi0n3HSOXSt
QIuNCx/WOS3FvrEwybIaILHfe4Tpp575VsbWj2+0lyprI7APxnynJgTQzPOfaqqHAMY523ZzH+XC
32ajQKfW8X0ZoeM6WxbboOhK1LnpeYaDwff0UMVXfqptNcNfLJP1p2XGAXVUoNRwsVAxypgfTJOv
bQybBtzj9nk44ee1511egB8B/viOfM00B/XiSz0919OPn6GBd8EJ++KaAwxBCxEsPb/nzhgM1W+f
us9x69DC4t4bs3pxMrWV6/Qbq3FrIh63xzQaB0zH0OSfs0zhYXGUADOMNxdC+ujU1W4wyr2pCpJy
EKVWRs5Qx0PcDB9pfKn0dDdws/Tz8OPU6oIpNCxiZgU4bOT7tR2slb5zkXLdympWj4XCd4/wJIch
H3aj98LvHdb58jhizr2FOizD1+AukeJBbof05HXNnVuXpzpmQyvTp2qNL/4wH9VknohSPNfrcsEs
65sJoyJQNyimypeT5ernMq75OifzyMR3r8dpNHteqDdQHcn8hOcVR1t2bHzuS228T6yFrAf7glTH
QFTqXmYLqFtbT3L1vovY2cRkMvp4NDUcrP2sP/eJcZLGn74WB7E6p4G5ugEEzBeCPlrCLDZ9wxHo
jp+8BL++rTGEZlsGpPtiOQzOFRrzKRHlRbb9JSM2ramWKw4LyOWjD3DiUe+w3LhFKXYpHMHig8JN
jQlRq+06t7+anfkiXPakG1DqTe53pdKfppDY3mynAg2oDqVtnPOh/C685pmDKZyLYVtTWLD8X+Fj
kJTpRX2qf9040kEWJyNLnpZ0wfcEZOtMxbtTF28i94wALdSlkIhHlfbkp2QRp3wxy7ptBm4wsiW3
N14FnVK/YSJB1RifCE/Am+TcQaOye9Q7A6okz+tTTXa83eSh1w+AdfBI1Hb2mLD5eq48PudiXv4K
p7BguTAjtPprRYqQa3R/MQKIjbb25Cskn4JBJy2Gpwl8nvKIvbqF1Uzu+ixt7q1EUPLlyLf2BufZ
/TMZtdB8mLjbfp8iy0KbIXaNTRhjidcuBY9HIvM49NqD2c5Xuh6izDIeXP9ztFb87XWgK/vVSb2b
xRwZTM7WYNqcrrgASXrlP4Y+W7+aVNhn+ACmPnllmTmUWEXK7lEO+VeTIcpuHibd5N0ojgYISk98
sd4toSa7qEFrX2LZL2FdHTltnSY5mWi0B+84ZAbrSyvv5hZx1tjvXbN6yTPzuOCDWFIuFX/YakhR
5YrRjUQIEz64s19aOd13rtagTVDeZpT6FoK0NbR/mGMCYBFMYunvbFnXOZvOevs2UlQQ5zFfYnrV
++KIO3LPRnmn6et+Hcu7EWeYv5g4kGnaQ1vB0oFSBoKHpcEviHyKGX4zgOCxB3bOi5+RADdg8fYw
wCEMZv/DmHcsLeYLQoXwflhvpjHuOqHQ0msPulgPbVK9OmomzQT3HNJdrYpmZE2idR/cbt5j5UL9
dcCbY3NSxpwnpA90699alGS3rNtOzVFTUUm1MswWp3p+5aI4ckn8ScJGRKNtPP0l9XykosgDF3YI
XGh+6794XFwszmHmLypyMvGaz+MuqYx9ZqqDM+Rbrc8DY+aWgM/2mD4MzE6UxiWpHeaj92ABf8wW
LHz3lTVrmEqfJ9q7ML8c7F5uYjlGVpl+MYttrF4LTIS2FlraBtCsZRLMKy2s5jyyG2OboJbWUe0a
C2teM5OrrvsvStN/EYXsipIB2SEUFk+zdxKFv01ioPN2uiJoOysbUMdGX9OTilGZVsTBF3api/F8
7EAztXNt+W8KXe2Q1HhCnH9zjbF+WEPg6UOm0bKCIxQcmSqX1T7mOTxjp0eJf9Um691M0f16A/5O
XCeutnUFPeHEQNSxv4XrCDF/gRL/shVwf1c7ozf/xkGeOiBPTXvxSBkJRTNdrXI5WigjaqC2CmXo
BrHo3eSOZ+U0D11mRYnKz1mN4qI2/92oELIdr5NlvM1GtSfHdSdqc7f2A2Q9OV6kRTlzfygmH5tg
FWWoqlc7PtKud+zll5zzOy44aD5CKZqKodF+8A0D9XUV8Wu/mVb6CGj5QXxjt4ldgDSMLwD+VlSw
/rdzuXXjnpzqlwUv3myTbWCvKDCmDGuCFdFpehJtSliGQJM2WgwcXYywjggelKU5Krp4tSCFh6AC
UYEJLaFj0sx8namR2UACQx7z2MmPpsKtPdzfpE0dXp5F8Ao7z+Q/IbPSRYCuOPIBCkS5q+xu5zOR
DmBtofQuAlagVxdzuaT5V9tzErVVYHp/JiFIFgeTKesvMbMETb0RrkZ2xFD3mUz+gahwCLBsui97
873WHGY6JA2E/2IoWs515gWucyo1sbX764Apw9L/kYF01xdWNC7uX43fgW5IwmXg0oivqDp1nqxv
K2v51znKCGRYpNyYyd/QLMijFWToH0scZt3uJ80wskr37JBgr/UqLPsWBCy5FEzjHppv9v6kMhl9
ybnCm3XGVrYH5CUIkjNP5f1Rsl95brfLs4PUkxBFAyc4b5YtTkv/rroy1DoceaRjPcPrUYeXzndj
YX47HffyOtR3zMEfMWLrhbOAIwG3q2cxwjrt8FXY3dXSbm7LNrA9lxgN+e1U6NTspGUucupgGIfA
t1H6FXzUelIG8ZDhWBweZpW/lGSeDt0Nrs6JhUDvYqTESPXJW8v/murs+6VszjEf6CSQX2NpR9EC
psFp1pGd3fWPsfxu0g9upsC6MXi2B+lvoW/icBlWfq51WHZ2mdw+1OVtTo3PBOh9Q/nFr93qyGXd
WyYGhvckZpxSzVelY6oX4tra7UdqeJ/28ApurUdikTuZ6dvSTt5A3T4T736u8j+1LC9Vueu52HFX
ENfxQSzZVrAJNekTCWEf+lSdfaMPZW18qdT/18uGY+xEFW/QFfJX0819Re6W7XZipysyihyyeAKf
msIQFztXW0lqRH6OJeNYpS13uM3SR29e5Gd3eyTzUr2kqemhIIQoRC22gA+LNPIKr35QjVaG0BpL
SJtmgkZH6Hgte+9kN551EI0ijoMIqkjl5glZkxS8CgnvLymP+wrzYNhaigANl+UepTi5EiYpH7mr
cNEXbXxadLtF2q/aYDZMfCSatSDZ9b7Qwn+tSw6H4zefruDLK40bpC3qx7Kt8610l6/JNrD4+TCB
2oyPuZpda5Mu8cvQOvybNlBuKtrLOjvDrrWAQPtMETRmzqdk0IaDrSH/AWKgZ+KW6KRa4oOB7a6T
Ae/tDkURxBUEhcNEOdrpFuUAf00Jk4X28X5cvEdvTF1g1NJkFGsjKTAaJoORbrKlEjsvWc8OyCEn
Lc7coR53Y+98IbrvmTgJ4XZj2h4sZHO9G4MNVt+ucEguMPgNLIJeMTeXEE4bERtXkfsPow14bTv7
vIHjymbs08qBVveGJ68a9o3O/wJQlfaIreN14ayqA5lOXx5AiQsekvXyqmlQp8vN6zOYZ78bbsSV
9lwwUK6tG8J/9yBE6hv9IiTSGCSFANbBT2VVd/zVCNj5TGNpppuhsfGmqPU7n3lhujWZo7Vkt50M
klMSr4TtmzvMgPrVEt6Br+cf2VQOrkvtUDnFw0QW1OguD+BkVdS5JF2ZNpZ/VB6gq3mztUVxdmuA
MWjN5wlho53Pb2kP4JChOgxmq0Am5w2HMl19mNiGgdB3vrtxda5lWYN7ya6mD8SNA/JkwpXjKCUp
jCq1k6cztfZJ/09mHOwJO3SwWsWzofJfGmovWdFjS1SPg9CfdK/+Z63L7RoCF6NNA+PY2Pw4poZo
vkoOWArCprM+pYfzwrLxvvsZLFXaWuiDy18jdQx0ghgU+prJoK6AlC20hFXn4FHEwOH460EkCwIC
2oEOc9reN05yQc/+b7UMcWQt/eZz/SHCWqc0D9u1Ia7o5D5v4FZ9G0uogAF/6oKkJZTBsDDdLq5B
WCZcx9R5ckOc6hhMyZQESTZ9Gmp96/Ggzev6ld9c360ctq2wCAmS8q6u84tIOebYYtLNWKYkBA1r
jqAy3hKYqBAhEGTYGHO2FRnREwancmDxam0yVX8pKZ5WXu6KF5tvkSQqJXgZExKzD4MJGDyh1ocL
RPxWWaRvzI7+WyJWj5Yeowt35avf9O4GHRkywYwgGRbeSAmga5oaSQnDfIam/jetkNm0k9uS0Ya/
y22J0yoRWBC2vu/L+RcEYNp3vcCDlY0PNNTsYbpZj/KDhjqRXLUp7G8Yp1VogPPoQkiXOUJ8fRWW
FzX8A7Y+pCvTzPhpaRAVxXJJ3BK3u0EwiRx1Ru8bpz8J42yTuBSu1ThxKAisvWzObsaBa+baFnZn
m4w6t3NhnzI7Vju5NM/1XHx5Pp7WsjF2BSHOm2xmwBzjO7NlgyPneTORhxLERsnOl49bR8qXdXHu
VeX8VIPPJVWHRVFdx675bBXax1qDhiTxPEwzdhwhnhokZYTnVFY49TaJyYnU0O7Xp7aUdyjvz90s
Tlln7E1rcIGWP+jX1rfF4jyRO/cyeggvkP48Vsvwkw/J/TJQHZK5lywD4ilRujO27K3EuHYpWIgQ
xS5thntlWJ99Gb+t0/hqtOINXJ85VDdPMKVbXWlgzP4/sYzmIZn6OVwEMG+aGcN+9ZDBF+vOTPRf
KK1NZt9CHTFrY3PGtmlvFmJQsfITPDj3MaEAGXMNh6W0hkPf0GWCXvCDLczEYITnzzHbryaHfNIz
zklYsbt5Kh+z7DYershPdUFIX9bxcGR2d1/lXrn1YSBTUelh7nLjaCgMdC+7y1nFNm5J9LVQKSps
26JIspreCdXJCOfqPkSMMX8lvcNWfbmhBgfvkDu627hry2CpzTbqkunAc2oFMPRPrfAQPgCm2liF
onzkAazlwiutsPXgu46X+MpBdOwz8e31+XnOcQEQP0TwUeGPkWwruU0aNM+6QLwj5lNK247hNX+r
Dji/uAyqZHQiWCer5UAe7aXnv489vEdvHmTjLHttpL/JtQn2MluyT29s2poRZNVm4OpapU4LSZZh
avf3k6OOJllQK288Ypwd8RcpDOR4Kk2njAgvw6iTdXQrQIvbmveY1eIfSfd0cNF/CXCtMYbKG/YE
V7BXDnd0PXLOLrnicKoI/gF4TaPBdh+ThHOG0Ih95vNM9lA+EsUPmilmw3mMkt7/6DX7zSW/Rqby
gnFp76b6g1+mR1uDZai1AjqXRib8X8Yj6fSnibjSzbiwqTZOERaqJo1BAOm0oEF4i1BJpZ8t+ouV
jVuL4299JGFoFpxYwNsIMcWBKRwmdh7SJ+WRKFK41XtVgoriS4sGfvXyJtJdhhGwpgCHZT3MnAU7
+zJmW3rEzCCJe7XvfeI8sed051gfWcEblDmji1DMnqR7RRzu7jvZnH3XehDCMrZG5bz4madjjSYx
bVUOkYQCK0udklU5Vq0eqtLKUH+z3Lv62pBqIv/8gXweZvMAuW2+zQwwYMyd6BrbWxgCKGhjc9JM
ncZJph67ZmJ7jl8zYJwmcz4bilI3Fq0M1FBsLdQKgVmUl6rIXxFS8dXcOgQSwi6042CwHpnoBBLO
fHTg66L2ytWeV09cR9d6paptY8P7e6v+vpBZldcpMcLCvegL2e2q2k5dHq3jEC4lnSBOdpOv39pM
TdId27p56cnIazoskHaif6pmOtC3djBb972dlg86WnTiUwZYec16KXPSSK1MGPuUDgTkKPEtMXaB
EzHMMfImQWKJ35xH8qad2G03XVd/QDbcjYDDmxiej9A//SlPGBAbx35Z6/6pZyqwqv6gueR59Ov+
tnxmdfqsJdodNu2XJHEu0tfY79XJSsyz6O7dBQSKLeeWKRAYTX0yNMIfRnuHn3TdNKC2QU+iEel8
W6ubL06FYS4t56+4fvKz7oUo8D1M7nEo1seq7tl0SNbI6ZVzNBBf4LhSgVsyZg2J+8Iz1QUTUlSB
6wy8S15Xe3n3+mrCMGj/2S1htDE7mA7oCi9BkHLmsOJbAY92fELk2N5U2i9jEd8vuTwl8IQDISwE
Zm+4lEJ3EC80CvzLl2Qr9fJOgSOo4StXy8UiHyrLvTcgoXtV+MhW4VxUvx+GLxjgTdrozHFsi9Z6
lkU93mIiv2uQ3FAT2j1AHXrZ7A3dR1BUn4tL1tVivNjw7qk+netWHTsXUw+5X5tqQM2Bthpj2Lnu
9W+po5PxuIQtUz0PtUOUMmGNxBHEEwOp3/+BQnejfUBhuZG+vRVuH9Yr+rO5cE8ah2mDgxkR1108
FqdlSs+lX+0SYtG7GpOr3lmEt8jyVTbDm6k5xwJ9TTJqb0TpEbRp308MLOC5Hu+qx3hQDmiWqp64
x65LQmnp3P3DYu+UzTpbqV1iggh02ZtE5kDHyjHxVQhiAhDbBJpsduvkEUD4SZndI96yPb7ST3nT
HKGTP2RgAC6Zv742P1tI/KzqSwdNMxpUxCh0emMlO8MxcTkgYy7jfTHypCwxf34KLdTk2hoDilTv
bn31uXHjOA4ti3gE9VNjS2UEblCyr+nbqKwvEBqQ4Vl9MzU8YSENyULe4dB77F0vql332hbuP9wX
pHksx2bUfhlbo0ECqxne40SI4Dioben4fOFVaMs5KDmGMfCukbNaBwf8kNWSuQmtU5z/iRx79pIi
LgXGWPPp6FIgd1sGX1r2KO7yreGMO8PLjtLCruVqVwvlcEE/NlMPok39aazMGyTMCUHIhEEByDYD
jyDrzKagQE5nZTFs1ot3+Y+j81puFYmi6Bd1FTm8SkIoWsG2bN8XypGcQwNfP4t5vzUjS9B9wt5r
d6z0h1K5gevE0Gqk7I3nk81Jz/I83dQJTzwfwh8yMCKlDi9wphCbW/mvqy3fEDOVopjfsYQwqtV2
ohEnzM83iRIixDzGNnaKNnA9dyiJj5PdraekeQtH1GNKTvMx/OnUA2trRD9Q1/kuqoKzipoMe9ix
dMtj48JpDfKOXlw1bRYXfUIGNhTjNCcQzNbsnRmoO0fHbUwuYAeSt1urTbYWI/4zdiGAuBqe5gJj
aaUJkEXFcQRLudGm7j0sm7co6zlyRiocApN9kXEtWnl/irRkX1OZE2fPkBOansO1bOtI3VUGjcCa
U4/h+iMnLGll2eZauhAe8nTSvCzStCNd64upGvjxEaBx8+BoStcRzv61O6OeL4d/RlFepT0h5m5W
vaM9oVNtV1oBZi+qm1sVu/+m3B3XQxK8xBYEnYpWwI3O1QInx+i+4/h+ZSq9CWxS5u3p0A7GnbKB
5l1wrIqVm8unEgwgDjpbBTuL+lIKeTQQjdGrb0oWZrKCh2x9mVBFqhz+BwKYmequRNeXgsdwnpX8
Ff4Db5mDYb85Fg3NPvtLBYlXlL7hvgGKxEQbCBsYo5JuKVfK3TC3R8fqnl3kcEuAOsPsqbky2kkg
BEV0bCC6RuophrGWy23r5uWdiSfh3GhApyg5FtGEEJOfiIkBvsDKfAsEENwSNFin2lCyoleK1bXa
6R7hWx8qtS7SS0423cW6M9Ri2qM99GOU7qvcirDKmOBzos69hVhMrFS8VUl+B5ssKTS1G3E/YB6s
70mN90PDws2GB8umW1KKIf+IpJX5jtN4fdUvfEYWL6Pqy1TE69z+hW7O6cUpY3CbVml66AuqBe0f
y0mvbRKmgz+A9TdcMOsgU05jDS+PNGKySxaotn0OzIT5dSMuM5iilYtAZRNEY7lRtP7NtPXL3CPP
CWzj6lYujbglqM6S4GCyYe7R62461dm6sub8nekKrWdFi54JUGa32bQQRSyghZNSUaGNxpc1cjMj
St6AAeHBnhUqYaOJqRXLu+LoSLLV74Yxve5ID0Mq61F8SyO286bGm50aTxVZH74InHs2FaFHKXqN
MsdXerRX7A1+whr/GUT9l0akDuSFJiUpKoJIkyoXOcS3wDSfUOH7SRRTPSAEY7rW+kZKTdN39G1x
BfOlGxiM5NNrqbm/1VTSCzB0ahEblREr3NDkk5VwvVCqmyFGYpB0pXmzGNuuy5TZiW306C6iF4xi
31GWbRvoYV1lPGu5/erSZKw0EOS60eyg017sZWNLi8npnH24Qn2ZbP2rV5ynSYyUlsFxxlbGVASH
u8SlYVUEKwSMtTsTbHCiETMmB3mNe/OFPR/bgwi7QG79WuMTzgvYwQ3GjcqOGDIHybs1mre61M9B
nOzxXG4KC5khiyJjkOj2+QyK+jbE6i7joA67ZavRNjRufDkaxXLQcuCZwsscY6tIC6QBPKBpmjmX
kKIUmzlXX6oZv4EdtD5+fOr7YBOZtBNQhRXZfCAFGXm0PlQjWDuts2PxafiaxsBoCMNTNKtciCEj
bbYxbwVXYaxGAPmmQxbkjO+1u22UPEAKTU9D7TI68xn2PghW69Ia3amvkVq5BAqUrMSzfvxteJeL
OUFYpSrcnspbq3MVMHt4N2dyLrROPNFLbgJFoJ3PuvWI7XpS7rnU1gw4ykXItBZy2EgutQShcBAN
ZyfWT4Z0d0ghNqoB7Uizr4EheLMtjuaU9Tlj92FgZoO+MGb6HTMXoLFQdwGis6jst45+j1D8hwN0
EE2jlg1s/YEV98KYLDlhJyuPbuv+mKO+w0l/wASI+TBI8UwgwbO+9XryxwAo+ZDoe1knlATpFRbK
L8oPrnkRvA8GUkk8KfO6i5u3Pmjvc/Bex9M5Tca3MJN3tUmKra0BySBT+5q0o6eFCO1SnbqZNbhU
lKPVjDnztBR8TOmsDRiiWo5UHTPBJpiKeTPNWKcU99bMhYdTxhsNm99Oxl4+Dc9kysebqmhYKBnE
xeht/qdb/b0N1cCvg5FKAjUsXqwczTS6fMZcNbLj2aJmte7hVH8rMbcBczq6dDeyVkivt6ZenEKn
/Qo1JGWuU67b0M5pQ/j72X27Q/dR92oGK1LzaNx3iqoSSYTEscrzf3jAKBZr6kme0BvT7zvfxBpO
yqFfqg+dxZnT7WzVPS4yXFlA77aQq7imp7nFP4E+Vun6vWzrk9vFn0zN9nHZMBFh20VYULTRhfSn
tnoCar0nZZChgXlHf6muFRzArOCFsmX28FujxSBHqKSCrfxeV3cGAsqCXado2PqW7qjCEmk/+3Ff
aBhX1JmXNiTRJJQwfYa9ZZZv2RQtaBDE9BMRKSkbf4bGCFTACSd2s61rZ6dUWyPEX6t9qwGCQf4i
c8dQyFmLxoRkBfF1kgIBA7TK3ngeJWLxLn8KA5hpSfPCqg9xHZBerLVqkN2GcbrNuvmM1NYXdrq3
Qyb9iKl7nhU3m06TpDAzY/0XPy+KYXnpAxpSTvptwqOqNEgDlwovMXt3rU3cuvziWChMUVKtRp5S
zFwGpLQ4zSAAnid8IMIQGIlbWBsdHOZz/UnWV74mJWJhAbdccFXBN8eWWqO6BeOyctmcshUAu5Zz
nMdF+2tyLrOG0D40FTpGG9zdLnylf9t1s3mZI/0ssCtBzxfc8JRaArPOWi2G92ZpTJHcvFkFEiB8
Vh/xwJhFzZ4rl1/SKtnh2MMKFRm1yi8Jq9s2CU0/DrE+jWId5PiRdGG/lRPJKIDuvtqy82QsN1kQ
cPcOMdkVosTzjn4HhKAnR0BhA3bfqEafFX3lGjrDRIDeZwvYcRertrIObZWar/JsPSGzlTXINHfs
p5H9mZ0LHLhhC5Zy2SpVcpIhTqEqmU7ZlHmzEdCVcQM3KT+y1M7gHPYGcBgtIpAnTsE9BnV67ARS
wcmgNNQJUGEu5nzW2IR6YziiMaqQj/Sw6KNF6l0U5PICVHak+ZwP7l2tOIbDCE0wiQTiSjyJS53Q
nABPnUwMgKVsDr2Op0Cpkd78MMteC4UJd6r+o1FHmCXw8YBevo9a9100ZYOrGMyEGYp3Z7Se80pS
+rSmNw3ZFssv2rkCBXti+S5F5wrjOY3UYP9gAX4t5+CRq+33FDATY8Jy0PrvRmcQbKSRP7OiDzBJ
agM6izi2yNXQ5F9RfIgZZ4LjPBd0IAQw+vlsHnX5nNvcUyry8SGmJSZ/+8Q/uAcdNTy6laulyH99
5jwwfiIpAjzim/HIcxgr70mqXobRPjvt8BeRgsMp7ZQHMzBfKqf6HhUc6dWy/tL5dsMAzEIUHXOJ
09Jydw7NRg+4v27YzZSdvo0K7ZEp1S8220OqP5n4/Av3CCzovWCuoHX2TxCLp4IvuRnHg5UYb2PF
qd2k+0DjB7AZEYE3bUPlaofMIUR+jiULV8rY2Wk3QJJ5ABlwxc1GmV8tNuuKqvtGx/heHKfoUvPX
qUgeE2oogkZRR+/AHi1HHkZIe62jxUzKmo/+lIGfnFg9lqhSc2Sxc7bDr4OnbNy2+O1lNOwJt96E
LV0awuZB5ciaa09Tshd3UclwyKl0bjPWuIyhMvG2UKU7HsimW/ehcVMY4RdZ4iHYkuHnsDi3yleN
8qRBu86k+V4To9IBUOSBeShjcpgXJaHI/dRCiK+P4amPP82EzTCvVU1GAbPXvhI7e8y58Ry/NIuz
MRtnx/jBjcEvn6wy3K2TTgdjF6vGfiTsDiwT3Vz448zuGlzVy5RZn6zinTBbxPQgJAle2Q2tve0a
bOZOx0hO+2ILvUnGzoedjzb8q1iA5q7cRDlr7u5lYPo0cQOWwt6lscmgJqU1CfxU53kvqKsU7dPi
liF9h48WYTlkkcFU6QHA4lwU1XaKPqe23Jq2vR0h0i46b5TuYAdyr2XulxtsMm13YZGuRmbhzqCt
tR5vb50fBAuKrGn2NWv+ciH4hibzJbEfCN1qGLH1zilBtq4i8OtcpiXQuiTLdnZ4SFboDaiNquKr
0NE3hNgxGRiFwRY5Hm7U0G9Ef9CUD7NAIDDrqxJmUqwjjmw/hH4CbMrPDwRgeJlwwgwchjjIKT/3
5QQiFosobDww2pzOXPGt2vo1sE1Qqk99+cgFpmmyuDdRdGobA2mt/lNPXHtcK1XOQF7QcLPInZ61
/pTJ50LuFIxtrtzN/T4Z640poFgUAdMcrh0785Mh9crw22E+kYIcMec7iRZbRdA3LKR06wB/5Mkx
iq2FWMGNwn+OEp6mQv8zwI9PLthmoRbrXus3YR/CKFVfzLxkity4JC7YSJ764YcAulWIIEkZMo+I
Os71btrmNYP7UcOa2xCLQBMaYg+sDgBLTsSkX818ooFKcZSWP00zXdrxLKDsmENw1CzhjTGR8PDG
Yna449T4LXevIZ/pFxL9yxkjVlu7kdlcJQ2qMNWT4OzoseHMUM/KGj8mQ+6cF5tl7rzMgVqiK6p+
zziS9QdJkggltbk6ga/sDLlKQ8CMQt04+I3KOaessHdz99m5DD5Ndy/lLe4AuSFrSnGnUzAxX5/r
rcpb5LT5qcUjajyFESi/mh5f7ewbjmvyEC5dfRiUF413UY03hthy4DCl/0xCEMfqW1PuRUQIj7xJ
yovwOravRfrUGRppCcve4hsF06piHeSoXrgsDRzDUzsUbuYjYTuDJdIcs50mWdOTDQkvZhP3xmq0
l6aTHImy27ah4c1QYjVk5DkCeQXEWcgCAzARr8u3MUAQS7EqLyjpaCIqXbkbBfkG9kmxt3RJC6he
jb7m5q2iIQpnRnXUkGPEt5tAwcK5JtBa1XuHC0JHxC/17TL/VPN/qOuy+lRNnwU66gqP1xz+Of+C
Cqtn/FTQnTIKdpAtqlyCIAPgBq1N4BSWZ4//YgW69oXtijVu2U4zOcNJ58vGh+EY1md7oYXDAktA
lUE0tGgSzWqbOy9t9mI1mwEBstXCyY058tuTGf4aGP90MsnaeTMIJDDuk6PNXheOBxNFjDAwyafF
oeSm6HKXxIKGmePoNcTzNLrLOYGNB1NiqOPxYRnLQNOrI+566k/C+iji9qXmucGPZZKZlz5pru6P
jljnzDAc9teTuch8Cfab85Ph7nnnGDzj/q8ZBGIO0Kw3N4LCqqU7ZL6HNgb1bKW/ZUL2Wtn89sIE
OqigARjrDhEfBvI8V+/LzJo8j4hmLIoANczyywhh2JdASckMG7cQmw6OG766GgIk006u7PNhCoCx
gaMR4wMpR3tHrtwmZ1xA2bfRY3o3Z0skWjTdukDCVX4xKmR5OBGGYjVrzxmEykZJPGDVuP4BTPbW
IWr1tdJ0V5tKki3EW2lSFLATLaJ4nysXRwHj+NKZ13A4M5VaabTFYianZv43spHqDXFOy49BxQqB
NhBXVm7Gb+3E2V7BabOqozk8i0R4DjpIYIObLrYPFppGUGW0TRtpvis4CRCiwDFa5TRpzFqMcpdb
71DA7QA3crMpmHQW5Ucn3lr0ImrceraYEdPgHwTZG5JCpSxvGfdF+FxFD1N5V6xjEzwNMmRe+TSB
bu6w7VVswTYJxD51OlCvWjb7O6bDxjfBm/tlxQEWkwXeS15NLAXSfTu4Wy3l3SUBJ8f3apLAkxkv
/ewb7r0k80inGS0x3Gk4uAfjW61HzK9PRgIbyCfH5uzOHxJHKxIkD2jYJoZc3dOAM/AszKcJqWP8
ajv7TH12ynfopSYJ8hLAo+XskuDZ4gE0k/2sbpHrMIZA1OGo72RiMrtAX8Je9bDoDxeRrwx3wwgE
lxis19h9slio42Zx+2wz9lvGbmay1RH06qw8Y8y83T0gdMlESepmp6gmT8JrSYnhCZX4ZwNpb/Ef
nSouVJgRy129ysAtEK3HzM7cqsl0d8tegHeGMGbpXF5O6LwzRpCkKPD+MI4MYqzL6HJx1rqvsz7c
FEiY6sCQTnSHvkkPtcSwUl3KvKRvf2ZTf4Caf82B2ESlsh7jeQ3Mh4FCtYrYf6qp+y9HkWlTAUN8
ZIBvb4zpzCIQ1q5KNgK/QwsmM262JvF9jAr05lEDrGr3LblZs7hK4xTWL7K9jNghM7/Iiq2jZd9x
xIMquvI4CjxZUP7Y7K51xJdBpvugcf9NZN+QoWZtUyX1CwT2Nrp5d0CsmKinLk//HGwSrSlvFHYH
Qa5Ng32da55tlLor2JNJpuNhdmoqeRhaAlQEg7klINmYOhDENX6pcc1/Z98pP4ajbJTYAolFEVRN
P7Ou3IdieMxOfFbb2bcEA7Wh5tQt9a/QxgoM6GvOzZUhoFqzZsejAiI44HyxicKRwYw8LdHw0f2G
orr2k6cypug+Rna9lruKNTgA5CyySJn2WY2Z5DWoqJemTTfVF30cYcDdlmYZgM0umBKP7B7SIXdz
Lj9JQUR2gui5LTxhD4eULIKwy98cZVpLlSjKXdIOHK9y1RT9tU3gVPO2noH9MUnLFSZ/yqZF7cnC
9D0XCP510+8V4KnG71AdZ6psOz/Ps+ZbDHWc6STUyhvqSwg0RgoSsDA3sLseEgUpa/uU4W4isSDQ
IMYeRLAtaQrTST+hZN3J6oJPnhMFBFuHOGpGHhCb8hkp+WYgIaruGMWlylW1pD909Sucs5OJCkxt
UfrbrxgksyWukhZXQ4Fh6uJWueJh9Cy1KMgCLdql8MAKecWZ8mMI91pWIyViDpiELD2Sj3UbitfE
wwq7hYoJuggitmBDcXxnjwoXYEECRb4ew5lqjD0zfI/woVWZ/vUMJaP2XaGCGPE4oRVzo4Mh3gt2
N434lmOx15QfCy5wJslqYCLRVOehegDH5+WmzDeCg4ytk8aiGG+tP0mY6EzcB4czk/llLNeurW2L
BfcOH7vgn0VzAiJj2tYGYre+2+Ujlusm2hNJ9ZIYwT3uzn01b7XwhxMICTieC4kMcKarsqi8M+4Z
cTINY5/Dz+mHW8cloTwXjb3n3Vecb4ViMO/e2+ZRmvx22T5tXiPM8TH1ZxJg5anDlwD1b4YGF4mE
l5oS8Xj/VyxsBBlRQgHxpbpF8JRBFm8yAxCq59KXW1XFvHUgYsHa1DpWK/mBgzPSDk2ochWJPZ6l
sWJMitjbqN6m6DGHJAKF9CIRfWF+JTeM/4Xu1fzMsDYvfYcaYUZW7xxaOpgYW1usY2xM7xjn+Hky
L8BAOQx8U3IkMJKwJNW9j+ZmSl47bT8UE436TZS0p6rwIZx6aKls0Z3zCC1vTutu6m8BXzU60KL4
cuybA8yvRsNQlJeRtaCbPdr6o9XmTWvxZI/vMjm0KKoqMuBYNvBppl9k5BgLTE4Qe7fcuU7S7MhP
XnouqhaVu7sdm80kkTZLuTJhprGSXSsuyCnsWPHUbitYw93Etg8HKQmOWPRm4n203RJ3Eohym6Ay
p9WnlQJE4JTH1Kn8qrH8ALu+oitnhJAv3BLg4wR74gndV7yXve6labDua6YtUbMu8GMtqytMJRv6
UPS8Z7s3bzHMbRX1j2OOu5wXvOQEmiHdzUIjGcY4YFfbgV45ITDcKwFlV5U+MCA9x+QCAuddjwTa
1pMLD4bBL6SsiLisqOlWg+t4cYYbg7et0phgWthaee3L4Ueh3OVyQV/UBnu49JsO8U8yYy5I1R3Y
4v2QuzfF/Wcm8SUiISGUYleZgMQbSlwdbgE3/GTk9J4KOFllk+Mu1JMYtFSAHXHa1KHznNicjTFY
liDxsYyfcKfuLdzWaxv51WUO2AarBaoWyi4rTt4Hy2bEYdMt1BMxGKyrwlXnZOAJs/S3hjlb9IAO
h/icauPrjLAqtQvCNuuLhtky7zPf6PVPkWD4KR6NOb9k2W9ThIi15NsoSSVW9acQe3itJ0clCi9S
tvvOdP/C0X2L2NE2lcJvslwfV3hqXpje25zj0lR+2J/8duqwcSzV6ydJul91AKQPr6hGelgjA3gU
JfJCd5mOOhRt7Qzh2579Ju09FBgbx8iPw9A/lV39aKaGsdMpNSAaIxlwQWaZ1hbKvBAD1Jbi4DBX
isrpOWKSRka6b9vKrScddKZwbZWBua9+x1bjw2BjhP1e5dfBYu3vHjiw0TtNqgelfGtJ6RmUzZwn
X2nMZ+TgBR33C8zgkkaYMTHXGzpPOrOHhM/hUKJkQ7HrHeOcqout8KxKd8DmpFEjA7oTXxG2KN4r
+2NG0t5pn1RAGXELdv4zIbjNErGJxuy14zCJ1OQDQieHIKYSJbRXMXA5i/9kor0hF2LA8duZrIzt
jEYyphczrUM/PwDq/d/wTCPmQzV9igIPve9vyFcve2VtcolhbwcgQm1tm4nfYLQq4aiUhQo//nvI
XkbyzAar3mpY2mRgIVkkbcBgo+VY53EqL02ZbZLawkuI47ZsDnPbAss0AFWSmDF2jwH/WKEET3Ku
PJVZKnfSCd7wxm6Yr1XRVWOk4eTil1Hmw0xfE/cnrl8TAdk0MAk1A3qtSmrddmPMl6kyMbJ1IIsg
0hnKZ6Vzn6Vo1U0V9wBv+wzn02R8UCDOsKdmU9rFtrYJT3GTHTfIRs4kBabDKY61Q9phrZM3xAx7
I3pd0jqImOSrjanPUg9B0iXOEJT3ZMs077ECUqAfSXzr4DYsw5/wJOLeq1MXHY92C9N6pzGaXzhE
wUBnNIGrwCSsiYN0qB56/WDGLGKzCNCVS0dNhWbE7V0n87Sj6Yfqa6qUTYWztbjpBDGJpMb9QcTn
Jau8LLPILpljrOOHtEfiTqJQXYaeGWKSAZR27jMTq3zquZUOfzPcIphpexPqBTNbwqrH/Mbk654G
HX4B+8XKlkOInSf/xxoBW2seTOZ6mmv56qx8KMFCmTHZAAJpER1dfoKWL+UjdAItc96rN8XMDkrf
/6ZzC99o+Erx9VFNwzKKRmQNYw5OONVTazX00zc0wZs79k+ST7nO5wzxBsbPRSFPQS/mhRsBDCfP
zW1jNxNfQpq9oIhrL8U0BZeoLl8dg+xu1fCI++aqz+vnDBIWKUfdv14HwEAgHUdEESDVS/WXKQp/
ML49RJT+QgN5MIb4HeeI2lvl9KwliJiYrDnPrqlfk0r9kv1IW6CzHCon2Xt6LXEvy7mFX56aPnC1
4wQHO+CnrpoeSbTZVHTuZea7JvaDeLxYUdLiDRE/up5eSbeJ/TkeWW4F95zuZdPyxa6lUVYYPEJ4
K6nxqkkO30liXgXsqfruRMSDuaim9SIgHIe/mUxoQh1Vt8dgxAFRt9pflWJqCzMd9cogn2xs9cwt
bSwdiiXWQ6m66NOrZ4WJ9TIVumoQ2taQJnlUTPMjjCffSYNrX2TbcC4PXaPsIo3Tt9BeHEpKtdB9
bbSfsPXbG1UFZGOlaMWNe6MzvieIa2XI+q9UIJGH2iOE8YqfPgIqjW/UVMQhaoqXlqJ3letwIzDs
6VK+KUkKvSedXnUlfs0bw9oUvcVVDpswht6Qqv0Rsyh00w4do+0XS8p4aocX00Fd5NrAbVmYlgo7
QTMXDMVtHB/paSDSNp7kyWqGAwubHRzr0k/y+S0usYfDusf6Zm+GUKzRG24dZ7jLjNFjUKE/Nj8d
WV8xlHl64l6VkaHRiCAEhnqQjh8oUk5V2TKBQczLSFKPbJLbmgehCOesa26mSkOK6RITumKftHFm
6ahtR+Kzm4UrxRHHPORVMnLH+XIvjQ5cgqLu6sbaSYNtAzMK7rO64hvu82cnDG9DjNSk0Zxj2WZf
UczguCWGqWcEEM1/7EL+GTUBy7LfQHZ+G0yyrkjgQXZqPpf6/DyNrMoAbhBBYaUnEXDiEInrWrpK
/RW8EUp209WJoXR6sfL8MWTRWXbh58JW0uV4ahh/krCxD8u52up9vw00RgE1295C8VqCw/RYfaq0
8I+5KzyucW8qxr5FOooXNN/IUa9WbUdJkVPoRL1gFKg8parjaSQG6Akj1bDCvoD+rOKOJeq2aZx9
wrY2F+MBrNWuidoNEBXEgR11KpsEZEwnIWACZNZr7bCA0FKMTUsrU9HI5ZN9mbSU9iv2WwgDZAeS
umGxqi32waQeiObYOlUGZh16kgvTkQUQmx8lvc9asC0qsBjDdx0TUid36BK8scL3xw1I+uAqc7I1
6Iehof5FkcgM44zc3CcjaV862sUyuxcAUPtxyG9EO29MKs2wz7e9Kq5Z/RsjMRtMlOD4c/yFMRwF
xc2Zsgun006L++OogN1gJSNK+9GnYteUz/b8bmIYUfoXRRFbUgj+OWIJKLTvUrtCLX4KdagEQ3KU
bPtkgsOStgAh/nqe7Futp15k5RD2SIi0kD7MqIQSpzrY04T8t1y77mlBWZEUvcH7s+lsDAfUgoUb
+5qwKQ7JgKh77ngDKZ91CuMvbRnVifqgYyBDiNO6X8VEaFEHc40FRBTpnj1RZPFCFvAOE5e9mcvn
YWBi3OeQXontXum+KayIG+YGDKJ5pkkhV4xDFwTnwtFJ+AKPwk3aW5WvaFgcgt+8d7djZmxrXfhE
Ne3IsfAKG8e2oTE4wqvuMgtPmd4t/VHJTUnNz4/2p1flZybQYvWTgwz3rNjkieATBBoVzOkuDJhP
pxMvd/VH/bhv1FctL3aEVaxaCwFE5NVZemogvCvpZ1o8qlZdi8n40MfThBszxPxkJu4mRflPGNK6
kJTRNcNI9EVcL1vwdbhqXmKo4QWa2Vgh3571S9diTUgAh5Q6vSCjY5CMlQawK2v6u4bASlFhoGfj
wZ0iHBTjWhU5nVuDmADRMxQnRz85+YfDVJ3QH6aghQd+Icxu6pz5Cq2dviDLlsSQTDIrKanTICGW
8DFGKt2i1baL3KaRHOL4KCboK923NbyqzHt763kZN/UO6Y1EwoWmeyJXY6crYj270bGh9i+xkoTk
fAX9d60eU2luWuR75vxNFOU6VNQfjeD6VTIzNmTDVgdslztQI1a+mdTwS02ju2pKr4iTUzzX53yG
mDdy3zfBvnBzzwlxe8d/yK4SWd2sofkWIelR0qUiSFjn4lVhPEVMxNFxyDXGs4VXcO9Uuj+g3hvt
ZwPkEBAD4jlsZOnjNkC15ZLzg5R+a/MW2ynsoeqzj95yh9AcZiwqwl4NTkS0VC7TghVgFD5Qphp4
9EDjoAQ4CUM5hBGm74GjdZr+cYxtuMVPeKFPCmvqfr6E+rureEK+QT1l3QfDVgm3Y2s/6mT8LCyb
yMoK07X+UCfrjxPyAEoZioNyljlUJbZWWn5T5Z+FZiWknYGUicd60Te47dnFvGBPzwrVVrn8rGW5
K6bAQwbqZeYLOUtrea9FSNjWOWcgbvFydRWQWyhyCOk09XUUxSNolC+1qzFT44NBT8lf2uMVVdS3
ApKF7F0gH3xZgHN2o9b8SaF9Q9KYkpH1VMRAldQGDgsma0lKZNN8aPFNM5PJxMVecmIRKkv0YTUD
yFbgSOG8zhVkVW22m+dl6zMeC5D1kw4NhO14h0s70fOzgvTMQSg11A02pGZDliXaYZXEWlgz0PT/
EsNFGV4fHPYhPOkdj2BOsnSPyYlEGx71RzrjDeanjVl0yzpenEAPMmx4LZlw49wj35scyxqkQ+YP
EApc47XN7pjhpTxTHzqolsWxCndxd0rQ/AKxmN1dSqeDDpbs93o6VwjvwsTrlB3jy7bbc1lLWB0X
C/6K+67Vr9b8ng8I69DvzsZ7rv+arEecg2Ve7VL1mJhwfsXZumMeivdL6leokLOA3AXk61PFd2dt
sZKyKARHAjxb5Xa3YQFkvH7IAFDVUNK1SzrXuG04FXV8hOZXPr1nTFDaX9g0c+IzC1CvaX/SB3JK
PN6lBUXffhtw2oFisr6b6Aut6RWWAOEDz7MJ5AqSbXYMDCxt1Jt+zsYutiJfho9xoAyJzjYQLxPq
97Ojf40JKoeN6j4h99u19j/UDphwNShpudvvQ202PTt7d4rXjguTyCkvBknGFs3ECjD6YXjUc78X
BwboJH97ZVLREPoGfMDBmYiReqH6WhsRsjmBPoY19z/R3Kz4rxxvtQnqEiAboLinul8Z+arO4JCu
qvZHYGtv36zct5UzpWE+fzvZoqWEvwQxZCCE7iQLhpfVCwn3SX5DJZAIrCzyISuEyV5h/sQxfdHJ
BOtC2hvyvdSP36CgOA5Mp0UyVB8h6zfmnqSZzNkYw1arP+hgFWiOQQ1lEbQH0dBN+YCyYJd3WyRA
tOld9pBMwSEg0MpRqgESg/LuFZgcxz9b9cZrRV9l108ZtBz1uXA+F0G7bZ+nhh3we4YiVJGeVm57
55Jpj24JnHyF7zJj6EGIM8szHMYq/1SWqIzJi9nyaxC4sU2ENAqwshVs+34WO+d8CPeWuA75tlQx
s4TGlVEqd806AOK9auDEuNd+hNRM1CEmT1K6Yiorv7D+jQYhhiHUtvIQManI+Ecd8yHBUifpzLWr
h+RPs6O4qeM7AqGu3ffRM8EevFoY85qvQm4GzJSD39f42uBhAF0fLlb5immf67JEvYyRImTNT/4u
amzeno6x/Xv1VhDSY3KyftPoYKF6mlCYBCjwdHLecbQyeXlp0ytPio2rxtUvDJ6TCgjaEomyzWh2
TOo2CcsPu2xJ/BBD9MjTmqOSv2l8ujS6peVvD/iAakNczQpSPFKWKN9G2j6R+669yf84Oo/lxpEt
iH4RImAKbksDei+yRW4QkijBe4+vn4PZTbw30y2RQNU1mSf7Mx69Lb6uQqxYprRc4n6LiP8N7TMw
1xq4Ysj9zKH3uMA+INSrk+mx73YaX7pNAxBVk8MWT2dALgFyqgTwCiQ9mc8qxEe10H5AC0neFsqO
Mh576y61JEAsUBn5JwkVWAzhnBcH52xBElwDoWbdSRbhk4dquGhMwBT6hjIaH720dKdjDetznhzw
QiLFXOn4Ruxm0X5545uwlMD/Y31iSe1Sxl9BvCLec4+goPNQrRMmvVDUpycLxcCim869/GGjbysV
6kL1r1K9hT8gcEM34lHvyz2bhw98Bu3w0qR/HWqaTPxq4wY5Rxk4qblMSSYfrIVFFVZ5B6XZQImJ
UASSbavxgETWWfF2SnZLMETVoJuGnzDdl+oeGB4NwwHgYm7+DEzcTV5o/xZ3Dk5W/nbfOFn2w4sd
CRMmo9LuL+L9JyqsudkwUOW1wVK72SdIoii0bO2IkLoyuwnnAZkf7gOlEqrZ4TCYj4DAc4WT0Elb
kBNwRbap/hVXTzN3Wu8UhU9dcwKXphvO3A0TGR7EMvkaeDLFiv8rGxfESV5cnPbWxk9ZtiSLSGxD
f9/iwJPEukeyMCqfUBhqm2UuWCZScKwNqHezwWTNXE1WB0ea1K9EJqqYiNBIjY8UgmEt/8gYAqvd
oB8IVydVdBjenf9dk23A3Qm9ILNXgzpHfOZ3VOd4NYkxmBzpL2biRjzHOJzRK1FKcv7pJwu7BZkp
NP63NtgVzZp4QBHSFTHKYGJFhKDJ8TfGZ8Za7bhvxMKf1so/YV0zTp2Pz75AY7bm5fTaeaItGVvB
VEVobXgsy5EHNtIp8R5J/pn7zJbZ2LTJeMTaXlQ4a5kbckDb3stXv2X7I40BHEy30S5iV2rfbe1j
hFJpLifgk+TDxwycOLmW46fHYsqU2r0a+AsvvEz5Q0HGddN+V7Rm3iKKN0N4MLy1Fa/A8Ttt84md
FtX0M4Y+L78D7Ssp0HTQqVXevzp/4lHGXAJBPU6Z7qL9WfbeRq1WvfcpV/8kNdhaqjzH/cdjZ7P0
77V7hJSzFPwWLR9I9uG/WZJX17DvtlaL33OYVe0+yb4pgRa6/jVGn4LlKgKj5Cf03QXjEgCfpxK8
oQoavIA1Am3d1U+9oTpsEw0I4shF6w8fyo3ST563p9c+9bZd9mO/qGNcYj7jE6TeOhYE0Er1+JFy
cOHLBLDIqUyUUoECi/1gR+KaSQGhLj2w/hl6TpMmqkzRKOoA2o+Qvka0K3G27q6xoZ5YXWTSKdUd
SUGBpd2NYJiZ4sDWQvs05Z+Q5zDGkZdqQIVQ4AJivvvWEmvszJK+TWRAIGDU8MNI1lW0aeKzHd6F
e8JPhDojBgGk3I1qYdU71OY2a6GW45JDkR2/jHhp6XHyBhCYSt1J7WvTALvR/hS+GoY6gEN3anWT
kTum+g2AI5rb1djbs6LrxazW//jw/PAkyD0SxpJIASqqJ39vsG8ImUQAZLtHN7m49l3WLrW+UZRj
Z5zL/F/SwfV1vORTjIcSOr5KgjnZIR7HIewF9Aw06Hm2l8A3lIQIEBcsczmv1WGRm/c0fyoUnZ4t
LywAlxIzRzbIKnnNSFFq7mBQWjPf3LY1ceTlJqz/pPar9y4ALRBYLUB6w+tv4O0sW32J4ifCLolH
i3TfOX/NEF9EsJTtfaD/Ew2pSESYB5RKZGyiTfurWAgDAONxQoNV8C2WG4lKOqvMYzQw0IWil82l
KbqqvcvShR2QnZ4moavLaHtaOlxSeGeBrB80S4Bcxgy0ChVKsF8ZAV/8akwgUOzmxm+l+7LZfvu6
tjLqnZX/MxihyEuy8QrMZTRgFIR49BjBCJCbYQ82UlqlWHIynDnYUUrE1+HJDYnWZg0NwQa4lFj5
3Boj8+Zb7X+q/+COCINtBYkXugptEyvkR16xl69/x+QGoqKOtyXyOOY9PkktIWz+HDfwewhXXX2w
jG+dS6k6d8M3S/W5P3yKYWO5y9imDOWeYI0qDY/AZ51DwznvJOAdjJUsiGMECq5NddP0OxmVfqjt
UCLY/V8K1QBxfUXcBKs0V5IPAckaTKsRki3odUDTDjbUkXXB7D9gs66gvUeT6ZVHCVHzIGMNG+aN
9kBRFvjrKaOiZ0adkdydTXueMqc3wObarQfFcY27pzwT+ld0FA0anC76S8rvEQuoYoKjASfCopdZ
ciMBM26ZNB1EflbAKPsG1QKPxcjcZFGr7x5QpJ6ArQlfHXOVQl0VnE6wlHXAvOE6LD6sBltYvlNy
bs2OCkZsTM6n7h8ugoForPEfYwH4qluePdaeqXbxmdgVa6N4GRD5bGa9YIWeioKBZfonACjRug63
gcyLkTIsyldl8RWFpDwdB+GMHZb29olHYZKX4WVdwg/2SISq6j2xF0y3+3kB/Muliq9T+KXvDK1+
E+4bJqClg1BjNvAYVIADo+iYuX8hdZ8SxY4pHDM/a2ijwGdzbBj8x/qy8zjbIWljBWSP/q8OQY/e
CVwdGiS12sNKnypNLZI9v/gwlT81P1c2NPh8NmVUZwXulnmFlFz95zLvwIrAlo+El+RikOli808s
dVP+mPzYgSGeIF1olEe8mpyhT3KmRZAtWF8GMnxJTA05h2UcDPMY7DiJCKW5Tq0H0fHMCw0++qC8
a/1PAmLS/EZTgAnrYj1hmhmeU8THcvz1CioBkuateZC+YkStef3wfK5vfgqafnvsqB+9hcQVvlD8
W9Uy38D04rTXnCegXBSIQBodQ+TW05EyBBDqFkb1JyqyvjaK+lnhKdZtVITVMTUX/RFr4nxScCqw
+CFoelz1wMMafddzNLq0CIwsvGQXgFgYu7cyEhy9kIZ9SL4RHQ7sS9j5XfAb+jyyf1n6kyNjIaNr
E4lfa3z5PzoKCVXaxNoLK5ejJyFBRquOr62cHut/SD4t6Srl+HtNbhQWyfUtbF8tgiJho/DCMn0Y
hhOJWaQo6/iSTJeMN0dG7gxfmWNFkf9Yn8TSwZW2hUQO4o02pGVTXY7HJsR1FpOFDtdX99dNka/s
kNBYSCQG3g66A0X5NYgC49/BpMb+GuXuycCehrHZGlaGhyfsoTGETk2xNDju+as4R8Gt2eMrxppV
5m/h71pl3zXuQqYqCeJFgDc58dsDceQyv1AU7SKQeuMByl7T7ez8LHs7l4WG+9CvqOfq7tOQmLfd
Y8h0+uCkPk0Xm9ovgSrKQh5nEEJVR7fiTQAdHAu/fWd4CZn3wAE8eIhcwaWqD/qRBnCCsbZc5qJz
mIdJO/FRZr38UozfMKcRZk0z19uHmb9L/UMLNxAE50azzXktVdCAN308goq3Qya8B4W1gCsoQ6av
WOPuvZntVxh8EbbhYw3WWkfPHGRnoIh45Vkkm/2ji2EUbGSfY32pWPPcdLrkoPdz9skVgz59wyU+
GnhOII4gBow4THk6hmxDv4oHcLAXTXXVrWFW9K+R+4lPT+agjg7AoisUshELWeNGi0fcSsRgXW0Z
q22JY3XgPKKem9k+IS0XxKlMdI1kNwZHV/rnZ0+pdZikiejmJxil0lcbs4K4yTJaxxXxBEAjTdSr
pXBccbbEsVWWkJmC+FINV9ZibYCnvP6NENi1GDCHydvEARm2AbEqaypxXT1G1X6of5U8Wpfc7uC9
FiOJotnXdABGCYb6gIFe8cgmezojTK2Yhp40tsnL9L9zJdoa+bfFiBV7GysoSonMPKc0LxjBCFVk
q84FhRyjdCRrXzTM+9ZJdwgbAsKJcyC7jWhGlMbNFwQGlGWbMPn9v2i7K9aHj29QML5eJBgzK85c
m6PJQEENhqvh4m4zevXwITTMTMeJOt/x9fg+rtqZPwVk/BADjrLoQNSvlqzt7FxJp5ZjmliVloNm
2KukBpMiYOkc91vVIDtuG+hbUjG7N/SeJv8dVcAy8PIAb6BrhBOOGgEVcPQY2Er473F4mwgDGorJ
pNirGqLUnnQmdp4Ny1ReWZ7KVZWdTTrMUH97zKrlEMvgY4jOUXXr0nWlIIlcu9oltVFCYBzPtJkU
QlPiFozQuoJyQAOULdoetSmhijXiBuxmJWbL38bD43rTvZafHhzB1OIx1ZAgXcmVTDiDd4C5EjB+
xwlmj+1BebBdinj5mu2EoEXFQueDQ9VAtctSIU0c8TvtKzQrcCaoZjuiBwKH8hEZmCTnItqxSOhA
lXM6N596dYBo748b0uxy6xE3W0DXKJgAVRV0ykkPSV2byWfcXzwX1pldZVPvwVANxGRpzbGV/kzt
GDwkF1cNVqcSaQzr0BCYQszaPK+4a44wughLWOJAo7GyKq672YRQtDTAh7Psg0RamHHBPFLY5Uwd
HjmnqAwIPYKNEm+tcs0yFYcmIpXpX6jUR57cMnly9uFwWNbS0+jJD1r5Fn0G0PiBh2ZcEAqWIjDg
noTwJnmIt38Lfen1O6/yUeP23DNLxSDrAwP4zY0sXEhwtb+Edsv71cCeAGOgYHCNZQn1FEpBmbCK
jPcCZdJsOITWB7El1BALkldFcUfBQ7hHFb8ybFEwhSpg/ZEzxnQggMpXmo2yW6NDODa0rEcvcur2
AiaEauZAlmzOC5Re2dNJvQ5wmzaEvbTiBP4m5/Xxh71vvkLtyxf/qvGnl652963ma+a4DYpsNpt2
A4BcmOxaOSPKl6Le/NplwDRnDcDAD/GtUxU7Q9dxYkCrOwm2ZHqwTXHzYvbRSQq28C6b6s1mBx7k
GwYYJK9CieF/+KG8kqdwAHTL2PlXUbCVR+3WoJBUlAnlXs4w2cxUZZfAtInfGaZc2aHUVtCPb82b
ifinE8Pa/5HbQ1EfMzaAbvGrYf9tGZDShMtskDWEwitPPDp3RtmaiDcf16rhdTKsH7gT4YgNuMtR
j1+4RLDvj8qua+5hgzOeLwBtH7SR+ll9ReU5SI59dErHb4HAQWPTlWNZ2foMV8ydXlwGG8Mot3HI
Tgi1S7ur0Kkw+tCwGZ5zcbUsSrNyrerbvFq6cERqtrnt2svPrf/dQgwuRgCXTbuEoLWyQLCn3VuP
1jg3WotUbnkfosmCCUaaFxMMmNhp8FET4hsnf6LfFfLej/m07GcxbOrAQlOPr/8k559Vli+BcKCi
ly1ujE3AO5d1a5Lcoauco3DVIxyJFRAXBIDyI9jxUQItSOcjNhYhyrRj8XVQMNDoJ/EOlQwF50Vu
t+1IgmKyS4jzcnPeuH3EhkLeJCNZOFxHvXrplDP9XB6dA5xcjNHnBh2UetTQI0RLM9KIj+rmkv2B
oRurFmS8jCqcO3lcShyJOeYOYgqpmHxAIUn9yDhlkGYmxZ/aLRGnqXTgA4d8U1VLkqdnNQ6gkHgf
4c9RUdfEbiX8bnQIBJ/n6IKjfxRNMntb9/9bfsn712hs+hSuC26xapr+56zJKv2S6ItatnZ+/5XA
fGihD2fUkg1Kvwp1973tP8B2ODYJL0KeR/oSYCrow7fcfuv6R2JeDJSrSN+ol5iNlf+AV2rFmRVJ
O/HR5uyjG5JJydsYjWBB2PsqiRhUoLeoXDiU/gFP0zoiLtgIki+33OvxLQY/xZi55PyjWnyiX8FO
HkCjwUZmEVdHPVStmXa3kKa5Lrw/A/el7eOI9hifHUirIVrFHL8rhhWxu1PaP/E2h5NiOIa6rBI8
DHwqv/BvB2CWcbQKUR0PF4o/jWGL+DDKfRXxtK+MljX+ySjXitbhml7WqboBRkLL6Xghpj5k3FkZ
rW04kdVYfqBLAlswBNqCG7EnDTCsuP7KAEctZ/kwD9OvOtxNhYifUK93yixVt134CtNVSBvI6UMC
ziAeBGrqk9pty49XUbbpYiOjhNuQw1lBAtCsff9JSJCuzW19z37Ibb+t+AzERjdBP4W3yDop+YPl
HWJZYZw6GYAXmjF6DL6CnZ2cy/aqZuTdOayP8lhbWu2ZAbdm7fiI3eBq6dcS4auP+XWst6Z8luRj
y62P+IfdjcW0To1+OgVDBWox1ONefug8qNoh4NXmZFTHiCG7Up2C5jAA+WoZNBBCJU9nEuGtDNGm
O3ZWBxvGzIZFNYPgA36dQhKZ/lT1nKEbIA/2HmX0TwGDGhk/LCrRjBFQuCH00MFSweKQ6CpycXeZ
BWvjUTcHPPewrFjCfObAtKFPzYTOV3uRtLNt4k1jBJWJs9Fe9PjiUSWo6k18Fvp97L4IOlJJp6SH
ya5+/DEtZl2smeItvJVbL/3sO1DcdaoDQc7/Ff3DT68diXlEHRo0kJu6uA0uT/gytwmn67Akz0Yf
cwNhvzTDLKklFMSooLqzy0A7XY4Ni0y0BfHGZfpqXSJlJw2HzuZAu1dCOBOcsgQMGVP0v0OLsYvi
xOlvLGuHWmfuxfgfRfw+1Kbsmm6pjAD7cVm6gtbZytBBZk5FeVgISJB/01hFHdbshbE9xXwOnB3x
2eyuobIY5HMgTrmyBxdGMReS48tyJdGQNBIPUc9D7Yky2tUWRQvk5zexnIShLyVNgzpcMNLJefSV
/B8ZnVBZN5W/T6mtfdAFZRXMhPth6EtrnFfoIKvg0+bUGYaLnr7xqOudMyJ3YzuKql7NT6z9i8xH
XP5IMiKHVi41EudzxbUxuXeOqfINowHvpddAIzq071EZZrYxbkVOOvnk/X3wv6wrSAgV9AcD3USK
WgLPNx54i0l28ESfwvMPrNNy7769k/mCuC18OBzhXz4dUbzlZfibZC8+VPbCqfeqGcNBV7EmLUEO
pDDZq79DxkaWmwj9qIa2U2bZfDfoRl2VbRcrBpxLTB62Jm+YYJp2gSJqDhxX+KGkL57MqF+RVGLi
NS7WtnGVGFiW6q4oVjIvXYVvNVPX+PgiDJAhoRnRNArdj+4vhQg4aYZEcy1bFxG6xgVq7EHi9mPw
7AFJaNpirXW0T3cz/9Eqg1SBt8x8o2cU0X3xtkG10MQfO4ci2VkpUgdEGrypOwZXdgja9YluhH4N
Vm7K3C8jLmJrsw7BmxapqLUZrpIfQ3y3fDX5RYAGK/apaRhOt+RwcRO2S3YP6sOv6p1tv5T4PtHN
YgXcrxXOh6Pvn3L6bSmxmZUV4JabZSmfgrJZ9Plvg2BAWWjmJoSDPKJkQFlIzPFcGh+h8Qj7M1QX
u3RSUDLVow4pH7OLXzOEjbaBAMKav2TWEym5HEZd72ssh6G+L81tngeslW5lRJquRsMi30x2x+FD
8z/wUlsyS/ZjJUULUz7lI/qpK9IAu8T1enZ1p5n6DPUMWZSKdy8HHz1Hk2XQf/RLkQ8rdoIWjLGM
rgjpLS3vv8B8qEzjBuCJpA0M3dIM/8ne0cZ2UxS/JckwfALMCdwdfAH+K8Pi4IFj2VB/MoTL5lDw
10F49fHJJe2nyX7GRe5iPCy0isiIsVNywUYUO9FL8i5qcRTFw+ov0eDk1qY7hsmBBgZESBc4I/dT
9peipcqiDX5GppxdslDHS1JTljdLGQcPOOVoy3orrtbqHd2ZZqxHY1VnV9EvE4Vmf9lrrAoqBs9I
LbP2K0GR4qU3glJxtV9S48SailFly4pjm/YAcRdef4GooPYb0Xx0zUsFVO5/qdHRjdcak2uvuHe6
zbR4nHNRLHVRbQxx7o0PGRCEbH9lEcaEa5RQTPRLfWB8jedlLkgPpVwr/waK29y6x/kxIvmh32j9
O3HXkzlFH4yFEqyH/tfGe5cgCOVvwG+jH9Me5BlnM9k6Kl7pyPtGeUEGQ28gMFpR/ko2wu/uqsVI
3kmdxP2jVZvU/0YJG5jXaGpvVgALXHHsKaz5gMPwr2y/0VdF6Waac3rJoQcwwtTIN528p//GY4pf
tI1PqfUhdxeXzzZByC+Q4y/RsrLdYcPTboikxQPjkl2rH2pWcyEz5RL6PUb4V01r6mN9aMmulcCB
+PE5QOkPXVVknxYk42QJ5s/qVijum/Bqejusf0H+LZk/OktsBIOs+gXHdRWsfHLog7kI16q4DSOF
Y41+4EMEWH6d5pkT36Cee3TENcoSebrZGpKRnM67FHC0Mcppby3CY4WalQE4+hEaxCa+Vf6hbThC
7IXs3phhCLMgRPWaoM7JsX85SbDG7dhX57Z2F3Z6HAwN6/4fWqhV1eWouKp5I+w1HPZFy6h/jK7W
JFOvXmLyS720YhrbkiAXMb52BXf4u2weuQUc2uLnp5VlWTMbKMA1CpiIKirhp6ll+UZwbb9PS4IG
GZY9vejZUXIUwVky2aIS+JgBDWTw6NM758qzvKoeS+FHdYtDNMnkR/CS0nNy+YnGkeR9078kKVtz
BVDMyxwq9YqmGcpI6f6qTJHMea0djZHne10aMCmc4TsY16pPiT++YKpI7O27/lsYdx+8EtEFZHjN
LPMkSXurf0yJKcMqaJeS7gxwuXGLiNuY7ZiRDmJd8YtoP0H304IsmXLA427XiWcSbpTh04U/UomD
pxD1faYRkvBJddiCUI5ZjwwhZXGajNjJX/Us0n5eogBjgaU2Nw11SM4jSNMVB8vROAjjOGjbyPxM
CHfO1mi6kStod2a0bgrJe4F7gyIWeNPMRFc+8l5aU+DqI2VLanLbj9Zy5Hk1UghY7KxgoEgm5gKm
Av+i8kOYDOG+xhgEhPunJXtZ3wmECViiW1SE/h1fmNY/VG2XxtSiPAIEONBMlyXc7oPOixEZjjV9
nW8t21fTPK7a4aSM/auGFUylcOmpcCIWi4N37YtbHukUsF9WclIyomynMesqarZITDAAJzCSG2/b
ay+lg2mYLIxvGWEznJV6OIUYGLP400+/Q/uiZ1vx6dVzG2YlE2QYbQI3LeMAJUHvjMhQ5fOksCx7
fwY2wTOucj2Rs9BpxVzQdMauuutaf9uCkws5a0mnURAkTur6ybNYe82ikdeD5khQzbJHht5yEBcd
X0CI6l9Nl0m6k3BoQW4Qc/VbVdcKbVzsniLkv6l0om9MUGpLE6zsp2gW7LyHlLoAER+rhpMNhqwj
85QEVULBP2Ewma/av8SjTBwY0E10XGCWyKBqusSxhnbujbtR3ivtu5CuRBIH6p6PFQV2M6xwfczK
L2naf7RoZxn8MdpseBAsbGt6sLCKn8RdGh0Vjvcr9ctOvBkex66jA3HQFHouOhxf+ckLe2YguWkY
QIjPSJ0XPnOFe8wVgfzcwUSgHEQKFOw+aGho8ocp/WvBLMTe1arOWMUYROrtB4ziyntEpsmAkwai
WfcoG5QOUgNOOM9eePzJyASnM3Ap4eZutS+zuqUNP3p8aKMDeLAO93jsbrXiD1enIX9bw0IQp4vL
S20cRSKJe3T5Jt99cwLX2LaPFjRtb3/0lGWS+grUfGXElwGzXY0q1+dHISxiHjHaUiYK3yRXZI9p
hzh6FrK3ysJ0Kav32l1PfChzKcbPgVlmhW6xoXrN9mnv2DoWj+SkwpUx16LcknzGCb4zo50vjuyN
8PF9F2SJjRprYqJeRuVMB2iIQ9YcOpKzk22ULyRj6eH/lXf4DUX2qhhkRtbd129W8wfYITfPfXZD
nshhUCR7ruQy5DVeDiXl87kp+G/YtEL4IfQW/uuiKtapvy94z6skWfjqVaAthzM4XUS5vx7qW1rf
0KsD6twXxab+4lrlHJK0V1ZfPJ+uZhYrUJgXaEMS89r2F4b41gi8/pqoB66o7mmoqPb+gaGaFzdW
zKw0WGEG3GEZmRmcNgQnYDmv14ieBKEs6rXNbsoria51087rfymbTplPlTSQp2JxtzZEH8rRUiG3
i+MYlX0Q3FAQZfy+jHLYj6PvtW46vdmU+VAh1I5wtKqoy2PIR6mt7bDf8WA/jb1sr9Li1CCbD7yb
22xcZZGau7iuz2DLFgETo8CDiQhXmCCwBh23ymJ4hV27EAykRmfS5Q+P0vSQWl/xM8sxZY8TlUsu
pLxZBvfWam+wUxeMZtKR7Vp4BIMLe85tf2E/VCXpKAG6QUK2tIM0XvQGwFhylZtLD3vT3enxdwT0
JO5/M/0c5dzRjJJKx0JAA5SXVNOShWh7jvynO3zWSNg5kD4D/7cUiEytHXC7nMhiu18Uub2SKP2k
JyWCNV2V2HyhpiYULjKLHUpBPPUZEhsMsWy8k/bD6zbxww/QxAoBpOyC+ojmWEIyiz6sh/uK2qbU
/w2wO1qUvbb926fbkS2G5b47+VNVh6UHId5onjTKQw5m00JeAiHKR4shGELFAedquJX0ZXs34JLi
5fa3uIQY2ubxgss9h2KH4ldhmm+Ru7vsxm/G9Xr7VlBU9ARwM2ndR8o2NfYF5WGv37toN0jrni9I
HaCDKWxAMn3DMTPq0SVKGYMrc949cPEav51f/+uI/KtrCloTEtRNaIecdVV5kcYDSKM5TTXGEk7B
1HcM8C0wlcj7duVly2cwiaXFMgRXXOUHHrmUvSFjn8z8TSizmCJAN6oMrpDuuzJPfXwUpHU1Yc7R
TYIOkGP1azDhoDB+r1HMJQc1n5lUXgNqWKQJxYoHXIRHXd549P6EU9KUQ1AoZsx8KuOl3IPwB123
JC9DfS57n1r5LMJfARBZJph2nBaAav3Ii60N0zX/ULmRMfjXO9Gf+ZKhKgj7ONFOOvb1RI7T8BeM
4BKmw+U71+B17lQEI8DM7bVRoedELLhuwWHBPZR3rk7YHmo0vCiooTjtmS9Mkgt0/5wvOe9B3CM9
aB9YVBZldIuM0TFa0kL6+q4a35jZnFHHkQQa1ptL4irQQYusng0SUP4eKRv/bqoKtv/8dczLg8RF
VJ19mogZyE86F1Y+z+BYtwSkk3zT6PJKqLek/AylcqPXD/zZZfB0U507C7WpeWnNZxPg4mQmpbW3
gXlsTBnduMpqRC6ghMem+iPdcFkhqlMpDFAJ9t6w1kKBFts/FySYl3z8NoND8KR+NZcAVeQIEwXl
WaS/omTTZOeyPHhYDwLoxFqY3mPs/zYGvEJxJPcco3/UkmVAAW7D2RmI645Vg7nSJG9m1CIePYh1
oi7nHVA5Mu8Xfq3OBGyVpiUK0SnYu8kkxqIjbaEhYQtzRvdvIF/N/7IhwrEqZGNb7WuCteLqlhAx
4XEqWrrTe07IzBYg8Kxj3YjjAWYSMTroVyz20GNosMdiMYT5ryMSF7An/cOaWKlNO5JS5S4twhQK
JhhhzRlGj4O3aS46dBSMWTTysOwiWg3iHRgGZYeK/gXd4uCUA6sSY8T5wsRlgbsyZcsnhgDVIi5/
rFOMUHs4CgY+WJvqR4VGCnydR+iAjWwZIu9K+38Ex6zH8NoH7FW5OCL0PxgMEFdjHVP1uapgzScT
TZjNB3zQEzKzrdBsBJgx+tbqW3FhHpRVNGNdEYabhBCUwXaqyZh/94bfxrpgsMJheXFLzkE2t/DJ
RHqxpafkfiXWHtbivB/urXuJlaconiXgPLqD8ZimRz98qeolJ8HS44UrufWGnhUkyxXKESgFA4ws
n/OHmWGhJly5//BNz0PlQ45von6N4adiHyrWaIP1kFHrsPIMWXXrhTv3wHzOVObUKuejz71FaCT7
Q0Yu42gdk75Y+Uy9guowefBzGRVX+RuF1m2YVLI+0YxJ8GPn1IwwClO6aogJs1I5yQTQWJcubmZd
N91goD1AdEb1ybfyHbmjtv8ZIpZXNXSHEhFNPn8CtUGbhOuYmWGLT4xMuHnCoFFF3Wdgv8h1DbjI
9IV2Dxlfv91yz6jZspekJXsFMN2soo2aCSZ9SyHWhDpwYSjIxX/akhVZVXuc2No+6woWt8VfDWjO
5KkAVcZFDVRdC0BYFcuiKddQvJcBQsW+pagJXKSZa708dKEguC26KeVPSLRjTCJRWf4rao8ooCtx
IXq97vqtm+anQER4dayZzHKq0Ghe22FJGjXjnFc2/ejTh1E1y8E2uAtSduGGjWJ1aqsAtwQMMNRt
rup8ETVQ2Lr9S7TwWOnKr4Saye/+F6jMG2aXkvWhGSfyC8DRcMHADNG1GuFpj5e6WcSoEZiaGjY2
Oodrz69x37H4CAFHqcEbZwRgTWomH336Rug7lc0BklRXXFzz02r3IuS47VaiinfFp0ptM7JIzjC+
1qY+96KX2f5v1iLPWwLdcyC3u0BC2FYaIGPSWqLQCajcOsmfuTQ9I3AAu8KU2N2SiAtinTBNMyz2
hSMxSILij7XmvlKm3vAijHPQ2eyMgeNB0utWNhqaNpkn4ifL3qMc4f4fYRA6JZvlKv9GzXiUwk8f
9bn0tCjpqM9Ky2nQ+KL/DDyERSxFN0rJY7bLa5BA2lauyU5SD7L3JbOvzlGpyHOGdOdc00+DnjxS
VnU0IiLdNuDvY+R4o0KYaLTXfTHlIsxlNIEWth0z+zHzwWn6PzAzEeaIEoEa4xj2+hNoXjtKYtXK
W8vQdlFqYrjqqNw1vuyJDgY4gJrMKiFW9lfF+CGmbUTeA9Me/0tVf2vobki3ZVW/BdyiMTrsu1uo
ThjWWa0xfNMJ9l17LO58vD8LXgJCfvwfczhTIKvSv9DCSMQIxEIVE7f3vID2IN+zKAQ2Rq0FK3dK
eGIC4Cb7pPuw1QhjHqU5QhR1kfE0VXwJSvBZWFwnRJ53KUJZC1qoE8bfiJ+95trmF1EA7+N3jucW
cgAscrPaxA6PVluwMWceudAUUPuLzv5EThCm2kJjI7ry3LslAQ1UFzLnt2S1DqztWchwC46Kz7KC
IyuyFikkKn8TKRtfN8AeP3oX8RmUTrZWrGPegme9wI+QmZWjY5EkpZO/aQDiz+Svj262QffZ8Wnd
UL+W/FPhroV8loddUm77vwRknzVI8wK5yNTLsmVTqjMZlqg/iL/aZyka9PM4Iulgr+YiqTnSNIXt
WsEw1DL46wOmBvUx6t5CL4ARYxzYmSpB0go/7U+Ws5eeuGUxFWvnlAy1RNKDiVuAkMQMZermzMM8
Fcvj0rTaVaRQT5ElnMAZRE1ZLQfw+i72gIkk0upr5G8J0kBPzjameg+Q7vdxtpj+lIRhSlbjYwpv
NZRAb1XUh6HZShbzpE1yT6V/zX8cnddu48gWRb+IQDEW+WplyZKsYDm8EE5dzDl//SwOcB8uMD3T
3TRZdcLea6vv2WPA/0oEXeaq8vcpzKwaNMx018I1Uk7F7sfkFbjg03GLqwzRTsI1r4h11OcVIFgt
E9CVgZVjRI5EFt8Fc+fRR62Ss/8YGUfHdLyZKk9TPC904ZnWo1ijhloH2O4TvAdE2n2NNAFN1+4a
L8GpzqxJZxgbJDu+KfI5bSaV5YvK2w2iy4RXQxGxd2CKO1qbOaMAgBzJVD0QnTOmpcBcZ+R3iDUB
X168S4aVk7wkpCiqZxoIgh5mITJGcUXAZ8e8HXcjQawumkxmmMPSZnDfANa8t8UG5osdbyA2YRsZ
WcAU29FYGya6jYeG0/1mlOfcWBR4ezJSZfwohttz4wptJ1QR3/w+XR19CLavSqwHFi3sgPG9oMzw
iIGuze8cF2nRnJ12V2W3Bk3A8FdTa1cll1H9RqDbE90i8QOJPSdo/HRM2Idq4rYguaPJjwmL/JoD
W8j/8aKj+TGJc12zpzA2hvKe6aaZ0FmcFVOwsaxwWVbTBr067gZz0FDIPAxaoDh6G6NunVcXlbBF
UruCnK2Y7Sy03lT4m8GmcjgrA9t+z1UyMNXB69pcBWtni9xiHqDBA7PI7mQznjIufi26fxOI2xpG
OI53YnJO3bBq7FuJyL9xH66oKL9fYvXchEdJHWhoHgX2c2CevebFlqxXxMHLHoNMliOdtFN8mDqU
VUHqNuZWnJBlDl4xUesZvDIkx9S8VOa/gLWEpj+KGWff7z0sj3b6ZbUpM7gMAfeR3GYysCOTToxf
UZOEVXylBcFtcBkol06uuCSktGHfDt/yeEuaEVMYhLzbMSr2TOl0/yVHD5Fgp9Lkr8chMdJMVvWt
atcmaGEcIMDMUdxAFgPheI/kuq3VMgviW06Wm/4yhMdg+kA0EHrzRL2xK/LJrKWSJJd67+14Ufap
pAqHI7+esi08FsxMpo1DD6nqrNDz8a2nhMu/Tcw4Wj48Zup4qRX5qvFKc5o16s0OEkHIFNzPKI7x
bqEy0w0kH7CsjX86eJqod3FvbvRiFwZs55Xai/Al6H9iVP9GYVBSRBvXZoOgvTUc5DqWVkfNXk6k
ADODms1HG51FQuG7xmm268LT5F/d6iaJhHAyVD+gQfMzAzPIySg8aWcbVtzfyprnSHDTkXj8hcYy
ISrJf3P6Y5chHUIQZHtAxVCqR9ZVe/c8Z+mpj4goz5JvxdIW6LSIaHMsbJuLkoVfxpYi2KZyLyHv
5rpxUBoLbJvGgm87urj6PQbZAEln3WgTYc/NOqkBd1U6M2QgkwjwJINZ3aw2ZVSxYvt1aYRw6T9J
RAv8rOMGDyoPvMJVgpmBOwnN7QrYjoNG1fmwQPiEw8539qX/NgwHq9T+2J/fsjpjFe3gs+cSIfpB
kI2qOAoIWNs6rs/5AgEsRwav8Zc28GuLXRD/6uFHywptkOOu7fdZ1dOEdmsCNzedwV6CWj7Ed9Ez
GCxInchTqNxtWn9GWoj5yVsm4UvhuRAHbYk0nQmV7nRb1/B289tbfNbMBoguR6tcMB2bXoVL4y06
YqvTt4ndsBF/tQhrCiw8KSoYK6PeQIqR+CjeCu/P7Y7R0LIlxMSmB6xwvBXizq+QMZyvB8+Nia5M
MeDzof9W3XFqRpQlQPmZiLcYK5RNhhlwGt/jpjKH+tA7/3er5AHSiynfWUr6wZZcLS2rENfjo6mH
elOiP3EMfOrcvB17Xsqu2KrfM7hJ+AOGnUs0mqFbYAlwdAz8MSbnKbGqTTE9HOa8lMvqPiGL8UgI
0g1Y15SIyBsj5vimgQuONy0x6z0CmKWsnW04wUSCblc2Er30PBt5DSdQ3YFcKZtIUfzfRresxM0e
ghUhhbTyj4HX32A62BEVRyBa4/xBYADWER6zmFD0iG1NmvX/MMExTqv9W+Cny2Jw1mOeYD+R41o5
5qeNozVhE+XetJyZbLLpsZqmHB4xintfwcfE6dMMzB9BHJsI/kOXT1vuaMeozlm7YlzxecyY4Ray
4Siqq3cNTVqFNbz197L95t5SiF9yDAxJRoKbFI+Q/RdgNFwVcjWRBI/W3CfLVrOKSzaZhEuXbzhr
07H5KR3o/kMOzSDHnkTOIKLIOPSXWvM1CkAblvms+Dozd1YPq13CQZPbKZ0hpgde2bLs10HDfJ5d
RcR13vHS5BUecbVrmKH3zVfavhAedCZZfEEs9pPE9O0hs7Kr8ZQ5jxmyILznBB1BP/mYdtuFmyB0
a2J4Tx4BExZSD+UFJ4fthix/+IWXNjd3YvrscgydzKeqdN2QTufl4ytGA9Y62UwzXoUIjXydkSVO
5LjyDm56ECDMnNLbtEl4Ljtmban26Vaj8dQBrZVfAetRhRczZYAVmQsTbK0WIarP8nWMKd3rtk72
3KGoGNKdGbVLl09ZTFuFbnvMjxrSEY/hnQHKOet/Cjr3EY2N3uH0BhDOZc7f3Vq1xhn+3nqqMPiS
xCAhPlcJ+Ov81sB69+fHO/BbxCjT7REBx9giHz8VCNKJMn+KPLGPREqSTLTIjHSfTExX0Iqin8rb
Vx7Djrw7OFdcJqgLTF1ttPSZ4BvGa7DMi3LCEjNTOdtlmOjPZRWcqxH3DzaZFlKn4zRbvWf6a2eU
vNULIZFbY7bzGsk1lcO2wCBiIWrMWdwazdXhevR0mt2O7r4MCiLHNJLq/6VjMj5VbXcOAxIx4ch5
wqOF28AtWnp1uqSz2GgmVRKdqM++iNqqa1mPBVSS9quPtdCvOUVDt1vqpflM/3+PA6b1LmSHYwud
miJq6SF+yNpiYdKmalgKUvJvxhZ6LVw3xwQL27hLzYTbjuEK8FIL49o0tZ1G59tygDzMftMa3ndP
k+rzLkeW/m9iN8bdwbbVWriGvWRnjvlmIbBw5ybtgRm/R3bxCGgydRa7TWows+jWDVYclJdPXfcn
YfhNJYVzUEKLYK6vnLPeR8sB2XeCUAeK83p2ZjPHW5uqZ/dJ/aBvmnTf5s7Kju6Ssb5GCmMy/toh
dF7zZyzRfXzZLjiaFuq1GR09VM2aTF4HZ/gYtSPCvsFA++gmpLtBkew2mSgepIoga+97nIyW+snH
+NApb9bHLrOiuDvy3uQ2ZJwaOHauIGHA+GkuXvUq3aM0c+Rbn15FJNaA51DB6m7cS9H0Fxuxt8+V
XXMPm2jt2keNxopAlBjedfraS3kIlbdNzRpZAKdaOp4DzfsdyxB6HtLkAUlMFeBcvLUeZs2cuhe4
E+HAho1c0pitVLe805ht2/uwkds+8tmko2wowceR9IB5F2V+g1MvpO2xfuG1LvKI1nUWNXA9wqK2
7IgO990w32OmU0b83UpG7ZH9R74s3ZMO2IZlp8LUF9bbeCRPrwmIZI3oH846733bAl/A3ZGrrwkx
r6/akQ1Nhb8cNFJQXI0My41mL1GM4OfPsh9m5UNJXmT6W3nujxfOEi5CW/R+abFMZFXAvtZb5QzX
RixsfY2iGgea02oEjZxbWfGz3mqofU0+HpMxRd5n12TO+/Qp18ja6/pHwVFZdpzBZ9aYgvVbYN7A
ypfec2FTuVSvHu6giO4lOJgtwhgCAXKL+fNHhD3cVD4RJPTBbL/DVrEOO3py3mrP+qIe1fPfWH5X
FlhV9ZLGiIF7rMCc13M0Rj6Cqm7BgxAGpDOpG+Qa1j3tfkTnC0SjDN1Vb5g3DT7GhIAKTveyY1ub
4ldzuJf9FKynH24nttnBvPzlxaj5mVVg/UQoXn1MAa0hIKv3CHutbUT0mFbK5ymM9jALCRabP27y
vUG/ntOa8A+fozJCU2/h2FMemDOuEk91a32W2CLKYc9u/tVm+4RjtPSq1ZS7H108pIyz5IbKjzC4
mCUr9E5i0BxY02hUPfsyBAwLGPxOElUQL6OBUXYIrjXbdf5F3stv0qd2YQMLnPeaiSyG+b0Lgahq
gJyLd4u+sDaWPWpvuyQ/O4Odc6vIIqmxGhYYkcqmg30pn4rse7JxtTLerU0PtxvJaEW9dvAuyBTC
vruPcCDqrIeGtFxXeKJFWu1GO6JlDVcai+3COCTjxVfNoSZSOa3E0cSeYeXJIrWPfpJuQ2LSofN9
ml2zT10TCEZLPOo+nrPo7GshDFaB6FIZ0Bhd+k9jqxgLjZsHIno6pwsfar6z0kbkhRzJwBHTM3YM
Y2vbq2xXdejnzXGTIpkkN2YVU+85SBoNN9wUNWStqvwcO/mWOCMirZ+cCaQOvFb6xiJqPtLcPEY2
62cOq8RrrkSWL0223m1lsPacTgDdnkIGFKWAhdDnp1kVHwPZyxk4gKy7QvwgCOfu2jTJDdvERl9y
mRIcbB4Mt12DFajyl8Fo59yR3zk/eaCercR1iNoXnZonmyRFXbOpPGdHIveTlZSvTdDTV7zh3QO/
mqwkVUtelivd6nYjxYnX+JDTHrPUTKMqdIlcNKjuOmxrcaF2vTMeLOFuii7blHPXA7OOcp6UGDIE
XL4OduQkFEdg1rNYvNNtoUoR6whhoejDe6geKtXPtocMmJleM5KydEnQApTUh+l49QVROXio8Lnu
PA3cGWfXyIEW4frLfONhYLNlPxG25H+yLzOIgyXgb53F+dr/nxlqryh6+dC7jVWgsPCJ0J3yc8Rg
y6pWLp9YoX216YvlRICj2VKRcdqHgEFwBo7iVNaMA6v03xBP64JmqdH9gxeEGzfJzn2V7UvgDC6P
W3FAFGCOsuodxSndQHPl4UdopCxEc107Xa38ubMoQdyQ3TVFlQaFzK2pFTPv1Cj/6Mv4LFt3mQz0
baQilphd2fZEcbUZSnMdkVqYGNHaQrTqxWJt6HKvQjBqtMGCgYDOTYIJXgrjCHA2r+8WhYT3GoXY
R30HCRFZDgVNT8Uf85dljmuEix4ffo1sixXiYijzc49TUwHkyXwSG9ga+harAYpiyXZj57A8KIoB
rSD+fdp1IQWRJfkmq/cuetYEk1UBM8vG7Q7kA9LxxodL40h4LNlbQIMaVjFXPaMi7qesiA8uyVSy
UkcKSRR1/inE7GJ12SoI2VdpaquPcls3xaqgLge2j1y3vja+9lrhvm3YCgwYoCdGJWPKWey3Kxb9
fccsRARw5vSVDz9FZD3fMFvZlck/IRZsIc1kG1jMVXp/X5B35DiQmvhDORZWsofTkOGA9JNnEOt8
I/juCnTkLmZU68cvP8kQ9KM3nYlDpsTSA8WQAZfy8i2V0Sb0pzfPId8q6Lk706XC6m2b3xWgsIBt
fi/uabaMBTo/+ISdVS76ieLQd14mW2NEQDSNDfwHBcesFZEjQ64MHJcJjNjr1y2DV79THw1pm3GK
rjGt+BSQOsOG8IF/VAgrkBtsrQkhe0Iphl/HipKD7Xi/pvUd51TVSrt5pnPs9WHTmwPmdH01UvoP
gXbXPIIpmubY+P/a8TcNlw2XY6Tm+kg/SE+DgfZZ26/R5K2U+OudP832r4L+Yp7X1+U/0+kXCpnE
kAjmsea+dOlzkmoFgm9p4jQRzAlS/qqGeTFgkw8pm2PayZgjAhuvxg4XqhuQvRZdXA2BmH0f1h+r
BKyJNKmatjRDdyfwMIRh3WVKXHsJnby/jGugFW4/vUvkTh2m0VYPjyNOmCIYNoHGYLO09rrZ7Iok
ONjsVYfq1apP7cDmRzAG9H0LRzZrVOwODqQhPFYnHHhbXWhIN7wLrEA425grKcVRNGxTq3tW7I7d
GM9CiHHWcDETZWSk+DuJ1kMXSEbbjH8pqVdVUn1N47CTTFbcrtw4E5o02XJd8LRHshUAIQBEfx67
8iHdZB+500UZzNBkuLOwgedQmDvBvHIKDx26aTESt+qAZHDiDSzmzTC8KXe8U/QxIRWr2INYayKF
sHI4EKGdoV9IcKC7ew/WjMD8rrBgtj75GXkFZnFgEKRQpbKcRZBsxDrg+/o6OqeWnjkhqVf42b8a
cvpTHpkXxZKvJbykZtKZTOUmK8RLjMSh9QxiUX9C9cqWfCM17BKQHeuyQv077x5gzXQONDnzUPGr
tRrrKDgx1pyHhpWLxRnRI/LtBygrgY6kPD7VRXjnoz+NU/Dm2jH3hOFki0F/6EzljfLBsGkrc+Cr
CKIKdlQpYi2t/M0J/SHQeQu8928sNjC41wEiv6D5oBOkelVPFPoYi5CZnvuAUtt0UMRkoIzw1OIy
SiDeR/KQ6z+l2lXcjbxzB3t07zqJ7BWA6HTgCcxxhnQJ/jQdOm/4bWIG9tjbYvJZAnIpdcUpCcJ3
pG5x7c+mCDc5m+Exx9k6sFjSn+ZInFpyG6HnC6LyNxvI73RoupI6WY/4DgRD6i6gHuH4cYHJ6c6/
nvGRNqqjDxehgnRQhPpN6DPFk5YaaJxt3ZDl4imNFwao+aalO0VLYKMPjsSvjeBLCYHVssTaAX/V
Ml8GUW3mKWxmOO2GzNvZjQW2TsG+uA/Nm8BbG8ID8se9XlLvCi77AnYLm83ngC+1LO0H6SCviDgv
foM3x0nnQzuEphc+0+i8yAgWHou/xlxKClWN4B5WZE+6YG5lMDLIGG76gbkRmn4cOI/DEUxkL/+F
2bzC5T9mY4GwWDsDy/hQzAQGhH2Vjb4d8s6orYc0v5Ye86Vg3EWsXz1MvGmU7ZXFZq6p2DWni4Z4
sBrHgeaUu1QnnQ+P6djTWwfyx8j6R8Vxk2oGBZeF/s2Uj6RE4Eh9ncdqZr2wACsPprpmcE4y1b0k
k7Vy6+BdAXV08+QwpPW1Y2MgxmSnVbxtcwZEiV7GjF/5z9xq+VVOwzGoJAOhYgFkf5X3fKoNsVPw
+IxhXPVs/43ZICTdNyugcR2KfQYookyQp5jeX5PYIZrVFtiOvBJDGOJp0/30UXHcEEeAoDycnq0Y
rB/PMFeC8K9sVfTescUrJqbuHlB4TyO+qRj8TwEkL1/zyezkoPAtNNOG+HoKdqbfuiPWwnw0FhWc
rvAfJLwQTo1ezqjEW1RdMJp5sbMr+hy9OiVhoidnkhxerP67SB59Nx1Ki/OxtJ89U3D3fM+BLjZQ
vsJa6gOWP9DOovEO0zDuZFECk/P0Vd8wVgqw7KvOIy8AnaJooBKlpwbKgpd42B4om8vyZmQIWrJw
I4jZq2OkES7z06Y9mNLhClGkmbQUajQNNopVv8vuxehsHYHg1wFAVNr7IH0IHynKnCRCHEIrvVsO
LqnsRzwE86KvwoLIRAoFlzLtdWwc+8l5qKrZ1qZ56kJ3Y7JztLNgoYtiX8phbVXNIW1yZEBIzBhZ
/iv99NCXvIfzJdjXeIeTtUWwlTmyEJHOui+qRx9/qfR7aoCblPkayDfHEFumrFubk9qnot+F8fTi
F8XKQ/fMFojJd7ywJmxfOJvN6dlkBua3csXFjL4phW1E1KX+2Xjkq3tLFzppKeTJqNmTxGLbIldJ
k2Poc5mojgzfX14KDD0k6EExHiZaKOiMJLxzB9snFYGphObeKXvXe7AUWcLkEENKXaLNYWw4xgZn
bH912fn35LMEYbgxyFvCLGHJuWuYXa6wprNzGhSsRFgABiTairzHXeYdQdI0XX7xEQ9y197Gul32
GXYCW7EbofStAAZN2ndKV2ogw7RU+ZwE7iaKnB/Vo9kQ9Va3Jg7ElRvd5h4kEvU7/RZrhIRlW4uS
5LNAGTcg9p5Evy/CConxn2pQ5Eu8mrMUoUH7ohfdORXYU3RxNqW7sasCJ9ewH2yw+3FAGgTbb03q
x8rzd74pV3ZXXzXdwTgHuYOJqhwVhrSTQzr45G5aHazdR6Z3q6TgMEWpmDAx7HQstflW1ShhKbnt
svpO+88KiXTmfdmMttt8unsT622ZbwiQI8k5ST5jbuQgHDHlDMEh6BnQRs234wS3gvX7MnFaLD4+
C3hL72cbUowBWtgP2Z3dIjsqL14M6U3OlnpMiW74LMpkn+IQ7tgAAUFgwsa31vecj85tJp1kcP7i
aJuX78kUHWRzsSDIhPF4xOyxKfE0eM5wTqIJSydOAETjptVj+q4X0UD5N4MFevejQDJgtv19HNOD
7I2bQdSWUMXDCpiRDc6qQQ/0NAp4gkBdnR41JIWlb6ez43+6BsEETCO96rJEy1j8aaXPsq9nThT9
6HVO+dfz0rWtDTYnGt5R2ZGIpJgL1aHLsMOqfKKo/E0UEqZEoqUEXpEX8UagRZnKUzlmF1Mn5wr1
SRalL54Bh0AeYxWCr6pTIvBijWLEei7CX5VJullEfQFbmtJO1kzw9gMOyS4H5FLqb0HKFHOsZ7Ux
EAyIt1acEoSBlH/4bS2m6dDqVsJv92J0mP4Um3hUGOIBgTfGsazxC3n50u+VgY6GKm3yjkHWXS0k
wBFHmyaak3KdSxGHJynGtRHb2z5ruT9bHBaSCJuznb9O/os2Us4M8ty4OtZ/XARpcYly8zAG9c7F
vTWhMa4N7UVzJVZJBsPEXZpde44hTlcBXH5v8najQtZoAraeZ87kL8QaFky6Ka1qjwqycjjTAoHk
QYzmok4P8SAWVffuJc1G2VyR0ON6WS0akhFDjiF+P5ZMiLiD5DAb0ctCQPY1NtTnM+Jb5+hSm7hN
d7ZmnzQu614p3nrizsFIhSlASXKC7IHOcNarc8lHJnpewWASrcQwUeAF9qJOZy052jkzYrzYYGbn
ANfVrhS/I8ERBnu1JBI7DwpKDLAY/gwJ3uauNcZtqfGfTA1MFujPbPgXvgTYOwagv/pLIF11yev2
HyK8bR3ar0EZ1kwX6MUw5aJP7VE4Qu1tjfzhztHeEWLNFhlVNPfBuJcarz9T+aG1wFxme5xdPNav
hD6tnt0uGnuNRLc+Da157nz/ruX1H0fJeazs0xjl/yyJKihDmynoFZ0JglTM3jQnJ75zPYNBj8Gw
sqVvTLkhQKmCtpUT97YbmnzQ7Xc+C7DrFPuj4TuHNi4A7Lo4F4MyeGWQvFS5wpsFLPiJO+2pLTAO
hZ+d/l6Nt7KYNp0fs6cjLLXPd3N8Ez3lk2kGaynHv0ZVnHqUqmVVEusJFV3PqI65TzpI6JDI0cDU
9IATaQZxlO70IrlX8s0weWMqigfTkgCV4SP5UJkkEpGhJqW2p3PVXLbhYeVeYw1QnhHtO86qEbaD
7NXBSsxTSugOmCYLNTt/8hAQX6fKj7EwHpZHJDbtvpbKXdJYIEhgV/q6vUldbcsAc0GNvbWhUkWu
2GgUwoz31r3R36PMmNd7OBgwdHHiakm9D6ORBYbDsClbNop9ZtLcahZ864AvP+v79chRqpAejLV1
qgHiNzL/apt+rzu02qm9nJLimMLNM1n+Zto/P7/HxOExnsWnjUnHyIj6nRD4EH1E88XAEDe/hdpT
a8A24ubMIhydRXRvyfKx85zA1mwfB/3WLb976vy2nhZdd3OobehWcJYjfGvia4F/C08qIJqHmw/v
+YQWqCf23L7R9X7kePpC3diYWJO1pGDaU8M9xt2j4EpyX2szUIEOqwufVYOULJqFH8seUKdvkQnm
NM+1Kq5x1N+cTL9qGdThyQRKAu5ROPch6b9s1W6LcetijywrbVm01IA2CRya/1HUzmJiN+sycBA9
Zk/GVNGoI0sY+Uk3OtOG5DfUXKKRZp+ACH8JI792I/7zVndf+6L7rOGWPQX1DEjXD7A4aZUUXKMp
M68IZ68yQhKvDTj6bEoUHb1aYTrgq1zcW+KzxCGd8ABT/LC5PsB8m/DglMVL7cR7nYQjQ/o/EOCf
WcTD/VVXD3NIa/HTzPpLacqX0iRyhVwjA1E1CpELF8PAJIuJlobyNUzPqZ1fdeZ60VhrTMr9jVXl
Bzsj8bOgPcyRRiMzsTXvszLRVgtx1xr96Jo42HrVEHIUbkw0MZNpnazM3agg2tQeUiLkOnZPpRUZ
dyD+kIxgkzGxOQ2CyWbmcDi0AbsPEVJDwLwx6uoWldZaF+5rXtLYNPGwrlpFjWihKiNvJbU/PRQB
eLv+QsoTIkguThs4mGhH3M8w19NIt6kVkLAojcB3H0C1mrOH2lDM6dvQRqiNaP/y5lWv1Yvldbee
JpSBJuhFAzDckCNjh5zGs9/UQJoaBnf0wucUIYiIA6aY9bPHj7rQ0ulp8AjFc1VOd5hs9KZZOdS0
daRdmFoQE9jBFsYKOPZveU3PjDG8o8EPjQ7IEmVfbHMoNlFAz9K/0Wv+0aHiE0JhVhYMx0qI+Sjk
mTwyo5fWo2RdkeC7TIb61+jYfRrkqJTTYkhQkqvh2WDXqcEv5uHQLKe7MRjWTuathGXjMZSrwHMJ
pwZWAWVWp11BJL2cIABorbF08P5IKK8WUhWHcVcbylvfJd0ydedoMLQqhfeem+ACKTucumb/VH1x
wzqLNHB3rV7SX+AUDwcvwr8+I6lpi2eQdq3ErUvQ7BbOCSceAbg+frIcMMa/uoWRlb1nTUHJZj5X
1nioC+dQ1NOpSJNL2sUbP4U7ZlTWLjTvASwgs0EI6zC4QIJusY1djJWBQEEazpbJyEsdmIt8njN6
xZGF919SgMGVYLfykHS4dGqPKDnR2KfRqQxAqGcEACSay54K4WvO2bmaausmOWcDP0dWWeAZxZKM
4S6NIFTlqKEjWR20qrl0eX0i7G5dUEoAjTLfiwS5RBG1bOi1eJFXLn5cB76Gscq7kj7VzG5Oz7S1
L85MxU74XTAK6I/KaAWaLI512dI75ZFDL5l+NaZTkHHhsq8V5d7Wurd8zL69qF9OmXNozPDKiJuZ
EngWUiaB+6o17vefzmNt35QEMtZ8hpi1+T8SIoIt83ejmPaqjf8ylRJoph1itOl24fAqhBerQ/rP
P2R5wUSqqf21LhkVpepgUxJFLrLEUmMBETB8r/ElckASM2JAdZvIC65jFk4CS5oKKGldSrEcV7Ze
+t9tmj2j799W5BgoEzmsEfyJuH8pDMC/uTZt9BgFszda98A1vjobfGaEnGukTAs6iUqRShrU+Fgx
jyFLSk6O9zS0TDozWDGZ3UZLV0y73uyJocZUZtcsGjz4xPh5fKxqZZOdDL84OkP6L5Yded/gY3NV
rGKjIdzPLtdZT8SYFu1Toom5bvI9dSquBqQfurvL6Gmc6iNBG1hP6lwJ+NYSEhbzLT0huT7xFpaM
7mUsNoT9UuBDe7ZI7C7r6s7qcGXA8CZgCVdSIF5SdomT1S41HXmQ7pwMQX2Zj1hKjHLHw0NEpq36
2RkVt/Wa8dKhn4yTHyKXoWCtsu5oCPOWhxz4aXYMYm+dZuJfrKHrKVEDuQ5B60atcIUXaw+aIZIb
vKI6uzVqlN5FRyTRqDLNMhCxJRcbYdnTyD40lSzamOYhQMR7P033QUIOrJWGEV+464nqekAopUfh
QUrWUTGbP6GXCIqHW1g1p8i76UayU6I7hKH1Q2bYKneiQyG4kEtxNBpW3yZhVhJ9HHBKVfiLwS0+
Ai+4l2pElWY/xx57+pGFOtG3aE4AFCAOt7L3VE73+VHlPfA3ka/5DLDHYu1hbRUzulRqwGir/lU+
oIVCy8+t1p0DTJaaxxURmUcbinPUTZso8OhgDEwvwb8uB7dtWKaJwW+gZkOLE+SnQbPvNXssrWVZ
YuAsHFzII2gonvIkYdbt0id1BnoECi3Qa8Zh1MXGbFEMjYTAWdwkQWNf2jHmmgKWMogrQb1PWWcv
2ZtvnYSkNurkp4y4zkxvAaZTxaAg71r9zfcQ6LNPJqbaw2uHWwnScOpUJ2Ez2Mgxu/k2/e1AnY7p
mjjFxl4GBWaUMUyfa4ERurFR5zUdRshsFsDWwX5y5WsaEWqHRXP2OCFS2dU4fCqhv5f6cG+dWbmS
+xvhTauu7z6lo/F7Bxspg1MCbxfdor6scHXB67lqLcv32rFumV9umwn+lq72TltfJp57bqNKSYFB
B1aAROPHtUFfhePNNl3qLiNjsZe8tgUjV8ejZOvPiVdzAmaXll7NAQxn+tmtVdFdOMF+bKfXdNJY
ROG/KeJbCjYht4BfsLpmC8NIGWydAHhP5Bx2TgAMWEd6tSOckAYXlgz6rO5qY/en61q7aqa651s3
sldmnxxtgqMND2ieaL1Plx5E45APWtuDAIdKc+h/aveNM+Nd99ub7jIgJiDE1m/W5CzCnC68164t
UKSR0tR2qouLg8nJjHdn9F4CRm4pweAlXQoKgJ1RXcDMYp+oVqb1GoNP4eqBU8W6CG2gMWqnaUBM
0fHGFKl8DVkeOVhTHKv8Q6L1FsgI3+ar3RsXXDp/JidxHt7YVp/KyN7ZA1z/8MNO+D6Rg+Q2N28J
Odjqn/UU/UuY1QfdHI4EGeIufbX0hA1niL4sdtrnSM4xL6jEVUieAOllnmDYbiECzcfv0mcDhLfV
hNaiYQpkA/wyjLxU0lkM+UOza1x3Cb00uLjS2HWGv1Pabw4fsGny7egARTfammIVCsRU89NtYLV1
7muZvw8xj0iNj7BDHc2UVAfEkiekKGMuHSwGW3lAzgjBTSO3eDvhqPNS6ETwQuIMEAao6HnXMH2E
EXIP3/mzdc7KDIBVDCqQUEHA6K6FG0x8VXTDPR73uB+Jnm6f8xjUeOMdMTye/N75NLkWit54d8vs
qYLj0LvR66hbJLb/9FX+KhWA676BlYkcmF2RnnUbDZ+TDJ/1qcOBhJXM9FBAxEnOzDTZ57rGiMqb
6WKrgmAsNyEQxCEcZoiOkQAZoVViqzktqEVWGSFhoYMPCWqiUoVLfY4q1Gi2G156VZ9shYRUb20S
klviOdnBs4NB1bIxwvoQ4q6V1s/0H2VnsmS3cmXZX5FpnLACHHC4e1plDeL2N/qGEcGYwKIh0fc9
vr4WngYpMmVMkwYyk/REEBeAu59z9l57Hbb4/i2+Dc5nH/Xkf6W6u13KtU2NwiCLpKEiwutU008Z
x88ZcfOiiDmPLe++0g3T9HkbQIZwGZPAmG6Zvbp4g7o6/mqrAqkkj9z08w2pG/sJuRrd/tOM9LqL
SU7gFbE7/QIq/tVqyMXCF1Yi78yl2ZgBpGrRsl/ks3+1DGhtu4I5fVccUE/Z22ZmdJIwiS4QcV80
blng3wAzneYx62EB8gZ2u2V9ZOGM9NAERzX3RzvuLo3NwiwsEqTzZbq1pgzcUctJLf+0tG9fFRUT
M3/EDFwW6EXTkPzAwbRkDlZYN+x2ee1s96HJ2lPV46AVHHCb9iemjYeoYsxKz52gJ4OWJ2sGYhhK
g5xlOGAJxTOViR/ejGFtVtZbgyKeI6CfX6wvh6bOQfGAbGECJlIMNDcdl/4By+TDUrTEBqorRCX4
D6L4tlmRYk7NBMweb7yhenB7Wu20BUA7dJfjBDlkzMWZ3YY6ZUZEPfrMGUaR3gAdUwAkQLcv+fJh
ldWtKPRDldCYr2v+zqj/7pO8uhJhcfQqAq5Ve+/J6GyRpy679LkFyTBiJcqJWkMaYL5LumENR/Z2
tAB+xdTJ2oMMnPk+VjOc92T7rVENDsw3t+N3T2roALNdnZYMEbqlSmT57nVs548mrN8NKvlR2Zgi
XDx1YLh8AF7Eafku+cFZTJHhZF9giLdL+lO3PFJLnwGUPUxj8U734I4giGOSsTkPySdMJHffKw+5
GWA/Zki0ttlPDIOKOJOnhM37YjTvHpBmCamgwaSlZPXle85rny5nOpH3cqoOYRc9VXrZGzGRqmrR
7woHjT0tPKeZzYnIwqkOooowkU2QdE+ybh9dmd/WJRBKTquoUgguRjmWLMSxYwqY0HsYts9UeG/J
EG7rTD4mDcrnmZPCDBYqSUeUdShTJ4fsPE32oYNFVIv6ScTmWyagU+vKPHm2+42Ihx8jrY6p1ZBT
oUWo6ATE48qfBzhmuj830j5NfPxhll+FVXPNaGqnbXyuyroZA73RDu5zuzsGMdy7hPWbgzWWVMpo
33vNPGAn3Uw4Got8FeQ0oCVGbjR3jh9DxEuwTbsQEIOKTHYrOKZldCns9HYWzktaEA/XOnviDyBS
rThEMK6uogvsIzOohubG9BhVwQfGTrId1a0DD3Gi/yPFGsRgN/e9KQ9s+fto8k+Nex6ldACNZN61
70BsK6I74qPnzUBWVVf0ezFlZGrR1USZ6sxo0CQK3HFqyJSYk/3sSgJo2t2U1Vduytib2ySlNbrr
M1iWgWvvMH+mRHjBuBTTWjkUjBIqq18rsAwIVn+7jGBgVoVA0fQvfi3f57F7cVH4zE5y1bRgi40f
IT6yOTmRjyypALdiht6XWst5aJwHmSynwiF5Z3ZQ27RpQ0ym/Bx6fdM1/dPkgGBtC/u7aN1XnVMH
1iskfERZ6pd4vkybsqRWKL6nuDy2xbJvSga2Is6PAWbCKQ+9/dj4yzaPom+dFjjeWOYFnIZg+pbM
2Te3JU+EWT2LkLZW2gyrVFv2Jxm5b2NCTQby9zbmVL53RrNfWIh8y+MUANGJvkS5K/EXXLRO+lGG
/udfXX6xvMYuubHhYv0Mjf9U2abdlRbWUmIwTzqbLonpu07j5V3bASKXRX/TOV71ronO5KseJsik
7HyYoCYoZ2WkXno9v1VLeE+P75CRGlmP/TGiVkNY2T9COgrAmAbbvigmWPQwj2xMy6VbPXh+/s3K
B3b0eXpzOpUd17T5oRltVFfjKWxYTEe91tYJ0o5uoqcFuZjJC63cPM0xKdoVmrmVXlcsm0oEu84b
n8o8wTyewIoYOuZOXoGhMMrdB87Ea85c9Zj7krktcqbWvYxH/TLMWByDNB3XaDXWts55bNqOBxjB
EqvC4tpP9Y2XjXLDgYKojmlkWDHjkwGtadtMaNVAFZGsJtjadR4iUzRXowYyzpU/R5fZbq39Z39g
PumMnF87Kv0Ly5TPOQwKM0IUaCd+BNuymr1DOqtJMwKRx+7LyrFjjzhgAPQAstF9/YFK5Cm2Z29r
1RMUR/FgDeNbkVRowBzqbS+MjuGY0kwqLpsI2UWMyn0hozC/7YP60/M4wqQC57cpx+vWkd95UT84
5bYMfmrQSPzVKCl4rJOecSBIIINVTPcPEsJT7PXqRiKFxz+VWWz/GTg0lQSoymKgTiJTEJx7e7DH
29yJOLtPQcTskDZ6nINLKYpDQbc3jtOfA6g5izyvnO+0UOQGAcq0KwZMCuKzJo/7OiyfSX7cSW3O
7fDR0L0IaNxip40D3pbkDYg906aEIeUbiJn7kGxuU1C/Liy9FtV737cMcQpekzDcFxUW5qy8tvv5
XZGAlqoKwHzPnO7WOPbN1I57uy9vrQT3CvqjkAfGn/No2u7OruUFpPyqnTft4NzP83DpqxHK9Dvk
rK29SjcYYi9CvXthfkV88KHCFD+QLTAivN1K0ibObeTkhxotHamj3UfT1j84FOPwc8lkGfCT7foY
VmUbtcV5qn3GowCZtOnrywk3593gIDDxWvBk9JQQQAAXbyp/PqsuSx5qv64wEJdosjLyS8O7dAGP
C86/q+jWEkrgEx7br/COiQWmw7XiU3BGtnmwiwAPcCl+5gszrxS2RwMZBcgVnqP5wUVyhlKL0So/
6dVENaNvqlVy/8bqY+eHHOBM8+qP276+6ZYbp1vlJxQR8pgQfp6iUtqA1RuSg8qsHSTTTTI8gvSP
mKQLpin1t0WdZPvq6lNdEruQlzvdFNugfC/B1SfWXgDQnkiCUuER2OTWSfNd0MIHMFuEwyNWYBJ+
enWnx/selUL7hiuTWQlTn4tqfMaUSgMy7vbw0ar+GqSVW4J4Py6M49bojJX9zzuE4PUo8AgwOo2K
R3dmgIpKdU1JuMmHA0U7nt8UVUgRvoTQsAMfPfbD1O50DwcNds8CaAGeT5nhmUXGGd9wYMyo9115
PVfvMd6qKDCUmz8t4JMECtAO+hHiJRqGfJOgr/Pd+JbWJp8sVT+rqWLOZ3h93TDZJA1jcottouPb
tbqbDNmfj+Mw5poxNgGQKKjZaPqC3XwfmG2RTthduQ204vJUG34P6NNvkXvurBcm9USCWcGle49x
dMv0mv472auM7jdCHXKIp14EFRhTYHgqQZrDwIlfZt8/Tg1CtAvxxuNxagKQ9a5EcEkJhxb+cqIz
7rGJMuKj0irj23X4X9fPFckBEZNppowlkb0l50PCMgC9M2s7ZcUu9lAncV6h8MbdwqYzrI3nTYHK
186fYTo7fAtElunmexSdeY377kDnhOQzOZynYY/m56JhghZdWJyViurH+tu2l1VxJZ0VplVW34vk
5HZ3LZSQHvtGTIdrU0+MR6qNKq6H7C5ypg0aLOdHQ0MX9IFwbwm5sPuPaUHzcdOO96m798RBhjYJ
ZQeKjAvnS1HE+zSFHXUsm/2AjidZpzxIlNMbVTzgczMABSlpI7ivBYEXLX/0S4qeoYvP65we8yry
2UI+193DXP+oUswk04+K1ANNYWHo9xAt1vAI0+rUJTdUZg22hMAgPAClD/qyKC48+i/UO8hO8stk
Hh8cOIxlbJ19igIcMmyDmBMuNX+j5bHOLguDlJSSAXhQzX3AJ1D4hf0XzPSL99BoGAfPLTZIa1eZ
k9Wfmu6zz26X9mFxL7F/IA/lqwg5vT0AeyJOIafnZtVbZ2YNDmCPLjATsydBAAWoDwaIdI8w/ijg
Fu+YG9romRPx2gdfjqO3i8PtVCL4Pi7dYQo5yQyosy/Gyr7ApEKVit79sAqzmHpkPnsDb18R01dG
vii2oqWX/wADwoVePrwHyaOvLnNH4Ff0jsWKzPAKXDD9TjO5bG+G5LuVZYdlhfI7/QVBHWhlRPuX
rXWN5aX6zq3rCg5Uba6b9fWjn+JvnfKna9/H5YM9fccjmeNYRYkAjO3Aok7IRxq9p/Wxdr/RF5Qs
JJPHuwQiIL3jP219hf+lROhIAYe1I722YwixzVUekL++tRkrVVTK/qD3pkWNsnNQmFrvcggec3Ho
JX8AFr/ZA3DNqQPXHYOni3i+mRlKUYbt2ggR3QAuvXrEb7utbRwYHkOkmKwpRYbjQU7fIZHsAQZs
NO63UHKA8akl7xp5X8a70BwSIAyLuHen00DXY1mT2tpvASrZbmnYP4++tQ49vrPxRul7pPf1BF+w
em695xKBl/WUpytNAo/DJtfVRR36lMEf0NDiYZ8A/vS7S589ZiWaESuL3sE9Qvggv0ZYOwEfTACJ
oHacYzAr8Pn1sStvYvES008QsGXS7IaxGAqTs7XAMrVvezbkqSfpytsO3Se4UK+7nKJrBthpiUpp
148I4GOGM5uONzS/j9Bdsz0K89VMV9H81brvIFNrtLklnZZ0usrKh3EUKGuPyeqEnc71DGwvupn6
5j6srqpx2ZDodkgTYPqwGIPrLn4Joy+Dp2FKvod8VixbA7AJu7rqxQHYwBB9Q8/j3SbyjpQbw50D
ATLl3sFfGPL7NO6L6/y0OcksW+O+UsJ6ULPFpT3dQpZEc5BP+znDI3M3oggcWY74xIi2nNMXEdIu
JPltulMFZ1p+kfRUU1aRKpK1EGxemnXDoPNLb/Qi5f0ugz1nvJMkaig6Vkh05pt6/ObQjpcfFgat
qCe39BEC/oXbrPCCDGBDZe7D9q6Y95ITewC4Dn6w+9oS38SAvBEoPRGRyzMul7y5alAAWgAAgZH2
3THDmpwvhmX9HDmXnfxsrDdlnQbiMBLy7aTH5GXnvLU4Y2zUje3Jib8cMDJ9fm+1z8pyqXgB10g2
D9wuzF4LvgqP4MyoO7Xkw1qWeUlnwjaAZSbLUflgo2nScnSOwq3jPSclHIJzo9vd6D5nlkBcdir8
1669q8gqsV8LJDYB5XlD+BqatIEonXnlQVxNiCBxyxeCBJcHGadbF7qlH5wtPl5YQRRqW5cNJutv
AoEmimYXS0u+F6Y5tAUge964+GGVVvB6itDFmHBcWVI9HEfagNjTqxFJM14HQMf5uaYmF9F34tXK
7KwAcibJQ2K+VQ4qLvubGNaWFd3byBC5cm+DeGCMDr/gyByJhfdN2hkwLRcV/3UTP035qzLPfcNY
6OgylNMsZHJk3x3fJJ30HPQ+1g6qnYpD5bWfVQiQ+i2hcPtONxvEiKwMUC3nq34emMZUhy5lGrq3
TXhq3Xk/07mlKqXUfy15D5vpCLL9sLT5YSxuPA/zsHujC3lsLSDg7rHzEO4Am0+OnnpdefsJ9Dr0
Y416ddJ4h3xx06KGxY27EKaoS2aW/aejbyQWGOTpNJxQzWPxZf/DIdUAPQCD1utHK3zvBI4tjJgm
hsAx4QBuABTivF7FUP74rOA4jZE6irJ+KJ3oLSAxR9eCl2c1mqFtQkfgIBnXmhAkZsFBWeKPFxdt
b66ZchJvMZ2t2nrsBhrlBjdHtvo1Yj8+wb04RCTPOTHKYiApEHm/o9il9Mvhg9oFeNsykKzdciuZ
bdjEwEdsPdmY7Rp/NaURfTX5dnVdNqWAThmgZzHpE/oQQLzAoHJbbGJljt0qLyqi6BHNMnNTtB5u
jAPWqMMMpwHfeXtpS6B008o9sBgYb+rAPchAHTIdEGgWJD/Qdz1UJS+Q7rLw1Mv6aa6Ruhm6wne9
bIOTiOACz6Eh0L6a8q0V99VL0tUYtmbo7IhbZ85apo8/JoPdBCEVgJbZXI1GnSa3WvmHCwZryRfg
enzRFfkRrVwiaPC9PIWFdadUmB6DvK/PvUK0NrcFQlJpX5e1/6IdZwJZxCs35hUtttB3WMXhl0Mc
aG80f92LdPRfiEpmyKhGb+9PMnhG5sBgwe1AqE7MZCEg0r9R5yWH6o9OkvPcMt0YC8NOXrlq/TXv
xtLrL20rrDfKI35KjdjofeHc0OSlnlquM7wOxm04bYzzZcxBL8sFZhl96xoaiRFHq41o8FMzWDxW
WIm7xH53XVyUPfsHwgEq1GpjN8Lf5jWDmpLpR+7xyYq4H2nkQxfpgf75hKeAGUjL+VxoMJ2z/NQW
OnVgmWyzHV7xtnYPk5DusQmb4xSv0UTJWUoFiMhMWCs87qfOh5vJTV9imid4ffVpodiZEejPTs0M
D2fYvFIP2WpbJuSlBjzZ9GuWQcqQqoLSaPs+ORbkEmCQ0phWZqDxQZT8RI1LKjAprr18ECRxWgkk
5rgDYVaQsjYjKJc9zZPye+zphwHtX4QFYdsOw6Gr1I9iST/DmvkIfzcmOhP0k9Z6nyLsfR5DgqKz
37tutYdbXyIJf0Su9a2U4FAMR3vXus7I/erRCrSiAXhXXidefOoinriV3+Q6Aq0RkUbJGre4p46D
febpZ8Q7SB9Ncc18SzBhx9HT5Scch/tBUZbr8JiAB44T/NQks3l+i6mzPbuqPbi2/ZyPaCWR/yA+
i7dJA9ixw0Cx+HhL/OKG4hginJ/c5w0J5mn3FLfUS62BsQJx0GopYMRbFlgdaBQHN3oXKJfEYEdB
KxCHQc+j/QMmzYRBQ7aFHD9sN/b89zBFlvrlDH3dM1sD/e/aJGNlNsGPI4YGSJ6ulaWMIopyKDh0
lX5ZpGIfNl7JTtJZ9QJmie2Z0WzkVhkDrtaAUqKZQdAKeYmK4yNevzCqLHEblVoCBe7yAHThxi0K
45Ev2ULWYD9VTYUWlrz5hnYWW1qZ0fxa8lWE3Qge2wXAu4bIY+yyjcdIc2E2/THHFDo/bZSXhDio
pRUESHnWEAyvAf/ftTVgnLBXD/WgclhdeZIxs0L7G/QcGqx8rvT3KPARMtAEU1F9S607wBEtdZuy
NiggVOuQp+dRedvUszoKfuCiFA0dMwl6Isvi0A6iqyTYV8qBAeXlmOZDkW1rlcuRo0fIQf+6dYn+
BtWmBrfatH5ISsUYGe8s0zHJ2YVGZhTbVrs5LDocdBGZxYhrC0rSFDlj9tYaWszzprCjkvZYinwp
+Agk84h8h5nOo5cfkzXMzpT3cdarbZhNQUsYkQyQ5wL7CAkLKKNgkTVCwWF0j2AnS+oBFVTka2yU
ZiqY8+Ih74Sp0BlAsNU8lT+XWjjizUVvBXJH83ZT3jcCWS6wuTqSJUmqsh2D5x78iX4KCx1WMCED
n/7a4k9JTtkVWJLDlZeVfv8Tan9JDEfbiwGedt7pFEhLUVTOY1c2DW1hO62z8VvaIVhCLcfgDZkd
Mv0vk4IVJd+zjTrxI3REPYEvHpK+f3HoPomDw3u1WKuysQbjpYe0EMkOMOhMTmPjpT2FvDfltv5Y
El/0CWcOp4RCm1tBYTvnLLB1/jMrRlt7W3tQnBI8XU8iZXQjGjq5Ni+5vwr9rYoQN89xCn2d9mOn
n9Dihwotabf42hyiOc2MS+Okk3C+padLA8DXuPN0O7LLoXsuOrazMXaDaZ/VkSCYfpw7T5L+kKuA
NvAY+sy3LiI56eC1G5IYy53umjn+ipVOMKO27K39p4+mEqsZq0d3mgdrXt2srWkcRmptyOlwpyIM
HdFI3D3jSYVjki6hGIa0RbDBvDQWx67AUD6elbBKcrTmKFHMk3vLj0Ew5vBYUgE/3jUuyTB2Kxxr
35uqnJ4lhg7MtImXpH63Q1Ja0m1Nh9ZnRut0AfMnMU9L2qAEL7JggDwUdgPC6Zb5DNJEv3KiHX+3
Rh9FvdRMWjrfci+lA0nwOCVhwFPWdYi2CiZPXzTUo3h+Sk6MXdcMQPUaZPiMhJQw83Ou27C1Lou2
T4pp11pjqNtr25VZ7m/7KGxanDqZuxJBgznzqvdB9+ESw3pqa++74C+NytWx7dymOQxdMPW2fGwh
PRB0Bd2gdyJuYvHYiiDIgLI6qVdl96at7FbuLJwB/U+Hxn6fPxY+w8bih9daIVLbJK3MAk/fjgva
CV0U6+zdC7zUuQ7TyKtp8ZayQBo21higwd84pYfLf7ZUbtYw39bvn4N0TMV8SJtRmAmlSB0hPObE
MNAuq/D7eSzKVuXfBqbxxNnO64IQRcEzfJrcoaSaxXbGTStUt4wRwzbkLcjjJKxfEQh5/MM12sDh
OkD4gvSsS/dQXtRTaEvSkSaPEeh9ZEdkWMyLKhjGDQJAMssnoiUzm/V0GfW0/hCO5ZdFrxG8o7DT
ww/hZZKYT0XQ7PQyt1NFSK/pZkF91C914/zkgw6Xa+6NVyFZwjS+B/BYeleudNaGAeAR9u7ETpb0
EGWx417JqWFHr1nBsRgmPqVQ3VFe7Wgt6uTa8vTaBGwaY10NDGSXE3TjDpAh/+f5ceni7IFHHCeX
sWnk8KEcMS0nu4wz4FyRg1cJyLkf3M/0FBRSiM4pju7S5wamSFeY/uCFmQ0wLbOobdWSx8AWqy7y
abVOia4f8JFZAA51WdgxfbClqYcjmkjTgaVN8AzhkmfG8dx2RYul1ELyaHb0Sr1o63XNom32EJxx
b2apaJzyCru0F4SL0JtmxLwkP5XM8xHzUxzGzSOS4Jwm4hxYBEeFItX169h6MQdpnpFFG6QJlxGr
ZBYECFjCIhxjRkZIFI75RLQ57vFy4d2hhblK61RXcpYhyU1mCVcIljIbzilgmsAhznWgOQbXOWwD
xvOZ7U/XytDGPvNRVD5ji6HBwMvpGkkfB6tZzp9WPRAAHxrruUG0hz4vSfpFXVpekXoMHtIiS6Am
mSlEzjxNM4x7cAyg23ZhHNQMRyvwP7zS885jeAfIMoTup7OFgrE0cxVHCEZ0aOCM1CRSlJPygpZQ
dc+C15o3cR+jDymHDBJRxlj0MDma0XcuWcX2LiFc6qBxclgfE/sADbiRqfmhKwgIvLKiEhe+m7NP
bHUYI97URQXDUsGvCK4s4zEyt23dR58Gg3jP5CUagkNthWK+RI81tN9IEUnxdTVpAVQPF+OERMoV
AYuHxc58N6e5B3XJIQOUvlWZFrjQKpGScx11Xy4v9LVo69L5ioq24ZDVSJHTt3Flb/fwmnSZ72vP
xgdmJQhMmMhRgV0vBuLAXTu02rmsRmtkveCdrU+FW9feZR0uQUWDI3S6+UcQNMwnY3eZ6cYUXcjA
WVt8UU3QtQgM085rSAjpOMZa3lIk36ImL7pvfKplshlbdm4QGU4/3rBiz8kZDUWA5HKS03LVdXzj
zqSqcNt2CscrDpX+qWg8oD6pTidBFo+GRTZpPyZ7kOEPkbh9VPLuWXBdZXUep5Hc15xRVHTFXLTv
8AqWgMsRLKLL8VMZj2dXcki8mKSnomu7qJnQjHQrh10zMNDfe4FtfyWpy8ylIavZu3OCIDX3Di1W
1rulBl2nqqwjrZ1IrGjX2Xmj3pdYpBg+CjUO9/RfM3PIPaUQsSrVsTY1qUbQVlpmzE7A23pvJ/lY
vE0qK5bFcXJLyWtYwkysRSNA3s9pypnNdOIz8pvhazBlxx4bucQBOPNgwLkUo3PDzSS3nvCimiQo
Fvmt1Y2MTGaFzI70tcZKkGaMKX30FOwQrcLFojPndeCHZzT7JAVFhuBegWDrQo0L7tjMVugAZ7qj
84XxS4lyo3Nr3GVlNeq1N+onN57KJ7mp4EGT4tn53Ufaeh5TPthQayyHzjP6QE5iDrrukaNZjMWd
BxGLCYmCnxrvYYkXBqyOg2rqNoW/ciuqIPmOVQSuitslIVD6Op8RcwgSZCSy8bfab+Z7FWj8Vk6b
hmcVKBrdIQsKajVk+bR43bokUClUBK7XJSTuAFvtR9mKNNtMoiz493mYv1DFK2bMqO7TfYIn77st
AvlunAnPPjNlonbTeoxxlYQsVBAJRP8Bj0zD0MgjtKQzPaTXmYnqA2DE+jPOKvJ1ZFVE2OmauERh
hr0Qtr6X9CB1EHuS1ev5ESGb6GTjo+t4IDktowSYSSAKjw1ITlLrOgx1AJGAza3Hdd4CS7peRmNS
w2K0mtGatzOrDH9wO+ZQcty0y49Fa0p6jKzj827qHZJJOnzsxXYMFVHCYWMLNiRLY17k4kW4Kzhg
motYGAljHh+FvcPaCV51jmJGMu2YkEXvA4PA5KjsYqCF13RPk4VaapfnCiQ1Bh9p7VnNfX2VDMYe
N4kMC3OKQtl9weofChK/sZnhOJwlVRHvlcVO7SFFtSIECzCqinOVawUfGq4uyLgx9aMHDi8eGJts
cEEDl4K05dCTMFoQOylSKtMIBCGmRM420qY9up+HzK6/gVYqun1HBZa+8kIW7S32oiLeGs9a5SvR
lDdHbY1W8+6XI/Gpem7H6K3pezyzDgzx+CsLYf3ty95BsgPqbBYFURmQutI7AzONd35BsutpjisD
JhYn9Wt9BLc6Z88G/VXKvlX5w1XH1Go8TYFdJp9snxkvyTJDqEH1NkTMSjkRWMHVEPuICC5GaryB
Y2EDNY2GDpK/gQbZSuV25uVu4sSOjihe5gkKbsspfvClqO51o5RLwoCZkLabukeXniKcmzYl3CPG
Mk0e2RyuFTRpXvSoPQaweuKvymkLDgh1bJEbEFUEfRkvRjqf5hrVf1csVKTJYGUP41BZaMrm0kGz
JvQkbwmXUNMB8ln+kA6+UA+e2yGOBXcdvnMgXJrdwFTDO2aD54ffQkihZNp0tl0x14nqgnVhmoIk
ACrmlWN8GBDWQYXsG/+lNRRKt3CWlgLyclTmN6haaYrGGCRPTTY5FZ+5omEuewlPd6jzNL2sx0Z1
hxhByni0pyKNEPyGOZa0cF24lr4swJktVDoWw5a0NJusccdgV7HJRS8KTaDBwuflzGZTy1T9N3Qo
Lef2EG8HI5ipmTvUpJ5y9nTiPFC5nstw8z+COMZsWaHdxLm1ZQVlsvtZq0evXemR/YZCkbOY5jbw
YqVYq5r1jC8RZkQZOoWuo5Pf1FS2jMTtcoIGTdNmSZ9rvuMe/VYWoZdD7WC8afP3v/2f//d/P6f/
DH+Ud2U2h2Xxt6LP77DpdO1//V3+/W/VP/7b09d//d3nw3B9F7qw76OOEq62+d8/3x/iIuQfdv6D
Ux4KN3eG7hAr96a3LIKTZ0IWk3Dq9v/mpaTQyuXDlw7vAWqZXy/VhFOVEP/pbgJ7jq2neFI4NxuO
NtXHCIh//vHny5lf70wLIX3fKE7gUivgv7/f2dQOqHttJhmNDw7eOeTWc3pZ0GhpKCRvws7MF6ie
rbd//7LKto2g5eOg+vR+vUvOm0XSSVSErfOEOKi+bGK8si3/QpJUoCfRzClFxIjVeKLa/fnizm+P
86+b5jfWnucKH0Pab1cPcoIF45Im8Zg3Ca1iX1bX2C2YX3lpeTVK13r3aWq+cuycrlHs2A/e3Fa3
vc/cNuWMslHB5FFD5Oaag27x8Oe/nv/LI9Gub7uOK3kU2jOuL+z1kf3Ty4anYIoiH2953sjkPXRj
F6FnYS9EGIgouk6CbCz/l19kveH/fr//cUmPcCUXzZOjffXbD4Iam6aHj8S6t9NG7uq5qj5bVqvp
4s+39i+uIxSLjc0z59H//nIjhmwk7TvspU7SAdO2nSfD8fz456v8+nj/uhvXxQVmOy61onH1rz8g
y7YdlC7x0kqT8/nhzF5f/chGR2ePIkI2/uPfuRyLgwTHZWzl2lJILip+vZylpHDBJ6NsHkkFD8GQ
oxJr+k1cjNG/9Wr8dSnOuK5ttM+r4Yrf7qwFfuKMVbRi55NpX834IFvZcfqfUggcqs+u/nxrv60O
662x9q0GRiUdJdVvr6Jp2gQPJdPjuI/aSzePkNlFYYX6rsS30kOtNxG6+AFT/z0mcHH358v/+iX8
43aZuSrj87W6xnN+/WUTWdPsq4QDnigCHhZZY3w7UMtfMSTKrpCtzp9/vuCvb85fF9Q2jxJcHFdT
tvr1gmEJvovKG7DxUNX7kpPI2U1NvBM6Wf7dLUVq6UvHM0rx5Um53vs/feWqijP61UnJ8aSN7vOS
cBsqBf/YRJ718ue7+h8/o2+D+2JqyIKihDC/vaBDNcYmxT60RfGFIF1F4I63He2qGgBdNsdHNU7I
S/980f/xU64XNazuWrhSGv3bs+uHgIEhGGDG1LXjX5o5BcOXhBqoGcr30L/88+X+1T26LCzCKBZO
4f725KrOH3AfE2eRobkgoslONBa9Ms9Xwyxtk1aSNVOiEfrzZf/VXXIyEA43aoQyv11WqJnuUjFw
yGwG4Cd9irA96QvJuDKLgu2fL7b+Yf+9SvN28pPiTGDtZKe2Wap/fWUif1yseiTJ0EtHcaATABFZ
Y1NVQUcklKxoG8hBjf/LVdc15feroq/nJqWttfDXn+CfXlSrHxV5EPyyKXO5W0HHGxkPwzbAHfZl
PgjzE3JCeGWpPvn48/3+qyv/84/72ydiSRnOQjDdjKhmCXw2GEDnjk77EozpfY7N8dTXKUeVsYuk
+l++z3/1Y2tXS1s4tqP5eH697XKOxpL2dbzNxwEw+qqcj/KELu8w+9dTJD/FAkb1zzf8+8HkryfM
ScxVnu0ZT8vfvlRaSNWYuC699UKcXVyp22Virlhhsdpg5UcEQev6shOWujOWGq88Os/0OiXzYUvj
mKd+ue9XvXSnCcX981/uX31hmnVKO2xmnIV/+0GgLsMiaWIw400D/Mr9/5ydR3PkSJqm/8pY3dEL
h0OazcwhFCOok5lMdYGlYEJrjV+/j7N6xhhgWMTWTl+mO7PKAy4/8QqZTncTpKJbo2vRW4x6JJTO
j3hi/SFKcQtbdJZdV19EJXBsrRLz1ArZM4Do1BE8Bwp4SIu6+9VWDjpafe6HwRqDFbP8DtYYStf5
X3Acr7yeOIMogowREhDi8IvoOA9GlEbaNkNRrEHfqzKze7DNtPb+8TCmetBt0+Gx1Y3Fh5ZGWKNT
SW0piFv9lkqSs++5US8cZLVAi4NsC64N0/NU8LB8cXx4d9CJO1RWowyvKFH7QBdCAx6FP/8+/0Hv
Dw80FeGAwzINSjByMW+9KMYRXSZeGXQ1WKdhpAsBdnLGXGAtqhxbp3XUDDC8N1pPIeLC2X2/VRne
YuVMgXMwWh7HZzeSekdEFiAzzMXRH2Qh8/G7rp5G4FWTJg3420Zy6aI8NSpfDcidZ8ghbjoedRBB
kAx0OlAIk0Z1h11mEX5DrX4O7tMuyuKrui8c4/78TC8GdQ0kxwzSGJ1Yjf/Yi5meDeBDOfC2lR3U
05U0R2MT+ajSa37XPSDs5124ok6Px06VrjTU4h5/JJbvhqCKBHME3gpAI5t+NKs99+j0F/S7IhjR
579wsW3//kI0d1UAqvqY6he9eX8ianUehgt4qScZmWmAGNXk9OUhmJzywgkRarbeHJF3Yy2ec60z
3KxtGQv2vnghYS5AzFN/KHtL31owG6+aYEw2I3Q71T8z8kMCPePCFAs1h+9+BVkgdTv2EWny8Re7
RWP2icRt2egSyHR++6eQKUTfEqUkKlG/apjQf3wdS4U8EPo+btBoTV2zu3CK1H598zN4jKRN3RRq
qusw+8vHaA4scBywTTdZD3hgTT10OAgYAsk/vv0oqDCXngl4DEiS2gBvFhj7WhLTpseJrJ2zz+DI
uh3VsuJCKrPYRuprXEmO5qqolJthcSekZalV8LZ4z1GWQu9c8wHZ+0gO0R+7MHGLoV53kXC4ag1E
3Hk+jOMPSqnwaJXaRX5t1YcgsdpbKjAAijBh/nD+cCwu2r83LGGZSYRCpLJ8oGyqUHmegZ4whG9+
15PA39d9B9rbcKdvRjwaHxIP5u6FFROLrfH3sC49dwQ8Sc+WF+wAPcgQIXh6FwsWO/R3IyKqK9Kc
kSSmuXFGWDNCbNAPwT++83Czh88wuiNWKmF/I9zm6fw0nJpx5lpI0+bqZd6PZ7yHCQXTLccuNgPi
VfRxeeNBov6i8z9fqFydugBBjvDdFu8bWnKLoabKoruG3pOpNe63tBkRoWpNR9KeRfAeUIsmPX93
/vNOrTIvKSGhZGhjGQjFIpyCYABBHFcJLexWpJiBN/oIOK9IiroFzW9WNJmyBqTPPx+at5QpdYRH
Rre4i0yZMg09+Dq/s6h6TtAgqI01s4X6Vekh2kPRFJU53fHtC6fo1Ec7OgUwl2KYQ6h9PNFhktsl
sTDIvlp0v2KChU+0xuQV5ipQe8zitwfc68s//lrqbgY4KsMgfHm9md9cRZmtp4XmgGsbsfWOb2o9
9bOrOkBJfo09R45lCpbXw5xjcfn/MTDVKtPwbCpIy9jBrKjFmwYDE6oY17Mcvxp18WQDO956Lgrv
HO+r8yOeeusYzLSliq9Vkn48v7mRavZEAQJuaeHhIuMHeLigs4TO4FTl4nGGa/knpEstAEUnsbkm
0OuyKzCc1PjP/5YTZ0qifMpxoh6i28szZZkjAhVWyPEVKF6sEkTnmnVKZNfSmzXFS57VvLfnxzxx
hVEkNMjZeduI8BdXhtZkGsS4jBZS1sFoSxKvK65CRyJbdn6gRRbDXWnqlkV8TwhjM0eLE1RHPQdr
inPM+grjFoL2Y+DTkDbJbBGPiP3vXlpaaNHi/XF+4PdfyMDEvyDaqE+6rjxeYANtIL2Z6MunnR5/
DIHxbjXEGX+eH+XEPuJOIuazWTheveXdm6BtHgWN0otFG/kqBRf6wXArTA9ixEv6tCmvnKjX9mVL
CQZAW46n2sVi2olPFQTCnvpgHSekxWKiUt6lZchvSLEsQ0HfEiEPfeK38sKuec1y3wRFajV51UlH
baCK0lxuVRcYSVB7QA+EPTSbmlbQrtR8xKxziuV9iKU7oCmlgp5sqhJMNIwGY+2MnjykBHW70Cnj
nU//DMCp+dmln/hImw280oAYqyes+LpDbSDIC2eLQkeGHMqYbuwOJybNcR7AFt3AYnmuWvOjVoK9
wwoMzQ4cLTUn+DPlFXgsB+pznmggoZJeGRl9ziIbC1gNMF6SC+CEiP/NUdBfl+rswzmgIzwmP+Ou
/BgXw0/h4DQGYgl5IcxaJXKS6Sif+zGEnm6j2dk+RjJ7aVJvl+QJPNnKWBvW3KyiWP/QhfVj0lhf
6ODGm1peeuTf3xLEbTQPDGmTwFLrO97PczuksnBQQB0S1Lg3utfNkHixo0OsLY1oL7ulNbsXTu/7
yIL15oqUdEV4ee1F2DiRZPpeCB5K+DlqxNUYVVvMQka8M5Mg/Hj+LL3/QpPoRef6Vz1G4tTjL8za
EduKlMe21CP/qmtDcVdLPb7Cvj2/wQGqP5wf79THOZ7JBei+lk0XN8RkIhCU9OgT6GLKt06pWyua
1sCOQLldeG5OD0VBzXF5y01r8WmldEGYuR6Bat/ipTJhGIl06Pgh7OAfnf8qceLGJWgwqOJT7yBe
WtwG4N7pYkvOKJyO9iaMcWaQmIDuUmXB5UXJeIV6AVpJ8/TVCeHOeLXXXlkqRNUtGEOzXZubUeJ4
iSmKfT2Y058oDJBC90r7QnR14t4yaAPwBmHaQVltsQDzoIPdsxLOYd30B7PIOghRdnxhW712oJaX
FvUz11KlAtdw1L57E9a0gd1A5iV+BLw/4dZbEBDc8ZdRBJ87wCKrWqvKHo8Up6mvknKGodfbdIYh
mUd41JcxfRj8IW39wttxar+T9lnqBebtWOZk3kyJpAJ/s2psd1wDdvO3Hiq4eJRRRek7M7w7vzNO
TTcMJdIEVWd711vvPD+KbWAg8MsQdFj3eRYBEwdb2P3zW4O2jmfTdVF5wjID9GBRgWqGTiYq/Kdw
f/+kAVPfDLFj7c5/0okpJP8izaTx6KnyyPHS9mPg6BpwRcjhff2i1QUOAw1AzLz3dcg9VfDp/Hgn
zrHjGSaFJvqsdARU1P5mK1H8HFNkPJGy1Qf5QMIuvnQtiMjQsccLQ51YLdoNCphgCC7818DjzVBJ
0CN4X4A3dnIPHejJ8nJt584mL+L5bzo5EMdQlSE8Ujv1528G8roYeFnLHHI4pmYTpjEcfmNqu+bC
fStUh2ZxEClC0IWTZKuus8ybYy+FsVnqHMR+jpI14EFq+nhstFsToNg2lEZ2Pw6Fs3HCONwn3fgq
wFx9mvu8vSoLS0N/I0KAxp8hGMWBTJ8SL+sgFFMXWnH5yse0KLPpQtCj1vTdr3aBS1hU3yjpLubH
SNGrmasBLYEY0w08DPKPMSDrTZUZ3gMsPeDmmm5cKvudGpVCKseV1Wdc43hVyBRsTBDQrwkn4Lro
2E1fm9b82oxoHpVG7K0DuAxfmozcRSuzJ/UcwwMZPep0KAABq0ReChzXxpfueK2icAzBvH5LGjtu
O7dwd4WFZFdgpXRBO4zAqyrHTrFyvsMVggcBDBydYYRKu3j4KvooRIIyuDZHYSkwlL3KJdq8qV5i
GZQKrKdCsbb08CbROvwr5Evp+biaundd7f2p3ETfdCCsbkojc2/wPvpa9oni01fInSOPEuiTtR51
I7vLoaRcNWZy7U1o0Bp6Haz12RLrqgH4eH7XnzjJ5JpUjihRkWQbi5PsYsbYzTYKEWCb/EM4sFth
uMbl5yqKEVU6P9iJmiZNHM9RKQKQI3OZjAQNGVLLlchVH3Lzgr1GFI+wZK+StAOqf9Eel1M4hEK2
AOpC5ns2gLusOyTMLpz391/OvQU3hNSX/oD5ekrfnPdxEkNSOKBWqUrGt4C1gbzCjN5ZySgvXM8n
nl7SPs4OGdhrar+ol1fgmhoN+3IqCv00rXBM+IlyHo5GdYc+asD/YpkU7wGsr2x/Gj+h/gyYDVu7
dSDm6tP5VXj/4WShFHVVORcMyTJ5Kc26qcMSIlDn2C1aN1WIkLdAuj5G38O2/3FrggohMRiPBZAV
qirHB7g05sS2I3TwVfr9vZVBt6d9iP2DmLEyhg2slIzOf+D7yI8PtImlKPQKmxfqeMjao/bZoRUC
e7WBZVdVKINNGayKmLwIA46p22Vswoe6Q97p/NDvrysVwJEhMLJ0+b/joU17cuc+wKE15mWMNyAd
u80Y9uHB13kO7lGAn8XnavCs5/PjSvF+ZMalC0TCAIAXUu/xyNjAAf2tNY6WBQUZXeOrSWvQOV3T
t+a/48FeZF/y8msm8TJrf0PdWo19uNECvJ4dVFWwowOxNE/rNHmgsLjSagMdhU3vIu8xrBq0N6T2
qUZuZJ5bfEfWVfAdLDSPgb7uAmTZ06dufnQLfVePSL7nyRZWBflrCuS0PEjEJtHlQD4fTckKHJHY
IRigR3uIG+vMvm/FiERThGmIdetiUB94txpy5R4kMGuTh8AMbDz4IJgrSwmE7tBgdBVzCM3TGiOI
0kb7ckQU3HfT26GLq+ssHL9pxP4BLu3eIY1qhZXiwv8ewJWp/RGjVbgdnfUFY5ih3TnhnoSHHES8
diZvE4h64sHtkMTxzc0MbwiT+nWBigiS1ub0yXfxV3gOIeZzXU7WZ1gXKO88mz2saHyvMqgHn1Ks
WmlLl8ZT14G/d64HjKOHSq6q+QFHGngTK0fcJ5iYFFD5xme8IIqwRk4JSDleYg7AkRA6tuv/mrES
lvYfvPhmeY831YzlbcjFkaAkwUMxl78s2jFJ+yPpKBZuPTTWswSQL/7wrY67e/6l9apr00OSJ0ke
KDKuBNJkc3LXY5LXZbsc/gu4W9PZUryBv3GdYNzrfWssd8XSovgD8hB/Xq1DCsbYG9K/7rQrM90l
nYBmels5aCLu0LQK/eZ+TK8GRBWS+k7ZLsZc78Dfi+AZ0VW8pcT8MOgfh+oGPQPd+1kgmJZcoc2I
vEt3HeL40PY3RvkhwIsQmWlRPI0mKlb9o99fBV67hbCHT8KjidR5ESK0p30zZpxMPxs1KnnJx2j4
gWkSPhoIWghkp4aXYH4u2lsDnDKYYBLO9tpOnjC4sdIPRrLrcY8vCSqaCAeL6vvIk1THP2tablWL
EUcU4URx6FEQwt4I2PtcIkrsQWCcETFXGO/70jw4abIOocei/0z9wUZWC2Wd9rvV3SPnn6GSEkGn
HKdvs/dS9ARMH1MAz0mSH1CvEf6Dm363EE0ucywD4Thblvac5wWKRuCb0YvmLbpGvnJfIsvZ2is/
xoimi3elfd17H0KUBHCagA6IYMVkQg/A6zDt9gimwrO3tnWnb1IKma39mOiIYGXuHahi/oh4Izd3
cc8q2VvPfzCKDYwCaLMo3/40/PERdvlW1HsKRQnEOBu1tPO31akXyCErov9GUYVuzfFdFWlRHboV
d9VUGdEupX2CfCqkrtjRyv35oVRUehy1ciFL7kTeOwoqy0xFTj0GhhFSR1k/oNiTR8NGeL174ZF7
Pwr9WcInIlVgWZaxeHG0GiptGtBhK4xoug20BIFgoHYX0G3vp02BpXUAn2STtEkXj0sDia/XC0qE
kY8Jb4fB077M4GZkfnMpGToRsfCcUCcg4QJ7474+N2+iI8tIJ73wfRpco/87j8dfPsu5JR188jTt
o+KUTW52J0cYx2konucC9Ra7vlAYef+Q8yMoSwkQZ7TAlwVdq5zjKBfsk4yE5lB7Y7x32hGt1zSv
f6B7ANGrjnvEXAd0Js7vG6GKLscbh7HpeSn4Pc/qMogYrThoMIskeR+tWzNMIZPItWk2d4UpcRx2
2mRrwxP+7fpWcBs2DS4SOO3OoFFXfVL1F6pZagMtfo2wpepbsyBUExYnRoeH6vhYTq7MDmuMsDOH
j3Ms7cdxxP29AQ134YSe2NA0GEFaUKYDLLQ8oW7kN+NcoLmIwCdc0XAavVsUcr1L7b0TW5pgiWaX
ipdU7+D4JjDk0NUQlBThNUUjcmzjD8J3Y4R4/PjCJ50IkADxQdGjCUNvYNlco45hWvU8Y06Qids5
hPyMylM5b8YIdSWMwPJb1A7aC6HoqXNE3YKGD1g+NpO3uBlkYRto0+hYDOHy7rnGh3CAqSQa+8ZR
XsRjhRTr/HOuKn9rFWh4EmpUKOFc2Mwnvx2wnqtTH6JxoZb7zWmerTob8oBvL+opuI66aj6MTo7N
3lhjZg5wlxexaa68KqlxyzMxddT95EmQzEG78gLiIttUzoOobMw9z2A1YZxgY8/2z9cImInBT1Qd
bipax78Tgz+bVjp6mzk1foSxx1H/BmLffNbdEWVkGMkYCmZ1GOoX1unEfudQAaxloSRXzmKZLArg
Qw9rFHhCmO+FX8N8rYPgQuXnxH0GAIXpRKSQYoa3WAYo2F6HMXvFnKbtc5iGxl1viQboLpJumGEP
OwhG4Q6v1EtYjUsjq3P4ZgMgFy9jO2BkqejUdTaG95WPQxjkY7mP4ZncQ9p09n7jdRdm9sTWQ+HW
cyzYAyrbXjxaVCWprLWScLQR7se8nM3HbByVtVYw3lROQ8oLRtrant/x70tsoLBVRZTDB5FqeXvH
c2nDSAvwUreyZ1Qf7jBd+tIB2tjUSJxbmvONSpazKU3z4fzAJ0octK8JBATJJ9nuEqhGNarQw46g
sbRLB1l55PPkSst8/dH0s+rJqkX7syhFjKyJj/sK4q55gkcSfg4Yj3uxd2H6312wMLuYCMRjECIz
0X85XvihF4j7aiHUutiqHwuw8cgz+qqbaCRX5z9dnZGjN4rYhzYZgZ3FpAMOPh6q06NGbx2vBqoh
Z2TgTJ2CRzzVeALFVs7FNs5heCHwer+7XGGR4YPNNSnZLkk+HaKkEcEDDLKoJaKuRp1LDJXgKWiv
dDShm008trhsnv/Sd6NSWqByIuCHQpQCMHr8pdQdcW0WmdI6pu6Kbo+NlhO0c83HyBMibrNCKudS
RPL+CB9/6mJQt/NCLarwt2lnX79xlZqdX9+7GuKSNMC6h7HpcEmTTnrhKJ14wlxVIAMyLHUbmMii
PYUqnRYXTovWfwJwVUaonnuiCq8RtscYDrLpdrDS6LvM+mkN084FiW22azk6zaYY2vzCz3k394SD
3KEGLxkoEc9aTEONXjLVNKiKKTJDG92v0m1b6SCIIZSCdPsUdHZ14fl89zhQqgSIAdsKUpDLXjte
bqcLkMGo8VKoocIG2y6146cuzfv0wgE6PQ4gQASQwIos+4DcDI6gJIxnA4Gn+IBwi4Y5NbKP1YUO
2Hu0Bl/kCM4NaBtgTssORADB17UHBO9j3W92zVTUOP/1ya/ClvFNYiOu2VkREqzThDGljdbwkCMo
ef4Qvb8p1Y8AYEU0JhWbZfHmerECYppMayWaAQUyOcDgzpEwnqFVZlRKEZ7tzTVnCreNWdkY2T29
jwHs8YXo+vR88DCbCmSmw8M6XmFCbqNxwRfBIbEl1ruzhgc84gNBG8pt0SN/huI93lph3O5p9Jmf
s5HCxYX5eJdxKBIu+YYifQr22eKlrMqum32Du8z3jc9WNca3TWk0T/VNV07DAZEyCcx47SRGvUWe
TSAqqXfrJJwyTP8udvhOTQn4FsVBAYkFsHRRsmbqtcYpbYS40WA2164cnpK8fzbjOYTZbruPQTlR
uOaKTD/wLcj+ihHFmf3rpPyfI85188rB/lWUUx1h3bf4r//9UL7kH9v65aW9+1H+p/pH//evHv+D
/30X/aqLpvjTLv/W0T/Ev//f429+tD+O/ss2p8cwfehe6unppenS9n/Y4epv/r/+4X+8vP5bPk3l
y3/99avochS/nl4CZCr++vcfKTq5yXb/X/K5+tf/+8/uf2T8Y2vEIV6Wf/3lR9P+11+abf+LG4Ky
CdwgwPckx3/9x/Dy+kcEWv8yCS4JYkGOg9ZmkBzoZ8g/Jpx/8SfwV9if9B5VJQQTj9c/sux/8Xc9
lhskHEmfbv/1Px/++PcL//eanKbJLx4q2wQQDMuQmgt2RgDXF4fJiQPDqgaHQtQU2l/Czi/dVZ7o
OUZ34EqyTRRaeOERgm7bHGukC2+z+re/iUJscij6GioUcAjmKcocH2VzjK04RXjs4AMnPyR+aGwr
KPMfRdg4l06suviPxwJtxrvI8whx592XNlYnqVG03SEbitC695E3fpx5tpBU9m07W+uTHX8qKBp1
17FfWNNeDyrktUo9S+rdm+3x70U4p02A6g2voie4vmyVPy3eqDYuINKPbUC50GwUpj387GTYAKCK
E1wIcdkoy6+Gjk4ji92mSIiLF9hDhACbrLxXApvAZnyMBaLBC1+YYbmJSlyk0eBwL5SClq8F6wqZ
2+WKFFBAPKiPx+uatKkdoVqBCycXMBVYJx//BL1LcC2mFqiKcMsIM6ApfoS+oZyjxVB87yygEDts
fqj/np/v15R5sfY4wL6ydy1Qh/rifmzstgUb240HByyBi31TFN3XrZajluXXWupsZA14WDlCZTd1
ij7KvXrdO4r2ZjJ9MKO2vXfHUNaYReLpg/rzYH4taWbn3ywS67XedxBbgtLt/Z8EfX7yGBkTqjWB
UUaPeMmKfFvZweiB+EC4ZYPtc4CZSmJ10caq4rDfGiWC4VldIL1TVzPGx6lS0tokfuWmyANDESWf
N+Fj9UOe0SUKBS2eGEWm32E3FekV4Pbwa1cYJuotmZf9sUokV/OESn+Wznv4eA+mMz3h1tCkKyKX
ZI+alxeu+rYPjIc4RMYSsR+S6QNiPibqyZS+RRbHs4JlIsHiKqPkB3Svim4XwWpC0mlO9WQrvcr/
BMsWsXDHqLN0g8eqbn48v3iLHczVyUNPOUQCiKXnLRcR7WTMeN92OLpqRkZvwyx7ZDdpUSGiFF7Z
WohNQQJ76h8N+rqBFYOee0Ix75a977aqotmr5/FgiVp+Bo0FjrDB7DmOYpQPnVFez2XlXtimy7uY
U2OR9AGEo/OsOJvHpwZxUqSRklY/FMiuZTu4Y6555bdR769TSdYd6JUEgSJmqmEoyZm/zn/z+8uY
oMqG/U3sDMBg2fydg3DG+Qifr17z++us78KPjRDRx3Fq/fX5oZZpippfywFBxohUkOApH3+qZpuJ
OdnmfDBKNzFWxuDZOCq5zfOUcg8fDBkX1xVXdkVYhTsTPNrcX4cTuK9VWZSug0hRmF8SGTk1/zCn
wBO9PkmvVeY3dReZUd0e0no+oHnUfpBT6e3HNKVoDqJOvnhtEKYrOZaDu4XC7L+cnxJT3YmLOwro
GXudyiq41SUdnhCSx0u35gNO0BJhlXbGSSz1QGIjvTGrarI25OFaloP/J2spAWIMp/lIxU9R/FwB
ecXXIuwQQm8tABhrE2k3jdK3MjAsK9/9JkfLfakyiYdA3AgsoTENJCb0jN7BS0vLkJJtI0wUty3q
JSgJI6sJfAjYMaZ4hT9fY3CEyipahwGw3cLm/xdO1WVo2mq+v+1qg8JwjuIorpI9au2Zkbu4H2t6
glLxFNn3Qzu09DdRYHlGCapS/gOwGC4coVMbS0FVyctIlAC7qVl+u4ZozCHy3XUHjxKHeyPxRAa4
7fCctwgmtlsKD56+kt7IBUrP3Uwwm2rSJlTiif0nLRcz3f/e+Hl+cdUru1xbHnvwalLy65aqGLQB
UaUMULwcGoS0wO5mzq7p91HpogA8Pmmth1er+IFacXFh5GVqoE4aRGwaUUA6eIzdxaUyhuWUJaHT
HzJHWHsrM6vfVE/xwc503SpAR/fInFHJtqz7tIyBSqkgSiA4aUp/f34WDHVVv5kGRZGnFYYQAmI5
Okj8xakv0wzaSupk+yqubsWUHlDDejJ9BRXTa5yOxuGGV7LZtIlHN9wqPzWxf4+8zabQuyuKSrTe
9ebQ4RzdOsgkG5hd5PF8GwQVDlPe9RToxTpqL10L3uJe+Ptn84yZUKpUV2Cxp0wsRtvUN7I9yr0H
NIJvaZN+RL8U7TfHiVZhqwHMQUpaq5FCBAa4jmhariuzuU4LmsBoRypvWuu6cRCXS1oEqsW4Gip9
RjMgcVeaVtyGYt4LK9h7Ke5ysX0jI+fn5MnnwJcIg1vm3rOy267UbhnwZrCH69iy9OsBLycbhOWA
0vp6wp4ehx6SwNFoYWZOnWpL2zvHTrFCzfZBZjxaNT5saZUW65LLF0N6HN9TQeBpyD+hL8z70uJG
cebA3KCzCKzMhecwuR8BW34AC/5BL3WImGPi3RrR+FBK/QtxZHVlDpTSjBjXwjlz/uBv8Fh2SGCH
aMSv5GTgWJkfcr99Aue4D40h2rdeU/HxaNYncQ+FyXVp6o/Dz9rzb8N6+lbhh5XOxTfZlBunQNO9
GW96mSPsBHjFz+4KGUKXRgGabjEuRN5DXVkfIl18dYz4yk2DCxt3UeshBFFsV4h8Jjgh1TQ+vlTQ
20LHhvTpULWj+x3BVD3bG3Vrjf80L0CpQQcBT6EHzLNcCrB4RiUR8E68Q51X43dmy16ZSRbgQWDq
xfOFw6hi3qPDyGCMRpVQpSLvGFzTjEAZalneAR3IOFl345TeD2N5XWvIVaJK+gvgDyp7PnIfz16n
7JWapP1ZQZjBmS0e8GROURv81Q+hFV+JEJkz8FPddRbo7fCkWYH3JNKMulBo2yAuZ6+Zn85/gbot
lh9ARQq6AFET87U4lk5sNpMV6lyduux/xnqoAHnxPHz1M/RCV+cHe3cHMFuUywlYKC2iNaS2yJt3
JRXRMHjSdA9gqZEYKjIA75gHDNo+y435F8qIEA4rLRY99lC4zJ0f/dSnKuY+RU2+lbjveHSarNGA
Bw4yk3aQ3MUW0np5VOBD5ltyulClf7/ZqWjRG2DDkzY6cnFJo5qvQUcwzIPAV/MbjItmXNVBi//L
+W96bdMdr59HQ4WXwKLMQUNgkQV7ykTVG3P74CQimbGeoVaA2P7k95s6Tu1xLarAJPZGIWWdSFhL
rtGkj4McHO3TGCMmuRojKUEQ+3WerbJRmdc1mVJS0ZO5uRAcv19/fizLTlkfCTJe0+MVwIuBKkGP
pRrOQM0VnTexzmMs0qJ60Ha9WfIC4HR6ZSSkuxfmaVG4cAAIUnOFKo4SlFp99aq+2Xp+H1vNYAT2
wXRbcEVdbMsfpQ4bEvuZMMGQFTFt8IEpHpF7EE4Y7sUEc7ReUfi+BEelJHV85tRvAQvM5kBnx3tl
mb/5Lbnss8wyO//guxTAN1kKpKxph9LZVnWZPishhsfzn//KKDnaJgwJx0pnRxIbv0vF/KnRvXj0
7MMssQy4FjNyrRpOkQk3Y70hlMI0rEH5+KrjGeSxTKcKkGEpa7mj1NnjP1kGdH/6qjOcnx7SQOKz
1vbad6seSoCMfTRhxKG3o/5TRI7Aobcs4nFvJv6MGXSZHGanwrhOJMi+2/acynttdIdki/UCaUiX
zvi+tUYnPjr4CqBuG3h69MFG/hhOVt3hc+RYrgaBR2Shvzb9RFjfG6PoEIYPi/BXTWY9bpLcSpQf
VtlUqDNP1kNEzRAXEy3CBU43iqm78nAGBp0qLCqqPEATWosX5nmxskrXjBuGrjqFRS64xQb3UTLG
OSfOrvMytX60OgNuMCu2igvb2Xj37rCenCGlYknpk110vJ0pqITmONU4Uw2lG65rJ5ofoTQKY0WW
Mvkrr3DDO7K+aZ/73fwF+b/mtzV2GAokZlN8SbUk2Y3pmL84INCfSVDsL3XYxk8OSdlHFwQUwpTZ
zL/H67PmE40C7yIy/jU9Xe5JDqM6kOqlXh5JHaFrRJ86tBESHShlO7nXjWknq3FoBljDXjb1a3Tb
k991WlkzHOmwNFaGYYANRee4tDf5JI17PO/z33EY29+0AeHjjRkgFb2WLcpd+Kr5aOKarlf9sIfe
fYhRsnbhoGgNFsioxSQb7lSEPilHDe5O07ssvtGcVtxnNRSPVaOFiFcXhYl9rky1JlqbyThd9VGb
gFc3OrlPdRctz7aYfBCGbekNa90ZgebKCsvQ0Qh7OO2BBsRHJ9jK17GsHXSoddE/IqJRUzDzZiSs
kOQ3VtRnjBfE6QJ8YQOv+maIbsr3seP5pKuNKqIaVuzj2QV4dBXEybzTuwYPwDE25XTFjlawKFqT
yV0CkSPA5kROXyCa6S+yzMRdbjWOh9NU5fwq6tCTq3xsm7uuQax9o/Es49yZ+F29b/psLtboxnaf
ULPt0FybXNJM3GfkFRWk+QaOQuZsZqufmoPZxdhwSnMqtnIYjQc9HrIR4/cYVe+hljUmol3IilKC
n/5o0vcwsyxbPgUVfeM3vyW7SUYTg9nOcYnM5z75o+wY5m1uxdXjhLrFC3rIZbVGSx9fHsg/Wb8d
ItGk26ZKFA03NbIvRdjXd7lmguZHoYF0Bh8QAKFmrIV3kHXHZFdIt0h3Qayl2kqgLUP4rufpR01Q
xUZ5AKWBlXSxgqTzA1wDq5K4CiHyDqiBa6LN0d7ve+9ad8rQXrtt0PyyZSnp8Wty+PrPLhD1TMGg
U/ErECr6z8fn2nabKaOWqx0IimzzMOIhFMCja6fgwk31TnLtdSQGoJYvaKwYxvFIKRwYqiW6T5tN
Q5Dd6r0UCDwnr8NxyBg9dKPSFCuiGWOR1eBilLrjwuvdlZ3047ClvELdFuMWb40+vcKE910AITkL
g0sqCe/iNuaELo6qX0LcgcRx/EtHPGzmoAMYDshE26HLYW2QJG52nZCXaCvLMim5PbBLqh5UGZD+
WzJoh8EpcamZg+uidEJnBdYi/iz6sS+u/CGG9x5bPfI2RqHnF1hfpwYG9ElDiguMhGKx7jCyZFQk
k3OIWK2DbWgCk9rYPiR2PX7RkSL8gOG1dji/2ZZlDaVtCg0XohFKo7r5XmjO1LrIj10s3YrEvJ4F
u6EMveh2KIFzGr2onFWBVdzKC+E8erDjuS8H7cJOXEZDyx+xCJWl8nCJnCo/uLUP7ymHYZdAMJu0
GTO1IfsTJGlebc9/+bu3h0GVfhi8LJeNBUPweE8BSbfmBC7WdZB22Rq98ngTa/MT0tM/Sb1uEgkD
pKvHuzJqbin99DTumr2l4XWniz+pPx8ax2lxUAIZXxXNfhYYi1HCexxUJo7qaLKtSxc73tL0aBDh
e5oo55nzH3F6+UCSomsHXvkdt6xCWqSswDMe+B2k8dE4UYvSwnb4wmA4cXZJHIh1G5PsrzFdMsKV
iKVF4TANtAuR/RI8rLaS0gEGNUNURWlq0RzybWyw2Ky4n6SINogUUf4wMVAzqUrjwfZh0bQucPtY
K5FI8Id+7/ih2Hkm3nNGmiE8mzXRhULAiY1FXkSjkr4s8cXy3uhHKxjSIvMO+ZA7wZoyGYCsyJ25
2WOLsExvPpxfkGXSp+YATrfqOaPwDYTgeFPZwhc+qWVKDc0svvd4sUDhsaxuvLR7T32ZQp4Bx3K5
FZdIBc136bcVIZGTG8z3NL+LZI2Z3CTW5Zzr97pVTcM2mkf3sxGF3nfQFaO79mYrwnhj9ADBJHg/
oeWvDfV1gSWYu5rtEsiHHepzspt1PYg+iySUzzqZ5M8qz+JpF/WRcRgcJ0fZykesAYqI3f3E+S+B
ABq69qUQV03W2+hQTaaCyfBOgaWkoXI8mRGaCSiUacl17HbNeqKwvCpdWpu0coy1N4YUDtzW5JbU
xdX5ZVy+N4ysNOhxjUMEWqkHHI+sZdrsZno+HmZMFpxbiLIOXT5shwjVEmAK6/PDnVjMt8N5i5Pj
uYOJ/YNoDgG+ZAe9dCwcaVtEC5DDdLcjIeyFxvKJbUrArVBIKEQq5Zjj75Oj71a+HUXXtW0Ovzqs
tfAPrmuvvrBNl20EdSfQCeI6cJhRxUs8HggeJpopfasdmkwPP+UIZ0G306vPaTWNv2bhwlDy44rt
JEj8RdSt0ywa/y9n57FbN9K16ysiwBymDDspS7YVJoQl28yZRRZ59eeh/8mnbcMbfYAedaPFTbJY
tda73rCzZoLepqlcvv7n58zngqMpOxTqauvs18AqM+uhMfLTODnKemorSBV+I2zz3ihiu7kioy3N
L2zRf75b7Ezo06BnMDT4Y25gTpqRZlonadMqdF69u0Rs5MqNibdwaC/C/I8Ql7Xx2zZfE0AFgNZz
17ItssJN1T47IXYlDISSbO9U+Psvg4Ow+D8+z99cOoBLSBEwFM9bUHxGkUy0DmDetG7hUUmmEUGo
1zPGOpylL2mlJ96FvveP57ldE4dyMAcVEsm5eZXqgOmCVIkjesHqjpHqlAaWgNi362xT3NWZ2QwX
HunfLglSB0MIERIq07NlQ/vBtLdJ1SN+/XOz6wu78e4JofEIt++h8wSe22Qv/360f+xA3Cbekwx1
ebq66p59oXgnlTURDArZbnP+tOpssZ7WKvduWV5qw//YDLZLgVdsVQRApX22+9hbRplECHu09FHd
69B3fqDhK1//fUO/F96n3Xy7DLMz1uaWJHKuwM5GVcXBusANaias7ztRgpkSOfFS97cModFnchR4
Pwed1KnQ8qCNB1Vu9xHpxDmiPN3ctXlFsNLS4hUU4apLyMEsjJimGJQuSsdkZcYy5BBPjJzwt8o2
a+XCQthe9B+3AMGeTpexPm/l827W6DqJtbYJ5GIVS1hRBQT9IEhYKjH1NRgnYc9d9hwaysVm7a/r
ge6HqoI6nR3l86XLsU1ItQYwTNWpO2G4W4SpbL27EgfoC1/Yn4Ucb4rWE9Yyvs/Q2c46kZFRdUzn
vh5XTEEMjB9EfUrWVLzOaj69zrKPHx1ncE62V9p3qz53j6ax2s+TusLSMYb5w8296f3fy+ds8guD
hN+0EUVBTKG4nZ/I1IfqlBcQHSxXqIcJBt6pGNTikOYoYc3ePpT5sOLjhEOIJcZLeo7/8zw/f/Wb
8zc5Fxxjf3Sgeto5rVlmxtFb3cn8RUhnqvuiy1HToiQzf+ajRnpu0kqnYlS3iDFIjZGouMLUWBv1
1MnukC6z9QtbR4xPCPkl22WNi2kNYsNoj2XOt46FW3aTORU0Ig/1Mnwmc3Hu8MWIwV1X0mEDxXZG
RnqkH+pBTJjozy6f459q300f2UxgbrjEhfKsaHXZA4Ap1k1ltc5Hr4ihDBwlyaYdoF59qoSp6D4T
y15GLduP4TvubN8N5IN+9dpUvWcq21o7OAdztgMbr1CyTCZIeRyr68u0Ghnxd6W1K53lVHWSONnm
TiNfcZd0gi2qXqIK3VT9Isk51Q+9pxHUMYsBUeXomTd1O8qHFUfYn8SnD9+rQogebqhX/tAHzSsP
qQLWtYtVp/pq43RmIQ5LzR/Q+6DkAtk1K1p+e86iuVbUb33l9qYP4pY8OwNUGBi5npHs4fh22LKq
wyII8IoJ3RqUQiHz1Jt5T806OeKpRnmr3lruvNB52upIPFrbOa+1lFJ5wRkJarRpN5sHcmf3+7Z0
8T8rFL/P+uIE7uNw1uGAoeOJ7IxfjFbDemDAKdkg0LyvnvpMzeB5eMRqXXflMoKMkOSYI+ssYO6Z
vY7Dcsawiq6xAs2isp32pTYs6ZVik6QSAjokmBvbyxCH1bggxU/dciojMlMT6GOaTHr+lh6rO7AB
bHZxHlyvBtyZv3MOag9CZMbzbKzJdOHQ/wOnYIeDVcXgAmkmDhlnx4UlHeY3qi6OMV5wN/Wam+E4
GIafkpt7KMcpixqQxktarj8rSS7LVmSyM/3uB84OxHxZGcAqvX0U0hPYAM0SeXhXAdHAp3XL09gk
5NhlsaHN0bx42UmzxaIH6lxgj5e248QimePCvPA0fk9qzjYG7hZGxnakQcM6exwG43oUsZ11zJRc
fzIULw/rqnid1Np5sypU5mNWdAdlsDDrdxXcAnvxkwkoAZPmaHxLNatnCqZPF4aPfylZtmE7YVob
MZhJxOfjwu0qdxlxJj4SBiyjlQsH0JSGh5G4tq9qXs4XVNp/ux6EDlptxh8UE2fDiNpmxONg7HIE
dzYIQ1z1x75d6rvYsB4RankX+rO/PXVAPgu2s8Y18V36fH/d4nnDLBLrqCjKMFxRLTHnJM/YWQLZ
Qz1jV4t19Wc1SPcATyD/8OJaQpNgELQ8KK4htW/WjDjwUJoDX+Ni19pFFez5vJEji59GyYj4FqHt
OUunskEtpWEycGuM7FDGGnyvtNSemIz3exrX9F64hbLrGF8EHRHpoZYxCvj3sfmX2o7fwJQZIAg+
13lyhcDrLS1kDuOi6lKs7Qbhvi5TfnmU87cLMdXftCTAiLQen1/IUNZajdOUcyQrHRgBiHwJS9Mu
o7W3+2BICIXqF9fdE8o9XgP3jQEUnSpyGw3EQsbvSclDgdLsPvz7AfxmW37+Pj16LxwEKJ6Yy52X
nfgHYIgqjQm6ExKfuxldoOZ3kyq9G0Awc7x1KNaI50F0n53ivgeSioVsVgDmzRwXIjtc8m2LacO2
TaQkpN6qs4dppGOIulL1nue06wEC8alwo2JRUlA+IPCWVshaLDJ/1IE47wPIizockG+5CuS9eZZf
FU4Q+HLCjPUL7f2fxeJGBd3cffG+pSI92ysLC/ax2Srz0bKy9Qs8inYnLae/V0ahXyiJfwuWzp4v
FDb2GGQ8W1d9VphqCkQ8SzTqcfFcpryWoq1KqHRk/AZxX+hfNUiLH2MfQy3Qdek82JZwBKW9zNF+
CnP4Vesq4uoMJMHeYS/b9KGUaTdEduLiZzvEqZOGnmL/2JQPr1I1Ri3qhbEwmxva+EdZ9ooVyVjC
tVPqlRRr0oNFF8W1UCEsruXyCOlpuVX6pX3v0z750FluPzssyeJIY5NmaicymeP02MLc3HgybzJe
3Q8nrtZnrIsYtXkp0awBM+xiOhTKQBAep8FjYa0L0cSeMJ6LXq9+Of3UqjuZYywd5MywiF9dRmv0
k5KxZugYdXnrJYm+ubSo41tbezOxugPuKa5a3uedeKZgcXeT5663GRWt9mq7uf0Uk7Y9RVatQJRw
oFI/2FmBQ9HKnsbDadv2rvcSxnX6SNrI1WCb4L9x31h88Blp3Y1DoB1Dx7G9FBjxBwnR2lJh4Dpa
TA8g1Jx/8V3SInA2ZXGK2Vn6MG6N+luPhqIJVFkbsd8VQ+X4oB5q/D5q6v0y9+bNlKriyZRKlQdD
m82OXzVJ95Thw008iTF3x4quvjhZvVV8G0tP/eIKgVFXglnoLuGvfLTYjhj7LWd1vrBV/lnXcD/b
57LJLEFqzrqeSinSojL07KTUbbGv9VaJFrXKcS8rXmRlQ1fXx+LCsfnHh4pmhavCZN3QMYQVn3fN
LUNddWPXgo/UEBwN/wJHDc0l71WUmPj9eyv8Y4tGnw3aZyKyZNYDQ+7zxSynxley7mnAraw/lVWd
AMY1Us8voJl/uSn01QCnoDRQrc+FwimZwbJtOjBwpTBuExKTKOBtcQ/xS/n/uNRmp7MJgLYZ5vZO
/4dG05f1qGDgS1eYY21GiqMawglNb2CyXkL2/1gePD1oArTErA4U9mdPT81HCSTjxkd70OVO6+In
o+iLb7L3sKrux2JnzMulEuIPvIFrbv6w1kbB3gagn2+v7YFux7G1jjFh6EQst3BtjlqdyeesliAQ
JPZJiEzVYNs7eEb4Wf97xfztTaIroHgBIMLH4Ky2VZwVdUbXLkezxSO3TPMqwJNGHiY9c8J/X+p3
fuOnc4R7QcMHBxGMdKNGnd2rTOC8T9l6zNaR6FFvRn8TCK1aXy3FArmcvLboKLKXIj21BeRwf3IX
b/Qp8I0PPi/XCrYxBoZUYqjKk7O5nQbDrCteaDVaY/k6liv6QXE6jWBhDbsiX9MK4REj7lXVSU2W
6SnBmOKrbiZYX1JKjQ9kg65maCiW25Kfbv9XI36HL9E2MGeBTs64CMDl8z17WdpQnDjWsZZG50aA
4Oa7JrT2ktHHH9W5SQ2IWwAzuc3B9pzM35SGOWCnLo6G4jJPwHrmu9d2+bfByfPDlDf904WXue2V
n18mKsTN65rJFFjJ+Y0ppAm1hbOkp84q01vce3BQ04mV9BoPabHUyysRd+Zz2nlxVFpddsost9zN
YrZfe76HYFGa4mvVEzKk1Y19IP8Dly9uYJejIYvsftYzn4i65WOtPDWy87TrdgK+8oXi8c/vDweA
rXTflNrA22ffPGMnm/5fYlNmqvHNMLsT8oKu3/XrIk6l6eAnpy/fUJR1/3lf4/ltfj2Ashvcd3Zh
YuvRcFllcwRcsQ8YSY4nL9Et3+LJfv33uzpbG/DGVM5vCxXBxsLi3Pu8BjNdhXjALOi0Yk25pYev
GIV3Nrp0dGE5zvnZJZuls13l/67osvK3Rh7XkLNWochhZHWkh58aR1bERWbC+qrXSun6zjANl/h4
5yPy35f7rQbymHOhID67nNc7Vb+asXcAmlbbcFbbKQldr5y/YWab2f5SZtbLqNXLo0YA6eIvTb6u
PiHIlRb9+1H/7cYh7AGfMJghpHf7av7ntBo12bYY5XqHRZTeY7Jq/c9sWNfrNZ+XC1E95w3y/901
SnY2Fe4be6HP15pFWoGUivLUxM6WBdQc8pJ8kaz2ukC3c9BBDs5jWZtvBK08YSghrgZTtr5TGFPn
m41aXEGMc/f/fgJ/W2wsag5SZtdgW2frukuHehSGlp1Ykc0zM8+fVs166+yYUYq3LLt/X+7s+90e
ggkAgjkdzQE2FtsL+Z8H3qXdqi2pnpw8vcGZsKlJbD9CfbNIFBiGPCilzLLQGOMEPchiXLK2uHT5
s0+LHi8R6tLXJxK0lZ3SrQYjR5A9bzGGyBv76eA2fRziQXSB1fOXx8yUBRYTzsIbR/TsMXtK1uhL
ryhHZGPNztK6KtITpfoxi2y6sSWY2b+f8zmTbHvQm+MOCkQ2EVDBs0KFNxcPeMdVp75rrBsjIV4H
uyxvTaJRE9Z7ZY9bhnFbj+2hWJFGEsOhJc/elFd3KSTp1M8h0+28KSXzKFVimMkJSSnFhV31L48F
mfSGGVFkbP98Xg75rC4JVlOMDvVx2sk+r0O9cLOXOY5bxKjDdOF7/+v1GDZT3iNG5Wv5fL1qKZ0C
EVx5QDw8EqxnN9ZzLMZau9HdzJkPyKmVSyPZv6w5e1v2ZCuDdTCx+HxNbY1J8ctN5cihkoReKpyj
mzUlBfKsh7mezT/yuWsQrS2XpqR/2d2YqPO1bcNgZpdni25Oh6TllEmPCZj2oyldJ1QGY3mxiZa+
sN7+dimIgAYSuC3E6NzZLVvpYrC/Sk9TTffSz3WNbYs25CPemvklA8q/LW5Of64HJxNTlHMDs7hp
ccBxp+wkpuI7oHiCREFdwg2ZvHGMJcG4dFkCs7fKkNF0H5T4v5Dwge+cpjb3WrYUwQhHwLet9ZIZ
w1lLt313n37a2duGtOy6XVvnJ+SlnQGKaDWEEbHNXoCTz5qf39fhJ+Ljhu0DgR1n75aF1tVKMRSn
VsgXZ16Fn/dLts9NJ953KW0xIZX2hbPifAy5XXRzo0TlyNOHoHh2c9JMpb5INTsKBxhzv3RUqmHp
ZVMTZkrj1ofUG6cXxVT6fSZVQvhEbTpjsNRjQrnpShC7BsfnjzKnFrmwlfytqmAIvK1zUC9a3bPz
VRSswNbylAPqqeFWSxyMDj0s9xchq/uZSp5sWR1v58RMI8THQEKoDS7sL78Zdf9TZm9PaKPvMlbn
Y0DTclZQQB9QTTnr8cHV80EEzMcLDYUDXH58EtKx35eO20KQUmLVDeNKn/bW3JNjRhTDbTPNWOhm
5ZxulYjcVUlZ4MIzuvO8d7W0WsJRrZovTmdoz0O+2LDsZTyE4HvWvAddL74riZ7W4VwN/XssqBMD
WajNlbRrAhlUY5L4uJPZHDNy80grwq0HcO7f585vz4L/eQAICreh8GbrBOAJ5fBsh6VzTdMZdvMR
bznjpz4lzrc1HawlRDBSpb4U2fgTzd0mz04S582cOsKgqNddsSNYaLoqWo/41mni0w+EPQ63Gam9
uZ9N1viWNp2q3yIuGYZDNtZq6rtaZZd+ioyIcaWxuB/USgg7m7lR33EaXO7AysYlypNJDLAZyiz3
O9zYjsLDLdUjruHZbGPdDJF0p//NZ4EHwSqEzQXjELIRO/DnbR+8mRybysDhEnwV+7d5OSVKWe5r
y8mjmggFf07U7MJHcHa+bRfd2hOE9kAvGOeeXXQuRe2Baqt05b0RJNAEEMoW5a4SpRIuWqpewJrP
tv3f1+ODo28wOdsAhD/fpGnlljZOLjepOJo/JdqEL+3Sh7Va6bt/r6ztp39eWExMMFHmGOUw49j6
fKmkN0Sqjo56rDK1sHZpjovJLqGK1EPshOIneIPxW+bY6Btq18rTfWmSu3Th+Z7vgL9vGF97tpjt
R/xBUZ6tqlYWxVSPUqjFHMlamw5Gt2hwsjutxbhAZYfAFz5DUpLZXt7vakbRdWTj/VyEuBK4jzmJ
o4SZra68//cTOjt6tt+2VXrszS5foXnezCR0C2bd2dqxS2rYAHjqWkuwLJP78u/rABme1TS/L2UZ
fN2gxxxA53stQso1h6uvH/GeLAAC5g6zddGXc4Tk5evkNMXeHOs5jOPKeMim1Q6YxWfRqHsYp7Wr
DtY5ar6sk37XxptAB71QtNRC7rGjmyK56ubd6hXlXnPzR7QupFCsGWAPzBZ35xqdty+oHW+0WjNh
eBtj2MMY+C5F7J2s0Yl9RSj6QSTtcEMesbqf6MeeiRix9q2YIQJVzA0eVkP9hpqNKEmnFLtxst8L
gUAYkbTn4+xn+nViGFlA028eFerTh6Wc0l2u9us9ThlwqjWp7xZtmh4Sc14OBuquq0WfxUnmZfcw
GcZL3MyMk/q8cw9Vp9d3rlbWIcleaDdGY+mCXk/66y7WuzZEPNdFtNpMoqpGeVdRMO+IQ4Gsnth2
OAtT/zqu6kzgPAoR2O0EJViCm9f7RX3VkzH50PQiplfcrHKzpZesSsd4SI1VLkHFRPS4LA4RUHaN
/69cHGdHcQxDSp/nLwQAejwTLWlvhEEkri8n1UOMOa0OXFDdeUM3Z35ZM9zY43iNd4jG4tVvY+FG
KbmEm6xwjRrTqR8yQyqnDjOT98npvKtE0ZodfpHy0ayy8kYQVBA3KXp6lIF3VVnJg1fl3qPBLATK
GOQJL7axTMnihqzGodh09p1R4yte9Ts0wnw/tVk98b6Xk+J5L3WxTD8dqWt3pNwOaTAU7djtHGtF
SDWW2o+KQdX77HhQXaX1s5/tLSbX/FbXyfiLCaF1y7ekfkudXkQalh43CeFnrU/ohPjQlPk0aar5
i9a4+4ZMc47DDq3Z3rLW+VvNzPprbJgYBqAa86vOvLetOJvCZSgLYi5K+N2+Ilf7Vp08p/Cryv61
xESXohBsMXhxIbDMNSlSian9sIbFQTqWY5SPoOmV0tmLeq9YImwnMTWH7hw6eQ3s03rkY5RG9rSW
mQlGo98pNoOQClr5HNTx4HyftfELzeCS+dgbbOgwsjKK0ZThKrZC4UwbNvtyyH8mk96Sd2HayDap
UrqkXK7mhLT2cZGWvxE6A6lI79XuF6p5gsHNsMZLi6n8mKlfGBWzMBFqtCgwnAkcugBA3q0FQmZz
9ri3Irb8uluWYxf3z6zvdFfHUJOWIg+aqVf32JLUJ91J9K+5mQCklU5+tNv61R1lDPBkXFsKKgVV
xSA28ZxbCBpf84UXxODipE1Vcr20/E6qpe65wgLEr/XmOx0jQQVtyxenumiEVa01Ubo19t6oSvF1
riXxRQxfkdLH7bDu0fT039Ixi6+bvLcUKEl6Z4WLNVyblas8ax3PCoCvDybsDt8HFf2s3uXxQSHq
MZgl3kW+Xg5MwirRpDu90VpSDrLvsdfmL64VYwdfK3Zv+5mTLC9enBgI6hDQlQE0pjLK3am4wazb
DqYBf7ogX50qqGprvkdmhDiPjNuy9/kzhUT575ZX2UJ+AitwDkVB2VCX8xDoi9G9ur2Dc9CoT2E1
kOtaekn+YDSjfZDmbBE3MG063aa4Eh51J5uLd3I9AiN1uqCPdJ4/JPqeg9Hirl7hv/nWWyp0mQkZ
vts48/dJ1Qio6kmpy0Asd0Ii1Ux7Hn4lUaL5U081FeDW5e0mKtK7MiHKwxV9HQ49RpXUgDKYshoq
sLb2RKVZomwSX6R5spvNRrvX2ji3fcVqu1sDGuytIkwrButCvYNhU094y2Th3NF+m9X4jcdV3bTS
Ft+VGc3jopaFnwvm0l5CwovA4eZoF3MRwPuWOwgY7nc8zeYT/iuvldYkzwuErHDCfAO/0STuTgUh
OSF7WwHP3ZgpGzKp7V1vJfNXKeT1kjvlPcMsFY+KSidbRGPqAkCCKsbKrln4EAU5xQofNiarQKlv
Db2+MevklKRKHTBkruBcS/xBymkOoEVDaUh4KLDuriUeuqGTGPDFkPAl+ez5DI2bAMtiGWS5Fu9y
tvtIXYj0kHpSbG6f8DPmtveTojP3mLe1d7SF9uAnSx2HiTXOwVAmZaCJTgvhQ/R7xmCM4WHh+az6
+ZYV2R2twiDBTkh+WpoNLnJMzbmpuhmjEmtN9yJfa2b2OKlwNN0LgyicgmCyvV6XMmydJvuFtNO5
xt6ou54xRAuHxKSddh6I+8MOY+XS0L9ExKyd7Beobm9qta4IodPqtkg6782AmBdKhDI8L/3bCCQJ
K3iAvcsOjWmRHHaj4E0s46aWLjESViauhGp7bfU3dXF+2amCrNXpf9hja/hSm5xgjueTdEmaCYj+
q997x0SCaravnT2hZYeJE8aa90rwUhJMivdhxVaBCNsyHmy9YG9OVGs3GdVOT9zmMCxec9U4yq+K
M5zwu/EXCRTDFRXCHOle2uw7DRGeUqZvnNLxmy5cYwjk3E88xKZ8z+d1IIbItaKU6WFIzcM0bLLw
+h/dIVLckQ3ds9vIm4oHCNmkBREmFHQGaLc73mMfMwRdZn3JOyuOllI/xVVeE6Ekpyl01Eq7haf4
WOEJEcSVmew6L3euRpMsKS1TkyvZLl/smpNnQfXrgx3wbI3YDFBPVvD+bRhHclQfdGlgJKMh2Y8n
HCLR5Cv+usykzbnmo6VPj3XbPectshA15j9lMZQBcyW9CL+4q2VuwAApZlloOMzdQbBLyC8V42me
0VW5fOUhRyK3aSkv+A8sUe2VD7TMdrRkah+mWrkETtloEbz0KkRUfi3V9lpzYHdmLYkiVbUdNf3D
2q3DFfivF42WzU/JpfGukTEYDBr2XH1ufV96bAsaYaGAFiTEDS2HS63maZRCADmyyaq7olU/EnZ3
P3Hsq87TNkXgL4yjM7/nhL2qhfUC25eVpuU/lbH+6dl0iVqDwr3J9Omh15qjPtfThhXFgdMYX1B/
ax9qV2ionvIuMunaA+GZPNmyPTCm1iL2rwV/5tX2E1rtQwvuGxrNti8I51s7VSYnJh2rjV7Xt5zK
DQmmJoDJFsYx94rngQi/m8Ft3mxmrXs9nbtdqst30uoobxoS7ovKzHgnBDCJKeHfYSmyExwo25NI
QzrRV4GgZk8r0hyWWv5sGfH7bKLpk6Ym+yEzRWQX3a6rgeDx9+g5sNcb2+lIcWpM0zfG9amKkQS6
ED9AMEivLgc7ALkuoEnWt8AGX2aEJ77oFC0oFYKVKn3Yrzq2SqvXZGHmYRqZu9mReJJtPXRL0DHI
pdQXu3JmKqdnbhkRLev56RxnV4rKpaHY9leZZTaBNnrNHmaaGWRCeW+NjKQAe0ruyRyZgi3bjWvq
EH1ogvm7ShyWq3hqidf19Y3CW3f8jZWAo6bw9AAJ1ImARomLYgu5pZmNq7SflCidOZ8apX3Na/YQ
BtqTv0r2T4tu4HtCM3TKGQNzYzGNQAtj1Ugag9XABwU6pr+5MAyOfCFxMHb51yrupltTFMVH5zrJ
l35NH1Svfa44nINeuFct45WATI3E1wSWyWhq753R1gIopjjMrW0cZOb4OA7YGfQzlu2dRpgl1M2r
WTY3sxRtaM+MFcJEIZNzHTuLhsej6LYb08eHOo2mRoowcRX3yXRKJaBsdhjPzrk/VIUZiol2PK+y
4RbGHDc6ZMlRWN5PO8HYAE8sIpscPegxMgoxP+lv7bHs3piUYe+hxRCpWrmcelmR3Navv6q2qnyn
ajdz6Lzro7zrKljcNUeMV5PcXMtJe+oVjLoLKWB2V1bSBbUuSG9KiiIHqtIHX2IlFM7tAgvAJllw
7FvP3NWzkeHBADuA11AUJbFXzi+jQDZQDFwjLhJxnVTOi6Sl6zOruSnXClsNFVL9VPOXSY8U3HCd
BW4pzNvCLOvdovRXZmbKyKJJO1j4UAS4cDXXtGLoKdOUbADavGOXlTtnnR5SZeLTKoQOB2yMd81g
fdRe+9jhduYvtfXstl1165jKj5WcdCzDYUphZnlYhvmtysXwZYnNG2xRVh++DxRvxR6soCkUfRcj
KbudKwsXQoxWQ0ONTxkMmese+/4gLccHVxd21ICmhfCHOfXrTCfOFPcVzVzXk2OOT4qyfi206laX
9GSVU+RPw9DRz4ylKgPbi7VrN+vLB3OFz7M22nPf9vulFPP3zpmtm1JN0qstigZfilixQ2fAhGzA
D83XPH5ak6zFYSJ+xh8XnG+atW0C0dnd3i51N7Id3p45GUugGqW273VLuUOlJzE5pP7iZTd71x2f
cVlRfaJxnZ0yUjmvA5l4vBQsl8tKudYb70qnOKR2SthzCuqpZFWyQ+OqIuqkZl4Jp73Ba7+60+mv
+1QvvtSK0d9NZofVInqowEhjVBvxQFFEySed5luFp1k4usabB7ESMwxN3GaNGRlow76WczIFgx3P
YVkkWYCWg+ITxrE4xWVWhpmaupRdRAPksvMCN63ErYMScLcq8RczbruIljjdnH9E5DW5d1Qaiy09
9cROM2hgWlfGe0akb22eesHc8iiHTLrR1BK6txJEvB+Xlv9hyJNgLFYvSBGb6HPxqxJK1PT2FIIS
DyFs14YevBe0JMZE15ZrlGQOnQYYaxjrhFhMUz5GUs5QxlOT+IxFrKGqTP1RLxUlSuycjLcu3tGU
XPcTh43D4M8vVpnu1MZ+y7u8CRJwNc5b6PbeYJdBiZItBJNoQvbjX0ojVN+zvCwgpfKhElV6MNnG
4KbeOZhwXtc2ropJYV11RfarWJWS5WZ0t2ret+FS22Po2OuJ89vxNcWeA4iac2QZnQgSkCA4O44R
Ul2gFRbeo57kH4LAwVAdVgaOXvyuNDqe9vibhTolTwKdasdV1agze6ZzI3ZHWm1BWJMNGHEJkEtg
DQxKxqW6LRN/GnO+TVsvd+ssYazQ27k2GAphf9YxKfFDLoYR2Fysuj/i8XvXOcQrGda4h9l563Rd
uev1pfXdXrsSaHp8YxieUzO/rtPsG7uxe00g0upTEXA6jOKhXftn3CKIKdVT7BBmblM0BmnQrUqV
Wt9B62WL7XGpkbH3GBdoX2QiXytZiGCZDeobJVsCXYmLU5GoytGoYnruWmxWa4YVxKlHSKFtodco
kufZ5riEx/k+9YsTYm8hfGprb8ePfRjAtvapqTx0SZ/ukb93Pq4987HImvgRj1QCMadZO1JR04bW
lvlVWbZIxbx/kBzHJNBgjtfBhX4YJ5ahwNgZnKrC/hS08GpwFaokcRqYLO8I37KDQqR9oOhrFeSD
mlKvVMpwIweCtwuFCMWhNNZrx+wI5NS9t3RJsJtZG6wfxTj4BvmxgWIBM8yZta17u95Ps/JYe8mT
XBhwVGziXykz7hWl/pC5e22q7Pgssi+CIKio6Nx3N4lp2O30tVbrd+Y/ZSBqtQtL2SzbFtucNGkn
PnNWxQfVulEtmnO7ycWpbye+mQE3iaRtvgrByTSqcojWRKaHuanUJ8NQ2iDZhiu6ppBoIFJvR3wn
wGmLxtudOVU1JgojqkK/itsbOXvJvtSXBvh+xJpyXp/LUSIenpzhYOvAQRYa22BxDJ1zE9ItBWEb
4AQ17aGYEImd6k+mWd4ui2mHxiK/12n96rmjR8Sn/qZtct2lNN6xItN9bHhmPGCUKqAzBwwrWtAD
S3pghNNw7FJ9uEkyhS6h0KOk9L7jnDb55VId0EQ+GFWSHaaVYWhvyR+T3byMfZFxrI0PU7uBj/Mo
QiJV7EetWpRdBmF6b/fkwhMX1ETWZMWB2g/3mDQQw9U38mSbkxXFy3iMBcZERKTdl2Xm+RN2D9HK
+n2yl/KlYKqDS2f7Q58hiAJdNA9Ll053IqtfMP4oAtUlexX40k8gxGAVNJ3cgiKxTgeckrT/R9mZ
9cZtdFv0FxHgPLz23C1ZlmRJlv1C2I7D4jyzivz136Lvw3WzG2oECYIAGao51XDO3msbwd5LjCcz
JN+EXXO70uvyoe+MX+04/yi7oTVERZvvL/magAjtYzNaxTycdRu7b2jS7yKneGUJ+YcK14Omsamo
wY0cOOkQwmp4UFgHpz96yos2AJnsE+SLlCqG8TX1jW9+jW+t6ltmXTevtFVW5f5eFY18jbw2/sxS
g+kuK5K1am2YfU6Vb0FSEffTy+Cx6ezkpPmCZzjBNdaTZNcXo3l0p7AiUGSK7y27f5CemrZ6V7h/
ILFmonUbreCADXx7k0Zava7yZIf/19iooPiZINjbSJe9XGiwNdSHMWY3mDw3onVXad02G/CC95rd
2b9IdaYc0xlib5eq2Q15SqJtIA0OBo2F0ruFpWKoL35Ry9MoyA21Yv9n6jFHj6W2L4Oc43X1OZny
N5IIQYK4dfXAKeW+K+PfwZhEK2Fpkv15W2+TpGr3mj2le9mXI/+t/tTF479KsKtA7MXOgPr6ykp7
dag7rCbSsccNWvhuM+T1sJeO91JklNMmd3puZMMrjjP9ECjyfwMgT5wsS7axlK43ahTRNuyTzyRm
fbeI3ODgRoaUAk8DoIAjagBdbhtMRcHBaHqMwuBJusP0qddi+55EkvrIlXIL9MheN74R8h2Fn7W6
MrattN4DFROSWJhE+/bWd5WJZs+2FyaHQ9huibX4AEN92uZJh4nTF+8THKVDXCfqefSI9KIk0z8K
m/SfHlvUEXPoeE+wxPhgRiDsRsiJa8cHghunXrwLtPCN6ecHeDNzje//1YmdeN9O9Su4a+DJ3BmA
Z4UHxhi2GAXbpHwZxzbeaI2S97Yr87UnO/oQOdxSy9WoRkzvmqGmh8mFeQs4HBtj7/5gX/LFKOuQ
XbYebV0pxy18KG2TczpbFTqFgTwZ2s8ELpIXn5LEl4fSOMWmp1hWh72VusFs0Gs2buv5M87/UZXA
NeJK3uNbqDeNqqjUWg9gY7MdvDO108BqtityR6e9HSfia9oPVNQcv/M/ealSIMcYBW2LySMYR/UF
HJp512lRdSiKJlw3aSdeyojKFSfY7Eseh/5XPXb1befHal3qTXGYsGetXdctjqKhN0xCHI4NsEif
myxkyUEUyWXUAMmsFlUPj4/qm1G5DVVRK/nMOuiwvRq8vZL6cIgaGlPbEtL/b8zLxSfTnew3ilw6
/46sP5WB+tfw4uZBoIarjbH6Og4m1e6pEh6c8o4Fi5pUT6j3pMz4OQzq3/QJ9bXwJIDm2Nc2tqVZ
G7tKMqJugySKV7IrW3VKWvi9SiBI9+mJ/Yr0yn7H7lbvIjeM3icKNe6qEQNd7yHU258xzgzba6st
x0FxZ+aivauw5awDaIG8TF74tSRNzVtbhZqe0GVod43E4RcOUWCsDNqAh1xF7MV7lX3viJ84RdQQ
yL4ehxeZlO2DwI6wzUoAMaj1xCFsQn/Dcb7cRLJuP9txNXyL7SzDN6v6k5kV4SFIRLOF4k1oedqn
J2aZiaxpQOhRrv1rYBVeaVmobXTgNvvQtjgo5s5Q7aKSPY2stHRLd1/bdSqgUCjq+D519P5FpqKj
fiGiO8HO+dhLK7tXLFV5oJlbp9asu1nHtk0n9h9hRJ8lg2q5pwhlrbJshAIfCeDLRunikUZhRfxu
ReBdzko8s+XIN49PxeBYKzM00hcypnoqUDZ8Zirq3zxFhTjs22MegN2WTZPNjmdmfa3+LfoWrow9
aDDpNIoOVmGs49B9MUoo3VZOiZzN6T92pTOBZC5+5p6NvNtE1kYzK5KxNc/cp25rwKEm4Lzw4uwU
KATyKEDcDahqXqUY76MRah3SZWEeMu7sZgIgdKzdaTrqVOvXtlVQG0cJsnEjjylLGbwiQWWtx7yL
HwxyN9ZBbst11xvuMabL8pZjzZkrf9RFtCpEGOGX6bbjP9zro1FzlAvi/aTXySGypM4rzk/AmWa+
RaZGxDr1Nc4/3Xzjg+LRhmO4NrQsWaFLYVKGukbUk/+L3RDBkQ59Ln+uLYvcbh9Nc9AP0WBzEkh1
dRcMU3JnwAZ/mSQUP60u6l1izru70JleCyq8CLTi6KBwIt7jqq/WQrPEDb3AFWkC5pCZ3sauAYjG
QmQsZBqlGE/1Y1Zb8MLTOnFpFFHyxz5gafYNXfpSfTR3xAkAcdEW4rHBYj7/nL+ErXqV4suwB+PY
1vFw4mNBgCIK6hhhWK802ruPLMnelk0semeOTV3T3IocWkjC5p/gIX2aoVomSTBLuZ8qMVW4mH2P
yor0naS0f8BnOj3YKkBLY2Pdq8fuVqbrFVkGepIZrEpRaNZwnl+3O/gdyUMJVETPGj4Vjdkc00H0
5LVOHd2KqvHzn3YYAROJcpEoSAx5FR1uCBJmsdtCGzKjvWCLAwHBtrVQXZVdGDitCaOvbhKGLscJ
1GRpechafXiQu8BhoaVh4H6hn1xo655NqwsMLgzCzX/9KbOdC+mXTlfUQmS6+ClBzevsVUZwnHJJ
8T/1yauVLbrPphQne0jpkKTBDwKr871FXe2rCVflhgbrQgQ0/wSkKXjf/2i6F9LAsU1KaY4mPyEe
gnc8sM8uMoX32gub9VTg7Pz4ki9eO992MFW7JKwAVLrQtzq1slzVArVNzLq69zuroXTjmi+aReEl
ANj8HMbjdAtQeKFAYVTy1PGyzREQKKzO37vCbOGym1F2UkHU33UFFpU4Csu9Fnnlg95IuUqNQGyj
Mb5F0Lp2vXzfaCbYJfGQFyOPQim22Y11mAI33ynOqDRTI3fHgfZZ1ELu2kSp/X+/x7hO+Kg9ajHY
ps+v1m96afiyy9mphd0/rU2UGY3JfgugSx0mQQ+jCMb6+PGgl3Ma9xhJJV82uecBg5+PmkSAXchy
mg54Yo072eL/Xcc6r9YGbYI2rt2SHh/+lAbuSJrCzx2doowftVDrb+gqLzzjFCeRtjHNzBUj5POL
z6oZQsftYpmeoKSRyOySTXVHB5t+TdTb3s6GUL5Lae095NKlOhRQQjBfHQg93dqs2+jYjlO8jQq6
Cyx17BQdWzXrDgA8mRJpadK8SYZ0Y+ZEQtmu0a1t4Vc/jVxRgYudLD1QFfd25dS2r4bq3fucSexW
dJr1R+1+No1xkYED3CWYnbz0jc7vN8RNy6llLk565us0Bw2lNlHGzaS2xFkTcAx1MHdqKEcQouyC
OxrIH8gImttlodSoW/slhWsV2v/6REeotamAyNLrtr9luhPeORWNV5QMJRoUazS+RygTH/uCgwjM
Zl9uh4Zdue1X/R13O23Wsersf4OBGJMVJWJYM35WjnMnxe3fLBlbj7I3ULo6lXYSFJafWtbGZ9+e
2OikpedlHHRICgGV0+z6ln7zajIy57Ft6uKOmB9jrRRAuc1kecFPPqn+1WcDTKWwYnTKJiL73WHE
QBbGgbGuCeMYhWWF265DS9JR49H3pdGoNRkW1k8FKlitNN9mtcWni0CI7CC5papQUhNKpiCY+STV
3Ijy5qAQLe9oYkEloTeb+PKbn4fJuDKRN/zjgtUhjgUZY7ZqnTTm7Edy1FRkzkZ4rnid+jC8Gzpq
lu4o5KYMsJ8ZOIQpUYZApY2g8b/0Mmr/idsEoaKq8+6lbMPxqWtGp94oRwtoDZsAozi0QhjEqIA3
Iy8RE28Iukt+j33TcHqtQm8j6i56LNIm/+b3VrAzzV5bK3pQ+laknbVJQlu+SEoSFJAHL64hwU6x
u/c9jeOg4iRcroEV529h1g8IwFCOvvkVWskSHcixd6v6BWOCOHoNjCArqML3XFZ0UEa6IomdDSj3
NB+KAKVJ2ZneyRlC/7Gsamvv0lY5aTGa6oiWbbHTBp8uyQAP7YdZdCp/ioNyqDZBX6TdToq4eUFz
gPysDEOodHDfSWHs44bgXgFfNqVcqOJ97pXhvd/TmduMIx2nmo/uqSD3gLD6oiu3ZP2R50xcDMkz
XubnXznEc0Iq2dVm20x32/uCxiinLEhZwdFzIg5iQzJBk3Yqu0ON5gSfyQWpDq7Kaau4UeivLCEH
KqG62tdxmn0HktA8a1Mv79nnZacCTdyebw9Mu6WmZyoKw70ljIg0GtRrMRoPRc9Xs50u2TuxFE+B
LEZ7jUwZ+afvN068QnjlHiPc8e2m1bycNnhs3IEEcrxH4PdVu60c3dyOA8l092xnO1p+idueLAuk
b1/a1XdhT+KehWg4DLz5X5Fj+OPK7ULhr/xKdA924RlPQY6Fa+00kf7JaZryewSVPXuGEFGhCGoS
G1Ha5OavsqVzSbZ7AFyhp23JaR73p43bzVhHrkUpLIvIRoIRK/MNqXCl81KZfi+pHAyOt3HoPokv
YV+Fxzgn+5gQWCH/bQjo2hiqlDZ+IuFlq0Lq05cpr62XMQADlHbgqCPU4Ku+AnyypvmT3HmV01ur
upTtrmkrw1nHmefQGx8N3BJoqNY+cUknI0cCN8QAGoUtJl7CriOR0M9e48rr6JI4piDgJ5QvsBii
Z0OP62mDLMk4aHPVeaXygjazQgeWcR79JorSRKvqu/mpFagV+xTHPf3WYXzJBC0KXqThRxH68WcG
Qjk9KkElI6SFch+GovkehWMZAZWLp9e8dmlxe7lEKOenbXMY8yi6azxjPNBTJLmDrOYxf+pJcRmo
GhQ2gBVlHAMd1ZfJwe3kG1p5F9h99Rqlg3VkI9eBBiGEqbWC7D3ElriNqS198RLHh9Tr+YjFTPcQ
GVKP91pfTAcReglcFM3YFVaJj7AqXPNHn1PSkhoRjr2HroikXkoX4I9Jp2Q7fB80XXwgjMP9NBR1
sXNkPXIoHLNN1alCEgZn2S/I+1HUicRMEnomGYiahLrAHelO4M3CjeXEKErafKWXXgQ0ixMBDQjQ
KifDy1NrXRX9cICk4fubEnuDsQ77HIWfNRhUQRPUKgctqSlDFVPK1xEDPK82dtO5d3EXtzuPbcxn
hejqkMkmfqAg5p06UYTvHMhZFHobUT1/jXUUw7r0SNJiXQZdEvsbP5YKPRiWibULZIQ0yEDXX2rl
2XdTpjkbgwjLT71uFHvDotwoBsPZtwiZnhq/y1+jUnb3XhfSdPYy97UjbeqzPpXukx2OgQEHyDN/
ZpbeH3SvQqM7aNmb5g6Ju5ZJyO4+p1ShsxVJ/JepbtQ+DzznoDgqP7MFj4q1Q7xIsoYKJW5sjC40
3/5s1zU5aBDWbcB7Od8ymBUvfhG0kB0KI/4eGQ7sTcU25xbu/XKc2bFKwwdsKq7cJXDTbBJrdFyC
3cI6aH86gSge0KJX//XMPgc/4p+xMXfD/PizC/zrEE3lPU3LXLlHJeJkK7yWai3i5U8R0r2Xjze3
F+dWGM3IYdhJIgFDOLKwE9Ds67S6LbJTQ2LDk+gM9RhE2vAaJkwUXfVd41td16VLh1iMt4K+L2oT
8+DwTGz8Sgja3cVuFmwFXZpmsg7a1Ok/nFkVSO5OvRvha94ADxmXp8HzsRZvSBVW06wmlwfPkd1b
RFdleNfzIBvZMgz9PamCwdcgdIZX1BjmVyspYBrWfR28d7FH+0lqiXUSVb6zupZM2QLkn7aq+7j2
b7gX5s3t35tfiBo+8ZSImjk0z2FE528ytZzYJZGS9cJtsk3aafYmq1trP6asd1mLwQdAl7pxdr3w
c8yjcnrFL0Y4KO/14mBVxzm0aZ/yXJQgrylRvxxMpXL20+P3emS8CQbIOtfk3NLs422WFC4Lj6Vp
j4OppzvDpIf88Zu5fGD8HI/zLJgRPmyKx4tTQFZOfhMaTnry2CiSQm/ph9Fjd6nVfX9vpq15Ywq5
Nh6VAg+1KFbJYOnYYgcY9BUVxoPVgyfGdw5nYKB36nXQFIxJv2XkWU4l8/XROHHAnyALt63Fgwat
SEWydQnvbeys5ng1g2VBcJbRjQu75NsyEn4o8tP40pi5FoUQijxDD6c2O3GwXvnTa+1b3V2jerG1
xwzLoih+9bhz7sfSJHXMwp0bw7qmX6WnX+3pCzrhOGO/WRxofW8A6UcruxD6CqDgLYLj5TPwsFbC
teD0Rw1xWcCKpiHXkHZFJ9oWCF4Kh9ZymyI9DkoYE6rM9B8fv2TzTT772gwGxLgFimBeOZZH+7hx
NTulbc/+vWvhOJkmq3Mtt0ZTGJuPh1pWanCFAW2H0Ioh0MIdu3gKRELZURJJcfKtkt5gGqqTX1kU
aHKDaGkQ7ho6OEG2KrieG0Nfu63WzLTArAVdack6d7No9l1Z0TEYHH3fWxN8/a4albXxpVMDdgqV
dmO+vTokllzypub3+6IOLM2Bbb/ojtkovsVm5+2KUjr4eyr72dO96UZEybXnSO4qnmNYPZBdFrN7
aGiajmRdO2hEpJyAYWp75aAZDAsO4R8/x4sJmudIKgf3cU5TYDE4n6AN0/enpJxBPi77qpjGQ6jM
4UhvKtiP8MXWiLGz9cdjXs4VjMnMZPL2eDPp6XxMEY+tC/ZHnMqIkYnJcjR4ueQxWTce27WXlG2U
DjTt/2al84FUDGM8arvsFNLU2GrxUN+V9dSspGEIuIjluG0Avq6I/SxvXOK1J/jXyMsdHGUAKbFc
gxqWSf+rUXVHolVpa68axK6bbNRrDxHuJNVhi/IpJfHz6zS6ru6bcWbLFE3CCYZFD/vQuGJjXm5H
IYa1MZfGoSN/7aUjcXBY/T4RiOg9d4xO5JrQ59JobElHcGYMRbf28/FWgOLVp2HjIUbuyAJtzx/Z
X/vAvGgKn4jV/JgUWrx3q5KZodVVUn8KvSAVR46N6Inrhqz4+7lqduNNv/YNU+WjrjzPkt4y5aIv
IqOALSUhNvDGvUeqct/IajPSTUHWRMVEQkDf4eM3/dprAHlqtguTH0757/ySHRFHSd3VwXFQGoYE
wHr0McKmfbAnI77h2r3yErDvJJ4Gj6jHt7W4vVQtEsNuwvCou5a2q0ah7aOk1J7IDZg24PwIx27C
WwzzKxdoQCqYb+jMX3UWgwo1WB1Q1uTUQO6780GPrDmKdz+RnbU3PqlLMrHhUTUzAxoxTFkYNs9v
Zmw0Nu67KTmV2KRIiXJeXUcOK0nu0qoZgnFrWEhsJ5Emn4hG7jctyqMV7qlsG+jdLUv8lQufS3hE
jprwXyCdnP8Yy0NyALq7O5Zkgr4Qd1a+ys4BB5I44/bjl+hPFNZiWWeppV7POgsfzps/rL8+HI+Y
OFb7JD2WVBmIsXVbFFCGzFqkjY1pV6skdeNspbs0gFeemNhW+q7ntytbOOa+EN2r3nRltwUOGrDh
jicqoVpNXt02rCeJJMHP0se0Mkdjj3h+orlsDJj0DNDhn/sgzRUeN8J89q7bTNONi/sToHN+cTPP
mBaIbnA8ADF4fnGi6KsJ6Id7rMdi1Tb3G6dF3kLfFR+Sb7h3FP3xGqXKX8lh9/GNvfpGsfg5WL9p
hdAOOR8bgXeY1f4QkU7tcTpo3G+E8ozbMQ3bEzOD2se5CjeqNRACT9zAOIW6KSyj2FisKzfe7yvT
I/g/l1f7D+R1iT8JQhXrhTnkp7pB1EGOUrunr602BcATpEMo3vUJw5YchluB4VdmDqgfzE4m3Rhs
n4v3i76mGk1iHI+gjipggFNuOyyKOqD6YXKoJJsiNzZpFVu34KaXczLIt5lmzUaHfZK/mD5M6esT
PZ34lKup34ZOb25bNDorjcbOzkvt9xsP/PKrZTwa2hzFyP2j9n7+wH1JAqFG8hJrZLXG7xy9tro5
s/pD4B00t6u3qGIPq0XEPuiOfEKC0lh5sy8sDC0WiyvOOct5u/Gr5r3y4hPg6MQxAWwgjIclPLox
MOFqnReduqzs+1eIO/UnbTJbipcSqBAvW14j86kJcVxzy4IfVWHMR0cjY+f78W+53JrNscG0Izk0
AhhartE9DotCc0p1TKUQ6apO8K2AVLHxhnw80JUnT0VgjtlgJ8/ysXgSgdQboTyVHLkzY7ptiboM
D0SnJ/6mU5WRb3Bbudr+40EvHj9Ei/nKGI4O7wWfka2u1eUxXRLi2wxI0kaLmU6LHgTQvt3HQ120
WWFCs/PEw8M2nnd72fZLbbNEshTnJzMu9H0mHWNGCKRrBZINK2eA0A7OyLsVagOJEXWJaVveUstc
m1xnIBZ/8L5zAl2ARVtHS0Mi9LJTEpT1s6R3/4Da3/7lBX22x1Mf07axRwjR5iBo5FgFe2lMvqN4
yEVJbf/je3I5w+HF5VjqIHPmhLqkLfL6+k5PNPKRLgOGYcudiMGB2rspUZjsK92V2wa6xR2mQ/PG
5HpRMONx0GYG1sbDoL3/B4v61xqKF3yQRco5pwEQ9N5L4dMdzkGUyxjy68rB9AZ6Oiv1fDUKIOWr
Jkvjhwp2+gGbjPiMNSgvtiZ9c++H62jwDEXVWCdL4RW5cZsu3lJ+qsUmHnohkwIqp/NJKqmQhGH1
d8nKiDljln75ZrZRcXSAjtw6/l353jlK04KaJVVULxefYenLIs6bzGJTLDUaFln2FMNFuHGevfYx
nM1wi4UWrndFpHA3Ah90+5M/jNYWsXCKmWsKdvUUep80iWlAOKm7Cy2hXnNexdeP374/coqLadYg
b4dyjAWhclGygMiIXzEQxrFRk8m5c6IVlqyStmCDUfL5TFjvK/nVQLo9rQsSbog5zrydgGSnA2rw
5dqkk4U4fwrGA3mHHajLgsSolTGWOTVYHTH31A9Og6o66x/BEQzv7dwARm5Y5werC6Y7Frz6q6Er
O/wUIdJt8Yy1zrYw8v7R78dw2kKYGmmsJQQAr3s6CwlHJKd8SKXRP/sY7QTlDZkDtKCZ8RJ73oQq
tibxEm+3NDHLlO07Ti/zJcPxvle6oC5DwjAS0FobpuChS61uOE1BP3QbEUKWxgRm4rHtFPI5Yp10
0lBRvaI9qMmaeM9iOauJA3rJs3AxDtZpYDdvvpdo7YEGjcKGOaQIqXt3KNYeQEJ9zTEvem4dqbK1
2eZwRpmUi9+tQcNyreOx+KdpIPFvEaOitw3sYRCr0WajsfaKuN56SIff2CNN7cYYR3BHYE/6B1al
GPNB7sabVvXDP04ZVIeOcKhPGlggf5Y/+M3BAvT/pSNnoFqpBiYcdhks4/sErtm9Own5mSJwo25N
9Nc+IfLm0LG4VPkAm59/rlIXAA6b1jwq5ZjT50xgs7wfMLEQ004q+LehQAF6aFriHhNX+g3WABxi
aI8To3loYCe0qD/ADuw1kwL+Tidb+8vHb/6VfS7RASaaX5PMdJoji/oAbjbsdXrDuqdZ5RushZ+j
iYrOUTWCd2SwwBWY/QMDSqyBUeS5SyYDcALVnwDAyi1p2ZVlgJI8Gz6ffhmV8MWc47VZheMppYEu
2vgTnnftDj4snjpQYsi/c2MwVyOH9RyXg9ncGv3KxgONGfUHHF0kJi6PyQ71hTpPdes4hH1P5Pgo
9GLNZ5vWW2ucbA3eAPPE4eMncGVKpwLlsPChp2OHvZjSoymIHZnSTg0wwey4NvGg6RXy5wof5fPH
Y127QJJY2UzTQGStW6z5GS62ki0HYYHoxNca5r+DUwg8/5JvzIwr/cam6s9RdzGvUlf5/wHnH/TX
0trLnDSmyhQnDY5OuA2FDO6zIqYdm8aCKPYB/VK8Ss2xjld5B1GBflM9fimKvMTXje0PO2kxaEc/
cUxE15Q35AZ9vkw3//HGoP9iM8aR3YPixon6/HdiraVXknhEueqaFqzsXuGo8OBY/WviC+m3hWmL
G7kDF686Q7K4zn1cgFoXfOm+ortjiSo6oXfJcON7UTGcck8rf1hNn4XrAH8tqRt0w15cqmLljZ3E
5bo7HyZZYahz8v7xlM4vuUgGG42X5eKx0KwDoKpy7Uzjg6ssDcWCBqEmhfgtoxFuoGwo/cGTunHX
r9wCKmC89vPxZlaunv8Eg1gtz610aAqecWdqEUnELoni6djDz+vHfvZlW0ATbx2nLz45Cm70tjnG
cM6wuAPn4zY6YWr60HjHCIHUq+caCv+mdBO4SLb3++M3a57iz74AxqL5G3CsgGFu2YudRYxynyUV
vDr52QOgQr0jGLFt867Hd9CbP2Uw9cxp6FOmW0/YvDI0czoXyRGahvdiZrHr1p5GtJpHqJHpqsyC
/DFzVLWpx9BQK7ie2ucgnabPXZ6hXsqAQ2zSpk9eyWUpHiMfi9qtX3TlgTOtzqw6JiAqY4tfpCni
yjzOc6fSkjhnirpPftuJbz9EppXdhXDy7lo9ZEtTVLp4GLw++4IWLccR5vZPBC3UhL5nTBKBPfYv
jW7I+DGNbLAnkG/eOY4Gt/bAV57eXAKisDYjbskBPX9ThlDWlZ0mySkfbKvay9YqniYVlZ/KNE+8
le9At9rqxuCqG5/GlYEZk14po8JZXFYjAn2aND2rxiPpGuNP24+KbaTXb1reiM2IcHcdwXa+sRW/
/CxcHcMMsyB0WZyri4v1M5lzLpbjMRO06Ha6TcAdhDPFNk9oPpylj7+M+X+3+DLQsrDW8uHTBF2W
Lm0xwJf2ZXQCWBatyVmF2wBzrl0RxFN+LQGxUWwZ810l2q94lG7d4curpbqH7JbvgvFpp50/2tzF
Amw7qTwmCk5SAjN+rzhfbdw8s288zCtDoXLgTyq0PnWcxSpIIbaxIqimR9VK8UAKWvLD1fFVoYAw
bwz1p59zflfpY+gEFzg8QGwp86Tw14pbdrAu7CijEt6k6MVs5A4b3HXaW8nB5mhEKtq2Ra4BEsRU
uQcOmxLRSC7dF700goekRXi+NdFuPrIxxKz2Xx85iQO0PJB88DdsDM5/HPCgdnKyQB07DeS8fhLE
4O3bcSip4saAstAlbuoYS5MOCeAGP3n+fy9uDB0wOgRUcw3LdRZby6oid6OOu4r4CHIrW5gRG6yu
6t5sKH+YYTTe2Pssx2OeQ7zLRpadLJPdMlA8nKbYrp3WOQax3rzaSpevrd2gVxy7Vs59/qG+xeRe
ThrzkHMfZN460+9b5kiIyYk732P33PlkxlLQnRFUGYVBhI8nl9LBuk3+szliRp3zDXHEYXmj/3L+
SBuZeh31EOOYaA1VSilKfeOyzyR8KkiKceXHrgmZxiB39cZ0tZw/cP+cjbx4mSCdV71elMZxSFpr
Z4pM3BFzHu/VULTPMgAe6tXC2wPjKOYaorjxpdkX7xPGqz+7dpo8tGDmj/7vD23SJ2REMj61fxyL
TeICtO8nMd5KALp8qgiCTZrwhoO2BSXN+UAp7IS6Q4N91EWVHYBwJVurwGrUUp763jiGuot9MCUf
f6nLKWu+uewb/gDeOcAuG2r+NK9vjbIIUraKTyCkg1ckNNlj0JnW+8dDXX4oDMUNZB5mRmCs8+tr
siluh6a1jm7jqSf+NWdN30ytMhVrxzhJ8hsf5vLBzZeGDoYMDOxL2C/mf/7Xg5sIEDezvNdheOlh
s2opARRg+UOtuDHQtRd0hoIzIWNZwi93PlDhIiaM60g/ajnbdztrx6eqGHE6jHbwhGk432YzBIT2
S3NwEq+78X1cuU6avnQG6avPgQCL4bWJzl/HbHyERwGgBESpwiOH3OGWM+vKC4oPDEkl2xSDkvJi
ySkoojDZtfbRSgJT7qK4qcqDWVberi1zJ9nGGnKzTQw7rVt//OpcuUQT/LFHa5vE0wtN5zTZfeJS
P+dR2kMGiybLf5mDnX/778PMe3hyB2bJnLc4KplR3TlRQ2obxyXA5j6A0/FQKV93blzP5afAbgjo
EYl+lKQvuj0kVHWuV5ru0W6cDo4PeA8YdwxKca0wAK2OvjKyzcdXd21Qit806BH8zq7O89fUpbkM
oLn0jtSo6rssGxrU8fhqOJIO6bOGEUS/MeLyw0AQSOWNhFrWYWrYS20xIDMTpWmU0khVLpX1yPns
Ou4vI+0oLY39tE2UP6ydfkp/jUMW31D+LK93Hp0TCKJ3Qt14nPNL9df3D/QsnvLWNw+O1lYrl67A
V6D0Lpz2uH/qJ9u7cdBffh5/xmO2MWfqIfqWxUIhM83O5Ci1Qz92fUwypE4EGqToe24tFoug9L+w
j7B2Hz/V5afxZ1Tmb95YAzz8EtReFu3kGV2annoEQL8guIybhvrnjXu5XCb+jMKHz6vqYD9dfvpW
qBv4ljxxsmpf/FJxx5ajUhX6IstTwcvHl3SlVomCcS6VIBgnusldTDSjPo41BCVxcjv9izDLlneH
BlVgjNCEW9jvrZbbXxK3D3+LhJ2eo2R0iD3AZK43UGf6+OdcuXZs1zDPaVqxn12eXzh44wkiW/xI
vQIIXDvYAt4l2OFpHbRmk//HuYFbPWfz0Z/0XPqTy9WktOkGDkap0XMKta/ErXSfCOWLXs3RwX6e
0yr8+PIuzuqL8RafidOHGharpjsiVcvXtKYTzGrjcARf0tAj98UhkIN8GkgX3Xw88pUPBuUfpgPO
CvOG1jr/QK2cCr0pPRhZsuWMDdz5N4mv6Z1haNHzQJTIIeevNy73yqzAoA6Hbt6tWbl6PqhPSgka
XJmfOmh7Rxx5/c5s+/joF6P45MK0uPUyX3b2iR2l5eTwEqF1XOZmYltNE9Cd0bGMhv7QWxDYZaKR
egpmd9d42sSiZtgbL6a+EdK2WquySG9EVlx7xqge6H0agBPYYZ5fNNlbXlpFMtwbNde+alhqQayO
xiQOHNzJR2thnqymVFopm2kFCujjJ33tptPExXHsutRZljVIDquATEqt4WDspTuac9Y28qruQL4s
QDA9/q+mlvkb4tFig2OnSe1vudTVkxqashcnE2H4lz4yNOhdAy/Tjanh8r7ynboerR+CAzmULV6m
jIKnpOgADtbLpmOop/lLXGT+3geut1JVPO3GwVHrglJZdmPoK319xuaMzTyJn4A1/fyZDq2GEcVE
XDCBY1kXpR3vgMx6r52dxZs+GLodbnKdxGPKqm1qtN8lCN7PiJb8G+ve5fw4/5D5TIpjfxZVnP8Q
6CB1QkopTiVCyPakKccgkI2vQPTMG6/xtZF4hdhvsXuZK0rnI5nwJCMnSvyDHhMutqq9SPsXk3oD
x3gY/Fvzvj/PP2eVBFhDCNL4bvgeTESr58Mx2StRj1l0olk3vQeUUMwVUjgGGh3wo6tMVPB5aaUp
BBMDeLGnMipK71FMTPAgWpoR21qIt2zj+r1DG9MJ++g02IX+S6Op9RSSLIK9r5xxm3ix4dvDvcRy
GRgkzq4026Ykj2+VxnyvJy9hEiliH2ynWAHWxsMkuij8SZZiVKwMesDvoTQnQY2nU8lGbxtoKERf
AFHr+46UdJrp+4Qe20s6NWm2sv/H2XnsaIp00faJkPBmCnw2vc/KCaosAwQusAE8/V301ZWqskqV
+q961INu8sNEnDhn771MQepmhQMPioQqAv2QkuYoMT1CEg9JDwt6GNiTzLGs21MKDkM0Lro3ONNR
RrttBr0w1O9LXj5WSe69J9qckjTDVjmTZ6PSSww39YNaSM2JXEVsBNnaGp2+tiVsG6v0WhL0U7f6
QL5b6jx2vZcdzMIaAZXXxG0lPlK4UNg+2hlK5fdy9ZYV1zmReWQL6nP3DIXWBUkDJXjXZLmbh6Sw
TJcetRlJAKJB5Cjd2nH3Hsv9ciM8dR+sxckeGnP4pAL765doUsoz0+Og+UeHwBvmxfKLUZxV0NwZ
cprmeDTTdIlyBODWXtOSGkm9WWj7VdeKB00QcxTOntbd6U11+++V9i+1E5KtTQNOCcWh8GO7orMS
xg1GFxxb0RKht6b6l0UEhKsavU3mQN6chrTK41KRh4ZPm4zm2c1uaBUapwHb2CcL/59tyi05hA4V
dSOlOOqb378hop3I6aA/c1auub24ZAXMOCYuAr9yIoOItghj2mPfVeMxLwiX41BvkIWq9agbtn+1
klOC+vEziuKfK4njE3+B8owGKlasD39W3aB7MAlxPVetZz/lVr+QRQrWmMyn7PDvJ/JnlcOliCrS
6dRtE/gPl5pgpUghmM4kmjfug7xPwdn42V6TfRCjVUPxyoHhkybonxsTTW9OsBSnbID0k36/7S7J
vx7BEeIs8b3DeqEbgf3gu1lCEdOmdDrOueuHsz93X/79a/92YdZMIGFsi5t/5fcL50syO0VnFGcx
1WMblUY7o7vQmnyPpr/9STq9uLVxoRNuVXvjy78v/renymlaZ6DCa8do4/eL4y7vHeIri5PIiAfc
F0ExIyJEk1McyHpOv/5/XG2LUdm2iU07+/vVmOtayhwhwrmz3r80RCpnL6Vb+A9d4yXG/f/HxZie
cCIilpQn+/vF5mml5dt43UkyGcNh5QqbF2dFkV0SNvRZkfz3G0m1iJcv4NTzoTKvSZtdbXdNMc2Y
083kCvNrgTpzD3pvffj3D/tzPg2FClfk/7uNH1V5Rp4j108KhiZLtU2fK3/XtKoLrYQ0/slK5zjv
N4SKm6HKHjKSc9tPS5jtjPP7Ts/f4HJjLWieHEe2+/FLq0DrR/rnOptNsxTqy1olNXTBGXHoJ0Xb
X+8r5hdsVvglgo8vqNXZrcxLOZ/geLkkUU7Ep+X+y1om3ScH9j8rbsb9/BTaS6xwfxiu0bVA4E0t
cTalxOZrmdBPIe0QP04MxUNRSiRqnzzIrRz6eBN/uaT9oVwKWuZU9Cmz87hM1a4X8J4mpz8tFgTk
vuvdUJCRTSb+5Ed2kChiIRGAqmx6+uTv2L67j38HAyD8iJtNhDje3x+mX4liajePkYvNwT/kRT2d
jLKpXgguse4m1cEMkF6XTmRPtKMZFQSa3vh2Zb8soJjJYe0Aa0Qu4dXHxFpTAewgJ2y4H12dkAlJ
oXmCJ0C6gZbV7WeD6L+9ib8s3B/Xzz6D2BvUYj5RqKNeI80TgZLV66vxSdXyt4Ua0w4tSMZWND0/
3KXFRGbrUqSdgTsEVC3khDNo94j+1oanvtfIgCyqPpYz58VPHtDfdkSU/jYKTCYqdHV/f0AFxutJ
+nV2wsBEO2NtDbffIZ2R8yVjSdgw3uKkZlQWGvQyzyv6+uQnLoFPa2W2zxuuUNwu7VroIYlIajwM
0m6AnrAmSugCTeBGesCU6vXff/YfT2YbtaFV31Kc+Js/8rRRWdTL4jji7IxKksDa5dLeLWMGD+rf
F/rjyfzfmV5Ay8Cz8ct/+I4ql7T3Zi7EqdPp6O89RxYBif2++YyWR/ZHy1a6ui5JHiZcGyjjJy/G
H0+Hy9skFzDrIhaCPubvT2ck6b8PyAQ+cSfNAw2aKZ78ROzNck5e55Vu39os9f2/f/MfCyOCGZNk
UkSBiIT/KBuCRmlZqbCDgk6qzkRRwEANMGBAYPosTPFvl6IkYkiPPoVj64ed1CbzcmnysTxZfNA3
jqh8JDFlffBl8Jmp5m+X4tdsTXB3o6Z++MY8XazoQtv0lMBo2S9EFlyIsWtuyFH3P1nv/+vz/rbq
IS7bBJUWrQhqoI8aqzzVR4IvBnGaJjD0IMPcFseSn9UzgdDz3JxXxwMhNDdtd8j0XJtjQHxNFjHD
WRAUd316btZyHMN2dezk7JuZ+532fN+z/I0BKIRsVc4nxeJf7g/Hed60rWTbGoG/v2quUsL32pzA
HaTBjxys50hqlbieNOYu//MLxvtl04FjS2QG8uGjkgJg36A16blSwH+yWfuGhbt4SqVmf/L9/LHz
0h1HXkgZSoeR3syHKxGXtgHpPP+0jhx5zmQPaQ+ESU1zNCpXEjJM9NO/f9sfG972rfI+bwuGxRb7
4Y1Ollrana8RC9mZ3s8WrmQJfYzjPdSJLzPH7v3S2+90Ia0wDyBj/Pvqfx7x/lsqeOPwQEIm0z88
xaBAegYZgaKGHuZJGwvUKO4mCLdkdWvzfkXaICcyfnJNVnGRIZQfiPC/XQEQ/HSGGSVgoEwIWRqG
5U96U39WlzwDBIDMgDiBYgL/cG+8xbXLDHLeGX679c3l5r2YfWL9rDptOJMmjgBTT71EHsnl10AW
UKx2u95zxbd/36W/vOp8oMyh2EC2tIRt0f+lwiTUy3UKu6D9UyblzkiW/NFEkw+NcXQ/eQEp0vmf
fVgLcILT5Nb/22GD7Y/55WKACQSOj7E8jwRbZWGfZPbBGdDvZ6PXPbTuSAC4MZh7h+L7yU5WLCUT
kWOHhmjX65nE4pi0DFCERHvtmF2lsU681c3cBc7VMLblBecTYt3XtX7jOCvOVuljoC6a8ohQIr3Q
c5KafGn9mGYPZwfO4IuugBTF5BjCHAFx4IHgyoAqqGI4ZkQ6Y249mbiT94VNrILJoJ7oKK/pN6m0
FSYcrLrQhecWVSs+HABcBRKyNghO/aRkqNrJOa/DbL8L2Rlh4Sb2oceuuCtp2exkQCR/TT84GjAd
7GdCsUWoKrEwWBLiOtPL4IDUXe7X3NSQJTMyvNUndzoVhgexb1my01ounjx0DX4xrSX3PaOIj1HP
p5dNnQ+XKNjXsO3MZD/pqtlX8IAvpwJFeasWg//YmM4cu382WvpjGrP+6En1I8tz8N202s55V+mX
QPmIldNH86DpHa0smVl8wbTtxp7vVaPbTZumzKKltTWoOsEcgjkUl9osiU4fqnVfIXCLPM/AMZm6
w0HL5vzY95Iwr8XXI+agdjSmM0Ffq+5ABFqhoRHmfuzx915bKrNDXdZ9lPWBFeuwEU700ZbsMIy6
cyfmNQdyRC0IKMrelQW2ttjegqpJpcu4wjRTFzvLqHObfQ8QunLdaPawXRCml7dXhb0oeBGecdSb
Ga2pPbnWLvfEcO1BDwEXVGG4MrpFHSZ2Uk4oqeOckenaB68KsrgzoS5o+gwPaYvc2hMB7L96qXCi
VQ6AbqsKkoChE0tNfs8691guFqOM5LL1NyG9fPJ1/WV5Jx2WhQ6rFG7V/5rGv3xbZtGiK6NjezI0
e4q6xvxWqEF71Va9j4EWJ59c7mMxuA1McHtjySU3CG/Jh5O4vbr0fWXingLid/eVq3WXMySJ2CAi
dMPRpVf50tBTm2jv/I91KKWRzqmcxYpjFEfJD4WglrYTH8vsnWS1jvdyqYs2dM0EiXGqrwQNVgOt
ta2FbIOgzHIV/XvF/LircXn6KgF7NuEn+PY+LmJb4GK2uGg+1maFFptgaiqdd2fRbqhYEJ54nb4X
/iTPTYJg+N8X/7hcf7z4h+W67RfST4SDqE8REgZzYeIShH6Spj7OtDP/x9/qWAz2/rMlbipyhES/
L9hapVudjmQI9PTkPcxKg4Ckl/3OFYN7R5CnuiCKOT8QUrSFYPrpJ1v4x5dsu/wmLtnUufTN/4tb
+uWd9useZhh2w9Nijy7CxSlNQIN4YBh9Pr43T29A0iW5RvC8g0+1+mSs8/Hy/91sanEMOdRO1LC/
//rEztLNpeCcRluYd/mMDTjWUdx1EJdI/d57c9M/wOjgwLcChE0/qRH+dnm8jyjS2KC5CR/qFz91
URO0wjkNJjGGsb5WJTsNh2YrIhPAviefpLLO65giXO6z2bz93181Mjs4/DCZ3Wwiv/96Tvh9D0DZ
OdnM/b+mrg5Iykmbzo/SQK7jJ496u5e/lgbbvebEv60qFvXBf/XSL486E8aSOv7snLpqLY/KcbNL
PHzQaVLdZpAyv8ji09SV7Qb+ec2AuQTyLQZp25L6yzV9kmTptScOGkOPemtuNU0wrqlImfj3rfzb
jyNfkIMrA7ttufz9QsCM0sQlZPjk9ARjyppw+NDMrPRGVQVokLk1HqElFK//vurfFir63SgKaMti
//iwUHUA0KoKED1ZVPkzSmdAHxXQF4epYWzgK2C4VeexahoK8rb+zFvDirwtxB/u72YV5nizRdtw
Bvj9ZwsiXRD9WtYJ+Xm/J6piPE6TnZPoXYlvAYoDcIX6WDhRObTLo2ak1R3GK4Jya8efQs9v15xN
Gdsb+NHkMKEXf+wXy6vDrPaKC2Q2m58F1nNoDZzGcy/TL1gc2tdRgNDdtUn5XEBuvNJ7EUReLgFs
uhPWctETksu2fVl2CrmBvojlWZuWYY5mSjS0mI0qJAeKENOn85QMeKyJYfNrOxJWW6idb2rDm3An
UwfW6fv7ZbS1GHHMu752yy3W2QYGVO3OEMnd2oTwx5S/Yt1EpxgOEyG9O2m0OcElIqjUHm08AQaM
Qyp5HBWxUNE0BaSdIqIH0NITVhwAJl5zCawvnS9weauEBA4X2yaBr0DUaIqfq9UU+U6WSzuGdaO5
L2tqEpvaGItzmc2OH0QW+YL8d5hgF+C0oyIud4YA1XfdtMSumc1XwVAkR2IbVbmvhA+BTGQqvQ4Q
+wzhPGS9OLRo25d9Goj12rAqDW6zKi7Xdp7dA1hhO43LMXHHvT32+ddhsNqHvF6q8wIV2cRekXEb
M8/pniakUJzepwAwS85Hh+IDa8DjBCoDEhktHVb3OYnqVQzfBO2XIezyoXqetXK4Xh2YKNVUlTde
USxt2PqV/t2Yi+ymmJzmq2f39h2zbpFfLqNnnpzGYrUeJ9jXXa1DZze2yjDroLit5bqGBS9RWCSt
trel0p8NE51sDsd45COdyx1RfdwHcxqGHa5eb+ckQZDsyCuv72deEWhQGDSdOB8NaAOmlfc9zvtW
87Efz9WbSYhilPSN2ElnNSPIqmBMWst+6VEhn1rOAzeN3W2wV1pM4Zx7daSmhi/UbleicWrX/5at
hX3rlZ5fHUoj8x6yLHWh8I3aq6Ov2gUbfwc+BroltXQlG2yzjVeruM6xZB8UYHjUHrqTf2PdqcyD
0y9ZcL1w0FvBaHZrtx9gAYEpsy1xymnv/uC9ohNt6MWNp8C6hlYpvNemaYo8HMRsv1p1henVBDIJ
oxBoFV/PVHLAlsmgR4TjKA1onEWUxQF3ev3spjlne12O+b7qOx9I3ZwiQIFJ6n1ttLa8zRc53dlL
ErwV1mR/I+xqAevYeuN3zU4A+mQmSqv96OiAZ+zeISYyALWtEJ/zknU/zNIeVvqxlB+h6u3qXPDe
vxgmqbGIP/NrLQmKO+HTNET04tb7WdeaL0UObKvXXe0uF27KKXRpgJkGSPhBq3cksY3Z3oC1u897
jntBTxUaUw6qew0jHRFZBhL/nlNIc6Nr+nqnaKd08Tos+XIkHWS9sGqALHE1JMUdKU95ZFpaTy65
7vS7vh8xbRVC6X1EDSuomY20eEH7DZ9HjJXZn2ffLV5LIbQ69O1+OfleRZ+dRtc52cQKgItYvNqh
AnU/szae07wGId+k1TnzCi8qFi07+DkICiurtCPAuJy1xeE0WhuIYLCElsfCsKtvRq+D4UpMEfxI
Z90OW70oRyCSZnCv55a3rya4YLjdnMJBWWhNLw3i+FPV+jCP6uFHNZRmbCD/eBcQqrKQs3VwojYl
ItxLXI6jerOXgf42c0YmlmiutOfVBIe8yfBDeqDjhT572dEw8uaZnm+5txJD3PlqbI++LNpY1vjR
AW26NitckGlqL/mwYiRcdhZxVieP3RdVXGbp8OIEqXeYrBGxEVihY2tlZHyyYl6SIV7GjZTOUdRj
d+L4JG2aDhvDHoWoeLB7LT1hm+x38DaPyE+yy6yckqPO/oz/tR7Ti4QmKktCbsPGdsVE2JFt9eEw
lvk1+hXzJtDa9q6ZJ3GR4x0PRV/IXdWhmFNjuu4QKTJO0ljhcnMy49GSRZwwSIksBxxkqA0aaZCs
0QqbW4clMnfcOso9IFZTkagHv1+Dh0TW1p1MEnHJ0kiAWm8VR6hN/Gs9J98Il5/3U5DoB0e56goU
cdWELYH9UTG368GoOudrsXSsSK2QKkIfK09stNOVlvU+sfhS3/VMvqJg1fM3oxy9x4wlDsm8ZQMa
znzzunJb0Oul4tdYo8OSt/BPJAJDu69sKH1VMHPAdof+utRXHpNBArePnOPIngwOTHfUYzrqxlk0
wn2DDxCYN8RtTN7Zy9r6+zL3+mFAo7RVlXp6T7RkcOiydj4tue0e9a69pvGaRRqIqUMrQNCESjer
nVkNWhwkrv+wAEcpI77aEuGvt7BZioxSJ4HW8kPPzPWsdJjPntfUe9Nc27e1DJitDcrQYujTfYwF
NHnyMKAPMa1pN9ipruVD4z/Al66aJPha5IPJZ2/4WPXMxowSRBWvIrVFNPJs7KhQVX5oiTE9pv6a
Xa9DRXTHUGqYyoyMbH7sV0U4L0vB/pfW2a7wiIqou9U9DriEXpa2GGMvy5uHAdXg82Kys3CeSBAl
jR22yyG3u0M3stB7i6e+rSb1McIi74csPT32myB/yPTCAWOd9SBJ2uZK6wvqisSpoQ14qjf3QPyC
W+p5YwwXa6hPaz94B7mUbaSWBFCS0gsETujNBLvUKh5Hpy81dJipe6dnfV/Eqz6tdlj7wrh0bBMI
GtHNItb8av6Z6w4GX84joW+JnwVHpdDI0/XJqDu2WmV6GtxKB0gYPb6I3RIwEQyP50lvYRJPa1sf
CKyBcmnM2gGgASLUbkZ9hm98fUe4p5OOTHdnnfGd+qLxsxC0Onjlxp/ucrfJnowxSXdtk9hhKrQn
6dW0sp1OdHtnrEBSqKL/GhTyS+EFgOHVau00by6+e8XgUaWVJPYxds3OhMKPoU6uVGSufjOcVkjg
e4WtKbgw+nV5MmuH+s9MaFkeMDz7YYM5PfJGU7tOF2vtI2JHfOjknQz7VNGp3XLsjLT1HqC38hwm
BCcvLFFGFrv5mMQ9wTJjRJOF3HSKCkL9F0H6r5YRwFnoLIEAEDTnfi1q87gA4OSPq4eO5JfA2gO7
7LMYvKFToSVDLbzr26xsT1gtNfqNEhd16djfMTjrx7lPwM87iGitBd/N4MggnEAK7mxrNXajzriV
MrdYIDeZ1Q1YkOpse2hxMqP0ob5VbUyRudJtcKscznfHDCwItCUcC63dmeRng91q+js8BPflMLyX
vkweuqW/rRBePuPawmhIcAUxImtei4PqEBaQHrPK3Qby3BtOV98KMgrl0qlvWTFbjLaZxxCCXTIC
ZwgPe5rEl3y3KmVfywqo37Ascohr4qpopPrpRHIB6bexIn8xakQhoF9JsoYjZlnWFVW+YDfNn/rZ
QmTXGDt9Ule91cCnzOrqglClOkTIV9yw5rP9NYV3sPQ2JZNSe0xleh906RU5tw8WsTA41pWIQH8X
7P/516lwjrYJcYymzD3pvOzLI7zQvFmgpHSQQdD4LBIaA7Pu4bqlYRv7sz7cLrb1MJtmTH1l7+oh
Pfp1/lT6xi3vnTikUw5AAcWXajyO29brKB07Hrzqju/+bi7sOQpy64dhqy+eoX31KaAiomP6y3Gy
eSxkGwNdtp+h4gVhW5XdPZUNeWy2mzRE3pjNTUIHOkKAmEe6xgi/EL44GOTNshDWPxMNQLwerG7c
gUO4QDP7xTLEjyHR64NMplfNcn9ykA3CIRA7MiFOJYsVPPu13FlNdqXgyx9n+qtaMzw7ypoOfT5/
LQsfMqKybu0pKMCoWmOZ4qxe21MFGWk3W7MBY2NlkfEBPY/WoQymY5MOYmek+RQv1fzNFsMjhdED
pdwtgJohmmGlr5OfHqdeXLir94WC7IJyQVIXYKROmLXFbq1psSEt52rmi91bVS5uFkyAgMKzPuwb
S0aFJHBiE7jOgwO6Mrv22/lBKCDyvlk+2Hr5zVnrrXGr8tgHIxHPI6c+GGsZm580Y4VOTc89OE5c
kTXBPQrXeJGjc231uPXzic8j4JFBQltiZ54BW+WkLajCfeVM+3XNxFvioCkyyvawMiC8VXgewmkW
6lioAtytvVyJEZpJJ2tA3WWz4ylB/1otOzRG6q68rbowcJtnPVmu69mEo+FQWYx29oA6RIsSaOah
q4z6jKTVjfXW0PcrJmigJI0LQRtW7Wjr+4Ex8dknkuIC6aNBsU4GTdU2F6mwfza2f57whF0MOSAK
mdV0vYfUPhdN0Lxj6EoenF5AqHDp29M7CXYIbt9qrf5RGSzAoBzhCfkEu09C7jwwVmEykNrMTyTa
Rk+C276vnw0fhHoKH96sfxqB2js672GfBKdRqm+tS0JqxoZ+Hk3/ZmhXwN5zxcSGBU0NJKNXFnV7
X8LwrYaBLHlTe/TXie2V1JQL0k3Ofa+ue7v+MhiMMwZzancJQURR4i3Fi6aS4rnLioKH5D+h6+RQ
mWSPqUq/FXb1tUdNGC0dl+Joelc5670ye7o3EzS/yjDDtW4vU+isu0ESx5ZY0oGqW8ooSPVtuKDz
J3pBEzN39CnE7bu2LcpjM/v3STtk1Dz9S75oyWHoV3nTriCiUtWU1wMJD6uxvlXlyv9PWT881Kpo
LRYwUT5kljqDtKjJJ83lnECTsjs0TW/vM0sHEeQWbjjoqx0tkG2RaauwtzBETYbzqnxPxWqASoWK
e32TqQ+nJSNXOZEchJmH75p8vVFFcykW74IiNLb64G5Yy462QvFd8r72iRIHexo7YOEYyKsu0fem
0Xc3hDU0N8wp0zAtG3EKpJyOHkcPkDH1cGO5ssICAB5aMO2GOWqM32umFBHAsySFrRyUO1fLMWII
4YTAbd66ioKV0XiEi/SwVuCYgjq/FdCgwqQT3+11NV6sxu+idvCssNckJJzAORBl9NJU+TtHrWGL
G9h1mnki4AcRO4x1EgbHsBuMu7nZHl6a3cmKcjYTrthrdl8eXGV9Fflwpw2dFaL0uCf4tPquFe13
qbilXZb6sTdIEXcBO7zrCbX18+6WpN6R3fmktWsZSk0cZMmLyVx5pzU2/5J+mbTksu3XAQ27A5BW
rvLYW8NCqJUxwc0emBFtThu3nOaQCSq8VmoTcjDOMmsP9Laf3cG9cbThtguq2POoEOjX/KybmTxA
W+XGMZ+mZ1/zLmDIMfZS5UXnBicGbteeTxJxtiTvErCGV/H2WgspK4Qoyp2W5o9LKW6nvgV/Mi3o
mvR5CEljPah6pHIc1UEM8grVe3NURvY88r7rLD9RasGKLnsNK0vrxCTSPTS+dls3DvRkSOSQ+oCZ
VI+F6Jmz847UdZGEC7whCenD16Z4RvmwBci+NUlxy6TnUEl58Nz5ucwTxmzTFWvXu5qMmAL9jEX8
jMP9ovXUS1GUExICIBV+Etv+ej/5UKyhQka2zW4M1idEuk9KrPIuKlU9F5a6KvUioOWTX0y2fZtn
2jfTaw04pf0BWysa4FZceWN6MBx5JhzzJy2tJurLQl1nXn9pZutPPVcMPC1K5iWRkGiKn1UPGbpv
Ho2SaDLTBkpEMoLAL8WQJNve245MPal5HGAl99W2iwuS4V5GE9ICcXs7K8/f6Bgfisy/y5tqJ1Pw
RKLgiKps+63JvA05lF4xyb1y25R9s5L3HW9TmJLEluT07nAdxO6kXZTkWYWg0LZOTrMPvPQdlDUV
pLPAd/NHiOq0aKyF8oCUi1CIAOxgNWMVLO/TgVWIgObLzJgVXdHgGi3v5vA7ezmgOGfgqFG9gq67
68vkakraZ3hnaWx3ze1C87LQkouizW7bxL3S1+nsKf9ZFsVj25fXa0J/x5mexsWQcaeLgzvS3IFm
/tK48jway0vTkmlrC/gWjQ2bKl+/r4tzFrOp+MSKr4OV3RVjsF+nrMaNkuwcH5Ud3RiaAye1+QHr
0X43UkavKunOw1Detab1nNA+0HXkkagLD6Uu7xucSiEG4xMNua+d5PSfZfoP9uBH1yiuslHS6rSy
2HA0tiXTfB6r7shK984Qvyd21B8jbTb3LKjgbNvkzVYuiDMfuzfdEVLoNOe72daP5ATsROI+ZZwD
fJEQ8+cz8q0TyZrC/DrqHanoWtnlZY+AM4WnOVrJBeR2jXDB+aY3/bdEr5oLtuP6i18kl0klY6Ng
Fm7SXjYUa7YXJFHve08IVq7XHLFxGyzqOWmo/ROfYsCZ0t3UTx7bEBVDmhTQqrLkwuCQxRaQDhdo
tJ/ySvOOqp4C9sjyMpAsN4B01c7r2nO6DK+FZj6kE4T0CtNOrWV8R8Q77DGTfKmmFHCjV1w6E36y
RZ1Mufa3jWAiP6f+XsvcmyE3ZezOAcoZXhNDH+Z9Z9NpCDS5Rzj64lIMufxVB1ciC3KHu6wNOB3l
xrKvRut10OoxRr9khkDRKLTAWEfKbLlXshtC00gFdp2uup9sd+cEVRmjzZz2mbKfbQDrIZmZVE+B
vEw8vYvUqHOE0OFTMdMnInlML3WCHxOO2ZGTt0PsevIHfRlAJLVz0VnzRTdNEHlAojlEtDfjOt+K
ulleOw/IBU3aNiItcdqRWQOtXU/2ykNgwPtnHUS31LfTqt0BhF3fss4HMgnF85g63txxllWaFVpB
mt3IpMHtosgyItdcPmjKym8ngLI5n3cZhOukA7DfSIxhplfOvhZVczVpHVQew1wfyToWUSXrYOcu
9hL5BEQ/WWNXx4sL9ZyRgVlGljQWhKrju8wKYPP2QLsqIL7cwEtv98l9yvKlQ7u6XZFQxm3v05ww
XbVe9emYPhqWWVFCL3sObXeoD6/Y6uaYZtqek8Y1CU3uzrWb+qDzEkepPe5WQkNjRycoahUefTfa
sjFZ3NNB9MmeduJ3uoAtu7OzRE2BWtNDLoK7ZJaPW08ustVK2K6puljm9XWAD4hKb/bCTepnJ8MF
x2w4SFK/g8xU7OSQXjSz8WXqk7tCJvRWVXE0RPYym7QMfCNhgCHosi9Suy5oLQI+d9+EI+/cubgR
5urssSaxTG/VkNSvaL8wYLA5m3Q09ZevRi1e8IIl8DzNWxJIbgbaHLHTGmdyJy6Zk5K866svUtIL
q0ftain4uKtNyFLa2avoYBkALdsVzXKp08kMCXiaeLfN10pzrxt72Fttcs1E9Zx0zj3p9pddPh5Z
G+YjIqz+0E1NcTEsDFJCq0mMCL2kE9mjv0ZzbtOkSU1cjOW0HKzC7+inGO9e2T10cCkM0dHc7oo6
ZkaNj0ZddZX2SKH8czGHpxqlrLF45OoPdYtj3bpx0nXvkGyNOeygd+raM0sHiQosTJqwlrZcc0Z9
IwCLkZmZtHdd7RaRYTbs0NZ9RVM7XtsquALWe2BGe2nTUYn1ztd3rQ5nr7f4sZKt2cyTnVW02E70
3ZKyIDMzO5WaS1ei8dAJqx9L5V0nlUVzfroYO1PRvl7a8zxWNiMfV7tIVc3ZjGLHiruuJ3S2qeR+
sPXmci11cdsiGOYDd9/GqdJfR2NDT6aWdZ8PE7M6iS9jzvP+urMZjEgjmV+ot9Zdro/8nxw5XC1d
XUUeYNdwXOxy15Awu9dpvMaZ5MGJwkLspDKIiBwrq4aw8XlOv9FQYm2fsvlAJvR9W3TU0sIQdLvT
lyxfWf1W7ZpdP4tUiWTKL3jrEr+/s+gj0a5ZxWFB31WFHQrUm3lU/VM6bkVypw3xRCOU50xjm/iY
PhIjpUKGgAz+YefGSYaAzJx5uUYJrwzp2K0yJ43yorH3+uRoX9ZuRRBrNLwndpce3NV1dqVR6mfH
noy976zidQCpeVVqoEbHnFe0tmmgtJ4Fe7KYjTAYnSaymGBcNZyGH8y2xSpFWb4zTA6wZCGXwa4f
W+frWqZi15X9GtP9fC6T4Sde8vfW6zI2iFKPc4LidqDgebYlG5XmlenBn0S6a1TucCh0831SFG+M
IhiFVxpn2s0jddR9FXDCsThObYHyzsKgbvZpqlmyfsjTotwlfeGxLWrPIN+76wqL5eP/4exMliNF
srZ9RZgBDg5sIeZBc0opbTClMsU8ODNc/f9EfZuqyLSU9b9oa+u27goFAfg579gT3fYo+yZ5stwh
CxBy6Bulj1BoGjriHA/56PeAjoFpF/O2lJLl+lIwYWXuZfstIz+cGbZEk2t3aW6736Mha3dDZKcP
owe23CeV2KqwGVZR6bx2XovmJAUZI65VrqKOiIC2dfobe6ImOs7NbI0miANsgLKdHP0jHLJ4kzW4
XZTEVkrTTwSxUT6bl1rrRe+rTUggCRvuIsINtPOxBUzP/IWg5tWQRQnlXG06nC38YmtkxKZfF0Js
J4P3dhSaRZBkXbGNZ+2XYowiHWFgw5M22D+5tXdxZLNByOi1IwX+toDlpmCNrQOPLJSaI85g4j3i
vvA7xSzLZhwofQWugWPTnhoKGleNOXs0PtjyudVki0kv7JITUVOVP2glY8x4rIz2EOdk4ytLbjrN
xlZX0DprtevOotPUoIyXRtju1inktmjLG6PkHy1hdWWars2+XOe8nTd0nCLOFA1oRuItK1evDmNd
RH6uD8clM8ug5HP1imvqjPVKDOIfjWbjd62gEHwYopXpLdySo2D86eBS5NR/h7UY6Kz1fizLsFKN
/bHI+Dkzq2ntyOGsy/TUhB1RvtVyQun/M2lFg71zOs4kwfhRfIk/FQlBV0W055TJaEli2YotgDEV
X5CW/FSJ8Gzb1Z6Q/AHgDaBTmyBFZspV49w6hnWXr3lj3NNNe2xswoxnG6CdoC5WAu6b+XLz1Mzq
rZHuM4tWBRHGE3O/1WxKU094qU/3YJrqA73TXaJH9jrpQgjBpvulDFhpLrvpej91VW9br93pcbLB
fv2D/cI6V2PNAlk8xMTdgz3EeoC2dp0l0VvS5Q+MF490biM0qHmLNjFBxwt/m57na4o2RkThzYnN
zvlujaHDO0Y6vEqYbRMn74LGcSa/GS1tn9Gvk46EI0ZVfW84JHx2JRrZ+qmsAf1Cb9c26Tm3YGxj
Xd30yOJ8C3Eo+rGXMLTXlj5sdcuLg4odI1icpiJoqPieGOKnTjSixnpvF7xiyeJCC6y7Z9GCTreO
9t2x0mcgjX2YJbSxyOoOzhEbd6re6Eu/we+4JkvisOjND2TY1qbpHcfnpbYVJBz7eVsKKPAK6UHs
6pta5Y4fOmIJCpPwH278c8RosbYuReS91Kjsbptj7lYvS2wNa8diIbnwE2VR3xWjRhcK1e5lS99w
3m7Srn8g0BxjawF0EhnPhGw+2nn6gIjrTqXFpzYByYRND/WcgO5n3Sl1mdK8hBYX21FFYOl1FpQW
Z0Fclu9DpPalWbo7mwh2ETrNunSNfF3I9k004h2VD/dkpqhoH0qcRynmtWw090oVp6HMIWUHwi0p
C/bj1u32RagHZuNWSFCpa28WS3DgZJTak2S+1MR9LCPHlBi7XTuwj0p7eu5450SjawQG666fS3Ui
kvNgxO1TbaRPmHUCmY77iEfQUN6mbjMSCCSsEv/rDc7CMyvtpRW8XA9TQ5PlXGU+m87BLar3Rhqn
TOSnuVnMQ0Qc4io0vD1WtpvJiO+TMtwx7W7yQbDfQxIR1E/GAUtuYMo6mMf8tk35D0yNvwZTA4Ya
WA8m6g9ck82tag4VqBLKuPUyX66PLW6TJLktwP95e5HmH9k7zS3fizw/sguAHQzjtm/q8yUxkZrm
8B786F2p4bYs3K2aGVK06QmI60c7Ge/OXNyqywaYpfEuNkzKAS7Yl+19W2j4Nkvz4JbOgVfrez2L
mA5756bvytuwlMZFc7Ssejd6iXoNQKS/SIvEsaMJzq/wQlK88ZGH7QtWLAYrQI0Iz5OfJ/055nvT
OtyhQDRhxbpJD2hP+t6gD6zc/pMwWk48rDw3szOHa4o9YIyRi4+0Say8Qt3HNkoVApfXi5Fts4jw
Zzk2dybqFjop61sPD/6tMzQvKnN46CSSAG/s9zEEi6e5d2JhH5sl6owoPOqIGMxo/KUnQ3WJaDl7
dM839bRzZLFr2koP5kTexyY105KRNvbiZ5Pi+kUbFyCz2F6PhZet+s5dDqVNDXbXgC2EQNqD8Z0s
hoHVYlZbKtnZ5Cmzf+IZsTeZqz00Uc/oPRfEw9MYPYn+o66izXi5qWtESPZcfvNa761MTLWmRZhs
vdZUAaCu3KCXp8q8rb/psv/U2/q5TbJNWPMWFKVznorxOY6cF6dKUWxIYP1Z0y7cRMx2zIXn4rEe
iyNZEcB4jn07LxGwvipfsfB6wWBlD2gy7sxQ/+k58w3e7DOWzSiwHPdZwzfgi4V3Z6khbLFHhbQk
/KZjf/Cjzn3UB0ZOs0QINEee990DTb1xWAbg6GmDzdMnu5Ynd1ImAF2TBF6GmiuBzOu6+VdrNycU
mb+UNHu/aIvnxB23GGIc07ftYYvj9qiriN8ShY6xzXrjXdrVm0yZi1oXwUIDiupLS6yiGtYoNMN+
lbMEWN24l4q/X0zVPhPzS6+Md4stGos7+otMZxVOjLeM/qVaWnUAXvMqBh6Iinwjv8a16WdaXq41
PY1XqjJGnwps/iSZHV0hD4bV7o0F3IbM/X1bqZ8iiu6cEp6x0frdlCkvmCyvWGeT+Su1gOXz4TIP
LCkwH0cgunAHiM466CreJJ3Gy86cfGjdx2S2CRVQr5adB24KpxZXlnGYJ6RDYQiriEqzRYbPBIIR
JIEHZ6iYq/Fd86obtr43o+o/TC367looslrPTQLNaOqNUrCwMqXwqnf6rZWUbzl5W0uCTMbrR3Y2
Cz1a2hW7wo2P0h5BsXtTbe3QPsiGG7UiJ41RYnpJ8tg+V+2y5cBvAlTy9J41/Rlw5jnv7U/pDQeZ
kX4SFZ+dgTZwzlIjYHRcqdTde/GiBx4rY9nZr32Sr8FJjEMupncbpmKdxs0OMdGZhwh4LIkfOgTW
fiT6PXvSOcI7587J8+RVnR+Ownd77b1bxm6VNyEoiNyFFUQIa2m3quS083SKa9uk8o2w3VScQwsu
6hwX7KqYo56hmtMcAOYkc+DvIUrf2C6OSIj2mlOey3ReVlULcyKBVfR+fppQQCReXhx0rVkn0kOW
ES95oPfCxqIgDdC+LF3Vanwgj6T22UWSLTD7hr3+g+Nm5xkk9hcK0CVqnJfIgocWcjo3tfWUGxh5
UltW8OTFQ80b+IBMhMMCMtOvOvCFwmIt0mCMgUP0sxk75a1I9fu5Hdodo9TOytPH0Ywe8lbMB513
x35S85bz/rOOeGiaRKwXVasNJ84tAdiIB7zpEkPwQizpK+dv6TfTsBWzeJsIEB+S/KFs6IQfCQXf
5OSCe4P7uIg8OVRZydPESarr+rhOmPICg0kvzbIHmgk+OSPXbp0/68li+HPnvFM+s9VKklqIqfZW
1TQeU/4xfsdhN9IHs+KY/mFWeh305LsQBQvUDLGLCWV5g44v1hTSwk9PEL7YbW7oZgEDGIrPKhnC
lcFPjuzMA3Rx45XOes+O/gCGAuBGpyvSafZPjh4A1gQ8bXpRjSy3uVVeEnX5o2f2enSs2Jdgzlcp
h2yhT3ejTO61NEQhJUdiVIptVOjoNhpoMK15KeuGl2YY3hB0pvk6IIw/2MNnXev7DFjK7cXdYsZn
K+0N2pFLrEcT+Jcxwzja4WsxOdVOL5GWYMC+ydAq+tQaflaLeAjLQh5oT7LQA0uOuxbmjpQBxePJ
d4rREc/KPEWi3BtNdJyX+M10e5v3kQO6pYS6cN7fwtDB+qOZw0lNKGlC3nTCiDQkdlO5Qi8EhhuC
IVnehBbVpQQNMjpz011dY36aAQ+BX7zVZI3rcbHnLUU788FQWhhgAzx6Sn9IZvjEjJd62Se7aHZf
eOQO9pRfJkp5Z9btB203N8oydhxd3s6Z7NVUIw0Zp/YmzY0FboOXiV45W8fE2wLRtykt6zYVWGQv
g5KWcf802UWRApDfyzko827VOP0ABGi/mmEa+prskBdWWBuLKQKxma0t7yQilKcSDKCtwAo07nnR
x1vsD2CAc7Q2p+ZAN/fa6Psn6KYtM+sqmi/h3XV/m2SOAg7PvXNca8u9qZZ7ZUdaoKtwi3HgriYH
OaXuwa8K+VEXYbfL0JP78Rh/85a4D3IAoEShh43lUzmINVVA8V4sOhW/cbvvSq9i7Zo/ljBm23JW
hC6+OUCefhr1D7EFhWGi0RhbKsTrJveT1ForB67KM0DmDP7J1qlS/WOvssOcaLsu0W5Lw7htlpGh
aPhpLoVcZ9llIxRvJHswAIdEhDMVcmgz5/QbuglQ/+QgQz0vpq6c7iAX7nNccxwGdJFlkt+TP6xm
+g3YFW7MQnp+Wc+HqjI+G8OkTMe5dEDHW8PM3rxuvCkH6AHuEeVX3N4J3U/IT7xdnAFWJVA0YnKY
YYXHlnAhDHl10EXbZNmKnIj+SO0CA4Q0czTX5q02axORJP02EhCHRORuZGGKFePGdnDj91BPzwb9
RSZ7BepE72fjgidWI0oL6NptzOYU1EBt3whcnYNOmdsOGKIvDHjZJfoR1tWptNQYSK9DshY6W9bo
jW5ki9+hUUaXf0Jrba/Re/HflEREmM3Ji6LxPRrGZjddAr200DL2s+3IwGqrdT86n2VT32a6Ontl
tutt/VAQDgqtbr2adKFtprGqN634p5ikBK1sVX0ritKB66/f4BXXYeHe17YRHehhesw46c7mpH0i
fHs0vfbeyJITHm7E8HltPGhTceeO3TOiT+5AjznRkhOvu1l/r0RzN4gyXYMBEAUVbufaOIYZV1G2
c3qsRfwNHeCAtXPI14NZjDD52kqr3eREHKLhQ8qWqIOjX4WV01SX6xbKY8qK864Bshh1d60WJpoo
b345Q4pxqFvYukIr+dHRKLkJbVXtMCmfCgAkBHJITYq5DBgyA+Qfd3Y9YaFzlrWmYR2lmMpTqmKs
sCXvTQ7WUjDy1FG1BSRu/HRUr+lSQAt0oJeajopwRq0Na55tDeq5EYp3pw4LcaCy9gLgeOTQJ24c
9J33hDoeL2dmtKtIv8S+yXoJUqMwdlnK5u2FjPZoZ/xRc58qK3k3u2qjUv4v1TB8sytUD2GBW5cZ
KEHfgRHMzCu4Vde6HYVxoxNsjOJAX13gOm6VTThPzqHtmnrHNkS3JjdXhGsPLQKx7Y5e3JYa53Zv
jg8mYfnIbKZ5m3fG1iG8zrfNsr/oSr5lrf5QtuyUSxeKwBpgOCGRSGOLkV5o4qRcevMSjXHQWOpf
U5I9DKX2yxtR9FYZbgQX9nNDdce6FsZnjQImi8fXUe9+jE3+DWsQ5V9ouEgqQ3Rm/OgFLG5keh+o
80ivo4cpJsvQ07iwRj2/DcUiUJ2W3iZxL5k2ngNzji7xoEJ+1oG11w+N+nWxGtampPqZ2O4TGbXf
YWG4+WATh57ROZ54ldv6/EZc2n6gM9iv4/rdrDwIpLqPfi6oGnx7sj5BwOqdPat3NRDIsTSvVqJ+
JsI+9F51bk25s7Lk6EbmA4uFuV2A0C7n5A4DDPv/XH9DvMHSE4pvFsFfjKWjfgq7eBt57oG0OJ8t
rdonQnsQIlx1nT74swco6Q7VRzhnPwTXtKgspEXDuJGa/uD2codbbT9Aw/sFySCBapyd4aWo+rRV
28MqIan8mbZeF6RlSjA3g63s03qVTOmPJCtMqgHc4pTjU/FbK4MhFdR+WbnileKy74ZaMUChodXQ
Gly0hDlO20HVN0nIOom3bOMNE5tKEd7mZPD72InXo4ZCYUZUFgw19HKd/xwB3paweqRpE3GG294a
LAbeFL0mqjp0xNv48L/7BanoLZUFL6A/gSaZ3+op7YOpQ54xkA8XhEN71PthaywG0EozoVqbJEUp
YseNSqKe16zS0nzvQnloNPfWYzv35ezsZl7ikLjyAs+7JNqGddBaRurbSh2bGleliRjaAJtfpXV6
oEi5Y2hCcGSb9tnKdRZyByEFru/3GoLRiouzsLUzs/e0Ty3gYMCNbTnDCPRWxOFBKnGzBmglOgMn
A57nITmwGY4fZjKNW3L/oqfOi/AK2yQjDJ750LTTzZhMDYNlOHkDr0rOC82tjb0awIyXrsnOk9aM
d01jeFkQJ3wvEsvnw0QcSqDywtnUknxGdPchpCtuGe4Lvf6ZNhZVhUahAieMzQ8ikJxzroriARge
lVIRPebAEDu2GgKZXLPZkoAercgyiveh7aXbhjrWBy9LshOatM5bjS0gJpbfFNbC6MtmPVVCX0dk
WM2+3vMyX5Ckp2QY4ksY+3QVN6BcEVTn3naa8Ru4aLwaIlO8EMqcHnK7QpTZINWLTVO9UlFd7Me+
G/ZtwiqhzLYjEaq011Me2kdjGNOFDxkqZJtFpdBkt9mRlvHJDtwyzz4aK2LfyiNIzjqt3pesKcha
Fbi9mq7dxnarPqoQvba/GL1pBYkI4Xud+C7LsQMmZmcFWFPSY67QbbNgSbxkgnM74OFF9RhfsDOD
9RsqylkrhpdNF07WWc32D6/U0sCNgVPykoTCidT4G7T74GStfHOtstssHrG2XDICFzsRZST4WF1g
FRGga0Uc7G42xA/bK62DpsbiqI+q475qpzYYrbFgV7z4FNqqK7cNlSkBbwXIdCGrE1CAs66BufeA
kg2jejxAFyJrBEKcHnMImbXFebgSGMp2QEfFNi2STAeAFRA3S4uvo1XdnYtkgVnaU5uCCKOHDFfL
JsvsKGA1bIHUhwtb0yc/5aIQO4yD1nF6xLyabEi2VWShzwN+sh7GpW2Palqa+zIRbkDCj83NWUU3
2gKRk4VxBHIUXywkeY6oxM7RAVdVdzOn4XLjDNPPKdXzkyMq96KyYOaL8wXW0QbWNK3mbrSj8dbK
CKpJVViUPhj5xYMdsWBpCSrqfwirQx2yNvrUlvTdWlsMl7hSVP/4uyrehsP0Q8trQIgMdNMisAIe
rp83YlwWYiaIg3sd7BQleF8imtZcaGA9T5tfWiabbwISchP32aNTw0E0ibWcllqFjzPfYVWTvvRV
DvdvyZ1Yc6nGpQkZMzB1yNc2ztpijsljJcktyxYF+tyHW6KuXAbcSVTtLSKH4TRTIHJDWk6/423W
PjHVec9m2lTnkR3A+MKW/gcXPKZo3bEQyBPqKK6sycTZa9RtppT1VtNyVJmykjUJ9NbeSrrlKxP6
n76/ABNybce4tIZdpwHVEuVHW5XuPiXrgF/aiuLvbaSQUuXOUNlvSxKr+97Rxp+IN1zo4Ba+phxS
97HLopolfqZQ8osrcJ32wG/CY0/8gG4TZin0qwSnUmPvtNueQAxTBxWmFve+7owyQWXbMkbgeSFf
5e924t/s6CCa/2dfZg3SCev+r5s30TLTHnrOEFDKsNlGM46EY0yh4xmF+UXFYZfVezt7EfvU7HwV
PvabV9txMMLSWs1vIBEAXZnh89xTZm8SUwx6i1by8lwBHuhmYn/h1f7t3rp8TVenLFWnHIJd6b9f
k3WK72571obEQCw3VRd/AxPJPtnK9f/1R+Sj+PVswn1cOiGuEybRkBFg4c7RwTZjEIzICBLPqk65
QvCULVCxf/8Bf7tn+DjL0LGDExFAB9XVJexNFB0NlrSD0EUK1h7H3/MFnSHAEiJDP57a5IsAqD9d
S3JeiTukNcEgtvO/19JujTAa9Sk5KGEj7o4FGtLEoX/QwQv4xe1p/+nrSRMHmHt5KXDk/vfDypzd
X9kEQ8u6EyC/fZb9dLOE4buXunFBmkTMfNCiD/NbLAhmIFFB4jwKZ/sjT+XMmlawcKGcs52nrHPx
FZVz0lNA3ESAbe0wjJXvdPTIAE222pHiRAOvW+b0iLyNZf4eNxOMRWq2WNJD+kbBTDk2snUcDXMR
oHpHj2ZQkoVCmKiOeq26arydioGWbrIIxm/LtOAikJL8IgsaFdhVRDYLiEgrjpIlZNBsaAyCfuZL
8N+wSoSbPo6L9yhMgLOrISz3rUdfqR8nWYWJ03OHbSFF0a2SsTSroDfsJAncRY2Sb6U3d848Fg8Y
JQwsNqJVX2Vv/hZ8wFNLaJJjImYhl+Y6qsUJe96NE57RYaFOJuxnLEgtoYq6zNpNnthq3drW599v
8z/cdDy3ZElYLhYo/TrRKp2FW5kTNOIQFzq0bt3Z1oEYmVr3RdIX2ervH/en246DgXYeAmktzoj/
3naFkdU69AAvpsYLN4TTjLtwFq9GmuQrIqz7r6L9//B5ruAwlS4JOJcvefV5ZRxRTL4kB0+FYt+F
ZnMuLQ01eD57j6Utnv7nr0d3FI0Ulwv6+9VE5jdMY1dYm6gZ+hPpBfamQMUaVLNqj5bXOF/lBV6u
139CIygtIMcSZIvUF0p6rkIjDE0ntx3r4cErzf42o5kGo2wp5hs6XLFhFoMZkASIcgkrTqDIcUB2
QQR7MbbF//y+9CxihvgTKCygF+nqjO2HCPck5rJDZEE8rC7qh3KbCHYQVivVPzfIKB//frV/v3f5
SKJHTUdaFLtcDzaKOhfkZUl6mAah4eF1YQ1oJNa9HzZ5DV+l/v7+dFK0eSk50S8BN+513mnKcl2R
aEoWAWK8DdkX9l07JGJT1mHzjs+i24DJzeu/f8U/fijBvxaHkMFzc/X7enFWlEVHZoUZZmm2AlmR
W/IQXhICQTbW0Bgv0LXDF4fDb1EoJG8TJ8IQZxnEOdpXh3rGlc6py0kOvdvAVqZFGDQiRhWjd8na
rM12L7XI/YUiBcGEYWdfJPmQ4vnbXc0iTKy7ib+dv0Jcnb0UUdBiHw+wZwwT554pCfg28zSQtcby
08UaDkk2ps8Fhs6TkdFBshIaQSVo1qb8fYo6azsY43Dv2pwAgWnhEWXPwChObtylnbrVHsxCi4gP
yKqX2p4v+gXNKHYpR8inQOP4hE1tBK+1bIaMFCcT/8hfo5DGFiJxCaSY2ve2SIwNuI36wf3pwLVO
DmyqJaIgg37xY3z6d3alOOKcyTpAClQr4WRS89uuJc9k8Er9iHRt2Zpx9F4vjXG08Pow/6JvXBql
bt3R6o4D4rEbMct2Z7uxcgPiCRilZ6OMHlmo5W3eFjWGHVXth86pnqmFaFbNNLXfZTmnbw0ZfB+J
PjtBiMH1nGJB3+Fbo5DdiuthRWWXs7GLMt1ZqBVP44R2pRhxULZl6FBpvYzwxaaxct0Fq5BVyF02
1PVpSemJCwphxBByLMSwdXWGui3Lf4Va1zzqOWrpVeoYMUowUyIvnVvdQvCvQ9ASuZtW37SEaiRq
xYwTcm3z1zy2Vruiu9CR6wnSZSuaEXyyUlZ2cPvCfqst1RuYfOZli6oiC3jRio3qW7HVCH66hxpO
72e3Rv0cSo0ZQEstIHsz2ZpJvVD/q8InT8/71Vjb+jlvSo3jzY0mciSUap69yhHIh6zOex+1avgu
55qqr4JEmbytp586sb2Rb2Aq34f5P17UvMcnMGDSiCt0ACTorCPO9c/Myatdk2NFGOMifbQrEx/p
AD3LoqHR0V1HznK2sml+rCZ7vBmtBusj6ZWvEAbGEZ2m+qdtgtU4ddGcTUN015oZwYc1QVABan+s
gAqDtAiKlDhlKhVG0vjCbF0a0GKdmbXaFvyrEIF0p/6Sw7N0RypvuJedIYfybQpQOXdp0ftryaD/
iLBq5n6XlB7WGFUGFD0MGEdkvgMCRztDGMMulBj1VwbE9/em1fpTQn5CkFl6ujFkbK47iKR94drM
bKqWswwITOnadR+lNaZyCoEdI5dPPbEltxro8z7LlbvvB7V8NKUpV4M2USBrdhHwvlz023DAHVhM
3kIIDgZrHUxPQKljY4W/XghIwtbtWVkDG9YDdmqjtaKX2D5WpTeeC+ICf1Qz0mEzi8t1mXgz214F
T3HR7DLkJfhjFlPDyhqhD0cSYqJndXqvQxNBOg+hKImDrbyYX9oWfQJ2XSQYvWTqj5An3YD+KCCl
ObHhcLWc7l1N9d4HOs34nKmu3IC/udwufbYvatvaQaKPN0lmTy+43UzU6bb+uuBw7Hmpotry4q77
wI8ICwZKMO8cQTwFdTUOss0sn/B3AuDi/MVWlIURIRSEIXHLTJ+mAbP8xfn9p5NGSpPotH/mwd/6
0ZaodZZoSg9JV2UvIQDNqfEmIiy6tl6MmziWZBDnVpJ0Xxxx5vUMYxusj5xwbOk0TJvXyVvJknVz
rRTl2YlpxqvMM8R8p5SlhydpdyZCdD1cyImcEsG6gvnXW1eFVUI1kUIFmj2LB1IiGXeidIJ00ecL
KeSqVrUb4SRzetJrs99W0qPr1XB747UrcKDcuiwq5v7vx/VlnPz3OHb5Kh5SGgzAjqBM4mqrSrwm
W8hyKvaAc/YGhxG3Ha+i/oC/3Q73cSGWU9vW8U1vzMUX1/F61P3nsy2Obo5tk4jcq0OTsnMEQ7WZ
HkrUn5s8dOVFcBSSWDKYO9XLfvv373o9ff3zeUzUhnA8MI7r0eQSiWLnFjH6prWYdBin9V2seSk0
Rp6+/P2jfgOV/vksbJR0AegmPRNXawOKSa0IZajt0cOnB0qlshV01o3CJwxOKtUDvEP2jh5s2rTE
2N5omKaemI70reY07hdRf9fjEX8M5eBAW8TEGa57XUXe9z3ESutxMpUaURE5SkFW1FlfZ3N08UVT
TDCxG2zSFDx1UFb4BRDyh5vM0x1acU2GUPrgriZtXndqQa4eHzAneQGSDbHzlvq4zA+Qp0DsZorC
QKVfDNt/uL0QsJi21CVLqqFf/QSiz7yp7Tu1R/eCGHeahHEm3RFRUd5w3kiCZ//+o//xAw3AM4vP
5He/+sCR0DS9aKgdlaAiZ2tu2y0pZO4Oj3bm63L4qs31Tz8rSyI6Q1sHEDEu9/u/8g29SYjCawaA
y95LV2pEb60Pk30Hi+Rh5u2rQAE5b5zpcvJKrfofN+PLXfXvj78auo3CzqusTeY9Zq745yzAUPJ6
rtD5pu4NwFvxxZD/h8f3P593uRz/+rqOsfQawRPZ3psx5w0jkbDrOA3jNsg48Krz33/MP34aSzEt
oBb149cTfQm/atRNH+4y00VelpgUqW4rrHwfJNOF6otr6Vwegav3MA8GoLcLV879erU2ZXkRcx/D
iPGwVMUqiV0IbodQrg/E5y4Suba8ZL054zFO0ugBSmnet5Ex30OYOZewmOW2zuIaW0NmGm/MlanY
QYfgkrQcDTaskJQ2WBOJQDSK3hcxqpJRJelHNFiLjRZcy6G1EPOR9aOJpUdL0akVFKV9LgUyGtDN
+oYDFymwLbv4pIrl3aXnK/OLVGnIP1q17aTZ7PFOhuswiklzXdp6B5W3LAFAN3YcUTR01Q9mGJDY
wlu3TqL1QooPfVDsTsdF2eozJ/5QEbZo8MRMHkZ0P50saH+EpiehT7j0Btywds207iWeh2hhLvrV
VKRoNch9cBBIDMUNFgb3dTZLbevhGzpCcWovwiE6a5O2sThTEBi/Ro4G0CdwIKB9Ej3G0r/fP396
GZiGR3fHBdm2r2OEWaswyumjtu9JAPm5jDWOBfyN8b6mS/W5Dk35ZSD+9RJ6eSDZ9/Eb8O88Klfn
aYJmWqZioHyrKOS9MxThRmmoSwZ7JpdaEhqn5aPDDDrV87t02CViRrUvvrdxuVOv72RJMSOQisO9
fI1xNNrokHVWI8WqdGe3WLI+TRgcAyMq38TgDP5Ixuc21e1nfDIoeucFNLXKRkR1EZ44F4v533+J
6yeZKY32BaycvCZJtDYvj96/3hs643heF7G3F6SF/sKWii5KheWpGK3Xv3/SP4HF//7u/3wUgBIc
nuT761evxE5LhE7+AR0MVWK3Pk61EClL32COrKp6fMhkkdKR0JG8hvAjjj5Kcyk/4W5VfJMiUbwE
vgz4TBLY5G9egbLPh8Y3yVj0LIVUGqrhsYpr91i5k7vL8zb9AtG/vmsvEy1nCfwBF0z+NtlCAVvh
YLRcq2E0bqVeYDTv+2nbqzANTKLhv7hb/vDbuKZDUZ3jcYz9xr0teFB1Uovcffx/Grdl6reABiRx
8Nh8/P3X+VNe7T9ZudABJC7DF/73RlB45JlGJ3dPnU/6gLiDCvIubbH4x4D4lBCQ40fexgosOT4y
r8C3mjwuX/wV18/H5RKDJMNq8seQnnt9O1pWzmiie/vSMjMyal3j2yCxK8kmkjsB3BPIOa82clLj
3XJRCbiXaH4Q/GiHcqc88q//j3BmJPtwoIKDDszu+sLEdJwR4untXabu7ygZ3VuqyHhf8UTuOJnU
upvMr0pq/vmiVw8Lo/9lNGOGsX478txYEvoyA08CA5SWPxm9u5Ho7V9Euiz3bVL0v3BmdqRc5io5
6guxK+son8UptabmlsA90exGNSWnSHn6fQIJm/hZJeSD16XGmx1H0XucOZbEB27oTzFZtcUGqzOF
n2VCrcn9NGcg7E1tZ/n/I+08liM3um77RBkBb6blq+hds8kJoi28SwAJ8/T/AidfE2SwQvdO1CEp
JBSARJpz9l57M/RAQ579bMRfnYdxJtchQ3NaESOClmMMx+iVzpK68iwfpJSu1baPdNXoj5Fmytcq
wza21tBzEeSgGaNzVSUydjeAOt1gZ8VufUXLCjqV4Zg3ScYQXFXBSLeq8rpKrbrIT7RTQxKCWle5
rd12adjej2AJsrWDYCEnHQJQ7F1joVw49SqxrDVuGayrFBYlZaChjq8DEcjfnTkVzsZp5dkK62cf
DyHSsLstzr4fu4thq3f4+Ah70ZkLDv4QI/okGAgb5YS4j04g4Bo9u5IjNUYV+GIbsOU/sydbzk5s
xlgz54/XBupNXtT7D3gImi6fubZHrBo5gJuhR9qHChSpCMrRcqzO7Mo+mZ24XbK3NEoMlLPnBfef
lQOsImOkR1c09xnBC9rFbM1JiDU6hbDrxZmp4bPlY26N+BxauD9SVN5fj/JkDdE2D4595HQXBkX2
P4asIsi0eE9oMAbethM2c0VnpQ6Pvja1fM1urZmhG850W5l1ibI1AhdwaO3cUOuwd7Pvthip8Yaj
coKVJiKFwWR0233PsDnXclie9JjcfJ4V22Y0n1BzF0egQsrczI3Wp5yAkx0SuBt+T+lSoj2vi75e
E/trwf2QpfOKEAVQyteT66eX911kBOgXKNEsjggeZRmC3DGoGDJGKK2z+sZ5FHLY67VtlgHjQNyQ
bcPOss5ceV7Z309mnsbhmo3P3JfkzP/+1dEqiihFev6x1UnkpusSYdiwvLK57BsK67tGYDAAYGsi
dfr6nj+9sk3ngbAM3fgQO+gPU83jVMFRYvC54F2X+3qqMFNLs9s6gbLuWhPz8tcXXX6JFpsbmgcs
2Pxhf2j86jR9uyJvgiPyB9x1kXK9O6KVadtFXg6ssfjPUQ1spph8Zu0Ga7S9eLyg29LWQtoNhSRQ
P4QqnV8gYaEVQXHQIDCqaMJS1vuvBhVP78zNfpwGKPZR6POoIxPIvTybVYCshiRhDFtknOEo6MN7
7C/+yS3j4Mz+68MA9jRmGqYACouUxbT5uf8z4wDqQYlVTWSay6G8qwDorWsUP3jSsv7HwK3hzMKh
09nJucCXDzfJA+bIgDPPZZ6H6f/+ylaGBTxO3PSUjbp3WbRq2iWok/aGDLLd14PnQ3HMmq9F8cBn
0Z/n88VdFiXfqBclLkwzz4I2O1hlCtRVEbxXhRJBa+c3tdo4bkkU5RAmCm8L081uUD44rVhes6VI
zzz5t2rJuy94/lFoWbS5TkaWw2Lvzh4hxoVoALQvcvx/k2OshWVsadulyDMn1Q1YktZDcz9SPUvJ
qcyGyz7ISrAGuYu5E6d5inOvLdZfP60Pnxq/yzMNh/oosxql2vcvpuhwWoZNCrjVH6ODVmf9yXOL
Zpshnj52OJbPzGRvOqHFg0CuxMUoeug654D3F8yg60I3RH3HgRLo5+SWDg0OzG7wTkEBuIesFTVo
I5x0a1fSIVnzAmvrmJdSkfUeh8VD6A0NnlqBMTVoQuvM9/jxiSAQ1ua29pzaSL/3/Q/EZmI6ZGjH
J9NvsIvaUaYVO5BR6g/FE8AFboCN4sxb+PhhzgGHumtwotf5Y7E0O+5EU6QM4pMk2XA/MGz3kmoy
WQt1ArZ38O6jmE1PmPfy79fvf76b969jvrLHd2LOMs3l3cbSZMj3GZnINOMg7xQFxKdowPj19XU+
TgDc2ZycTXfNov+7WLoVQuAmIJnxFMEYOwVDhx/AmfAXQ4jqzsSEf/IGPdQfXIl1ZD6Zv3+DdeEP
OsJmKhUjuBp2zMZpSpCdOmaTQFnrvV9f39uyUsrszW6CY9dcXqMCMN/7P9OqT/gknkpqEkbUym7j
BZBrto41ZxWmXpvcsnJ3D94YyGeT0IO7IRz6M3f8cf/szTGuiNdQvtBe9xcrGB8aWDAgQietGuqK
OIfByVdD3tIqVLE23YsejPMmQLTRzfBWaMJVXabyGJEKbZ/7MZ+MKQi5rGiuYfgegon3z0MEDF0Y
CCkeHdt/II5QAUcWnadxFsnKyzroOJwwIym4gwppNVW+ACE2JVH8OUFixSdFBQg/fjR5zxGoae34
9Qv7bDC6qPzoFRiuhrxs8QNFpY2WMblHcLhkA7Mfvld10+y6Ni92X1/qs7Hoons2ECYxMrTFJr9D
TgYPII9PIq3c1diYGGhwn63cmP6zHtT56evrfdivzcUVtCLkj7L8oZp8f2vjYIg8G8uEES/jrVe6
42maMO0Krcsp/JT8hijU9l9f9ENVjoX93Rtf7Iz1zk79xCjiUyowfSnCSa4HbSw3slXdplWYyGvD
8C67CO4T0DpvY8ehXKfAgnZg5zPcAOey3j/OqJzgKH8gqbPITVqut5he26rVJJhAuM7Roai97FVG
nffXdBqHdA70eD/0PjV+2KCEz7VO3k4C72dVrs7WdZ6ETCahxQwUucNgZRy2Tk5h638S0w5OepIQ
9dzL0sazEkukFJTKI8B9ApxX7XbOReDn0U/Da8afudlNJ0eBaF7bCD85eYkQ4BKcgmJDjz4CA8/B
/XemJvXQZx2WRGIUuj+eyelup3P8es4RBfhrrek1feWaEnCx0DuoCU2F1Rx1KeeHr4fAcg6kOkx7
wbbZWJpsMp35ffwzB1L8QV4CwfSonPKNaxVggU1jaDQ0x6B8peTZlekm63WPskpulGdWbW9eIv99
5G8/gEc+z8Es3PpigQH56WnE6tCuorx5VUY1FhE66VZ5HVt6/pDDPKR3Twc63IoiDnTITlb2bNOt
vDdDI6J1ocoRvoRnNDfRyJwAFsehrToo+TeGkIDooKuhjeGUW4WVZj3RVCEf1L9Qhl2vMULmOwAs
1w3YMLyYVm8/p2GB+WnUqeRcEq1RuX96Eh4MQkQFnvnKHNIfY8leZtMp9EBbv/f5TjMfoA4nvJ6W
gQHM9FvnZMaj5DRa4MVsXW/Tq66elV291V8NWVL8GTJGD5AsN3pJn5Ip3MGqNHYpdPFNDNd+7/Ex
2KsKcNJDND8P2wQiPUWOAzZNb8N0mwp9/JkYqWVvS4iu3jqwJIERdWWCzWQXh8UvIEvoOkgms9rn
ZiKjXRGEYbuN+8qzNqI3gC5OVa4xPEVZ4/g3ohkzWfXym9n3w7gxCyP7UZTzsy19dV3i27m1a1KW
iC4IsQIrDVfXBMv9XOThcj6chwXbGtPzGRh8iIsvsQV/WZkp82HedETANMLv7nV4qOGp1rTuBREh
DIC88PrszIBcTvxcGK+By4uZz+v0Td5/EG1OOo5RBGgDrRr770oVsLlWWoTHei+U3Q5Yxxq3OrOy
LZfe+aquju6UXrhNf2ixna+GiIjWiQZtA+AOP3CCqQQ5GoDXM7f3NoEuvjegLrOlhY/dYAP0/v4i
OD80qDr/QG+/2JVYjFACRWNTrKFL+2jg7AluzxB75rdmEPVtM4CDXePRKL29cnPrrzCb9BakYW0x
TGnfHIo+18a1kbQpWSgWnLavZ6hPRoIDxYSjHCBvmyrS+x9s5S24qkZ4RyNRUKGkDUTQNFE1ug2e
5kDG+J+E2n190eUyNL8PtLGctzn1Yc5cTItRym3b8ZDSVJxJjGx4x1WfFCPFW8T+U9zLCzmhcmpa
rz78f116KcuIXUt1STqlR6fT92VhmlviTfAMZn6wqXQo9mZYDz/pXW2/vu5yc/V2y6TI0ixE9EMn
5P1zbsumc8auzE5QOry7MgDdxVt3t+MwggT4+lof9r3zxXiZHKvR53LcXzxfBU8QG2DtH+zU624B
IR6d2nf2w8S6V2ekR/DtEUcy/q7C9BZDmX3mB3z2lf9vUKFAWdxskIzs/CBhybIP9iGMNpIhsl2R
9z0GeOAkX9/vZ8+WepiPswj3lrVMVLUKZKEDcZMnYpfCbRSb5i7x8F4mYhJnRu6HPd3bo0VRY2Av
wre3rEv1dBpjmJPB0U47UvBGMBKGwDylAnNm3Fr+dixASmceu5iaOs5jrQaxQ/cttn2jsSRORbr/
+vY/e9rspkil1LEwOMvKDhTFobQsTDpVn6vHOIYS2qo4ICWmquFPO/7L19f77HH/O5su3q4xENtT
UnI+mWjroax1ITLgWLQEZbSFk5tnvpzPJm/KMSbV7blzp80/5589lDtGDrD9IjpBBoYWwgHSFFcy
ph185pDwyWYNA4hFiV+jDUBR+f2FCFfqUssjPj4FXpGtOLfD0czNv6Gq3F/ABwPIF3SHAogbB+B1
5yKYjc/eI41Zuh8cD6GbLQ5FsGvIP+LwfiDew2rnWJT8ypEpeJpgGPKChAs9vdck3cuLGL81YRHN
OBfIci11t4EV+v16UOOuCTpiMgizcl/Nrij7dZRjq175NSnD67ro/Hztl7nmXBiwY0mksk3ZbdOm
s51TObVFzEY86R5L1qBHD5CyceYLelvil0sk7QI0Yh6lXdwS7x8z3J5JNbUrDoWqR869WjU9ES1Q
X46FydlMJloBKclChuJLP7lkC0vWYlZlnNnptcQbpyJnZE/ckH5NpECbAQ4O2/owZQXcUx9S7xOs
gdhftxGRkiWoN3+nEzJ0jNuRkpqfd5c1K/GVoONFzkRtd9OWk0eF+9nxkvTgTp66aMCWXOpIJdtb
SBP+hdYmSYlsghbMmdE9fywfnga1LcpA2E75hN8/DVuVlDD8MjxFZZSjJKpN4kDz2pYh77sYXzSY
L0+klRm/rMa0+zNTx8fVHxkv1DoEqUhr/WUBWrVlgl9SEfDnuzVZIL0DfMwjPdYaUWebepvtiy46
tx377KoGJjJ2AKhVGAfv75m7KckQL8RRamWE3h9jKwpcHWUkeKWIWWybzO3W/zprUf/530WXC7/D
JxOQVhKfgrnO45eIrG0ddKBeJd3d15f6+E7nS+EMJTueksOblPmfGWuoauyBhd0da5Gq4hRFse0f
cljurwk9EwJrOZPdJaVh/oiosJ95pR9nES7OJsP06RnPxcX3D1dIRRegVe4xTDKHHVTcPrp2yn2G
drTlR9dnZs3PXibmVn/2IroaGsz31yP/hIbCFIzHstCcQ18l445danxRdpp/0+LGXxPpYz5//YQ/
rgn4lemIO1T2KKbpixHkCR9UWm7nR4+4EXbHhrA5r3hacM4TPs/57z/P2WmrIw7ktOIZ5uLuyFce
2Fo4+dH3xzDftJxA74OOwAgW/ME7dyz77GoUxeZ5AF8VTf/3z3Ig6iknOQb9Yx7Xz+CDMnpPYvDv
rSGC9/j1M/xslKIP5rhi02Szl8ochevHQQmVngYcQq+xI40/bpmZK4Ci4TojkeRYt6QQ45Y96/7/
7PX9c2lvsdKa5sCsZId0OzoyglKjqbeejXEN6Fq9RpnlgaeI1CaruelG15vtJO16k9jkNdmRcO9K
iPI7o/OiM5Pxp8//f49kWSa02rCB45qVJ7r7mEqwszdPejRMZMAGmiz+87aV49YsWtbRyNECXJwV
S1uYRuPHhL+qctr6KuvWLqffJ2POdPj6XX/2kTLXopfFIsi0u1hlpIqbCAK1OCYafCh6WoKHCx99
EiB/bJZAsmz69FzFe/6/Lj8eDnmornA5UAhbXNXtxlKgwMOqrmXupfKvhrCLCI3GxauRf7XtYEBr
YjPHi7NljVX//zDle3y4aOuM+ebnqfKfeXgyUQZKOYgD9y+3yKz8CzvOqb/CtjozC342cjjXzVPR
W4NscSkilyZqVoF7iCC8gePOi0mty0raclMqgcbwv75PFw7DnP+ObtmhqvH+zlpg0Y2FKOaUggQ7
KgxKHCSV8yIwTOMp9NL9kDXu/uuLfpww3l3UX+xPhWcqIxtsMmyT1v7dRkn1OKhGJ8YFTFmw4SyE
0b/rYk70uSOt6IyL+eP2nMtzuDM5CiBeXOpMEKzpvUELhQpRepmUqJ2rGDp+PJjG5Yzzu8iptz1W
gQns1iWI9Oub//iC56vzwDmH+HNf+P0THzhAW3qvx8fRzKuXZMi6ebZsQtJJYuv262t9aIujk6SV
QxnJnv3atF3fX0y2RYTiS8ZYT/Nsa0F63DWNCahMCzZFFOSXQeUa13HsvAa5/20UGoVODwBv7Otq
G44S+GNNAF0vUnlm0fj0Mfzzy+Z//88nVbZOk7mmhSk2IbpxFSWT+JX4sb0Js/rP10/h45z17iEs
S9el0wZhHoyCQGvPr67ijM3Upp2mkJAhAibkFsaU+bch6e/h6wsvdlDICUEIkVmp8w5o4SwBC04c
VjFSqukgx0BL6U5MCkS+V935FMUo21uW+I9ql7dLMjfTJ0VrwJZmcSYi+NvJoEXywlEUthB20Zhl
MCqurTjztl/f3uIVvl0LrQFtGAAL1IcWgytsiblXATUhj5asQ4KQcut7JZvuuVSd4ZyZGJe1KOZf
TtKscOB+KDD6yzaw01R5yRoaotxxiMWy0/63WXU4SWEt3QWi6bbm1PY7o1DunZGW5HOmyjuzELzt
B/9Zid5+BLtM3uVct2Fn/H7YaiSh152cwmMiZGdsdUK2ivUID2LADjiaFxkFYrkmdr0tDqLtUVfW
OD9J0OjG/jUKstjb+WNOKMBkxEVJ7272hUoOqfjMw5z/NCw7L1mNNG6j1//2uubnx96aDSjjfC4e
vv/pEaxgoXEoPTjDhDHEH5Ot5jUeUH9yPf77pTiJaux3+YZdazEyMku1Ef98PMi0bAghN6erAOTS
LsA3fWZYLL+x+a7YE7DtNKl1MBzf35UVDWnE5OYftBhMIal+06VS5HINiRHcl21+7lS0HPTz9TwM
Gog5Zs37UiMZmGpKbMKMTl4sjQvY+JDGsjm/B5nk4b8/RUra1LVRmvN9Lb7lySsA5LdzRb0n9qBW
E1o9o+3UpT/QTT/zyt4mo8XI1mEd0U3BY0nJdzE87Ky1K1kFRA/VMso2JPyY8Uq3KrI5tT4xH0DD
6uQrQnd/UpEFnR6GsEeqI0D84D7rmv5RjJN7OcSUDI8FMDTIFakI/8ahcOA5Zg3AHwA3HiruiuJA
THOAtGQR5E/It8FEummY/aaBln3DDpZcp00mfzWJY6eziaj1VkE8jT281Sj8+fVj/mQE/XvjS0k/
vZKUTLzAOQAY8k7+RNpH0yfWs9aK8aAI+DwzbeqfXRBvqcNeFj4aVpv3Q7bB4NqE0IgOWL5IIWqV
Mewn5oAb0VZQsRGXpNsA4DJRivRBnUqG12k97P2WRAGqBYTx5ml8F/YAH4GFAuYNQcDYZwbfZ9Mt
Ey1LGMpN9tzLPkMM9LhsAi8/9a6u7gB6yT1xPO7aaGS2M5quh1hABkncookdLM++a+FKnhmUi43i
PNtyygCXDJaDrfeyJIBTsPQNDEcHaN3pH3sY5d2UVm20MuC8NBtXGM33vivZJ+NlrMwzk/0n72n+
zmeeGagblEfv3xOtV9iFkZ2ewlSN+moi6hiYqJ90z71q+l8WKfJ/vh6Ki8kF5dbbhVAhU8hj6lyc
c7LeFFFhZsbRaahNv7aBB3G819PgOGnR+PD1xZbbImRi5jxrOsxkVMOdRUUiE23jFOShHY2ZfDqf
rFZ5TnJ3iUxwjWcBmjI6iuPXF1280VmbhhAYgSIksLlrvNj9asSk5HogxFGgF91pUd2taSAXt7In
CGZkpG0pKw9royc09esrYwLhff0zw71dG2ksKVx0qlmUFkuFGqEi0mgPjjWb/2BnE1DqXnBmtePb
GhHftwpk7EwU7jg/Q1i2HKDibVfs9TAvyGHtRjMB4h4GeI74sItNOmYSzeug999G25e/lSGZO2Jq
IY9dD2BgNUAC+6sNlX00ndqKVr4Z+mBWK8076SOOcYtSSbGJVNwnm74UvbbqXY1AIGFlgM36EfDv
ZgKVchUroRqSG/PpT11G+qVtVGhuWREIjLYmMsYIA5AuHFsVacmF3hjJVZMYw4+89eENjvqAKqMr
K8jHulNAF++SyANr1ujgbYyxcG7bztFvasb2KrMrRaCrKCKSMzjuknVUjhOJRLjTX9puamFM6loB
ly5KaLvXnj68MIHUAUBizSEbApbGZupr/cEJNW22LKTM9gC8nfxnGHZBtmFrYjzazliXm8xznZum
7CeYz9406IdxRDTAtnngsjb9xD3Rz2wwhZnbDXbhrgKGGsQEmDTRyEQY5l5AzI+yvqdZQtgqvSPv
MoB8m+9wCsJqV0VRfMtk71nHJCKnZwXbwfvhZ6G486A3kLfW2EO8KRRe3IybhldVgmvcxnqjE5iu
NxHtGwOE50plJMg8xcgd7JVMmRh2GvPxi0NayJlxOm+OPgxT+rqahv99rhUupp0mBdYYa9GJfUjy
MoWO82gzRtqVpQfun6gJbRA/GkkSQSaiBC+SsJ5ZLcKL3rKNU9/2ANFTmZypwSwmw/njsectL0sl
EkjC5d7/qgYFxmQlwOJgsIuNRrmPrPYhoMpG25iAg6A8s7F7O5YtngPzoMEF0dIzUyymijlj2W0T
l/nJoJ2wMaVWj1uVeeKVZHIDE3MnclIE+8pZlQW1NnYQeSG2Vj0N17ounfjcur18MbwSao20RmcZ
FqXVxYshgTAoEIoRXa8Dll+xeALshdpAoLYKdVNueG3kdWnuLfl9hrrQR8jsG29yiWgzBlOSimH6
4ucY2Mm3M2NmfhaLZzXrEvFgssNnKl88qzYrSCy13IieRN8+8RfzQXd7UhWbMHN+R3wXYufrg7pR
ZSR/5BObMx6k+M3+NfpN+rj+18lS68UMcG2fmXdxA7616Rc/D0U6RW/k3igJlsXvDFZ9pDtYFI3W
6btNrbvZfohNshb9NCGCIwJysdbQFO+LPNU2nRi174M5GBsvsQCIB5yRRDyDgpVbwFnS9UMztyY1
L80AYVnxU5kQBOTa7PYdQk+uQ76ESxV78qGd6mre09V3TZHBQZ1mekYQ0OdfRYIscWLECS+qsq78
DfE7ZeLDvdqEgtwnJcxtUGfBGjw7bCE4Ui/wGcIblD9sNZhMqm4T5VY+xwLG1p6en4IMKQMM9QiT
SHup4v6h6PXguioAhEDeT4Mfyk/S66aGAMAkPOMsVFBVGAchvIw79jTRxVhZ0VVck4kokV9cIbfT
Dx2o45PXehZhvWGDtSQGV1yMUux1IyaAoOn8/WB72SPFvD9JFKQXcYCBSyPNHPMpXq4LIHnTAxHV
PeHKZQgOndwDxnM1/22xc4mT38W1Fu18qmPXiUMDlN7og5jICOzQIuMWjN0/Jnqn44yc+ZX6nGwL
+Nkb3xoCPOmoFwpFKJ/AW/QbHLb1bSxc+455wvwBX228IrvJuWtcu9pmQgO+H0fZHB9S/uYzqsQh
QWl+yAyhHrpAJBfYd4dfjeYqrMwx8PR6kuVfq27EjWaU+iNeonEl29y7jBBEPBAcRYpa5oGxz9o/
UH/dTRd6Yg2lVbEmOv4+KAm6L2ryLwtKfxcWe8pLZVTkEg+5zCG6V/42agkkmKGCO5aE7uDnML+B
ipbrfoJ7AoiIxM+iGx6CIqxuMpGb15aZiOfICqZ1U4BYy6JSL/ZBjLi0Qc/wqDS9exbDnMJZpfXt
lGXRTpKIBnmbyLOBpLFT4XeP5AyGR8vtCVIkGrPeIG6J1jLtZ+9pntwBZLc33UDJahgmb0MwEIOm
6eS1MrRhZxZBcku5RBcPacVZZS0pMN6ko9S3pZQZwSl9sHGDBES3X5PtEfvOfcRmIVz1aT6uYmll
R8un/xQ5ebpF45g86RBXbseGnp8LOpOcZBWRQKiXhMojVryw9Tj+xtak+A2xrFw7Q0NlOkqID4W/
tk5i0nAqCribtJUk7nl66O4jMiSeClKAnkKXmA07iNLrkMd7Syqr/kI8KAm+BpWBAgRZvqr8Ylr3
NSHtPsWltUQFs4HRBra/T+dgHneChUfMse+yVdIRtR2nAkxXkgPsy93G19bu0PflFdxpCX7Sfmaj
rq21HpidK2DYN/kthwWyQEOhrzJheIfA6+fU9Y6jpt9UhyEQgKQN0vSct7psaT8ETfSaakQblOSH
AUifvJ1dlTuU0Q8VxvpVXVcW4W5NsFW5UJdT0IUHadjpZhqNEKRr4Z3o8fLUM70ttsx8/itbM+s6
NpNW2+Sq7e59+HsvKqgj82gljXc/uoV4imNb/ErNcoi3iBLMx4HqLOmfWmRc5ySxMnxHfC9rHRLl
dqR4fuwGUE1rR8+h3/vlFNUAr+Mugyc2EFw8StmGO6+N+ob0WifMVjwuCfpMxL/7omog9o0/8lF0
R03aIOkTHhpIeLkFfVldRbkTgbnj1+i3WjLWD54/FP1VWRhWeDlwhtZ+T0PtU/giF8S8SszSxmIM
cU0zkmMX+tTE+CF25Wz7zA1v/FrXbmyNKvRKa6Pxh1W5/po8W7FmnjPVqnV84gFCi2DtpKmdVWpb
You1jUBWs420qzDzbH9b9L3Nfs0nLDsZJOHqRuj+8qOqe8TpPAAn7bLH3qrsP61UzR0BnIDbvbrk
92ZkrXgSevwEWn8lqd7dRjKzH0vXqXaEOQwPsaHXu9avum0WeeVJ+XMKoGbWP6Q+FnIVW4XYkF6X
/Mp6IkJwN2A/a/vsWBHoFK8KbJ3Gypmtn4QoC3sP5TBehWMGudpxkozFcFQklblkqEx5pl16YUSG
XkLJ4MZB2zIhhu7KlyRtnWMviuakpCNP9sSPBRqYHrykbpCdGO1jVFkqRw9HqKtF0A4nxqImSynM
vwcJMGNG9YDG2GBXcJMaY/MUdOLaQxTUrYj4DIla0RP2yprEHz61mf9TUO9PZ801xYjecPaO5rk3
OEX91zyszBNHAxv1Nl9fkoYk34laVCerD2mXaHV9n6V+duW1RXplE7V8qELTfE5E3H/TB2QGzHtd
AMXEbKh9hNpUHmeJzreEAPgjOmpMrw0xN0FoFLcT6xfSbNacIYnFhSxd90Stb3giXC44DKPrPSE2
muHmakgPCdB/b1dOHaEANr62mZApPJqFUcxevxN7W2bjvS50wm66oDuSphUdEuJOWBLC8rGKPBsO
ZdnvbFsGdCGIm4/9RmwBpycnw8E8FgXMFUMjqnGb21a0N/qAzsXEbmoHCnHO1ul0GALwGT0Cx1N/
IxFN3Jj6KO6ixuoJgrXb8Qcwr1pDTu7AhWBw6N8jN7GOkHMK4piLkMTxgAwGl2BUqNJpVhHHI+Xl
xFkQjG6eH0xktNtCaVd6H4aXRDgaN5L0zBlRomAF1hywwjKY1ZHOMctJvuBhoHUKykcTMj8AA8N5
ivPRPKik1p4jYkh2EtoVbZGsvG9aoz94VVnetxQknytLYJkv8uBKKT7TqkPjj+9brvW8JZ5ZChs7
hEsiYDiE92GW/Qr7dLoxXc+99wLmrGbsrV1vqfTBrir5fZz08WrGBW1kWtsPiVFOe3zBpMsUqfaz
xKbH1BhXR+hX7UHTR/MoQO6NmyB1Sdg1a3POtCuMnQ/+Z901/txzeMskTrwruwu8lTCj+Vvq/YsO
i8GK4EdArKWKrxB9FY9pl/31C4INCfP1D4jEyU8M02IzoS571AaCHMbMbbdGisgFGZdGuirZcrVH
bjLK6QopQxBtOdcD5i7ifJ1qfbNCDp7/8clT2g55V2Godqxda7Y4bwmX/hGwtVnpJNhuO343CaJA
S5rJLp/HzknBydUWedO2HE5e04d7eE1s8HporTfRnKlUGyw4NXu7rfJN58IsjT9p6vYHigRgNSrb
3lvEUF84mtRfMSKZbN40kl6gHdTUEzQOrZqOFqIeG75xvc9EVayKvnUc4mXIFkasnwavbvsozD+e
hYJNZda2hGO4QTYIaxTjUIJQkYYVU29Vwgdrsz7fGCm8TUg3HLt6tHP3ytEJSAlzf2dTOVn1Ipy2
bZU3CAlr+zLwlAuI0nV/qcTNrjTZtutcGuFtqIKACooNAcMeCu2o5V29SUuZXvbCcdcT+5rrsh3k
bnAa90KR30O2luXKPxZLInuIsShuiRSefk0m+kLGrfPkDVmJhR6G/pRiekxx7hCfZ9TxC2eh5DIj
vu9HZ+pEJ9lF/TO1mRBXYY+YetMWBirMGuuEDalWjyG0aoSJj9J2+JFpYI0Hg6XxkkMA66oV0G9c
dQTkgtvLDYdZdAivGkdhckh1j7SL1AhPBmiSF7iq03fDyOy5nKF9E2GuZgSp+at2Bq4FccjaaWT0
JnCVCIDySxKJRtG3ZHwZbX5lB6275d+wcNGofA1BxB79LgiPmQPgBVJIcam7iXHjjgIoH56kw1jY
1ouIW35UmDovo+Tt79q4jm/BnWcPThB0N56ccKIIwzxIVA1XddPrJ3C37YUnBmaxzjBx34Siuk4m
Of00u5oyr2xqyASZcPdh1A/tqu4GshBxKdxhcSYYOh64B00OHmkpPrG6q7Zv5O1kgrxBQa1dYa0y
tHU36v0rZD0SYirHVo9ekSAW9EZtHatKuw3p5HEgEWJD9Eqx1hmwt1XblI/YaMWeaCvjBdeXtlZk
qA0QWYNxm0JxvOqQVkIJLtu1UxvWjyiUzS/HVO1zRhgd0bSW6I94QXBdD6l8Nf0YhEthV4bBbTCv
C1HR6ijHcQT02+MwNYOq3ia97K8HBjEp1zVA2iksLqcel1GmZf293fb+PaDWfifdLH7OVakobDnY
mmARK8BnSd3twM9H10bgFXc4EVtgwYbP1ELKvP6tTQZ921RELBrVSPJqMJXWTLRV2LIt5Lm7gOdH
aFQo4kMX1XJjuBRNJ+Vl7DMDVz2ECVOrI/rxNsLgsyO3OPS3hluZG90KKA7RlhHMOhpIOLYIhNiy
onwjQsk/FNJlSIim2FtdQwJanPc3kUc4AfW1jsZPFM7OJp0Ux1g3yM0DPVLPRB0iFImJJ+Rel8iM
Dr3lmAjm6j6jetgmhDdQqM7XEVEIE3FWRvJ38iwcXyIfp18kdeDRmFGbcjVmDafSrGXo63VEKXTK
m0M/a2rBA7vuqnZUfEmWEgk2bqBuShPZaOu343OohemzcGqS5zVUXSvDqEDtTsRfhpRiLtu8GZlB
cmNbE/a0KbvBuSH3r0awGBu/08gYNs5gSDjAZX4xDrr/GMVNdoQ+2G6MaIKnXmUsHHaekLzoWzeA
7KNtbo6/qToO9iotCO/Rc0f7qRvjcBs2IA1o1/Rb2FjBQc/6iX2sq5HFxFCX69Lt/V8VygprLiKQ
iW557KsmApiysdjJjARKLbP+j6PzWo4UycLwExFB4rkFype8aUk3REutwScuIYGn36/2dqNndrqA
zHN+e9+NJOAQVFVBaSw/k9moOO2lzZFrWv0vvRDZxR0lFMtoNOYHlXDywDHrXPg7DFx3iJ+3jVan
NG/X742uxLshtHmD0qk5jwR470rDdXZDOnyHqaLXfsntH2CQ4dDLzEgEw1UiptVLfKstk/SGaIwY
neNxC54WNvKDhoS8tCtjcBtK+03MxrcIhwx+ve9eJXrxd2OwgteZBO4ffMQunlP2o4y/bCycfIqy
psj/lFkObtnM1KepcLxkkBuUPJnrtvPZZhNBz3ART7op+Ox7P3JnkGwd8NetoSJOpfLLr1HbN9/r
nL0LHQ5f/uhPz/CKsKK1h5hSuqOOZFurN4dyYz9ZKFDHrmmYV2M23KfCNJyvdgKHtsOeJtwV2xUj
uTPdOSldiVTikd7f+DTWQ+fWsdMyCoibv6/WFTmcjV+XO4J4/Z1N8Ck1Ybb+4QBe96Xqrctmbc4r
gZPGHqfMwsa5jtYTCXX8QfD9e/K+CGJnR0mo5Zp2eHfWa7vYOj9qiFaOb6v4MHPqRwnTSq9NysKf
NuKdur0qai2aJZE4ohCY548aimw3eKANNI19dtJ9MWkXho8br5RAZfCx+k8A5hSHs0N9ylSJpHIN
L1mqmqhFWueitSwf2eu4XCrxVVsTadcZBYnOZJ5Jpr8fN/lEOdpPM4EwM4b565BGwSCeydB80KZN
86qisWzrF/zmWZXyD1puQnBGn/h+Tjg1L3aTdgGBMuNB4EyFxqFPl+yJO3sN0eJjvthpj0D7NRTw
PgD8UV9yFje2QbrOtD0ULqLmsAy+Aua8Y4dsf7+kw3AIt3qP7+6lbpuSk5BqLVv5nEnbQLtb8GKL
/q0o7fcymwXlxUUazwvP2S3HY1oGn5TQ/Zd3WEuqppLcGOh8uV9es5DfWstfgp9tuo+nC0TrsVuW
r867JQs4WxX5WVnt/Mx9U4Mz0Xc4qagwifDWWz7uyZv5gYuwwRDmn26o7jFC4kNUsPTEth+aEucj
Hyc9srr6oFdwjpdO1jv0sGVUcRAd+imfktXuPte2fmPCRUve8y8IdBjjezwt1DhmeXotAvM/L1tS
7BfF7Ryu3oeW9HOGyfUwCYMRUQh90Hn5ryo6VjpNJKM1+yoiT/JBUW8WLbXpJdXkEitOu2BUTSQB
+t0axG4tT31jYjFd5u95zO56L6dxdKiCYzFyVvkz+eO5Y/uRKMYW3UH44QcGnWm96Z2GlsCZyJ/c
4Vvqaj3ikxYf41p1v/gh5XfYdNOx8PjMI18qx46xk89vre+0oI9Gtb/p4IKoZR15KtJCPOSVbHep
ruF82m68BJa+ddXWMFTh5NmXrdjsh6HUinLrOlCHGUk3Wf2BmZRBnv4uopnjOd3Mq5uXLLadxNeN
Io4yATMUifbK/l9Hm/fOa4lHD9deX+QWbph+vWJ8XTNfHTs2sms+qXbnoqB9mY2imkkBrxV1k4Qq
Y7TFVQ7IqzB7U+d33qzJ+vJqe74sq+F88OLDHhq+N8VClOKkPYIiHLPHnkKb9UF3akhEyOMyQ0UY
ZN97r6TSrPdFM4cA28F6P81cfKWZ07sBPLubaPR7mrICRra3w2c/WAme07RPmaTNvpE9h+9A5Vyw
8yzeIcI2DCyp5fzLSoptR8MYkmCd8lMwF1YstuC8mKlODFkZjFjiiVHou1DVHUV+xzb1qxM+ZPaJ
9GJLGLhplKCUBvuCtD97ygW4xkMPv4F4thXhJX7ulpGtnf98I/idndK7Oi5Yk+tYU6zW6RPaDhNb
4H0UrgZ/kIRQVJy3cdPqg41lO4INgWVUzluWGy7SJ/lnXehZ2LygPtlp9Yn/aNnTZC3utkaskeVr
ZqS8FJSQFNd1ovRX0qVoOn1+8IP5JonwyLmQzUMa1Cwcqvv0lf8vDyh47LTzZvb509AwkBo5QH0x
QtOkx9nfjuXonlzVn3NawpH+8heu9HNAfykmANrChY2vqZQv87h9+kK9qMJ+MBUBg4NR3CknvNNz
9oR3iFjq1ntsOPRi3cg5CWmINDmRwxz9F+XO9F1SyjxP/6gj+CAlAJjY6D120+GVwLVPxboSjHm+
XykLSUIa3JK8GnwSX5kSgxZuw1D9sJ/CyXrerFowpPW/Pb3vMd1d+LJK83mjDfnguO27NTDXtmLd
535t7XO+ZRpxOvs2nVRmesfi6d8breFcA5aLT6uW6eM0YBLehtCPnHBynrKp93Yh8QpgNYFH3bZ6
dZp82EtsenfGuBWA5vI5taiNd9tZRcoM99w2X0qlf9qa5a1HIR7NbfbADP1orYKRaFsOtQ/qWFG4
EBflrVzVBd0bhyngpxjZKHCMLf8Kf3DucrzmbyxvQbxuhXmCdHF3En/va+ut7UW1k3GpQ+W+gFeR
Cb7qbI1qb4CGMOjPel7L7m/gF3S/QpIe7P49aD7YczX5xQaRckDpuovTvD6bRUnGXZ19FHN/6qcV
4GQpIKxdJBdp+EsjAdkOAWAHMh5x2Kz1TLk8gbC991463ZuhizKGpFz/WIEMTw3CJ3KuWG9zu7s0
ZDxFHjxQbJJkHDUFsQFUIBs4xu084s9ytDb3GvYtGXvjJiZnth63fWV7d7XHLGaQspWQzlYf6so8
D5SprC2KILe3Psh57o6raU/7llaSyK2Y/6qRDE5Zl99KSXMvPA2ZpIO7zUUnRkX2npB2M1IOPelz
qo/1bDF7N93LuG2/UrVftXtTII0oPkSw3sQ9VHh3GskLlT+7StL3WlG2ToWJke+7UU38ftl7utYP
JFIAHAb6ubk1UCq+dUTP2aX3isssaH7Hol/xAmd/ASKzt3CQcm8wHZ415O1VLRBOSw5GXOYkwGWG
/JR6sC9Uhyxx69W/KEmyg2gYcnPXqijcrJ7E4J7I3V8PFut8ZI7hwZ1UfRmwgUWZN0z7ipcndh39
UmWEOYwa/djamaRMZ5O76/VN1a6GfxS89W+rn6u9a3TZAY39eTIoQUP0BPNHeWJcg7oxVptPVbF9
6KV6par66g1QM36tuWUNblM8EqBCbX9cx/Qr9NSVBfkosvp3JI4S6NR7XSl9SLa8IILklhJLAvg7
YcZZrDJLoKVb7ul/nq5hO9qfPBRKJ+r8L9IREuPM/GVcXe+ELalMlhbUXxhbkdyM5RnVmzFw7MoZ
qO8YEZyIqsu7UGXUdxT6VbgGnOQsH/KaX4VASYvbXvwagh76JSw29o01OHAcV1G26TVigbxuQ53t
0lQ8NM7Ah+z9m0fLu/raBKBa63fgxyfHVH6iDevH6Ayy0pAwRebsUDRO4ba/GTW0qiS2kfVgv2X+
f8vY/1ojEHWQQdUKaxkfoIC/KrcxSLco772ByHlVZDMTCwUSzoSEduQmYU3svUTI3EyMwriz/FtW
Mtt3XK7ihaWWfJWyOjNwbPh4IBSo4b1aiAMS9BhLUmTsFlZPlx+CQzPJxPiGN7TdddPt8C+myKfc
OrIo1F78+g1mooiXlBwZj3KVVE1AlvNs7Tqxkr2uuNGa1hV7oTe+ZlsXsdLT/VT1H2TGtbHRdV+p
C4wj8rrY69p6qwf+ES7raefU3V1XNUSiePB1Ac74nXKtcOdX21drGO/9Df7O3e1hnYbl0I70YGd9
/1Ih3TkEHnPkZC1lXK2KLJ2NE0Sl63+zIsSGdINo7ouTuyhOdFiVq+9UH8hEJePlhEBwWoYYKjNn
UhRf7OTPLPR/zaJwdtPUB+R68ytBGPDf2dyWzaH4Nh11K97lmwvsH9tRLyQaoBRCVBBBKZ4nB8MA
2aT8L2u6pzyFdKW85z+z3c6F60Jm2K3DEEpqyuyhkxOFncdKcsqS9vrA5FWCZDI6Ocrpd7nZY6Dp
rXrHYoZdVrd7GrlzqpbyFyY8orExXJSVOSc4BHdYbp6R9ZaJSa8G3UntC0R4cyyC9l84+RpEMi3h
Um4rB2Fnke7GTzqLXnOj+hx9DIMeeBaYkL0cXZvNgUrGC9b3JllE/Yu73d+HFWasNgg/wsUzY17E
29Wdv3eZ8+Cb7XgojI60SF7XCBpoQBBU1rH0W8i9UtKCvmZ6J6aU9a9h3KGiHeoqT/dNtp1TFRJf
Kj0RFaXbnQP8wbsa2Jir2ct3XJVQ5xULITrLQ2VuaxQW5rNT12JvGtlbT/0N0C/cTT/bTP6hft0y
I439rHgzgvp3wTISu1tbxobLTuOs3V1tLSCyQj9tkvOjNqtHD8VBDMnHtiRnJzIz1pd2yB3Ko6yU
4uTiwVnNJK/TLCZuWURuw/xjeLxtowDxocKWcE70XWdnhcmUZFIkenY+J8ta9tntsJmQoCbO6u8s
Q6cX/EVZPKuQqaCpNBnHSDeGnM0j762D14u/fbjST9DTjYmKomjqY+UP3g61WnVt/ZHwZUGw+lzd
NliHi60e54di9d+JXWIrKuTjiLCBd7T/yhwbQqImXabcT0X9VMh8PNii6A9A1L/d4r4Hg+r27OTZ
vrDX/Zo2Lr0h1DkXhIPH6H0luViQc4TcPzEa7wn7ufYdbXro/r8Nv9ktznSPK3bleRo7TuCD2QUv
jrsS7wW5HFnddC7m6lkG1T/f6clEohdqa+tPNdbvRQoqnnU8/lCuT9l8S+JePqzGhwjOuGMn3f74
9pjHml8SeYJLejgWgV1lbWPChQt259ZO7JfVR4qBhFWc7yl1RyiPmSHFpZUE9XTHgci0fBQwdEmN
fTiyUG1EW1DYyYa6Ipk7l9OuXYfIhuSNJFlyUV53L7rYptgxaCQTdErQUK6x8dcc7/aaRbPHQ0v7
SkVo0u96wd1jlv2zHaQAymILd0qQtl7WZpdQXgeHzYmTKvW+LhXBa2X2mhUDr+vNQsSwdVK4KBK9
gq07WwjJgdrRTMWr3tIqosuex1u995JVwWzYa9aC4vKWfy0tct9taRlx3gZZPBCSAYu8ySRbxiae
ReDHdY06s8289LAFeRMHVpHvGfgH7qfiZYOmCxbCpKjeUtEwuM+dYG0cRP8PEK9MWt/ydl5v1Mk6
q42pJvjPJ8Qp0n1bxBX0fY93FjLPgWrhN37YOlSA8yb/LBsEB3K1/xzl/iVu69lFrxGltnPZWrj4
W7QyhwlHBIL1MJnBxDxe3qhcZRlvQ4UMMp2J7LJmpljyNvczmbt8u+65sZcUxsaDGKN/JW6RJkb9
4n9mI1nym62fBq87SXP8IE5iSWqTRKxqLqEfiuw1cFgze/FI4xrgk+Dnh51S0WiCruSANonlpm6k
SogWmmy6uJSePDpV5iSydJGY9w8g+kPkW1MYt0zaBaUaxw5tT+Lk7p8ehiyalOAGHfsCbcb4HyU5
bIImZgDfQn/olcNrlpn33DvLd87i1XESi56S+7bw30G3iYKdxNX3GUWXceu5ofhXwmzMHC4zJLgc
7zY5k4nhI1nK+kz8DCILow3YZfBnnx61le6tQiC7mBYoWvstrYyL09mvW+f9+GsGoh1kaDGGE0nK
creE/XUqV7jxYbsgW6cBseVZ15v1LTrgvMoxMwaDIn+YCcjihjfPTm+srHTEJqYGiC5g0dHW2aW4
uf+WGWmHnobhXnUjA5Zvgbg4/rITBpHYRn3D9fs6j+1+1pB7wTeNtk1CrCLgOCIp5HJyH1Ix/Gw3
+oT6QwAR1Ts9r5T6BpKmPK50fpj6DRmwjrZcvmWDzTS+/E6o3i+tqz77Duey15hLgmmoiUXpvBLx
6kYhWfWoXP76hJrn9FRWlNaPbMvKArYJDKJHyI3bS7N4NvLtzkekBN+FYm5CHVHa28mbbSJp7b/8
Ki91xZjoTeaXsY7cOmq+J3JuRIKztJG5ZTVkdsUdkq9M0Gk+AGd2HIRLX/aPZBzXu7qoebcnhopH
F3XaC2/ssO+cMryU9sStqpWpYOT5lCEgEf7Z45RfqS3kYB71eIQJKkvOtuGNkbN7v405J5dIjetC
s8PjSqztnyHP+72VSnHPuA78NvX9z1JNzmFB/vlBCCTSX1vIS9eE89ma8NdbQ139mN6ToTzASDOU
/WMWNi6LDJ1tuzqc+ovqVu+P66bZU7rUfAZVYCG+QlX35bdBd6mqFfZ1ojwzYgxqYr3o4cHaPPMP
TqRm51tb9WCVnn+CsxRPYDIVsEjQF9+triWte8o59mte3rX4e/Zk0M6P/VpN92CI/gXEBFf64vSA
xl5moL8GIv8qG2s8d9K5tWBOXtIEZJ26KYtvZDJl/KmMaTmtzo2Xp3jMuro9j3oay+xcNWJ7GBx3
/I/uVO+Z3ENWmYqAsHtlWOm7m1Yr0Nnku+SThO5txQjS9grOPP81KfaaWTlF96mKsT+7qFW/ag+F
HqHK2Wluze2RFur61Zs2M+nHIj/2ziKTRhjTg22qFRF6j7aFAPm8ifgZKaSbDeMZDkP+beqZX3x1
u/WoMBgdNZ6P+1o1vGBzpR/Cocw+tTmW7y4VP2dyEjBwjUX1O3r4QoHhs4zIGYlWnc5Ug5VlTQPr
OvSGejBhX+hYFsZDIHOXzkvpfQ+jvT7YgVy9SMw2EQtSwnUu+fJky60+5lLODPZwIo0pvLtm0tbz
JD33BQmWDS42KmQm03bPKQQv6FhZAumoTh4+x5PuHPu8pTWs+BbO3afsXF6LECgCsKPAljWkpTwb
7HnvcvPSsyQb9cUcjfkP3QYOE7FtQUIM6gDzJV76WUBjLwXUniFb75MrNd8TT6Sfh3nTPFP0Wftt
dgqmpCCESKmLvyFUK3OKqy4C1M5YtLmnANU6IB3pTmEXNICupfts2f+Pwm26N/aO+peH2R3pMR+f
LOYCpPNbPSycEVl/JVzHeVxDX5177TUvaPIKgDXCi3AlqLxNiMzp9zz4grbVm9qoVXP+IkHhd605
rXzK3dSvB17j9JQysx2Brv0nMQ/hj5HOEjN1neKY6ci94Y/MD1YhsrOo6+FzXM32EhZNwXbmF7u5
xfJUtw77PbTntPel174EBDMr9NWuem7XYLtMtWf8rW1r/S64qM+dX4mTDHDiFZUDwuE7JW6tsLzM
ll3t/XIrd2xd/q9ZNfquK1y6+apRPA8FyoGE6nMkGpZaPieTftAq9/yrYw35owTOvqAjszkli9IB
U9DBd+Y11plDkBnNv0k2BtOun5dAot1MU3tv0/P5Rd5ve1ktkd3ZC0N/x7T0t6oce5dlHc9dpOXL
VPb6fe2r8Z2c+O7BtrIy5DII5J/QXs3vCgRiiFSfc9eay3bOxlF9iKDPDiBZKlnX6bvsRv2xeiI9
GrpUGXxxZb/bShWnYUI0mYIi51FWj+llEC6zktV4xcEkkImAWGfktBga1lVzLZzEzbG7RxXNewdz
nLO7bujbnw1dpAtdUGBTsTJ7PTSOLjXoXTocxkmHZ7G4Wxk5PKkEJTwEBW6X5Vi2QZBYtrfEJB1l
CbNDfe9uVvuH/dxIvHC23lTmlrucreVjqheQvLRY/0oEcJ/rjBpYLzXWkW1pd0pL6x/DFOBTmYma
Nc+S19BujCcL9d2HR5nMeaFLY4ml4XLu+KnxmM5WvtvmLNtT4jcfbd8WJ8B88xjSMXtPwas6Msj2
d2UYZhT23votUER8NaXdP3VtOf01esroUmWb560pl0RaYGvNms5Jv9lrYgLKHSffLK4BzEMMhuTc
TY0a7gu1iNOWOiGn4TBdiluxctMTfd/pUR860TX7yafuyWdb27cyyK4B10QyBFXAoxF2vQPJYlTz
Onc+14FJz8QwyrtgDmwnmscgPJbZ6O58s/J+HCLocClZ3aPnO8Od76T1o1312cWHq2b0r2t+96lL
P9hC7AM2q3DfBKskAHfJZkwarOeH0TEsSoKc9dmk2Zb8MWwKQ+yBBT+6Y1Wdl7qBE+ZgeFYolOGn
baUPiwG1B2c/Q3TXMofUDJeXsXONu3ys5jslGpW4GGC7GLx5hCbWw1eY39qUg3Gg/MZvfZRz0uRI
swKxXuvNKO98qOZdB9p6SHU2PKp1CUZGLyZWMIJH39cfC3vNo5BhePAaCS8wG8G72TjWH/S/3jUj
He5iB7ks2YTk+p0WXn/h7xsmGlqA2lUnMPhgZPDSzohVvdILVTwzhxzyQepLKib9t+0XxdBqtm83
AcYLoi3gjLlC1hSmjQXisA4HxgSP66IN7qsOYRs60eyKrRnXqx78DpuoaXE7lohmXNMOdw3FcCdj
NFD01sGyM1x9634aKN7exqId47S23W8nL9XdGgbd8xoY8tySUNHCmEpnn7UoWMqqDWm2Eqp9nnj8
UQfoDBgpECkAeSyJuVjNScy1eLp9rG/LVsm7xkW1h3KWetoAg929Ho3tQhtCdrchP3/xtgHHlLul
2U/rjSZKDbtz/hNVZ7KQ9jOR0e0srN1SEppl0Ap9bRvnRkRWGwNgBoj1t8z9G/nTGFeC5Zcnr5TV
L87J8VIYZhf1RPseSlJ4Eq6PHt0BpFHskDZOsc1aEpqCeOw4qNyjXVo7HDpcDo9BazV4MAayuoNq
6faGOTY/4aLKv/jG4DmtsXX/611zQjFHkRWwi8oYMSo9V/8FxdI+b760L6OzLlfiaKYDvMT05Jdu
wKSm/FndkyQSfPqpolF+5dKGOivBsun/OCmaq/Y+apEqMa2pfnO6PiUwranWU9GL9bz4g/VhuSY7
nmnU57wPebv7fmOjl4So/iNfndqADSfLn4p+DQD5CZ064Fg+n5XnL1NMNXkj42ZecnE32mZpJ4yg
2bqvBixwp3HsijKyqrIAznPIh7NQYP3zdddxFmhrVJF5k93GY1Pf+AozkMXFymQ4ngXRc8uFUnHp
fKfWuqI2dSpeqKTyCLvd9/Db+eO22suztwgaqf0cvPFZhpaR7VAB4f7ARzFs+64c11ftzYuT1AiS
4Ys6ZXu7YENHw0IauJglBo3PF6whmMiPnRfKjaXfZ6fMDEqA59JXCulJX3moJ0Lib9sBeoubIDPs
N8dVzbczVlQ4Zm4423erTwL3HmRc2wmPfdVXvlUS+ICO09eFj8E5KnzFdlRtxZAn01S2C3IKtWZ3
E+gxiJJe0vQ4ATjJ3Yy8ckqyxkuHS9n725fm3KOpx674JJGdoVHMJ631te06MwWkM7plhzKADc6f
QosnTUfnYye8Jd+tioX6wDKOW1MVG3VyZdsiPkVaQh4go2su3rrZbJ09pZvEOgd1JbsL6hp3Q74j
q+bikVq0YRSQqJ6C2sKmCCg5kaAyss5dnMpyZDwMXRlcdIiwfj9SxY3OY7SC+ljOc5c+jDog8UE1
ppkniEzAx3TONnZGHy+KI7G+ZbormPXsHWZ5gBNcQcCzhT0hN2Rzo3ddz2OV7WSFC+zNnMbhOUXV
7YOI6QEClhHi3gz5Yf8z19wXdJGbQNnR2iP43lVaDJT6zi33kOtmrM8CVehySEvPG6J626DIUa8M
5tloLZIUyfKG3pApGNQqiNrbI4yQqGLl2GaHNR0LG7DSh1jzcjv/agoPyWxhpJh7mJzKcFf3Ls4m
E2FhDcaP+ga/L5HVMVmgthGbZc01pzwXlf621p5mmShHsS/zqvkcsgGJVIpivZLxWJRd+xbMc1Xi
pOoBIFm+g8nmv4JmwJ7Rtmax85kFSbThkPM/7Fz3H2OtR1RAFjaY283UCdQsI+xU6rfyKjNtvU9d
Q/TqVhqtT+u9avIDkY79iFpE+uZxgMKab3cow3EBGMqB247rf9oyhpLzvNYmPhT1RRDZSlyz1aLW
E8Jr+ydzwlO0awOnFPcWiiZnOS03EYiOLX/tWWvQQxIKiQjVVfZmxtIsHenFrt/xCkVNvsgWlCuf
s2Rqm9Y6+AthAQDeXtDFtmPZf9LBmvJ93dFhw52hBn46T3liF4Yd5hY3LUFUQ0MM21Gh77iQhd7k
+8lbbPmiN3M1jxgAqwAQJJ28S45mf0q8Lu2g91iZMalGzFGVYUSODjcT88w4+gX6w2yad7oMSVGT
a0vaWD5qY/1AXpx6p2CRAbJhK2jdFCNSAcVO9tnsv7ebhFdydSrZNtDupYknwbqJb+789N+W1+y0
dpOiADPHqSa6nYHPPiMbXnBdjhNbAUVAK4xKjwH60mxFEA7xVKqh8OIVcWJZYNdLs4BvX8huhzqD
1R0PlhMi0O0FAgGD4JZ/ZkVn5BLqIHKKdgtPdPO1BnG8vt7eFry1ALdLN7Q7zMx1/qw2MYhTYKfA
HmgEC29fbqnxYWzt8h+/mdV/oMQ1cSDYWU0XRINA20OfM2/2E/reLqczIB+Burwy93aWs0wl/1c5
ld3CoKLgUo8bWFdYm6PDA2xhkn4rb1VrPPtD3t6vLcEjn8olGCca6Vkp9lWbteMO/bF9AxcBeCK/
xHt6yL1Z6B970yNu7pGVFoxOhZi/zlhE9Xw1zKqYUa2lqB7MtBSJZRp0iViBzQAQC2Jdg++Vx/ca
Low/pz7XbYgIj9BGPNCpHfxLKauLAoY984u8Of/NLJXSJzS2hbnLiAeRBzVO8i/2G7rTUy+vgJMM
4TXEXYSmcxa6M+CTK3bZXc/Pa0R+7bjll8KjSl6n2trwkeEKnpMqOLBNwwjEHHWN10M1jSSgmb8U
G1l1ohdXu3GOIru/LmApAu0GObWRP8CzICWkQu9oW43tXzQsf3AxNcG2Z8iqXB50VrcPhW/kw4Fs
wG3jTkY3jmtSMnC3LVrAfW/rxUN+djPshaGkqDssUvdft3lw4kIXk7PfqlD8N20w/9cNgqpKmG6W
/rOzs9Y94LdvV9Yu7XyjyO2qBBVk2R4tjpPus1lGlyw3bUlLvjW1cOYksPrNvIfyHCDo6zDMr+FW
ev3VrlKMWbXwq+mlGULPeAGZ5oAdSMT8LgYm770AySmfwHvQ/asAIjnqR1KKYlstbMHsSRgi7XF0
7vshXH6yQDq1xtwgBWiVJmxAJ0QmC4e4g65QtC7PY33G4blMiTs567orvdvGkm0Z+HieG3K+h2sa
U7DyFqVyXxq2e7ZtS9dPdemPXsx+3P5oIpxgSgwECbsSBOsWkYuIKJ5r9kHe0sXz74gSnuu9tjf6
acN+8APk+5WoLgH+WOpEfWOyOTiQM8T4dK0ioUlrmk5IxRljoJQxlO20qNstaSbghlZ3XEVD3YQm
YmAE2sCloQldUU2i3M2jM5ckvW03eR32AqYjM+Ol6ZEDkRa8dqq4OKVVoQUkG6l6zIWbrk/EFvNq
Evk/I0Ephu+hlb4V43dhVRoQwtvxTMJmlmhVd/OnXbf5SBnDLJddaophTNDN0e8407XY7Vq3XJcv
YwzSLJkFM/RubCqnJya/7RETdPg0opqQP8SxbtX9l6+e8z7VwBcJ/LDXnK1l8IKk8u1l3oUGEU9R
27hY3oBOOU7R5ZjVCYTdnWNM1Z6bhMbmVv9qIEzj1xuzsvhGbzKU/FEgGv2EZJw1fgUbhX9tu7HY
7ubex5LDhzPaT7VbwBaE3QYqOuAtqPa12vLfwLIwPRUzbVMHWa/gbKhFHMjIudXDt+qzYUaSkmbr
zlluHOHNE9WdqIeCLfbnVL7agRafI4Fs/rHO7C7dm/+X/evQCP940xTMSckIAzmOO+a7hJRCL+NK
tdzhb0xFLNFw14k3MAkd5sbMIIQamSJOkkxvSKcamMiFiHzYn8400jf2J7+jDC01P7DSKOtrJTM1
3LH7V8TKiLEx/sfReSw3bm1R9ItQhRymiMxJpNIEJakl5Jzx9V707L2yq90SiYt7dlhnR60fs4j0
uviS52W7JXTf3QWd6DzN/emlY4vi91Roxj9eyd2Lqeqk2eoiGViyRF1qOwOMID8Bf8Ytk6Xl4aN/
UdMP0aX3AYzR6xCzc9SV5GzFAWKhWmRXqhb9havMwaZbDbc/uVynTZsrxFfBWVxk9o68pkxlfmVw
BuCaPxM72UDL0RZopWW2KoKD2hNJE5JtlfUhAI1JoadRzjNbTg1SBfQWKGUkLj8htiXujCrayaAA
4LBMbq5bFmUYo8e36GlqsDuPW7DEm3AeeNWFpn7MjJ7xfWQXtsVfshRCF3It4YWC/Te2rjXRpRrT
ArkJBCvl9iWfv5VSsR5o5WZ5pvhB7G21ZCQIUVL7nUZHZQ0GtRT/KaoVvfamMf+rWmKlO9pCypmN
YrpvxnLHxWypF3eRlfnVGCcpaPqG/bocyvgu80zbeNKjUPAk0HPalqSHvBEGdnUiWw3CZQXwfSOg
nLto4qJM90PSvbIidLZaAv63mJuJj7vb+jkQxi1afbYrtLz9l4VW5anqJPgdjtoX/8uZcwtzwk8b
NgljBNHpP8u8/BGw9ut81AxSHmThnvmNdrn2uW4zeLmL8EWHxF7KiibRK+f1JtIPBenS+KxhLRaM
FfkkH+Jx3onLcYyqU7iEmy6T8CfSlzVK/IRnSm67d41EsGa96kMdtJJoEepInGTddyzIgbvBiqeF
z/yfpmZbVC+/a2oIlkzQ5CTa3mf7zEfWZ4e6IbGVn+eEyFhnEmBgl1GlBNgG76l2UQVMwYT8uN5s
8Wt+qhC+O3mJ3xowYxbFH+aQv2S69ZqGmd+b87aZ3luFK122eOYgnLtcfmGlpx+16+uaZ1e+56xc
XNw+nxOavrkHyPRtJLrZ1rRJ1kue01qqDV/oUGjHBhJd/zLEglfEqVMIv6ZVYvCEdBBYV442KiwW
CTPIHklHR6s760xaWQ3eIQ53cqPeemt+5br9s3CPVHrV5TW1rbTcTyWTiMtXSZlgrOJLP39lXFnS
RLKJfoXKw+p1snpKcRhF6L8he6OMzIHejejT+PHw6BB+DeFYVaWdSAzlE/RZB9oTue8RfIG+Xazi
VjbyaE/95IgrnEVFpiFSFW5LkA+V0MZtsYfIcNqxODAwp1yfn6sdIh5QH0BOoV5aVbG79ERpzSVz
yjaNhHnDABHyVUFiIgrhsNUa6+2qjO+SRG48A7sy5Y6FH2JoKG35hgM+0GlQUIsv5sIzjerbUmP+
r2VLMNfMdKWt7avha4Wo1bgrw7d+QLISaaGBT3GS6EUneESOcbVmHg0isoajTZOfL5tQTdy+EC7y
lH53HWthgSJurefv4ZkGH0kZtAMQizJbSfPSbiLVORkvYvyuDRQNnoyCMvmcW22XlMaeMNelVKdb
bZ1n7bOSd9X8bwJKoYg4LStZV3bniVswEGPDDWCXdCMUBAptVE751JfBVhKyCQSv5+wEZv1iDiuq
k0H4AU3goLZ7SvNh9MliUrAD2YPTFMHWdCuFFxh7vd2uh3/ApxTt+34rfce8wTqrAUBR/43pfkVN
UKAWkF4TSr+xgig5ZPeF1XXkYBX5qmOpCu2vkH0J4YeiB214jkW/5p9rXFjJyCznGjvOeskjKgbU
S3I71W0xtSUkBNGrQ5f4WDXv6zzA8lmVbYN1VnyvspMKB1b3qPqm7ViR48nStsnBN12qpLQX3izR
jTeEpJwr68jKWD38XUnrGc6QIMZ+VFIQskwyfa2WV62+LPPrujpDxnx/wt+xCB41np56kubP2gbk
CIGat7w+V/krJk3bHcrOofnqJZ+wP7B8o8XhM0jUfcOxr6l/pnFJIvIMouQm2L1JDXrjqJUCI56H
+wZkIfPGhU5fV3ua6kaImJSTS3iclc8BqGibLCFSCPgk75LTIEu8opOPZf6hHCjWu/WslsFyTWS+
6ldVJpSnql5jxbAUJvohHKujz9TSEhsrHVNIPrVjV/T/8ElZtUayJWEHdi3e4gizJVRFih7ZMSet
Vjf8pFDRLyUX0ahqg5Z/2Woa1kaGt7g1IKmFHjSQEykhSfisVlq/EdiePt9Uyg/6HzrQzKBevydI
5NBXXDWhf780oT0BJeAk+q5n6S1OuQ/l0aEV/tWG7q3JqWPZASAEVxb0gJCtY4R4Qo2jVLk/pySs
VFbRC2FCHnz0RFTmnOdZqrWgaUpfEqN/dTJSuRddRs6NuMK8MvA9Yx3MR7iN55y2p7Q3zB/a6C7p
WzsLDQ9v0edae5vG+qBJqd9VslOUbVAN0qWXiGbE+lZM5FeQEM+LOEvEc3fg3Yrwg8vHb74PqQh2
zrz0brISb5bI1ERB1hFQE5EA5WUr8SgSqnA4rZx4PPSEyVDCKKq/Jchys8h9NLVclZsib1dfIhqs
WSx9UAd/xjxdhx/QC1td/G2m37i9JEXk1DlXl42YzYQjwkXiHcvLIcOTX3O+sy0JitaB9agYfhuz
bus6E/uKvKwaZYmI5wzJRBNzzbwoyzovd+bxho3owlIX1KKWSPBwCbLJ5zyO2k0Erav5hIze/YlK
jw9SpxHs0zpcy/ZUGms974Uxp5+kNfQKSBGmqpj/DIzWzZYUnRh5dI07JYgjIyr/dCBVRGhL+sCs
VGO+AILCx1kIJPAjdsz5tUlizmJjjm00IsEbpfEnWaF/twg/ED7vK2XSSRp5w2su366XRDX9dFiP
oDePjOmjY+Aes7YVeaapvqRBvsOU2JQTiSJrNR6lNbFQtPfLps6BjkoQYVhk/LyOcUkubIYc0SnW
hhvTky48FezCEhozREdmPBh7giMzVUmTSmdmKRsWAR3ySGx+BKvlGAnVf2wqjuxuTg6VbN4wUPdp
2Z0TPXqdTYsIFQmvWqYoF1Pids2ubpzBZPyZ6JlHo0gdSrhHwrBr5/4q0MjRyBszS4pUO2WvE/X3
HnKju5JedAzlmUCa2Y+3tIpTrephViQGZIU0mah0n2aSfWpsxCM/SX230qVtYVaEWUrpoJn9dyuT
KawhxQzLsDOKJ1JuZB1rFRWxY8lKty0tgD1lLV4kc30MSfzIZfVdwyqmtkY41jSbAxWqjC1Lzxpx
GLHMU/gduoqJ0zyKHG7YDBKZO6V4TQxSVaqkyeSA2i2WKZ8/gTiozwG6xEupqC75AUg5BCzbxeS5
RB/YkXhgCq7jUyFgeqjtOYlJ2Wgi8TnjxL1+UzXyZsDjspO6vYRS/ymmz03aIfG3Q6wrGy6wn3E1
+FiidCyGnwiwmSIYnjGYb8BrbKQ1Ckk3RIFPkvGMWsAiVBoABuEltmUMVfLOU+xMlOTkFPCNFfqR
sbqq2duUjGjXz2eEQla0LP02yi1ehJ9WPm7GJURv0W6Ek5yVJtjT9evB7TBriWiTg5jwIcx7Wacb
OSeVs/Ah0A5gptddU+8QBy+pJp7V9gfx+6A2/A2mOABB5BnlctKr8AtAGLX6WHXxtpxK1n4lvpe4
vbWdhlvcHHL6tWvEW3HZ6sZ7SkhMLKnAEDXkI+itdHV1g3sIPb82LDwETrdf/gp5cmoijyRWbpxx
T0/dobTtQXEL6GYcp/CdMqxvZrKj6bOfTveRHnJjjLuMHxT0KXVTtxQ2qnHJstZnWa5TsdNAJe2n
w0wkIMAuJ102AX35+Ppe0/tGVDtlFyDaOUt1M8fvjp4/IUNhJRNWvkeSb8iZgxcBycmPiIWQ4SiH
46K/19zhAH85crWPrPcSInscbYqudWaukKOUOWbB0dEFcflMVn9o4aZ5dp3DC3Ky8+yRKvp7OI6E
QXdqQkY+P+qCuKtobgmteoEHRTJqa2VLoE7z+0reLRTWcynpLjdPzeKKVawvFdJyOr1pRnsa0AOK
InUoy3o6pftoVGlsjpvGSPcLnevnz9l/PAPKYRnfFn2593wTCvaGpxJ/SKHdWWsCNua5B7UMDIGl
CI20q4zQLRC3xRr2TXrP5X8FJXAJW5CVn6IMo/G7aj8TlI3lIZSnSHdzZkbT9BoKYhPmo1Cx/4x2
qZ6aT2PGnZqC8yH3atqr8XBv6wMAuKMFhXOerjLCycB4O9UnWd7GVfJFOfItlQFM5srVqKpdltYn
JvsRItXS8LjGxwzoNbuY0LzeMdWN7jWpNov5YwwbqxtQ9a1fHbpVGJ9nidZfN9GwVx2lJvvOxa5b
z3WF8cm+IQ1ORFETqyQtURb7eDR3g/SmcIMmeuXNAhuxROy/7BSTgsIKs/TBa0WnXzdWfaBjhMFa
UsqJ3cK66Mq2ky5J/xGtpyht3GaBYhNpAEtX49bW0DaJhYnybSTZR16f/rcn6Mxzp0jx6OZAH+nd
zqq3YfjdJA8DVTIvdv2Ec6B+TThHHZR2bSZ7kO00s7C5/MF5G/Krvv6bqo92vZY1swUv+4F3Brn5
tzQ7yIQs5hcY1eDN3DH1MQvFJojll9jYR8iZPdfh1xIVGZ49sPPqRl5llgYELrYTe6CNTHZlld6T
8yBBZTt0xV5jtUDG7IU+CS6aCmkOis6t3yfjyD8yKUhRDI3789rtrGyLlxaL+5T4XHQwqJwl6blI
L2XLbyP+p85vffKXvnaTM1GblFmiQFruXen+4cT32p5Z3jd1ZdfzdpkIIV677Cqo3ji9FhFUkABy
wiJ9jz2VdY+IFAukfWI1RXKudXkL/MVU2t1Ma0Z9K/hslp9SOeok0xuUxSCMNilJcfNjWndVRNMe
Ft6R51cUAkHnY+NjJpLxaORXGaO7wwukIe3JKW/sQNUuchYs6IarA3XF4mKpv1XyXmVvLi8dlVO/
/mD13wE9jEznpQp3RfIF79UW20AQN0b/aWanonglxWWT8s9ZsblAjc4vc0vlUFy8JX6E9Wc6/aJC
iNWAnHacOUDAmHLe0rwbdSGouW7W9UUcPEnaxc/cv7L6yOdOnP2FROSSYK5/6yWY062svmpcgZNR
gma28N/7KxGYtexS5tuGVch69hWR4egItOLu7K1ZIIt8lEIvb/d0i7hLPvEtMGdbAp/Tl7TILtNK
a1HD2asG1w7hnHRbpQgou+vWV4eLleSHcthoy6fGdFWNR4HA2dKfk1pzyMZ5k3UrKhhZtNgTcU/G
FfBADho6Xc6Gcc2Hf13d+6KRBQZ31iU+kdlyWB2J4uySebBl7ZArb51l8IddepipGcVdFqE46oLU
Ox3jedc0R/GuTn9Ew9m0LHxYocedpZlPgOz6fHV6iuQtloLcin5OHWwu+kdNzFpN343ouQGVkFXk
dbnqKhqFLOZmfhP2rKTuAMOL9exeWf5JI79hWMLZuMmV+qgUd91YAgEo0tSotEp/zTkLZFj9JjkQ
s4g9vAHXqJkjKaUI7UFWt8TlbXFGVwLCKBHvLATuWfFXLK64I4B0YfwjNORJhfJL6aOSsBe1IjC1
iD5JjdZUeUu0HpKy9aclbDndhL+UD1pkl/VafkSqeVeST1qrNiGrvdUPfh/jtC90PEpjw+a9lAYJ
TSGacbGrLOrGlMptIvHNrlQ3yw8SuhnsjD59E6z3sBBsNq1suuddiYjV2k6/2VA4w9T78by8LEoO
tYMSBP2Mbat3zsIgSsXNrZqb3picyMwukbwnF8bpQvJBfCF95c4EfJmikIAabzG/WhLSDN3Yf/zF
iOTS+GVQgsSh06TNSFmElK+qLeW/XUyXXjFCn9Z0oI2FH0q3PGGTbt5jkoKdpX1IJgfzlVd6I+/U
lrdcofPrr/w8so6lEqjxyZK2PfwzvCX+rDPx6hmRzNJc7D+nLHPbVDv7WZETi5zJfGfIob2mwWht
IqNxqQtdBfMqieuXSiahI6ptncP4FilQvWbKrc026XZAOLh6f07JezE9qsoXJx4syCXyyZp+FaLd
ZjTb2kCNQsAVC+/S8i4hI6xDthOb6lEBHFln68M0UrAWv632F2mTTT8X0HWQCZavqvFG0dtNlqVn
M2JQYJvsAu5hZqZrODwH5gZVm90onTwKHDZSokvtjHvnm/xMvo/IIbS8xnixO+LHzX6qvrLibUHQ
LcSzIG+iZ/a+OkdIOU+kBYQfux0EQlHLNjXDS83D+Wych1ClxZqLCH3Jvhxck2qVAQ47JfzEprSg
1Vl4jFyicJaajZfQWeq4LPY/OMtbZTbvkaHZmnUe1Zwyam+bLALWQ/BheF7i8ggRwirunAu3mDLL
giIJ3Qa5uMoMB2fUVYbBz1l8ykTh1KLqgIsq+Ra1FlUeOdlb03Jq2SOuclIoKVnYL7PoyZtw+TAp
fJeoAkLqr+IVr8cRiku13GdYenoouMrIMiVl2UZIy5QmEUH1IFkuvYBi9JGq/Oc6frvxm9Qe6m4N
Vh3WdTbbiiA7hijvCxinOFgbaX615pvJ1aXrwYNnO0YqFzQOtD1pU+HBNiFDd0OzbwvjaFMa47Fq
37puQ2mQ9LGzSpxQzAvic7REDhxihyXKnsEYCRnILklljclGg7xk0GxAE6uU71r+KNStBZ1wij7N
6dAmWw4MrF4wIzP/+nP8Jz6KFQZEJNedOJ+55htcwatOuIiSvKn4z2S0pgpaTRATdbvsuz1bcI5y
aVwjNhzUsv6IE01GjGBftBg/W2Byf53LHsx/4isx4rhB7R/mjWGDyL7QJicHaLJDhZMNZsWismCa
8cxQ5NRGaj/NA7OWsf7GfbRZhuiFHvEHUVgKKILxHj2LOUQeYJSsYTAvOqDKSQ0ErdjNFYKoVKiB
hnrGNjsvXrWbKsqhY1rRB+sLe4AGvIu0IT61T/a2XqC3spYdGtiyk559z7WhUchGaFWgJEt1mudw
6EUNFJUygqCAOZUhrrCrkr0Xooi/IMh6Cu7PPNex1W0oM/K9J+PtGW37WWVPUb5bUYYmv0rFPwn5
bJDmezqXm+eAHS7iLp2jS1enVzGCqdFT7oLzV9JmCDesaUmgoBH2sEijjEg+RFZVDHz9mqbJVU2B
E4Gh9bRmwP7Hbxnb7EJpKvUllG7WoIOYV6xLkaMoy2Z9DVNarV2h4Arp7JTK6XVncv4qVyRwCguR
XFasctvF42uMYOap5QzEcyVBpS0VukHFc9XmHNzD2hReLXSbKJLvXUfko1HMR5lkbjxbt0Savoay
ZME00b0oTM9V9mzWcS3oxe6iNRzg2KY7ePLfpTmAKOK+W0l0t3l0ZeDLvcrQZtUfZqr8aT3wyHT4
BnQGIySR/5p8PWttZfE5MgvlzY/EtNoKyBWABnl9y98aslHVTo91wW0pZPk7Qu5ylnh6kK30xdWk
0TG+1WFxInDzm6qGuhvxpsiBabyh1NnpZRzjhG4geeH0t4bILFLTJ1N9qxPxX1gll9WwtrNs7GB0
ncj7UdPK/oEjO1MRI6nbX7mht4jKNVzzCS2PzBVxNVEl2TeySEdL900JXTx74hhIa+oOkZ/EDqH9
WoMYjPP6xoLpb/VpBucLAgnSSNFs4nbO/E6oX2YJWUBsNIRZED3dMOxq5N1pRaDODMrDwhwy/ILs
ozvanwArTEE8rfu1qE9GquBuPvMCfZKxB4mofGt2D2PlSIoVQuaztlvAH3qSBWAWvs9bump+PJle
XRsniF9bWbBeCfRtdYEvioVDkfIVpRHvwcHlkpPU72mbvnURqr0gdR9JPG+AXp7WieOqlp5eifau
l2wwGDJKE8zO+kFbZPC+sgdk/I8lvYdxpnhPBMPLM4hqkhYFxMITe2RhsZ2l5R9c1K1RWwFB8L8y
VS+1OtzJajC8R/NVqqjIwXpj9Kd3F3cU4a3yOJAyHVT5vBAto2Qm7Xi475FserCfR1tlaHaERH5k
PYRRWMGRQ/4KKbSbv5JOfY2W8i6o4aOtu27XpMNeXdePsG937BwOzEL22d2Q2PH6VPrDQE7Mz1E1
a7tcAJi0ULCsmuq8pvnj2O7BhXhtkf6AfT3EE2kmLLQU8qUl11/UuzGaVPGvQU5zUlB4tpyT1tP0
2EIiExjIoL7ZgAzfMLI5xbrpYCT1K2b0b5oKX0Y53LoFkmDfms2b0KkZN1aeDCXq/DWW3stW2hEE
0I5mNtCYIXfhdHr14O/plJKC2J8gKAyh5BZKeQea+Fj0Zh+vwqNr1gd++YV0feWGyxrMM5HJkgyl
HVXzW152F8lYucxwMEt68tszqdgmRosSzdtaAp/JwjpyYRPSA2AVGo5Jck1SVrIQbMX2S9/JFNFz
7eUbTikoqe4CdeQwTfJjkXVfz8FwA8yujWivp+N31nGthiqN9z082ll3B24pINSJGM/iXlLlxDZY
cxkD0IZIBtvf4K8vCFwyy81c9XDJuWURCvdSy9rLo7DVdeFfw9ZV/m1++H7kb7EwSMSVzfbFfaFM
up2YSE3ozIanj+rNSsfSJdeCqjN3d/VJyw4povBWqK+SMW+ULr5WSc2gQzNvGeXVEazx2I3ayyAT
uGhHGNbkWxKnVIV9FxG+LVR8UD3e082idiJ8rxFf+Ua2LpNlyrSgG1q7dHRp2b1DHnrvWZc5SLxY
JsxOoTMI9xfTbojRYzJto0WZS7Sjxm1iSx1/EXcB/0pzuL/IRf025M+TqVd3fbWcCcyT/LcCVeVB
DjN+EoNIBsXye4gMj+Vl/bQjeQ85+zJ7rjZz/VVEyV0wjR07Wo/6TL24kHoTmYuPsBiV32IZP3hP
IWgjUeLQ9L5iMMNHhjfW7beEiNFHJfWKYrtgnFaauCU/+qL06WKXSbU3m3rxV+EHGh1aA0QICfMF
GQ4hmCL4vO3KdIOdEVLATuerzHTeqcZhoFSf8uoVNMGN9G7bCsXG1KHdNiEyHvSiRHVoKoGLpzZf
1ruQFqGWKD9z06V+GC/uUzUEzsoqOAbXASE+ARCtDD8ksH2hjkMYU/mChGqdkqa86ovFXdn4FaoH
XXM74vacrKFXG4ZPpcBJINPN+U9I2HdlqhRGmS9c44u5QJL6jwywmyRtMGcYJSXPT1TSudFYQ5cc
iVCdaC28WVgpZgRCrjGPicaSH7iJDQZy+qgFBZmPoFPQq1AClSG66euzOjQEvCknRyfHa4iFK3Er
jhBXIpwUG24kcaubFGvbuW33bembDVtJ0tUHQuzCWUVjwTqT7+DteWl+CMY/iI1ubymXdFVeFAF1
V5f9aNUDY2gcCJXfhim5RpPvarXACuwu5UB1qnFBs+V8a3gDcSLnETA1Q3soxd9aGXavfKCqX83p
VS6BFKxMJQPHILIsSXi/1zuOuaYhK614sZm/pZMPWhCc6oK+zgs6RTLtZltOEfIxraGVsL6PisAl
5VyYMEIIwaSIFPnYcU+JXWPBcJT/pPWvBo6Ggk6WZtG/ZvGkp4NTDu9VBSdHf6wpXN5PQfGFEqez
qA9TM9spSbemrIKQDE/EY5/KBTozGbXpZRikvdgyB3MFANfvCCLKY9IQDu6OAKBRQzQ/NNrjyNjN
GqyTpCbkKkqukE25s8r4LS8i4oWKQboyX7+WfCGYmZxXlchvZL2CjflOUKzFod1D5n7JWc+bRN11
VORdL/OSxXAVy1NvRpjcibOkuKa9oR4EqrwlkMgU8MCgbgBH6qbuyrwT8oGWquVWEVKlWrBRYf4s
5k/2DXkpluSs/wsNfxg47eIsqAm6D6SU0gRkCsvkEmBeXWVuuhAdldROMUfbxCSqXZ8NytCZoO/J
ekIU6YJh4NTkQ6umwi+myh2JAPLO3Nb8oH2UXY0oPoUzITEpdZNx/NcPcGepyLuJoV2iXHHVTg2A
tuxoegL6vgKNJgkGiN9aWXlQBlUybGm+eKWIxrBM5qOaxeNcqiQSzTPP6TYyE5lpMLwS3X/KVU6V
XxJofVaeXnpr+opQG8L0ZhI/wGIh4fXLJ6gzEA35kR7ZaUqMh7rc6/QlK75D9bOkVNCjH02oPHFJ
HGgCdzGiCBbSMct4XqThi7unz2y7F+djnL0urPQosMLtKa83YdnuFB0sa3Nuzdclv8lQleviIo6K
u0Q6E28WSBgsGUGE2NQ3WqVdNRwJ5sl8PFrtD68TN40twnfKIUl/ovmtHfr7UItXq31eJEOojo92
TPaZdMktwmmiUX6h8Z+BTC9xvDFXDU9eJEsrLDuu6TeAbHgjFDGMPHP1sPbpuXDh+aKdrE3fItYj
bw2vUcpPtqOgFMcbgswBAxWUqviWGtUmUxApV53BNyMA3oPgNgXsM1LM1OufbCVi2gTVE0nrnXwA
xmlwuHjlIvFK4Nsili9J8Vuuw2acSmQWtEZ9vq69zF6un3TiSFcnNwe3MrcBseTf0civCwmAmp3R
dIAiRN84Em1lnjZ9zGWDNMWI9yKJbwbaBCFVW6j/UjPZUs0ZFdHD+kKx6zzkFKJISEnsGyEoDzpq
cHBL6V4BbycNrh8gaBKZhYqzTfOOBbu7Pv6y+j1UKd5KeFKI3fm0M9PSk/HG2uLVgKUnW5JnqOQm
pJR1VwGgFAzPmCslTfeRkJDKbBHy5QdpxqvNKXFJpgHzvwS6A7ComMl31BhWOpEMgHDSB949f9Bb
KsjMwcY+rR4pSzI6S4XyME9vpsHPPjKM4j5sQEXd87TdDX3ohibVo0SUHRg/PjtWVSfJ4EtBOgJ0
tREYbdR0V2uqr3QvS/aS0gkT8muMxx9+6e05Na96V/vp+GuV2kEUEX3Vh9q+mxLxz2BSNy0zLhw3
D6gjyiE1HxM22KLzi9A/eVKVJHyVw8WlqLZdrR8qgfwyjebDEjLXaqtdnUMEyrieVwVaFo2Ie8mS
VKeqxHE3F0A1y2Y4rax4s7W+2YbV8xhY3CQDHCE3/2QNq9J4mfK/djr2Mm08KuugXevvcCnsuMfD
iPe94g382Kzy+UEcLgHAfsrEUTLegFbHWi0IXXSVnNmYSR+TIRL20CPpQmzF3OV6AjKCZixxVTDo
2hREZaD3XhaT0C2lXZtUnMxcUc7z+0icbd2s82aafuGb2aXq5dF+ru8MVCgLnfE9Zq6EtcJeUeOE
DWmiuaaO1h169XMsg1jylsVvr0xHNkRZe1K/uuZbUJwcC3HkGOIYrp0i8im659DvhaDL7tp8gtmK
ETjcLbRKTX0xlS351iWi/+Ck4S5tj62C6n0dJn8at7r2Lc87E1tr9GvpqzcHvoO6Y6IKw8KJpFOV
nkFcjvg1UblPTBqfUWCNHzUpLAwy2g+tTPnX71vYK8KfvrhW+QEKZi0CGM2zehHSgyEA5HTDHklQ
kv2SgWXcLfWWjTC8oXxRCWDqT6bPfCK1YBou5I0AaOWI41jlwgVkSQ3XjBx0j22nsf7ns8JWo2kU
yNNXLZ3YWHKaa1cYHYUnMW2vafFQCbsYRFN2UoM4v5WKO08VRi6iYcsT9cAZa+t5G8lHpNxwPaic
C4NXpGcowGASkuEsPheiSE69fIW0FOoz30NHYAAVPmL5oM/ftNGgGOGmzE/kkyfrf32DJM/hgjTZ
akHNSg3kol5snpnabVkTUOMHG+5k5mxVbvZ6L2zBeXhLPp3zTLrGwosItDvRH1b3JnM8AssHXCJ7
qOtU/2uhAo4n+mPxZymfrerL81stvUd85U2LEAC9eGiQe629FJqnQkaWgooIxXprYMkqm2n2JXmH
cjPqWaAlvEdGFDzlxtv6Rn/cWnkED0X+KbHoh+OyvyEHyfOemxOjdSedGkwAFO9iIw4B6EOdQvwW
ohFfWm8miWqB2bHDmuLHrmpJglBxctJ6q/HL7o86ThQfDpSXZ2c7WFhXAaABZ6GFFISlkV7N2YfL
G1vAwPCJd4l8MuID3NraIlnqR6C4MmfpaG5vjPKwtEe5AibyLBKzyRFO6Sv+oWYEUDbsYcAHcufU
X4ZjvdgZdcP03qtHLfmY5BeT57vaqp2HNz9lPzoQWU60BWDwxOfgpP2d6IBUep1q5+pRl17j/s/4
Ukjr0141daD7/+gfx6QOs3tR+alyRPi1G0wtxUP5xS2UI48WRN9tDI6Wm4LhTVlFw9fyZRbfZCdr
+eHQ5LowsXYdVyv5lcx7jKHZ3milJ9ld/pxENy++O/mWVoFmHp78CY6nESEEnWZjyvsx5dDeEZgm
0e3+75OCQsBKIjHvavPBCC8wVfCVea9y3rPyYCdG9E/3jeKVf1y2aXsq3b42uLqy1iDIgUzS7G6D
OtkyIEntPioIls4HCbEiDxGzdi1IB5J2iyekP13NqpbAMr0oCYrmZvQnGYA7OUsY25EzPBn+FD0G
Anr/cXQeS44jSRD9IphBJYC8UoBaVbHkBdalkNBafv08zml3bHa7u9hEItLD/bl3K7OdPbxNANT0
j8zBtbgmKKGIDRSIOViVGAV47RLxDPZW9lTNR8Nbtg+f24mTPZkPufteeDeKAA1tX/Xr2d6mgt8R
F+xxbG480hlOWOPS5ayW1qXjC+SlcjnlJ4gbneEzDUGeFlQVa5DOoPafVMRcDS2Tqwsu/DMXUWu6
WgMqF8usRQ2zCTttz2C6FGwtWjZvC+G9adVOD/1m3Abd1jE3gUVXGeU6C5KY8Pm9pQK2hasXM3Nz
r23sqkAydgEdd5BMxn3croVH1g0RdAOWgq4fQLvMc/QcbofHU8RdlIAb/iHOjhzt5A+D2iNUsqyr
2UdWmnHzQYmpj4Ezrpm9cKO8h/ZpaumL+tNh2zLYUDK+spHiuI8vwvY9t86mfPJc3na7YDzpMP+G
zmftvoSJG/NZgNEmp2BsNDMhRJJk59Z+aeFYz/DtdGUdAXBv23k+QMhbiniXttsGVmyA275lA5no
YpUa1jk2u39O022DgpoV2HaWPtHgla2RCE9FS1MZwebjUHpPTEaPI6f8sTNg4Y5R7l1l1BsQGCz8
PT4ePZxfmpZbvTSGv67Q/AGC00JYTbkcHjj0oFaP0MXAcEamzFP9Jh2B8FkT3tRiN2FJkY/l5Ahm
yRM/HsNYzJQ5xTm3uVMvI9+FK1RfmsqjTaCEyHZz2orbEtw8cEXx+KO6a5XRb5MBLTsq7e0hcIze
yn7ACWgc8uN0DzFc057lhMYJ3TvhFam9SOtgRO/2Ay8KUGnpYpiodpj4dWtJvpiX7tErT7r9Y6mT
W//Y2ktecSnPVy0vmekvHH/H/AsnBGUZs7bA4olRpODz5b7DiLsfh2W9nNdIou8PWMawwusFhB7a
VDD6AX6vcBvdqShndYbHWf9CRuHrRMWFiJ6x7gb5TT34jZf5NWrZEfsm9RMeFhrMaz7zTQD8hw8s
X7fYyr6JWwlKcU9YaKErF4ty7Xzk0xJB3yH686cfoi8XvzPmwBcPoQi2KYqJe6iRIl/7G987fjlc
VfUnVZjWeGP4RDnIYQpQFVEdH+OACwxjBVXXd4pd2B64UrCXiMjWH0Lw1eFWw4B0GMMtw5CBuLex
uP7EO4WVBBpe6Xe/HAp4L2jY61YMHAKEbrWjZnh6GL/BMOin+Bm/HSAXRszpKfvDwuair4Jt46Fv
kLKA7GMtWsZ37Sc46flqcvxhX3IX1J4ZZEysHsf4yP1o5mXf4GZZAJ2CVRkvwvP4SbXNBraHx48E
MmwXGugoFFdey/Hc1byFydBvva/xI33FU+sssV3/a3CZ5Yt4M+wj7BnVIv/MsE2DzkSZqBbOadql
Lx0/s/tvUCfqC7mysHee5m0acRxucxw5bFaoQDmTJFO79AoTCgpoi1v+Pf416yOZhyjfWQVhWDbg
/kTQXa4qY5WaW2NPoaTYUvkXv0YaF6YN61v0J1Fcx428wso3GZe/CJP0BL1fDM9vMc+iolrcsZBn
nsbOZyEOlg1pbVWBiAGruIsobr4kd2fF5yXf5Nb8Iylc/RFPmGfIrPv2gi8al9BAhvXKgIDj1njO
PwPGlHjN5LDLv0Ju1T/qGX8DNcXiFP7giIHVzD/348rDUcde8YpbY9Kv/YZdl10ugosE0PY9nl1O
W/iIeKO8BWUN3E4t663et85yZhh3D5g3KOYQAHCMxXQngtCLa3zAb2hgtUNaUDsgw9gMCaLjLBrA
KIMKOPLlbQRMs7tbrr3otY7IwR1Uepu7cwav7bX+4j9C/E31qxiXjNTlqzlsmitwiMw38XQ7m6E5
9OzYl4l9KVhFLalPCxGCGYuLBWy+4cnG87Zp/ewst2yscQXzgGjaglQbxqCDs243CkY8MJd1A6dg
WLjvzZf7y1aRjffz/03QPqdaBvIfhw2cSAPj+jauXvobmEij8BHG6NRQyVpyHj+xZI+mi/xO5b/k
Kekvj/robEFFCqkXCMxLlKM/3vCMVfmalW/u7pkcqk8EaPmVGssM4TzcE05FklzM72SetPCvivxy
2mt+9To+rot4/hf2YRw3YX/tBEb0pdpmqR81p4ZfLdw5Z/aHk4zwPhwKzKW74ifS8KUtE1ymd97Q
3j2654fsx3yvv8ACEgswvx0iDDjUXwbDVzzqOwTkhowFrD1WCDR9zg4X5WWWmitycQvqsYb4ILL3
KvmK7IlTS/iUUcNcbwHTcniSa4u8P92EjSTOnsW+zGE7yEPRNGvsu94Epnl8RYviyD3nyrcQmSC4
y+6n5GU44KOnJKZ2Px8ATz3/IinEbLchlQtf7bUM2AMi36JoL5zkGCfUBcYoaO3OzcmzX93ozoKw
zE85RZUjX/ZvqzlbJX9DVnFOae2qs40Ijpr3zH9xm1+99hYRx3KU/bNz8IY4XVrJdMmljYfb4Hqy
QgTIzb1R+9y/aDD5qHWdsg5RrL1SvEkQy23pfdnjX6p+cmwomvUsbCgB2T9BBV68sY2z1t5ny4+y
nca68tFZgfpj7wNRnmAAMNd8d1u8KAQZODlx03F16BMk4ewxfVWvdgdkJP/F7gjE6p7jUG4Ba3JC
5Em4Ij6JYfQwYexjfwLxMBYHrXlKEKzsT/ByrUMaZqAaNfwW3Mdphdyo2liTK5+yg0dmb8YNNXGp
6uVr2oCK9trX0llFl5QPhvsPzM47BcSs2R+zqPL79kXh1xpIPaSI3zB/Gmurj9uxJv6F70IzuEJu
NA37NnAziyaQ6cxOquZly7+28RmmI8cbFz332ud7e96QFqeyRd/m3F/hxGFJT+mqre9xP5/HB6u/
Kd+VkR7pO+254ZiieK61eA1ecqnbmH9h/RnsjC0bhV9m69T5TENjBetx2cN8nht+1Sj2PeNmj8dW
114bk3F2iE6RaS4D+wDBge1AswXRwq0+OwQm33gQozsi8auxn4nUQvfVYcEMMfB3j+eNfsMAuxtv
v+7YonTSA8osmZ4Sx97PrfZUNTXeO84gsiSrKoixvetlx//X+bB1srQlQx2reAdY4UJZrB6ZXbB5
bcjX6/B95k8oKy21kmLX9yZo/1mcLVDbCieX21bPMVe9QtOXE6QGuwfJ2lLiAucTkhUiFn4oACM6
YSDFLg/Pec1BbDqXbvqyecVoMf46AHSujmOPcKtOMMylXKxD/0U6ZQZi1WF1DObukL2LEMwlXyzD
+OlqflvNdnBDDz+Nx1QTa8xTrXwL4w8HXnNfRttycE6a7BikSaXH814OdrpWUrsXUXOnYewVNP0y
JJdLkIWnjx1qofGGDeBHqJaoWGuQ+0+JHmM2zyudRC1UHu8Hmz2y5sOtGBmnuogIefAE6s2G6ol9
KKu1gPo+J9ahpQBC17Dd8cDWrcAGNKHA5T8eb5DIQ+z1An/ooqUXs4nnPp/M6gqNwQYaVN1BL+xq
+oI4YjMiDRKESj/vPc3be3O8163xxTaB8gX2qQ2anbTSreOWWzmasCWN85g3qxl+fKa7JM2wy5CD
IFz7jsVwBQCSmYIBoKxe52DyxwQaNWttC9Mp2xdI10zNwd61nh0aByGmJF7LdU4emzb7DvtTmryl
sgaW+hRmWHLK5AhID8I/4jZNCCx5zeFc2IxZkc0yDYdhFNkaR2g4boQFDb6zLEgHNhchpeKLKJWx
S6jTWExm/5oF7SpFbJb6eOs7son1yGRGkcgIpBSs4NyBheBXlZdHu5SJDd/zXjPzl1PAb0J3lSiW
rTRBJG/EZ4BT53ury7Zs5BeQKt8iLDwWTVJJwbVmOofTrTJvcajBTcRGODsdz7LBnpKcOI2jZ+wV
jH1lAWX/LBEc44rCAEIHXSe4QVP2xdNSUn8zNpQIexCTFlmF8524PA29NOktjCbcuH39FozZXjem
Q/nIDogQ2XmQJhktxyNblb90ufymEmoXpckmTT8dft5GGBuLRzXNkV8cXyP9NKTGdphoomp1LD85
lp/uIai1xrGMaMsUo8O52pTfkaFJ4rfzxgojsYTi8Zkh02xI1Jp+nQw7N7OfoIM03CH2dnkAViC4
I3owJQZiehpCVxv2BG60g8w6koIz9vH+p4mdW2NRp91264ZZUjPtVVA32DK8taKcY+GZnEzdTG1S
0FX7gPuWF7knI9J2aWOf7DY6BWF2Gvi83dcgbE+s65C/cUzxU7JUubTgbqETv8JafBGwKrrsL8/G
JTUyvN28BbmNoAke4OwlgJN1WDbfEQSwJUj230INflnhGMH9vsfWevXgB9IHcTeg59UwY1w4hwa2
5MrEaD43S92w1lXnnCeUYMzmzBXY4UiOcXsHKOD8C/KA8DVeGvENs6UeuHqzexEIklrmYrGVh1Lc
uQJSn8Gj2RJMXho9Gc5eUHpgs1V0cgR+2vywD9MjeBmmbGOCrW4GmjkydQxN5j+qxlaNk216Rz0P
YGIwTLw6WbyjvvwH7DN/MbTS8vel9ajYDXpbPnbv4Nm3vTc/1ZjlUxe7MBlYGg0vJnvQGr25oeFo
UsVzbpD2BVOkwdqGua+V4zffj31qcPPKwbA1N60ZWibn5KJp8FRZwXgg0QrywZOC547yzUbU47SY
xjslkOsOf2hQbCYzQro2fYormM4thi/JIaMRDCA3JoczuJJN5WmbhOzP2AYLkMNlndD1ZBNyY7pT
rxGpRFEcuujD6VibZh+SBCQVb9n4T/fO4/ClZUcK0XmUjG1K7gZO8CbnLo1db1t6yBxsV3A7Lm2W
XV5f+Kp39rH9Bv1qUvQGmgXRFD5qnE9cCUNc8mCqFirUuK5zRFA3jkGOwYlXYeSRaCebEPCu8cSb
g7zAi22fFvWW196qKq8iK1eECFf5MGGnCwjDY91O9IOD1pOAbUjM5CvucKOXnX0Dg/p4EtYDTEVH
yM2krFUo2oWVePDbyuiJJluAr4TvFwVTF/BwfEBwB0bidSXzuJGRuI3qo0XYDJLWWbjNSlXlWecz
iSWGe45CFiALicBI+hCbSPLk0HwloDaPMr8VWDCEfNhP4mU+j36kR4fHABn8JBB72G8MXd7RqsEF
QyQzNIFfAr/bWFp7hrhDZdKiZs7rXj20d5O1Pe/chGUT71JnOmFLXg8syJJpopYRcyWFaA4NbErf
px0qq+FK4A2z7zTDDl/CJsGsqMgjDoXpM6aT5plYZvTN72ObyIJlVclT5HJ0sejJHbbTRfqcTtrB
MopTW8m3pIpfKS3ZjX27qo34UiKZ9/FwclAChQ7zpgNFSm47mdMX1/C++ohh3WtfPAg2JheLIaKp
wVIHzy1vYZk9Ufa3c1FQnXjYp0Gyy0feVqpdJmYrVhlWBXpQNnHAAehVzOONt8OIsm/acpWwPuNP
4QskEcYuGrtfofQe4ijFEd5vI3pldc6XKe92iiUu2YojjAFwWu7VMYcPUWDvlv1wYmnxMJAFSfDh
aCVG4iQ9OL3J0ifM9pQyM2Il3WsWY8sm6ljRzPBooYH1h3f+I3yI7GXzWzLeSQS2/5cg03LM1LZX
wTJsjR1QAyiZSHoJIF08GE5s7ucHz2KG+u1+Nw1/pwn0Ai5TYftPx9qfdD9zyNM78wXBVkEAb5If
NTfIR6v8VLGDL3CKQnpW9+aR+pvBVsLZwd7jZzNpQ0rzcHotHqt5c0T+R0umColfFl3IKTcdVXjB
MP5rupLimHijWjr6+ATtVu00W3pLr29WJqpAlOGkkhWTo332HmaFKz685VSVH0GAEOfBySRsGFm7
rHFWdvmbGF8ZGo9B5sRkOumUuvYhZj0h1RprEONhIfDVklF3+4xKIGpCMFJ+xQ8x27ZqwmXteQhI
Z7JodAcKFszq1GJbJ0srDlEbnR1Rc0fmH2w4Habi8ezD2g+RNhfVZKOum18Z8KNf8/8SIsFmzxr6
r7KH35qzT0hFDhotCjdQ7i5khW9elzG/p++eNt4x/U7QByklSEouAeX4BMoUJlNsvnTKvnmSL4M9
vFaadU2E87CX8Mwx8GjBFygtzP2Q4YckAMrWawG0S0AjZa1emY3Y44YYKkT7MtQUKjvK3dFy99EI
d7yNZvCYYhhnCiJzg25zc1Hd72g51UqZSG/hUFPv2MlPfhICcLVETc36qyOdHJWS3TCFO2h1dY+J
Fdk7CC2gK6F3qR2HDVGyTRtq2OJm23ThjjU25OiHHUcjNLuMguSvMqN1mxh7mIGLtrhZ1awoEsGF
5z1KCgu7MVdW0VQnewxfHTOCeT+iu9cNFHuvbDFnYAcCrdrTLMcXJmYnDhiI9rQa98lYRm+9hwIC
BgdNIOWDNxvzIsiNrzNndraNjlkocXE2xprdf6Yle8FItjA+cvNjzqeLrbzPONDCLafBDqjSzWzR
3JpQa7fhjPorH6GvEoNWbzA8SiPiatAXzjWxEUnCsUdrbw5jgcVUzDfdJVwFWJlWqx1dJCs+Hd1X
mbPS7fkCD+pN6sTDgTgyvUI6dSVmlt5ymw3zx6nXk3+BRxAkIz6a1u0NNKncDGa5NuuMnUObvfUO
4wAVFJjLKZ3VWkWw2LyK0mRXwKrD8+Q/LqCAFcP8Y6iogWo6/YuNvVo6dvyc5t4JyRz7mOSstbbJ
4CJFEoUEk39NxfACx/Ze9+yy2o4dfTadSlhPDEP19+iyhOpdA1YnNRzTNO5cJViFhViN02Y3Koic
pTe+S3CQEDxYXLNYIfjP4lB/ncv403R4s/GXGJ3gea+SCCErVc4rcXs/tetbLueaCrUOGxUeuDFL
Xhru21Xj7sIMi6wZsuGy0xCeCc41lrw/biv8WhsOtAst7TY+GBoyElFEV3iftcFU5zyED5FvI6el
myh/nRMxXTKJ1Xzkw+wGlCZpRUjAdvDJX196Guza25flzA7JzFGeUyNY5RTWoSaFFac/H9xosTYJ
bQrfQR4ggDmEmAcDrwtX4KAoqEvjz2rnGGED9ZyEBgnbidkyeDQtyuIfs/1Bd8dvp2x8aTt7npmn
mZfY2rDlmdblYRnZMP7gCeyMBxfYi8O3OWVxaDXpS6Lrh55UAM0gBws7T1+l6M/a2S7bU9YHhzRu
/KBEDjBaIEG89GeqscbMn2JvT7ibZEOIASe3vWMxpe/G4D65erqPhYNWqlI/MVC5PcAltBGsgQS8
NW3nQKjn2+Ig1uRCPQdGhnBIotQLg3etZI9lzNUuYRkrbebfSBMfbYbA1lkeKU4bg2a87nS8dugZ
qLFtMu09s/0MRvO90koDRJNxCUbn/wLOpyQj7hd2LuJoQ/eLjaKed8SDrEc+LFLcrBxeI0WTP3zT
BLgaP8HeaIYUmJYhcKHumk2kcYipQDLDVlaOf0NnnJUOi7+YNpZMae3r8i9Ag0xRATIzQO3Zhyqh
kbM1XDT15gMFIFuAmOieY0v2j1Jw/SwMhl3FdGGAH16LNv2zzYArYig+c6YfglDjVvT2LW+Hck3f
1D7X3TPkv+9hiLKlloTNNsnGr5Y+1IUigKxrZu17svq2BfeELvsdu5YLJCytpYqc3whU45rJjtRZ
mnxkuF/hoLaK/FJj7MepSnCCyi++6e8SSNiynJtgI2wglxrPzKyTk2iArS3EFBDENqkCFyZ1a7K8
jVnw3CbMnkZ5eHDNdHym8xwv06YgGQxttJYvkRmfBzta1+Z0qrDhrG3r8dagH2FZsyOW+KtH0+MM
HqxiMUfyAzQvSGJVvdPe8YTpVBHtAgKpV/uu6A+dl21UUoAntKY3p8rgrlQaHjQj98uQZ5UZ50kw
Go6dmLbNQ7TBQVauWnprOj27ckSd51hdoFAjfTsAuYmpDMPdIf9RCRYGrnFJeVKzYjpzEK2k28Ny
RN+gvmVV8Wrx3G4f2kLsS1kUXxBevaOOC0/jKx+O0abV2bTV8gOUNRJJto6khdzLCMkCgvzD3m7C
vVf869ORkraR/ca7qk+F/s+UN6UKDCsFLgj8Q9O/IXqVub5otWob6NfO/Zyxlg/tLlX6ztSPeoYa
APERnemhnOM4biPuWdD8Odj9VBUwymBWSLr6UmsxU5boiXug7VA2T9w+QDkjjIqp33DqrPLGvklp
wpeRh77SaaRAxK/2UaX7WvjIS2jZj2rslQ7WJhvVofJuuau9ZY1YEQbYR9CK9Cw6RHzICjeaThS2
Y20U9ji9soiKO9LB/doK0SrtdheQLu+o8NB0Y6bHGDafMa0CrJAzl/U2GVcydc+BAEPqDfbJ5PF5
3Nsjsn0teaPB0u9wFn9jmBXgCtCLnI6hlH8T4tMjlkBEklaDZdVXv8Ci2UXW6cqK5Qt+1YMmyucG
qVs1rZ8QoO57zKcO35rJ3ttDu9dFeKxNiy04H2hfC1heiI6RCduB3L+jphvQT9zNX5piy1gkLLMg
aFSvXTvdSsPAz4I42UuaGqcUTk0UspDBWsaQxdyS5fbODoNnGjJJ1Hbce1x2UhXZtzg+loHxHNTY
+owUJ2Q+mH9URN+VAaIiyilMmB2P9X+2d9N82uv0UoAyYdVEFAAus3aEL40AxVq0Rnz2aSU8jgC7
uNxUC7tFlZ6AWFwHsN5MeNo6zNnQtRFRZlVayB/GV2p7G6dQwKqCI3rdP5Nyq9rJ4FrIlQ1hTxk4
yarsAgLwaikHysSgr7WhfbZ7Be6QqHRb0ojahX9xbAR+Se2SaTp04LF9DFLMokEfPmlFSFFuqCzq
m2eUmBTUUcBURz3oHgkaXwJlvBatK8uyYDKvbMCEtaBkshMoDDhu0t6hyzS1D82M5ZBq511UJj+x
E/ma0SPlp0+9431SuPE0kGm4pYj6lVAnANITnVidC4vcOmSBRuZEi8SBEtpyPRojXy6HpH9VIJB4
dvc1KBvFmY6t2my/ZWwdy5FLDt1nFv4rQp3ECLCYJCQwTE2/D17e7mubS7LHeUhT0oxPlF+VK6z3
b6gQCFI3xB4zhJi4EiwtqQT1rrTp1HWtQXPVfJtLeaJfnP8lZaJMGKgM0nGfewC75NLdgywoZddp
31m14/BjjiGZjqjFDWRQgZYXH9MUfBsZSwkwo3e9KyFXacwiYvAadvtcrTK9O1p0V3dhc5Ga2Kcx
zbRxtQ9dwrMpn2VKolT0j9HNxXNSxwCalDu9OFZZYvSW7AZHhW7cVobfRfjdpq6HcGJpJOmZAD8m
G2HeSFjH6vXwOQYwJ6Qz8e5yzWzjKJ6HpqONuA9Z1ttDtNEmcQLXAf52OJtYx6mOQy7qDqZuXSI5
/3mzC56rNo+h3juoegU+JlODOxM1n7YjtnbOCt2JmCQiS07QWfg5hJtjk1WTZI+IcRHRl1vF4wNs
Zl5bk4YTFe7SBHR6McTdx2hFRwdCPfN2h3u3F/wjzXDs9xhCRple4VH6IVjXKAowxUCo0bmPAl23
z/VsP3O1oYRdy/+66QEkduZVrbOWd4f0mknjFwsy4ilA00Vv98mO7/QeevghYWdmMsLwB36m0Ib2
gvDF6ZPrEFOz0fP3Zjyyb7pZPWOq/QxT/XssnWerdF+HANqU3uDAlwhhjfE5G+yobLYWnMxs1VyJ
Tc2Mh29Q/hdbC49ChjclNHzifAZ93kcLLRbHpAkY/UxyfyXac6Xia6ICLjkOO7RBtE/MR9cSo+wq
4CoTRHKAHoWEmYVGuyy77MMK3fcAWl/qFgq0hBjx43OnUkCyFqE7/U4d0bm6lD7lA7gxvEajYrPb
SNWhasRzuAqs9m64DlvlCQucrLS3lDJSeg6MU6t3rFWscGs4IeCfgWFy0mDmYnrvDcA7XodGNCS4
gRP6BfkTjYvKwGPWWdEHXQ1/FCtlkC5BaU/2O3U4MwsIO/SlAZzNFuBwPYOsirKrY2OpL71sNgN2
QcM19kYGYkZ33B9ZY5VoiPWuXS2oSShAtqkkJh3do/WCYl21dWr9gwFpXpZu/9YgzHjq4fjpvD2/
xUEUuFAVWgvthNwXYrtDgiv+RalHmymlBfCDEQ41YVGy3j4RwnzXHaAAbkvHhbwr0zG2oFTxqhjD
JmNa4io7l6tZgMSecSO4noq2TalvC4pqjn0V6uT78wpjqnuxsuqTstG/GfQlTYIa91e4yRurn8TB
62P4DFyF0qH4nYe55YVQPsNFEpt56NIj3da0/g08KITrWJL1wasskLyNwKhWxjSb/3o3l7goRlCF
KnwcwjPMxADMVuThHHAz9BqpOPRA4hO65CXs6AReLbP1bZl/9n2sk/Z0wGEVENAFz922zQReV6md
K0rXjvFkfVGd8w9uIMajpDsFs3jO0nldFs6dOrJPIexpH3aI4UMMgcLQ+35vCzmsZ9GSiZo9aiVI
c3WauyFooPGVVVutIKxho5pgORBybaUwAgT56KPUe3xzDtzDSa8JVjnftYt7dGqNf6ahEHE4pp1E
giQP+39dYaOwmiDWwjZ/Ktl+Wsi5C1S1nvPGBGspWpcILWXPbY51z5rhoRng+FINwkYkyT2Punsf
0n5TkrVGnqK0URE0tobiyPLkmDGQmyAkdLu+E+9tCUFQn8bGK/f1LCSWoa6Zmo8kDa80E31Slvut
ldVvBBlgKUqi7HrnwXeye8h4EUwhezBe+5L6QXoCCNkG2bOmbBxnUBA0jZuplm6NOr/oJZbZzDxF
KcwST13YV14ovbiiRN66nvUE0CbH1S/5RAZ/Fpci5pxsql2tD/exbdcjiyOy8OW2i8x3IUi8zpxB
Rqdxh2swI1brHNggutXKMYhbCappCwUwwsr282jdaZ3w9qMV/AJgWIIa344Sq19qFjuWCmvLcv+S
sWN/6CIhhJ8z5Y4s8pjpJ7HtrZBvt8W9WxgpqxNcXKAFKNnrWPQaNBiRfA8eAAoLgC0uLW3bct1g
+3R2B/tiD+4pVWxiLRwUegtJQ8+afKtZRGIx9a+ohTrU5ncRThvdkBe4ENesTW5g3di9uX4EDSnP
vW++gF9mVvlAIbGgMqqMIbAinG9OOR61rj4p8+HJDxn8hdrYvKFajxFeOaRDKc0e8+yZqu83fps1
fbIro0ZQa0P8q4NckXT5HaW2HtkUKW4AeYCLkc7ArLYeCfJjo2lfXGvWqCEcotZ0jxDm9Tyh37Ms
/8xpfjKb+gfgOY1C2jMZXyKB0gVlz2u6D8RfGWifdS23Dxk4wDBa1xU/V7HJbGs3kFIfPEznQoHJ
Ku1mvpbVBJcrdbBIZY5+GDm+awKA64maNwwFmF48JL9uBubkTfqXRd9G39uu74WC1M6oLXulIYTy
m4sCjU7q3L9LwrEPYuKCMvKDOUZXb2YRExcmEQcNmMm4S3h0eHD7bGWlc3yKZiAnfCBs+ASZSacV
L3XuXRr+emZqNSSnsAZHWIc5UvdYEwlI7EeQf0NJoIVip4syE3tbjiQcWgL7oKcrBck7YdvvPnro
dPxSA01xpvAbSpn0h9WD7Bl2+V+u64Cq7Nf0kaiPWHfCCTsDsjsjUVm4Recn4WifQ9vAGTbGP1OJ
40T/WE6RTRN7L6Htsu1J9btqNMz5JZ9tW+EybOAWKnP8Kvrc2KSUpYGMayfsf5J28RodYOhYPtme
DvtBdy52JzDZqmRvK3K8mSZuVqz2NuMrvxDe/wKrOwLoVG8CjdwoXM0Jt2Q/Q8yZHHPvoNdQJPKm
9817WdM9myQ/kiZVack3vl/o7hZfwQbFoX7YDRyX+BRxK6xvBbYC3RmeKJJ8GroW46szf4D+OadZ
wgvABHrb0ufkOfLWgUPiiiFq5OgR1oLWfPVmeU6n+iJMF0+JPX7C0vics2qlRfNTy9XPiUwq/xie
SpiJUqvBoEAKGMnog6SwT3kIzFCfTBfI4bB2Z3lNjNbaOmX8B7J/U6Tmmq/PX6ZFJ2eIP2fuwWtR
iYM0jSdNmK9OwGANk9tc2w4e3NLhSEKCUe3Aq5aArDW5DzDpbOF6hLDW894DfBi/hEPIOmN8UmC9
oiB8HoYQ/5LxhPDUIqqN8mSa+tOM2K+TD+D774Ai36Wkk7a2nSTrLJinfdaFX4Xsr4kc2I+7sNaa
SlyH2m2X7I/BokH57TQVk5Qb9zRJUR/g/hlWS3NYBZuycSlcw2w61p/1BPfa4apRGQgEljfhtWq7
7LntUZsMT36H/Fh+SEPEWrdbriaetS8zyUYULrTf6KTxVIBbIGuSnbSLjZEU32HGBQRtGjW7Ly2/
nBN10qeBvXaFVtYVjx9K67lIPGAfoi/BjJh7ZM675ZRvuZJkWUT+oaw09LlNAhdFfupcrGkwUtNb
FeMR6lKN94BpTsswQ/FEvmo8OlQ979wXkpUk3l995pFzJsIwXR7hjG1gtZYq+dQdSeV8aparqEDs
y6Ph7ukN6Fldd2mQ9SAVJ4oloxa+i0bcK03/mRq+rsAQsallI8DIR0Mq83TublIV+llxNl1qKYiq
0KNOqO0N3PWR9QDtL9x8ZMGs6B2iqdqR3J/WrZouTVLsDXZSthXjiKXwIMqcY9vWd4doduO9Sqv7
N83aJcSU3o+Wj73kKuZpk4qEH6kgpz3Hn300Y4ktNo2bnx8dI4Ogmq5OuKFRwL5Bj9iGiGSmOf4P
6LwMxfzSM4LzB+EGQx4TNKvh3LOp8vtYfVqcAJDM71zlSu6bje7T/boKqwZCg7HsWhS9p2xmYUUv
lLR5uTTmehqx7Bjtr0f4xtJvIwJ3Efw83jRNCLWTOA2OACCBdAGtjewnhgouXbjB9UdePidtfsi1
hjzCB5jYZWA4pEix146/uAT/4+g8lhs3oij6RahqoBG3zJmUqERtUKOEnNFIX+8DL7yxxxqKJLpf
uPfcSx/+DRLh7Fiu3AwfbkaEt1Mc8WuePePcokmlj9LYv+uMf0YuIi10ToXCf/8G8hMbE9OjVWxv
OnVps9/SSo9h9oaeWEc2yUgVljEfnERtDC+PZkzg3APhNRrkWWvJewxsWVOs+nrGRrb3pbOO9RGM
jblzq4VFyXfzonXTUdhWiHnkrmzeaqvZRr5g2EuFjrNgwJMq1M1LjwaSjtSxGE/QVw/p61Aweq/M
S876o8jkaaL5z6AmtICgoFIvKxt+Hs8HB/9+pIuksqKKpu+Ejy8q0OACDqquthbz/KJGOqluPs6Y
4UhuGj8I9Ji7D409QKY5mOoaWPdRp9idQVY14Cpt/tUQsZeHEpjglFyoBOAnYI9+K5SDnYhjw/hq
lI8fTZ04MJAfkLwjp7Vvm1u/0pdyVvuwVaC8ITRjx2ibdbSD/Rw65sThDowsgDtN5taywuzmk4+p
FF4L7deZ1rWOfX3rdvfEO0xSQpH7STy6lzLke0KpOdyJVuZ3LhZ0NqsEsQjBVxTTjzkULIfCYTQ6
jTd4H64slLGZ/6+f3iA1HGHELuwKJ5FZPgo7+qzRP3VpsDeJy50I8cE8kfHxXJkQbUjL3hAfDvf6
a3AgChDmHKMTcOxDm1/95ur07Ja5zl0Om5j33Ei3kbg5LC/oJof2pR/PpKjgLbj7GUJu6qV26vcl
h5GTfXLgrQzLPdoFUP1xq7R3EmRWSX3R6A4bxPMi/3YCjMQMQWN4xGbRHidBD2T900r6ADvdeATP
Da52nkwmBtAHigeERuXeWyYYCWVTNX6R4rRJC2w65p9gzG+jguiIIOpmjw9UUFoxLmNEjxl7bhDs
tsUVipjYtx864NUM2pjkC+go5p6kEsbhEWLd/wIJ8kLg+X/bbnEpBMo3A4R3NlvVF4xyNnEbf7R1
iSGq+0ycZpk6jMXFpo5OFhYY6Jy6bLZuxFebcDsDVJ6lsGYMJg6y/jCNP4N6k86hlGg5AvvcCx8f
OoQrG0ZyjaaVQzhpgk1nqh1iJg4gfKr2Nzk+tzaDRMHnpNk/2fDCjBwh6t00aBinp6xDkGw+oKkz
UOtXfaeek4aTABg8Dw2juw+Dw6mK+TWKbMsuSPUXFz6J7vzW0tnVIsGopnB7YOWvUXUXbKvadiWQ
aUwd/QzC/KhCydZzaJi0NSZZ34SP6MwpfE7G4qQLcx2EzSLWhy0tyJ68Kcaz40px7bGko5zB7JoS
FN++h6yF++FviBFxNOEbO38qQw3O1LwJfE2yvWPee+LCnKA6sDlGUGGt4zxYsaboET6ZYb5GKk3A
AY00U1cLF2qlXYsafUXsPHVc0m5xjpq7AzK5dG9t2W9JO1gELrWYBtK6YN+MN9Aef1Q/QknEi6FH
r2Jelk4hnZLPaJoNp/9Qvb5k5PhUu+7SENUmMb3N5AQHsEXEigM/LLU96S3PqaNwl3t7CEFrn4cz
kbQy1kdkZGehzfR6XPwNlorm2+LvTx0UseLD9+pdWzHn4PCLg1/UvzsJ6Swxmn3rvNZAjZOaSV7/
QizyInM5wt91nVsq31VMcs0a4+mNrNvGuRtMcjIwM72+8BBEBNYevJ0fn5Lu6CfnVB4JrFTmPi22
CW4D89pmP338EMYtwKvglcfeOlcdlvyTcJiTZ/AkQI5GT4P/W0Z3K/gZGtLH61Uuv6T5CUTGCzDq
oMRBNuSMX6OB80D+S9u9rIgcvMXxYzQweL5K6xSia5Ej38SD62Iw57Bzhj+HbPMJ3dJaFRdVMTNA
WXwMzBfMBDI5lO5OR9Ho3qfhnQVS5OMZ4KMuYW+B8IZ2+twGH6r9gKm0CKq76rsX6V4K/5d7rWZ2
Oo67gCsDLwoRl+CrJnbmjXfJyWofv2ipov4da7jMNIiHW7REY/VS+j8zjrfETRMT5ZTsq3GVYFfs
u3qtgmFTaS6SxfyiKObVuC3J1ykbTL8hJeT4WfZvhi6ALDxHzWoorHUV70hC4T8TOWjv8vyrGVdd
f23UpulunkXRTCHcH9gjLaCazA7wAlGrGZaLsHll87uyvGE3MkbkHFNzvbsEx6OzSgehlq1HHWcc
trajF+OwfEr9X50sGkJTerE3213toioBd7CqrHNnQpu4ac7NcDeKHOlyx1dNtEDrwBew7SDJ0Utf
Te3bSf8J9Pr+ugUH01wywA9two1EH18xC076ixAvKSaFxH3RgN3reM6NAvcWoGdR3T39rS6SXUnO
jcg+TJJCkqtOMTLuqDGYVy6i4BRBqq/To4XSdWq3UfJt6Ds1/IYOVNCMn0RWhx7KR4cpJotJ1K04
TaoyWhUeIyGrrPZ9hasUhuHRytlcJR2bbMQagJDqYlX2CfE22OmSwNtT8LKcy8EoO+o+BMwufGHT
6cxYv4hOD4HbJkDXELWCLRtxK221SePohvBnHeXutnWvRofQGdeS3vWstmcWBmUaWUmU1HzETiX5
nPEOs9vC+RD7n6HjbUuG/GNN7cxYCaE4IdQxen0AIy3GPLqkg1bidG4soOUY7oV77RnguNYdsSyT
re/Anp5it2droK8DX7BRQ/Ee2rsoSg+C9slzzNs0hudu6LBEomCmU1oZ7rc1PcjoA84THCBSv2TY
L3R93NqN2JJQvusQUdIRodjvwFV00aYK3GUDjzjoRpJbs6Xw2XpmRwGC2I2OBt2glk8rKORLziZy
aBqUPGshLPQGNmmh4aafiicv/EciGn/pb9WLi4vCAzeiz5RN0pYveA3wf8YjAOcPiJlLYZgbkwmf
wPYc6c1HQpHmqndr8rA6TVe0Ta9lrJ+A9CwMVfwTAp2m5RFcjFFY67Vw1SS8bWZff4SC76+hVqgh
2GE+Bp7w2qg29GwvHkRFxq6ranAIAmkaBI3+NjUNIsmnZcYAJZJbHxhvmr1RQpHW2C2qpN5lg70k
I5up/WtmlBs/h36Ay8SAMobfmWgIKk/ZXHu/ujSFfbEQ5wnuKBv/JAPi5za6xxr/6HS19Suf4Xp+
LNz2b4KEoYXjM9C0g1GW64l7yi+crWVUO/bpA/s3+S5j+0im7KoSHwHv2+gyMYvrgzn+ERVNfOCy
zNonxVMSWMavwFFGDg2UcXZW4DtXbozPiV0F7oC10se9rV8UdvGigHFo+lvbYtjOikLHHylopbUC
6VMbnUpcYhnFPx9ThI8DFT6T1iTmSCv7+zxyN2N6V1OieU0XjduuCdBk/Od3BIxXLHSDba2M9wED
lWBK3WHVDME71S6lhNIeOoQh3F0HO4gp6rD6B8FrigPJ97TVHEDBVbXjDVxGnX1xIeiaIRyAjmQ3
k56XHD3yVUnGPpLJu6gJJ7Rr+1JD0x8uusUDyvSxZ2fq/1kJpuTp1WGogeh7EzIXyaDUO/50jyD9
Fa3ascvF/fdscqCQTLaqCd7I/JqhyPPYqZ3R0Cy32QdcHVY3lEwwScdmW9LzJyRDIe1dqOgbiZbn
1xf0fWjoTuyxqxaTKDW6C5KdM2M9F/V131C4vY2+B7rjOMsTmWAuhyDhM8ax6JONwxc6d8VaxpRA
8qOMIuixrP4iC8N5vU+zdgsHnE28eBelu45LbVsh3yDPdJn3wUZikiU409h5BcIYYSCxdsH2+5gI
K+ciK2jiI2rusPbPkW2eQiQqzAW54rhUvADpzqPFlAZCUJISJeDUrUpZHAsvfSYg99aN7o41KIpz
n+lH+ZQ2CfyVmnktYwqxMAzizlzWkRMD5Mj8Qw3G5TEYzFn64icNCR9/qpg22hziXpmS1EtFlTTo
JJ1nJE4brzDhQuXbAN5Q4AYcHzjAwR8Mp9D8G9Sxx/k7YOlLrxarDKb2LAMIbwp3MnxtNGJ3engL
0bk1X5LybqJbxB7ceLuavb+L/adGW9MjKxUfZf4bylkfpM6ZzcixaM5ZYV9HNyI7a+1z0cZ1cLJH
MDQNgW7p1eDVuKnYkrawlhgVW5FcxsBcu+5hVH8GkyRn/MxN5EO6fM47EEa2u03I1MQVnswA5mA8
SHM8Z5EGZjnm15xT0YIf7opnHcEgXFETTVyXUFo4IaLpCrX6Na+PXfhU+u6qZuFYDdSwhavFjNUx
AyY/WRY9gLmtQzAsFvsx5NGfhpa89UXwlHjWFlL1HjE9V7LzMBQjxCxa2qk8ux22nPYL7xXRo9Bv
9RVrvGOclGuUEwe77FmRH+3m4AsyN6f2uYrA1TOnEWofsCgrBDNke8D+SPRDUVdPdj/SvpDUArcp
Y9AcEZtttFjp9Ccf6EZexie/gBQY+Q9f+lddgIBx/dVQy70r8k3WTs8w5rBpxRsMoNsB2oxN++Th
DCEkplWKWgX/aYqlLLi7Ql+3zceAod8AHuXzJEdI2KfwVdku7Tj8DiKqyetbp+U/B/BYTwcQOFdF
dZkSPYhpqWje2ax0pHtZ7z1BKj4rzYFbv2Lk6qePQl3t9L3hjTMdWnR348afvfeRwUrXkTpqSw9K
Z9lcULl1rCZLBzul9ZIYr8Rjg0z/KBMNWND7SGHUKN4pC36YxnjQWxaIhMd/XgTo6qseD54yluzf
sXeyfPgcmmsE6dApfkVyC5oAD9uTiYEkPQf+U6XfSJGGRULcC3Z/zFyILpaT9h67V995bgyMYDqz
O2WuSp+FinPVeTLrDn2Z/o88xxU5mEQA016yrgrJMCNvCI2DBbASOSK2d4U+0ecV99M7fIPlYPcL
HFxluxscoqzMv6B7pcvrGJ2DOwRRixHI/SPBpXPXiUPdIx82Qj9N/AbYIXjuqOmfWoIqgwMGzYVG
py0nc0vFxQCRtUzuozHljbHdA9sy2P+UdnHgk5xBRA6a1zc1JwhhzkyOjfbtkwMcoAMmPQquYPSd
l0+WdmuSc4Dypx72kyiw2QEHBHE+0jAlFssyi9ARGj8Gb3J4dueIi6pf6SwfyXuQ7oFgj8hGpXYA
gWjOmJl4OQ7dRqnT0N2C0SUinIMJjjr2xWWLTCyY6zUyP3LHXrUNxhy0hZ7zloezCPjZRnwwzpmc
XYimnDEzNFa1k+4KL1pWs+5imabWaugnDa2P1mQoZwLrCGs3/jfv1P8c4KRMAJxuRsMa+SWcDDgx
rGGct4p41WAVTzNk1qBwO7cKIyv33dDuwjaPnhsLbDCihfBPDxyXGX3eRz+5E40gvlMcQwzF4mCr
ImfnKflrwafJhpna091V8JTiMS/tL3NeLJI/ZjMnKzqxD9Jv4QI6H+oTRw4LMJ81OIr3oNmTAo3/
Re0n7vXcHLGzGnC5aSqSb5M1j4GN0KPl0fkkslIdBQu3XB7MhFMqN2+JDUfAAj6Uv0aDh3e/IPdv
2GR8ZpmYjS7uWsPuDRIEbeJAaPfEMgauJ9ZQH767zYq4kXwU1EUdX3mt+2zQw6fxvy6pt4l57qx3
1yRCNIKkIW+W0a60cZcmA2bR9tzmv0rgwc//hOJBJmgV7CtiEcZwynp2yPKQ2Jx7c84i19mrpkht
TSR5Hc8lR6VH4QWBIUxjrrh80Q8/mInHkJ2R55yd/NUjjKdgUDKRIKLxvR9NXNbvqQuslJQbX54F
Lj81/ZjM2St3LtT55YvnFP9CgZ62CAjpy/EcgVjv03XLFmJi1Z69c/EVTXNsmx42eHgMrGlBgYxV
60cxuyKUmKuXM5gqPyutN5Xax5Ht/2guSVvAyvHk0H1b5nuTWU916S5H50maL0ONwgQfS8/K3EZv
JXi/w3NJTRpxdvgmoBLgsWP/Y9u/evkWt79Uiilb3Z4EtVIQwc0WKORuK+c+6aHkX+9oJ8kafiju
dhWubfASksB3H8WiU/+zsZqU2JNZqZTZvaPF8jVvRXqJnzubER1Am1ZMms9W/J0EANNmEsh4cuqn
TPsu2SQE1jajEm+pMbAK2iDLMDs5kjSqZC2Kp47ztaRAbKlG1QNl+AFd88vUXUvtxh7unct+wQaP
KhRYAYS/lteQvoWZQOw1R0ei5fTERzz63DgMa8W9iT5xwCwmEwQQIANf0j/MkQQwNsu117C7iAgP
9BmB7VR/Bi2esss13oV3MU0P3w/UWupY8lXyaVpHMW2yC4mycC8WIxkDpIY3Vrcx7nEy9jiIekb2
cl5TL8qBySKFwOzeioM3QDZr0D8uA5Exuyo8tV5+y1ycQabnMdmdqjpAvZ6GEvqfG3InoiNJ9c8a
sA8JcE+5/1IS8u6y5dL5GRiE6iHdukQ24lZhur1XFh9utmlboAQDQxHCdMf+D/gy8+B/oVR/fVtv
NM3YWwELiJERCRbVGsssFs6lXv7OorrC+3TKN40bhav8MJgniS0NgvkiM/e98fDSRxrC8nWdZhmo
9oR3lp3IqZ0+OuO3dmmU5veBRTGl4DIbAYgVzzU3dg1LICY1NmXP3kifP1bMH/06dYxrMaUnq0Xn
2HfrJpColt4so35PmeuUk7OdkDYJUHwB8cj6GL+zMmPTMKxx6m6sYrhOBF9aVEVO/KYP08npHoOY
vv0a4EMj4I/9Js6jVp+gyo9G8KUFPLHhkTWkVj5j+YER8Bpw4yXNsK4BTBR4vgr0lHZhnwf5ltZo
TovngDGE5vn7OKvWJlLghj2IiMxNA5M/pu4su90w9g/BI2EJlxyqn8CT6xQclSm+MmZZXtpQb4ar
MjhI+Td/0/X2oaJ2ZY7FerAQ8SPCMDS1qvp0F3cWHx5rqM5E5BIwzfqczBOPCIEnZ1XuKjzHyHKO
A7OiGhtpQxZGPIEniL4mlhEZ2JjYDS5O2y6qGEC09WIyYArmRXArWxJMHFAeNY1d0+SfUaXB2GN3
RWCIVdM3qsbGSyy31TxEsAsCe8IeKzI25zz+8RpwbIN+NWLtA8LvTovY/9leeBtl3CFVb1ZN9+Oo
eJ34W0JK6Oeg9MNwrGp9N/vGQNd7lBnxxGSeB7EzhwtumaWgpcrMcesawcYJ0VmOILzj/D03po1r
fmbjXSBnKf1yq7ufjJD3HQuWor0I8DApPX7Ge4IfU+uuOJHZ/e8l6QpGiDsjT960CcNfppNATcWp
se6iQR7Tl9Z71iMyw1ikh+2jLn4KXNdD2e/75ugU2KhSujnYWGzSy10NqSgsJLNbHFUmAArdII3G
3k9Q/bIMITk27ax0v4smxsfevshKDpsEcRUBWRO3QOE96Q1KIXeWOjMxkG3zfwVCUZ90W6tKL17o
n2KZbZwUqhldIQoA/PC9BHM1JuybHS3knRzOUnHC6pUBtWaqfkVh3LwKg3vnCI3WtzrZFsKtPOOy
DQGsDQi4yMhFtItRvXofzeLYdZPBiY0VT4lEksOZg2dyIP3U3WAsojC4+kmxjpyS/L/wEgiPgXP0
02I2cot5m0bGtS6Kl6jPDlEJAjZzuOfFRTqDg61R/CUTJpeKfZFRx0fEMthBAx+usf/SAZvh5HBA
FoR/wkQH4nU498zpQJAmmXjeuYiRc2joYpsh4ISXI0KXlhiY2j/aZfI9ulBDDC/G99r8JBqG04Js
ANsovixbfTY2d6g7EmmVVgr2NM1bx5I59BgNQrck+Q1NPIF8t7TGHpfjv0BoscrC4mjD4lwNKWA5
ByaBnxP0WuQ39gFc05VmXLEDs7zg/qXtNneaxhLEz4hyjYdbkPVMFXMNDFpF129lzKlLAII6CSK1
do0bqktJDbjhHtZWuR69lDpr1sZor+1AeA9hUg2yOJPwucSxEdllZ9OU7+OUjYSRD8dqGDetcva9
VNgNhsMoxJ+oh+8pMq425vXMdo8m9PWU4YTul4+s9j9qRZi5co9ScseYosU6rF+TenhEtbybSEgR
NoHTqEV4zBNrq9Bd+lV0NkX5gkr8yCvddx5h03z/8xmrxshkJMbbtv+lAeaCzlq7fYmNp4koySEz
oV/D2caFhRCMRyZNfnNJBY+9jVV2jt0zGNpTPzIdLb1kp3cEYMaj9eZpQcV42NiUAJUmNYCM1FYp
ik0i9oxjW2cfURwD1iFOgueQmO1icEi2808eWHWL3ljmI87f3Cm3Al6a5zU75aIS75BKIzpHFXQg
0sXD3ppR9GdvOrPOVI8k3hL31uhcGyb7Ji33wlVA/roMKPiysYVOhYhLdx0yY5saUmbJPlMo/32w
03UR3Ssear9pwYSl3Qeyhld9FDs98a5QnzeldDeVgB4YzYx34shml4HoHzJnvjXz2DDPVYL/D8iI
cL11HrTg/pJV+X//FnN12HAFIxPwXxqtzEJ8TKxKiQ/hhrYGpBhdgzLdc/vg7M8UgdRIDwjfCAh1
uTNQsGajeYxCpLmsggkNLNftjObn1ltETfCXS6ptNDZraXrnUJQ/xThg+veoc8CygKHo8lvUszt0
586myr1f00i/Q8QK2H8/grTYF2F+RopN9ixTQ6iy392YDevJUVeDJAipLlXrbZ3YxcxvrhqV03/o
CB0RZVZ2x16YnCwTh9ImL2zymH16LrK8TGxWLLY94EuQ4wamOAbfh3U/B3Yyk6fey4WxziQSH4l9
KNIkxF7/o5zcnO9csq5CHbDYuPE98GrCfm0c7y0T09HgMxxCupqkgaDXwXvwxq9MeRtcr8Cd3M1E
DLrKn8gVFJMH0tA+iJ6dCWpRLrX5IiaHvIFwUN5SzBLudA+NbBNy21t9Bzjw2yFqobIwu6NBUZo4
VR4me+sa6M4zdNiDF053kw1/myr8DGhc6I2UdEhxqZdYwpZBpJ/mDQeGpYjUNeiAqvCotKZV17wF
Dt2Azvd41F/dGGVPuB1Yf2kmJpPkVfQeUJ2c9L+OH52sRowujMN3ZfxlVj4blAGkvr8DsLHRvGgb
hK+lYPBvAXOfBI8s87yJ3A0LXXkE8+tlFgrMCZbxLomZQCK+qYiWjYkCay9pfZrRO3R4GwNWSz4m
EDp3kUEE7G+uyd3sH7ED5IWGuEKXRE6AWIBCZJZMBnMAaRRg1L5WjHkaRGPz1j7cMNsdgEuPQLoK
/8tr8MpLdlrdL0HVSKoWAiLRBIO+YWPicVl2PWGT2r/eZIbKJjFsrGtvzuYQAtDWqLJjc18b75mK
NqQUodFHvZn+NNUra5UkOZr1wejEwUowvLHtzpJHRDSZDx/LccANgkqRASx7n/o7q7dRivvBI1mL
bWY+fYcPDUVRfStnRnKSBavS0rdlcRwsrrRD12xGh66mecH7pwjOxeie6ufQ2siBPCkHGC2UZ/3O
hBOdMnCcbcj0FJ2DR6wy08Dmw1C7lm7LlN+QDTz30HX5tW8+NSQMdTmttAx8sr1p+K0bpF8jWT/u
IA968tdiiainbUyDXkHIZcewVOWjga5b15BYLBxAfWrsjUBg87u31rjKmM/4OLVL1IkBxlY8+Ou+
TA9FEmubmqpiw/vSrkbhGcs2JsOpw1W9kKYLOdl33tDsJ7CprOJhVcAtGswFGzPpv50cutwwWuDy
coQIQeTuLZNJTDxAysyNUECjsfjR0ZsbR1+R6N9IeDb5IJNj3Tprgym7Xsh9mnjFcgjJFKkJScWF
nrM5sNzhqZyAzLsohRZda5CSqXFQ+r4ixRPaRT/2GKpjNLM6eIsght/ZqBeScKutO3H6+BnVppxz
dUcD/lfE2MRqE5vYoTjc9ROn0qgUA+Li1Hb+sA4jhDM5yju4/M6KW4FzqPjSqgEHA83AIIiinthF
ovIJrQPwmGWAvFNOaDBZo0NxWOci+kG4dwp95rZAnhlYLRA7z3LGQ86YetDACyWoPHzPQilG0ZXp
h7KtJra39lR0a0v66OiyFKMDBT6d24EJCrF2wm8id+W6ydRtdD1mTK23hveLJ4chBpb++FaAoFnr
jhaPB4s5KpEWZUo4yeAO/ZvtKS6JACGw9Z0keNy3QF9tjVVYafpHXjD2a4wglyyuvliejtzH+HgG
t4Fc6mjORgywrMeiflZm14KFI8X2UHbai24TPw89r5WfZZwbL0OB27DMZfSbpZbxjyIxu4VD122R
UpLupkBApiFIy6Zh6CCRRIUxb5KSikGNzeQqx522MWISmD17+IsmZq+lMZ/wveVyAUvyw3RugS6O
+xOMl2OGj/lq57iSTZ17JMLBA+WRJS7K0Yk7IWHzkAYeL4mlbtsJC62Abq8NSD0XkUfflm/YizKR
cz5LRqePWwUmfNq8eyllXWIDzEb9VgAOU9m/PNHkMk8z2E1e326H3DCPyseD5jq0GUYUsnJteIA/
zWnA7Sg1BywtcrWxj+x9EePlkjqfgtvLaTkMdvsM4rD4V5kyOPmOPecB6GTdJEW4x51Rc2PECHYj
v4IvL7o3XYZPXieflaG2YvYIh8hoHYeMeQeXKZ3wyzTkV42kMNJS9SPUo1eYxMvWbA8pc5W8B+Bp
9NV9cvXT5CQmniGMm9EQ/pjYVKGTuLzpKoWI0L2nScWAR9NIQ/GPJTGZDQT0piBqk5tuNdbeRxMP
u0Fjtz/7zilgJhjg8SXS/W07zki9kuHwFHqwUsH/Zsawz0G0BXX8aGeE39CvWt29VxLKfjM+8vlu
6mdAcDyLKEIKJBlyhFBBLeJSn62c/cKe0qsede++RkCViqNDZwj2/mQekiLg0KaTUJCRuKK6Ij/U
eMoXshxgZBCR4BrDxtALDO0SV3FJoapwwzWFeK98SUUb0unLdjp1VtWtWotpUi7GQ8JLGRzrZPj5
obGDL1bsI0vU7Ba0WBrLAlJPTSnc55lARWvuJmKJ00y7W35KsKNGHGEP7rLIYU1P5ToszRdP6/Zj
PL6yfdn63Bu16axaG94FY+Ej9ogv6WQ7ZRP/Z6ffTSKJ7OPyTyL7RKohQhYqeNPedw0Z23VJqiT1
n2xeIKvsk7Q6wulg3MfOVROI38OkfcoMfd8zbrMiFi0uAGpkLVPnnNs4Zeic/tptxtRg2g1Du+Uo
xwGUPJmVtm6rfqeq9J73bgngHNu3l3gTi3CUsikz1IzJ5tLznJdWmu3Cw4THIi9kkzdzRsieMKye
usvqus1ksfO1BLVEHFn1PhjicwAXmNoaNDPReCwK+L2ZqjmrHIxAko8n5O64qrjqAwBAYDeuXkNJ
AHYHqKpAqxP5EBp4/uFAwbtTtr1P+AMr0XrrEm6NiTLWLYGdiST+jFX1Fbfjveu9ad17OY1PNBco
AOrXEihW4lN3tMKsDtgxmBt7jE88jcQagleJtmWOZyZ2fuAA+3QGgikq5muUHzRIiSF5Lw3/s83s
+FCVWrYfS4+9d8BU3nRM8p98MlohojHdVu91yytCX8eNNPbpioH/t1Kutqpt09mTtYXFLq1nMBLT
a5GQD8RRhXMdQyH70M5CRO16Ch6qayfQYsQw5ya9DFF/dmQ9LK0Cy3pXhhYVYsk6bN6YMKhlCPhZ
24STWjYTAG7j1Go37WA/jzohsV7lb9yuNpjE22R7O7eJvOykssiEohc2UmhNBvGTVGxRYOyj0b1a
3bAjufegJnGos+wUenm86Kfx6Ebp72Cqaem0WBf41xgWCKRmUbpjj/hUIbVkO9p/TD3rlFqcLUkD
UZRqH1tYbwidBdiXgi4k3qy2HM6jYF+lyAmVM35p9vjUjMMJWVeIlIbBb8P0jaUxFtMu7B+6kVwt
ALE1v+WtCqz4YkEOLcNyR8Oz1z2YpEks56x2w2V1VOKhscxXODesextMuSLTCWOjL2766JtKCo9m
iVomC5+ZfFqsMmghpgh7Z8092/Ysj/rUatYTvRpTeYa2cYiMzLeQe8Y1Z1Ffo6rqrZd4zN6UbIFC
cyDXuncgBfA36fyPpsHQ6Df8jXH8m+vpA5vUpW7041RRbkVVhpxyrMnwM9oMzce4LmpF15DOo5k9
EYzPDmfLLGqCWwBRdAtn0J739z/8bR9W5t5ly5wL3JglvF/JtpSU56UK0d5a3sUYqGz1lg+ohRa1
KBx9O3bFNRqafSK0I+hScfCG8deUFm40uUpTSaRfI9Z9E29rB8vvqKXbZh7QaymhW+wMIMj9YjmC
X2G8JOD1WyvcIyxejW2AAjH+Y36LDtx5CROynjXSR9GznJtg+NQHRbOih0+GhZzRJkZCgXc0MLJE
QS4Rb7S7zijwL2IzhPdJr8nbw3MctNCQbWdvdNoWAOc/AmcfCVpwqGQAsn2qXzlQ2jpJdplQsjmG
9SWM5r2YofUVK9txCh4kWG2ntNwM2H1Zw4KDnQJCq8mSZN9EktVni9hmcsTeU0DBzbbbZsGAGXUK
eam0Li1dUkwzZVOCKVYONWXQjgk92GgPBXLud5eYsaHfikNeo6+pKkCrCJ38WzaNFVPd2N7pfspe
xQ0EGE6fwJxZeYf4jb0Bz+jSrsSrQzhmxp7KBuXX5cm2y+CUVJZ5tR3LWgde8CuoIFnnbNt2ziAO
T5lZ7wYLlxHi5sCz7/MkzJrE7xjoL7lG11D92lFI36eeyyG9iQGQj+6i+uZd2gjU12JKH1bkbXMU
0bNtrBmJaglJeIkAIf+GmmB/7QB4QzbVV/uCTZVnk88xUTul7iZH6V1iTDNHznmRv3T0nVOOWSxq
8fomb3bsv0y25cPQ8C48QmQjkWePMNoMxTVllcGqW16rTDDwYHqTMrmN6uafpsHBGcN1TyfQp9mj
cBDvSwh8fN9uqbIO1WDCJcgYJTGXTkegDjZCj7z8p40NBjVUu6rxDkUsSWzxw1NYsPkyk00SUx6z
UGcvgiqTDtX8zb1n10JxWr5oCm03/LkOo7FufnZpf6/C8Z5rwzODEL4UhfViVe6mNo3/KDqvpcbZ
LYg+kaqUw62t4JwDcKPCMCjnrKef5bvzn5oZwEhf6N29+mHE3CgF4jYDe3Pd6Ta5TEfoCUC1fnuX
O+3WkCLy1ekd6Qc5oDiMX35MVj9FpNBL1W2TAK5h4cILxHEtpSQmaf8zm2mNZw9nfbNOTZU0FfVE
BdtTmVh7IW02JeCQWus3ITzQKus2oHx3I3e4Ebtoi0OAIBT/quWMZvcqsTFNEfZFxkO0j3Hpxa9h
SqyugbWaNQQ/o9T3VseiB6XBThnQiRJs1VyWVrpAb0khrQMf90Nl2prpX3RKRp0pIqmQaqWt47EZ
JG0nxZyEJ/aaKJtXKu9DS1X5mBoPOQSRPJM9oGoXjLNN/I2WDyy+WP30oPokgr1k0/V6rYFvYTlG
8C9Onn7Bb5wGmU77hvDFG5Q5PvkEKWAZlpH7iR2gXthDSZzFCvqn1rTnnqGsSIwlh2NaFCPgX24R
jCc2HbMSk4amIRp4xuB8BSIxnkJr10PMZGUQf8gsu0FFpMQKWKbyVV8Wjiwh542nCMOej/w3Q52d
oYHUwrsBSfesmoBGHdD8hbmlpuaOMcZoRmS1DPEfiiPX1onZoDYIm0gGiz4m0T9iyc9Kz1W63GXB
6ZL0s8mEwCmS6OHH8AlG0DQaUwSkxwHjgqFYFxE8F9NnQjYVtTwhBbxWPnwPeR6eMoMJelyxP0x0
ChL3xnkMJWCsZ3r1rO/KqAGtjU4+T58ZjKe3AOQzp+T7RCAQFpVf7cNYXAupfOnLabKHqcAxzWlH
Mdi3C2gPi7ASqgskQLCCzEGmGON/+DX1CXVcGRMGQKi2kjRgJQRsvUJByM2P0ePCHHWqVIWzpPkn
UCVeHsMLJBK2gI9oLESQ61lCQYow5uOuj+CaFlgw06jOV2CF15YF4dlSKGLFlyyIZcudhw4AsiBk
tb2s09cSwZdlTe3RmKc4oPrkWPPcuZLA3LCPuZZLaRdtuIv/ZSGWGr/LA68ZEhAWQYWZ00h/4r4/
WylzYzNhQFEp5Nkhj+nY93sYcylg59nvOTFmCaX2vbYuMX/ZBSTPhc6ztZAVLA0EoiqmCaXJcYPJ
DggOtRkIqXA0bjhMv48UuB7D5qYm7YpTrkLoSynXmbgXuLxmj7baB4o3o/kN0AWM7F5SzFtxCyne
Am+H8eJdr3KY0AM5U76JuB1xhSn+qxB/YJH6SYvG8lOHW0DRC1gXHYnP5p0oZs/WLpCmQVGdrOas
4KWjHt02SQG20ish1D+MF7k5hxDlEXxKfW00G0ir/fSkBbssj5RGcwedSKqmX+Pg0jIAEpFqpVBj
Dyw93T+WInb6j0R20vCnF/YYZipzIQKqMctDUN+F9P2/VsJwp71ak+jlgo9QESt6gmImtEk4YmeQ
hkmDkJ8lLO1UxKALrbs6Flfmm5hmxBTrvC1Qz0lpANy4gAM/PjhHCU+xggCCmgDRBPwREYDpPG3J
LiWs5/ep8tRpndEEAv5SW1ENGaRexQC5dnvd4ZPv1lqBS9up6t0QruJf/mJL/e/kzRS3AfYo71hB
AJfBs7aklVYC8XFbYxuLmwC0gLEadhG5H0Lm8hIkMgf3d8BzgYzQhDaVMxx0e+vDh4WqgScg0Vqv
oKQBFWQEFeaf70I7gTBMvB9qlMMbx8sYodr61eOb1uFMP+gtofXoANhXRSJkGkkpbXpVjwrth5xM
8UlBnGJ1tZjc20SM0xPoa9rVuugEVdeYX820kZhQyW6Kr0q2acwlY8aPb9Sc53aUuhhQcuTxotO6
nqCRcQVqrOMUvSTVY8jR5Quld0KYUW+dXd/H9Vf7UK9SeAzFMzyl4YQ2O95poOE1Z4OpVwJpioht
axdiPmSQmDkzOcjRnUuXMpRM+yBXzXwiQS2oM8eMnsTy02RXzfv2pBCFATBaPRPWjP5fol+BQCzb
Ul9aSo0NjGEeX/TWVV9ZfpH0owhfp4p+RqBVRbn3Y5Ze24gwNnF8dPLRngUEu6U2OTpuJ0bKxCmj
Cxzkp17s1Z8BTj++eqBTaHkIvkDGJ66Ez9xYSAj1qEhPppBwVkhqi55Y/kwPsnZsCVmGEZQ5pT2/
oRV2e2uftWUrkEYRB3+7vc42Viwx0Gk81+u8XzFlg9gr9ja/PQpaYGgwXFKwbLq8jeJfQzMGYbvR
bgwCuVRUugCtCQTPFAHgSRaI3nGSX/Y1u4/Dvb7JXQFHsz3+WB8FcRkuz+rehIDLRw+a4dc48o70
/97v4UOBDoA10cNjLVmL7uJjcoKnSJRuCUlIaQGxLYD0WKannCj8mWEj+dgV+HW6erzOvgAM6Vj5
MYpAyL4mrypZ6//yJylAMzvGh/fOzjqIaYl/kgZ06EB/Dcz0JQwsMCb5XxjR+gFKw1Zu/LJw5jWt
XT5winfNhvwgw9UrZAS0rMFgY+Zx3gwY/x4C7iUwQB21qU6LORMXkoEDFz0deNWifVlYwPA38Yoc
SQAK1MVh4h6cmAagAekei+Y2/KbnUodaZdiU6XHOVic3vQqoFk84lcAaarzugo2KqY7LKnBRd9Fe
/TtT8BZti7GKU8P6Poe+He1qMr3ilgdeaL6jcMM1uQYXAGJ5x0y5cFTiHvQwFZvKZ3f+ms4jM6KI
PkrnXRMGFVMkMvJ+PDgqicIqjHHbk2jger7FLMXBJaYIgVNTvgJPFgN1nhdYZL+szyB03xV8zRIP
X4yMjiHuQq8aTpvpTgQRy/67wSlzesvOHJ64+aYWvNs8ZeidZKzcVraHYaWLLuARnTLdnGDNE31E
eQr3tuBH2ACf1oB1pHbKTxfv6CFLd90htRB8PbE5NsNOTs7a5JU/A/1M0a4ADswQptjItOTpuIsx
WS3SXf/+ynK5EzdxCWQZvOzCpBXp/XgIw40STKYDvPTBdnypudP5gKZYKgmPYVdbCDtMbJhr+9jO
f3J5q34Bwk4g1+quxNMTQqCwcbdGr2q25w/+dXjyI9FWwLU/6DWAbOo79sRGWxdM9chyvITIhgs4
/2blRqsAYB6woaEe8BUTHpbpffjmSI+IuNOblbpLhGXJ0f2ZfxC8YxaGvVtlR2KrqXYcNt7JpmYd
9ke15elQqB1VvbGvlmr1iuiA0DFUAhwzHfNs3HhRNOVAecZiIpKiDl+G8FtglWaehc8n20Fcz1Qi
hu9GHswnZL1jzUFaM07dH+5dILy4i9T0b5DXEiCH2v9Ly8DTurOAt/p9/DqUXNhq4iXkDZ9ZtTI+
K8VwRNYlHbFm0VO3Lu6V6ibxCovcvU5KeTKfCi5uRraSI4bsebj9IGIykpJ4Z+zs3aODLOl1g+cf
AYK8S1KLVRvTrIbpCJ8sj/6ZeSKgCCfiEvTZwCnTd9m4EbJNpTllupu4LGq40nimvyVyw8aGzyf+
UtN/5N5IrMHcXia8Y32Fpv8rEZTiChSpK55RgabxUj0FBjhrlivxolExDntZWY+SE3ZM5TdIOYco
WkVo+4r6LbFcav1Jj7dTdBDYudrp1SjNgrlPayrISe8uPYeqVsN3lIT65G2+HzaatC+uivJTwdgS
lhpzHzLC2UL6QGzMHuKdE4TO60mFzz74SwjpCbyuGx6G8g8sVxns1V8ksRxBsAUxhHK7EMmYcNpC
pbqr2OR+KdWtBlcNN4is1BqSxH6Pg7ivT8xHFiXyfmbXl+Fp/QkAQZtjYLnG1T80GYO+XfQsGjcX
CCEvopNlHgJlAfGKjA0PAbmeNt9hHS1bL6/O8xpyYqKu5fmYvIkud3KpYnvpwXc9En/dmDyRHthw
pSTm7ArbngZkfG2wKDIneKFtTWtCoTmH2Hs3udJD0rc6U4R4+75myauoeHS09VAX+hvNK17VnBzN
5NJOOvN4aVBR90m3YeJgavtc2hX1tvkkK8h0cwZtwZwhoOFrCT2ilR/F8CWaV3IfYbuZOPS2X/LH
7LM9JVfZ2pQaN6Jt3PGIXpnPTuGj7h/NB9+LxnQ92xbiX3bq1ffSXc9rTBBD7Whs5S6e9mRBthcF
lqHefA+0PaFhBP+W0Yd8KwieHjEpc0AyvglCKd+GfzEoYT1qVKcLz7LbQI2X67W8m0FtQHfx9+Qx
hd805Zv+1xguj8fAsUAgOclJMpA34rzP0NsU+aDywKnzZQTKWT7V6JzhFTMpItv0yV5hgW35EbLv
wjxG5r0+TC/AAUSAOGXxvfFdd+SXmEFOQMVorx9e/r9q1oGarlSmzem2atelUC+kh/m+VaAv73Lj
hxEgO0vor8Z4Z8o7Q92QR42KgrQAzTGbut9LLA5c9BOaJepjh58jd1GM0eCnN8NtKXcu9ToRj4z+
WVQfo755431iZwSNEWwghSjyjZhaym4EfxccSID+M97zcMm5CSRJ2dtvq4p8MxnVRo+gfXHps3Dv
waGY3BBwh/pLrl+WXIad7E5EZ+pk1X/31oETM8k5og4DMewZe+qCjgdsxRnmb4ukyBHkJMkXST0V
2lamQ4H8AFpF0PyUbYbNgOE01axz/xGS+JTj9RiAbyKVh/befhQoI9MxxqrYfTNxRn+tGae45M99
06ulTSyv8P8ScYoU+STV7aK0luWDNDnnZezAjEIopvoyjBeVUD3XrHajoa2IsH7EZK+97yCeolxz
zJbKryEfAIIR+En5PzmqyDuO4A3jnOK7CU9qtKU/SzImgJBcMLAWyMrDehjGssZJXLBJr6IrD1ZP
LptGJHYXuW1QCRdR/9UGL8aa8OD0g8VhcLauhnQbywMhOe2fASGEnNya1aqfE5bHnfrHYLbgDkgn
FVkyRuu8Sjp3xzbz0ksVu7g0CKMw52WjkSIv5w3HTT1eK5AyI7YiPi2M+O7IWiYgNQur3PyjE2SY
+QqnZHYMNrmfwjiTVpcJsLQ7ia5DilvlHTRawLQRymn5IGxPYyQ+PQ6H2l6aOJfJ35xtZcPjtGJO
bvCRC3+z6NIGV7O/gfe6cVqQ46MUH1SfnwDWHwLieByDH1g0sHcb6dFZF8vf6W/UFw9izH64b/qb
TBjcp83BL+5i+Cg4TxX53agSp5GkZUNpN02+xraaDrQ1Jfjapen1FsniiMYo2vJSLMM13cKokxdm
m0rNLWpLX6ACF8P/KEhsTU4k2orkQiPlXCjcqX4GB42gQ+J84JDGsM6bPvv4xgKlhtuBI28U8pR0
i8LfZ/5XEN8LFiDDTptDr6wDg+nZx8COy7NHMaPG0QzaTrUX1M30I9c0Y24TYTNy5hjQvmzwIOaV
S8TcHkb2SWwP2hWnT8QHLL5IO7es2fV5TFYFKbNA2qaWXWYwhO3oRnW0OT5FJGVR2sHq52geRBcU
lz74EKUDpZG9cqS/r5G45uZf6FTI117CFSdD1Nc78t5iusIevOjQYp3miYQkNxZZNZBCIHG7iC4N
DuLdUXxbTxhcqySiy/w5om0WNXKqEnIwBe497cdopYLin7Eaz+1fQ1191u9LaueSK+PtK56OQ1mf
RmFllDcp6+j1hZs/eMPANKkr3ST/rMNVzamltRRP6tvFQH/K294+NLUjzABOSkwdLPq5YiwrXpXK
qJZ51e7SFn9Wc4OLBw4BAvTMfkHvV7ZtMHxgqs/PYORzPzoqUr4KJMUu0SdN+r/IVVfnKR6/cWAl
6reBm+s9hBZLAddJutdbaAPvFLtCfrwmL/qr+aAJpvdh8qK320FS+YlPKrnZiCQyfRhQ1xOiTDNE
iCAnqCg9jLr7C4BnppQZSN/VCKMYoyn3gnkt9Nk65dhjMc61DkW3CgzSu5SzDrJdiqTgI/FPCGfe
Mv8nzTpPjw3HotpcLpNLOR1LhaIX36BCuMC/KoFNxSunPPUKMF833KaUFa6J65eedoyNpzPpZ555
rtpl1+EDrxlAiVX224flGtRpyuVbe8ZRgmUpTLk9VJEt6foX5PsHGDKuo8ljJGOB40b1mlJez6CH
ehOXfOizmgPGautdar4JC+GDKSbdvwP56klWPwHwn4TCd7uxxYzVjeJS6QpUEKS2qix/xG4+dh08
JMukmXgYFNllaCc/Olx3adwS/aADl2FAHv74kOx7fmNms7I4NvqcI4k5JYuEVo1UfsMG55Mw9LC2
CYPVmNFM0KR4KgLkerHddjzF2gtPzIJ1OOD0qf0M4T4TS167xCHpVrFLtuy8gPlrimg2ubYxSQ6R
DU/rfDEitgNqW0XvvMFObzfsXWBmHB8z+ySeQ8P2X4Ekgpe0yPswUbEN5NNmXaqe1R9p/JQkZEwI
IfNyoFZ4ar/jUXNmaB0ymCu7zr87JitESrVTLh6E4Wr0dx1ak3BMBS9PKEI9M7uv9GNobtPe6fBB
vclJKy4bZXGfp1MxQVFzoxjOaXNrfLh/Kss8TU7fNA1jWtrI5AjrTadvlOKScA8s9H5dSBYNaYxX
MTFQ4MsgRUhOEdcxyjFg4RAK+2iQtUeKFLYZY1btqGhbANy8xx2n4vcP5o1MmZSIMrfrZF3r7pLG
/SpXrzUy2ugplatP28b8btonQEKARJHAL3dLa1QkOrEpAu34B2OBA8Eq7BBw/w07jZgAVi7xx8L8
ba7FgoAEwLPBHUp37pcW/20pO1/rNka8piklwwKMTdCtvkdXujLCDBfiQf+q/gADXcoPZkC0FOn7
qvSEwVPPNM4iwKyhRP3pe3EzHvXNcNHEBff2rzhels7gkrcfN8UD9m26prPhOZ21a7mWduiIJ/Br
dvfJuYn3WP+kGPbDvxVbIivmsnql/wyMjfytwbSTLQVQr2TPeOcKyelZLAdP3NJW5RR/eIpszixY
K47Dw1CWMgfgJV6i5i9snJDDHTW/mQMsv/hDO0HXncmyLrFLfAGHVil5v0R7SaVdgl6Ubf/Skf1c
8yf+VvbkPZeDnV8ym5Y+x3ifFoudcG4dZd/Z0am8pF/DlnuiS5LEia/+LVkpW8xSm+5BIEo4miie
m2qPFnxXfytbmYgQsSnOl2THI2Ebl8o2F8hCu2kv7SJHWFKTC44Tc+Vi8lRajcdt/oowet7Ql80b
Exw6zBAkglf2AhPsQlE9Gb/1R84WsBb/0Q/D8qgtYTKsCYJdtRUa0jM+k5bECXpo7WBFJUG54exF
gtOg+GUx+Ve+TQ5K/jfH3m2GtFEuppN6hLTbuNqZ4x/VJdhAubINP8HN+GIKuoTXcA+vpt3kR8zA
m2wNlvAvuEWTO33Ibu3xkrnFXlyXDnVUWXlD3ESi9Y/VadgNLgUuHCl019oMv+MejRsQNeuC1+6L
z4iYBC7D7RA6wrTI2WkXultsmj3q0RKqRnmoTuRvTnA/k2qJsXJtbCnM1Jx6J1w5k/FrLZbJUsJt
uxB/+LS1t/zqX80Ptvlduzd/ysMMNgzz94KCddu6xweJCST6wcJnHuNo+8mVj8IXqoJGFzk9n2dE
SnSXdxR9V1PmBIsS5greBXvmo/IIyTrtTrFxZ4Y2adal5Xb3bDXni8rLn5WN3EiYutiJ+Oe4JRym
x8y5GlGUI7jdHKILLa8Oh8tH9aMjfrgoaE9z2f7MH5RoeIMTfup/03ezrPaMIph6lVvhIewDR/8a
j0gwzvQVOdEq/KkWpjfbmM5cjubSplrr23RfbCsyZAs+kA0kto1xKFbZo1+nNpuvx2GKn3RJH6zH
dQtpLn7xjh7CVWbH5zm2RRK/q4AtehfcJKfG27kMF8ManzrTdaYr/0Y+cCf97S7FRnRkBNLqe/4Y
d6DVGFp+mfaPeVQ8DJ+rtwvNmR3rrDxkV2E2gHvoSlQDkWNRcU1d4uhW19olXJtnXH7zB4NvkIAf
yodyDQ48ptUFTgIYdWUVeQB3IYcrrmJLW94NTKub+JCsa2dcaDYmAcxHbu7S42Inq+YcOaEd/nHi
YrbIJG8jeMEtu6UPvtBF3JgsTJoLqP00ec2KzqItkc8PY5evkTv27af1y2KOijgZS20hueUvArxd
X8d1ec2W5i1w4Kz4qOPb943tbq4NJ/57V+MtI8dyqPKm+HuZuYhF5Mc8XuF6URzqY3WJHN/mpMgp
GysjRojOHn6Gk+X0K8OBVvRbrMjNfZQ3Hiw05G4xniRkul26Tg6kx1ztBUhri5y48tcYpXDuL1A+
dYfCifd8dtVg26Z/iZTueiZ1xXMsEenfj7IjOHxODEKx+32kX/XilF81YYmJ1uOsQU8EEmF5IhU1
7MCKc/35JasUl6zSPM/s9JxUmRF9GfxxKDeho+bbcl1U7lu12sAe7/dG/6DUGoUXsd2/oXVEm3Eb
/Ss8ovpfwZ5QNzD8C4dn0xaPyPJctfiDn+mr3aprw1jUW+z2GLxsYy+ckYe5OFO0SFiB2cKSchGw
yQvtnzy4ssxgmzw6zq+zyOXlRa7biJyRz+PA2OMA9JUP/Tq70aryBKdEhuSwv9XX/hqob+BRWc22
gpm/WcGmmjcADppHIntsDsYH2yk3thE6DH4vzWZ21907XjTBwQQlq466ETegFqhgxLbFMtQdMnLm
ARrsut9qF561fBusJfxd7jsvAEqL+x1C0h8fJxCSAGrwHxU6Tv9PQC3uVwMysbRMPVTjt1/JxmJu
Ey54Vwo70NZePORLNrZF/7KWIKbT7+Jmdqy846M5GRsqjSIL68syuSiNU65rLsGYiJaZiblqrxtO
caddEDD3KmDJk2+9XayA/QNgrvZvCZDdg/GwumwbG3hMyMOLeOvIV4UmygUDOHde4VlO7sjKCKOc
lb3gm0URwfujOJSn8dp86bQs8lsyHZk/Q28Uos5eXtMySMoMA/srf0rb+DogGy+pCAEStJzW+Sb6
5Ird9UtYDtZf98ulEQgCNWrAuHAnIb/bbAwNtZEeF98ISw1khjXeIa9SVkC1x9hJPeq5JnIFFBzb
xqY+9we2DPTDNdDmL65LvKnjtTwRg1C/NYkh2ELmRNF9k4OYHFyodCM81E0QuDgbYiyapEUe4fuL
XigtztQNSFuur2hri/xYqItqP9yLJc65u68stEN+DI/6qblne2ZujBWzO/Mu7C9j5bGeIvOJp2hn
pDb3vkt7GZ1giXIFedtDt/nEvrKudriCCYh5oov/R7OnVXbKGTIvrTWPuAs3Cz+pS1tAPy5Lb/QS
0Raf3Zb47fQ+NC2ozuREcE833bq49WeuureO7XABu9BrH5LzZKe5zG65U44hcyNXYtmcVwNnx2XC
YzEzXJEXOdrsr/WE0+OHmwlb1jmj6IDcE2uI3ZzZ5IE/HZEBFy2Hjmkvk75EZAmW3Hs9NNN5x+qM
NvTDYW0prEhX+B6jZ/aVYl/q3nvrVlAa7pxvHEQdljzB433YaJ75A9lt5yMjEeG8jQfzl1givq0J
lufOuIQvFgfNUR2m88lWeNHfu01dKDr4aDjlfkG1dJUN1y8ZjLwHv5Hh+6n0MlvFirziQZjvSAMA
myBOMjmjzfIWrankXXGXjmzSuqzHW4vTyrJQHBSBDA0dpszCgkC9qLaiR6jAZScMPeHU3kEh4FPD
QEGwAfCkxER9QeGK9AzeRw6WsjXB9pW08mkKwHe+SFj5aEzL7sCYFpBjeXg98EXncDl8T++tsz4S
790CncITyRkD3t2ChxBwG5+RO65YQIiV0AIBHaKmymCJGOX/UKeKc1KS1s1v9JHPnvqC/ySwKMzp
y0cyfENbmYZi/M3O4sQ/y/g92TL/NYKVYDjomAYndjT6ektBUYgBRWRqYPejNxo7hGsI0T276jMN
10riMEVk4BR1mO1s0HflHYS+vqoPqMVt7g2cUz/oegwYwwOp/5P+Ct7nG6ZEkDoAKgg6lKy8XMiW
71xAvMSGIISnGVWbV0NierRgbe+SJbW3F1Fe6B8cO6t417INoZgrS+uM/Z/tqP/2OX8TD/oAIx6V
QNTdN3rBUK7AG1TfWEKFNcwPsVlHGKRD7vNKysk62/BA1whrk19sOnghigSXM2OblGmBNkcg8+hU
zK+00lignueX0NqjjRQDWjURDgYosKe0kQSRTAftYcgv/uDxn2n06vMffPKTiWb2J4WcJgt7Zt+R
94ZKtHLBX50wxlbKA1opyeVdnJ6i5tCMh2g6F/MH2s4ypbZP+Es0TGYO8F+h1zGneO9qxIQ5G5Zw
BjnVk1AXIzCTKV/rUOOtma7GRFuayp+57e49gIqsufoIw2qA0SAFHyNlXgJ8rZoCskF/b4dLZU3X
YNRB10mLDHRdzwgRnxpyqvoRUtglzieZM1GzGmquW2R12kPPQJAWWq8Q60+ROvaFlQC715RUR7wi
IKIM+BxpxPqZRIOqpPLLUmCozwh2FNPhV8J5mEl9YBM+2oZis1GoqJPfsikOmUDOwuVkGmvFLHfa
hH7aWDPTwH7W8ElgMrGE8qA0IDanBJ+m2Cm/IhmrjTEqgitr5gWS1rIZZQ+8GC9p1AmHRIQIkCr8
6TgtDzlU2qwafwURhKYQkSYI/Q+zbJ656F9CgVpBf8qdRiNjHMoFABwJQEnW72LN35XU8kYKDldN
q/ErRvq3kTHyLczBK3B4LUYV6LM4tWx0Ji4HZcicDpiPH4bGt14zFROnpLMpzc7tqtevvky7rcD1
Z6xGtJSWI1lHCmQiqas22ksYmrcCKmH6pMM2Gk4pnz1sB8dSho0oCudYZ5eyBmvVTQS36nnCceKz
HZs+/Sv4XMfC3MyteU7U9JXJqCF+onz1QWkLcXvWymk7Q7DS4wDxT/MxgurTiFWSNaAQStjfoV5u
TT2EmNg39TKJGFtZ1iahq9uvzVdMBFyiem+U+n+qMjwTqQf4LSLmxsKVopGN1aDMZHCB3hSoEYvR
+/3rsVsHDJ8C/B7pXEH1RMcOvxqNHPkMYroVpfVI4wMfUxP99XTaqWzoQvcmkaD5a9eiTZ2Mw51e
t0c6ERdhAaKVzjiNhypmMpa0GtrLadK4v+vSIpWpiIi+lIBOvKpc9RbRRPWzo9g60l6imnjtaK2G
UcPYCrUDEFw0c8lg1hmIJ0X4yky2wlbYiGCcksbCFunDQqjICfzGJjIBkYiJSUfSMNmq3pRh4mQa
v0oACZNswlgzeS9B4mgGr0fh4cNehNxQBOSgsisIB3JvM0D8A6bAK36ZGE9ijMTpjwKMioMNzIKU
ruKxNGoyqzHd7kawTJOVHvwrU5bwWGAVrq6083HkOWSVuZrmbSG5EtPvUsSJhGZQrmMyGSKz48B/
1iwpMlOUmOmJkKFhad+wqu6V/+YSWnAP/epPMWM+hJnsgVxUXll1RyMBLlRFSrHEwvxRpTFTEfPI
2rZvxmlVT8J+8Bl+BlG8y4TqqOiC3crtNm6apURvpjxiGmWzDKjRzrLwY9LkB65IrBPjs5S6L1Ll
LN2cLVLz2VYE+3MTq03HtIE9QJGEkywhfgyQOcYSXYyIVJOLXmAQqx+3yQQok7o5ziQ+VEq/0zgU
bfP6AGtazW8zUHmrT10VNixuIj34pUkDhZBVAs9pGlrfhll9G7yAnfETEBPSgILQDn+IVABsnGyw
LdLrvJd83v+ecUjLAVIms1udKr6BVLvWFRiwKedSDN5Y1U4kp7IW4woj7UT4HMkVAcslPrPWE36H
zKVndT71b9oy/OOZw7G1kpFgiUjS0rUoQ6oshIh5YEUXO6pYQf+qqayKQaVXehXoxPcAcmr5viaP
x50j7x5QBN2iVIA3rX0uN77y62fWNk5nW0sOEheRTOEiWdqMfNOC2DmrQPEglLZoFG4GY/8OOrN+
tHYMyQHYCH1ujlztQM0zO8MKIn3G7LBtzRacobhZb/k2uKMkM468AI0yI5Vk0afChIADWXYnsftO
lBUMBnx1OSrHWMdSQcMy04BQe9ZgGrPwLjI8yHyEy5rZarTuKaXxTcCux4nLRr4b6nPLwVRAmGuI
G0AzWZFBkNjuBIzJkrLJ3nY1/aEXnWPEXICCf4JIqLY7Atutyp9geB8ktGXElTeoEChSNJb2lpAU
UYCEKHr5JQOVFYZsqUgK4Y2dwpy5s5ihiCvBam4Z4wbq/2wVMV5C9wdLiEFyZ6X+r8SDnlfaJsdQ
HkpfRfzC/MsU9zM2OW334Bt5LQtm7P1+7C8GLQoEM7ygwnFd1McGVOcY5ETi4IUyehyL09THpIde
8uxJGOWE4DNSoFu2B7MFcNLtAfo6YgWEzvxIx8AmqgBXReNNnJCwEjr5qnZejyJBObUS4FQgs5bv
KYrfO209O10/ryuDPYjxYndVRnM7T5gEIxp8yK+a207Qn7LakWErMVto0T7hPNl3Mtk48lMHOtVZ
nQTwkm+bf0DeLLHbQWLonw/AmuRgV5RcgIgu49WN4i3VTZsyGR6SbH1CmPAiGnUXVkY/aJEhsYTY
yfLokag5UDzimUDeGVIS+ljFlL4k8kc1UBmiGV4NsDItpx3klquaTz9dVL5UTVlLOWs1JPcF6M+t
UfaiPVgtAXuSbETb1KB6hkn9Gnyul7IWuSLnzQLOTcvtYR6+ElwQTIvJL5o8xy0dH2LeOFrKCQ05
CboLpo76BHuCFsubhVOIEO+lBaBWhixCcRNhzd1ZZGzb6R0R0mFgSgoI1h9uRLXCHa+OqC8AakWI
9tDPBOCFlxb+1Yq6jxn3lkAWrFEjBcuxjEaGtvyEW4xVrbLhW3BPtgc2FdawnPoxP6aMYmVQLJea
PzPkMlG5jSnm0ZbVixtIhQ+ELGR7UfkAA3dqN9g3SHvIGPpM8FxuaZ7n7qorl8j/F+oux84IxirD
Vw2eA80qtHEw7ocNgVELcqTEhIfxH509NgBx2PPduEksTwvWPnYkZLD4WJEO1j5EEA/YVMCrNZzo
Ro64uEfnI6gWPlNoa36fcwpjiBDfZvMQq8cABZoTlDxCGT9OzJVm6wm6ylegVy1I30ipPYy3IoBl
kVmcR+g6gxB7qiJSbondl9iUN42/yy2Pcg4yFQWzR7y34y1nEc4ZT6qb7EOnqlV4DuUuscAV0ydL
E9ir1n/ncpPD6+WW71bIiTgmZMTkb7wGbbjhBmPIjxEUpbYUKlfVjgkzAuYLuqfCHDKhnvFe6bon
8HMGgW0qvxFdDHhOJY8hotrRkpE4Sfefo/NYbhzZgugXIQIeha1oAHojUW6DENWagvf+69/B28yq
u0cigaprMk8eA+OYkAzg6OTqPQiuIOqdGAr3YCoftXlPJkz/vtYS0naANzw0/+kMdfMsAeiHdMBG
CQteK+fxYQEDsoyQXLKlQOwlC7fYXarXgO/GWmnjoVe+MWEuiO5pO/AhcnJOaHOtwUeMNFNncjTB
HnoJWSV0a7P8rRBu0mHOdA2FT2PTQGJJg2ydFxeNVUJyjEJfp5nKYFX04xavN0abnwa+Zc0c1u0w
4JrrmM4UA9nLUJ+b1FzRQrFjVsa/IaQVCM4RcARnqVAQ4yj20+ZZAMMybuW8yfS3DGjvoeHHoHCn
14OaQzzwi7FDecgz3U28eYwAm40yngfr4AwHQr6B+UHOpsrJ3o2d+l/8HYJsu6EKNkM0OODkduY+
PM2fEWqhM/YeN8FNdcbjMZ3BO+lMrFFZIIus/GT24TLZPq6qip6akXwGhotZMB8PP7bpzVekx4mH
6LHbI86m1HTW4r9sn39g8jDmI6o+iADxpi/vw9NaJzaSuY3T+K32zs+DJgjxKaeDTlXxzc0nIo9Q
PywNgsQwupd/OSKYNZ2t7fFHGKwJPkYmsVBW510D5A4fNZ4hAsVeatcLylVGqBgQzq/glJIzgWe8
WU1f8tqdtd/6Iv4B8Wex/IhOfDvKrUB8mF/I5rzZ/5UdQHLmweEfgiaIJUc0mogl5gskmHaX3Yx0
23nYkNyN5o2fYJKttXbVQJsyszgiAWdEPM1I6L/Zgc/1rqf6ydNvRblkYm1mm7LbWJYXx5cZUX+x
Cf8biKxQv/Jkr+vHtKAsfHHU/QI3o3x+GU86vraVy/6GKLIMJKHHKl2uZyQFzFcYIn8Hvl5+ISJs
lc10YT7Obb/ICcY13HxN+clykgO4vl/yNUU/YYwcsjLzC9DN62TPabpwaveL0/1cg/9EbbopPkNl
EyXHXJ5aa1sn+zgnSPBaq5cuQsCP/XlF24J0Czhcyy4Ymsb7+MUy02aFl+4gOer0KMTZd3dUUJit
0XoW5GEIT3wb1t3gUDyrE2qVF4t9NmoBX6vXFJgxESSe/V8oPd4TFiqAjllOhFfrtYKAvCIexNM+
FyH4L/sg8dc/taOyK9fMlFKc1wzVGTDJz+QS/Rfc6MGa/6j+Bdp8k5STlTq/FB4DcEgdfNVD/NL8
IeSkcyPOFeOgvTP27ZMizwD2GBMOv8oMBLscI+hNFEhtv907J2ZC6udWe1bIoimA7jM1dbKGh7Wr
v6o/bkeLcf4z/OleQw+R1S18ZOQ5/Bf64a3aNv86QjFZVe+Vq3oHTkwB6zln1BQM7aqvyTd2Ajnf
JkRtfYv9/ATpjp/G2WS7iDIZ+5jc0CpZt2GXP/ofcRh8/jUUa4iBEAZyrhBR1CJ2f9qXZidPOA4o
ZcXs8zhUZ7Zb7mkJXLsbV/EIF7gl+wHtlmAwXUnf8PkLKGKqZYhKYC+oHHBrNGaefjE+AQG+M2nh
/z4fNX++I7gTH8Vbfcr+Bq4uz8IYwTRfrKtfEI6P/NBuaPl8HMfDaX5KFnA5wP7hpd3wUXyPD+kp
J+00PG13HX/zjWqv7hvYd7vYwQk48qoG12ZLXREd5sN4owoJf9o7/ZVrr7qPkXksR8L8SNmCTph9
NqYfICw1DsnD4W6lkecB4Fk0T+Z+pHXDVIGTeUPtnXKArnlH+1+UacwdSF8BUxmw7PRN8i/24jpE
R2te2RdmYHvnGvgd66xqX7+Vl+zE735gg9BwcKB7vfB0xpA0KMj9mFMUfSoq78uwU3bRM3zHFLtI
UYMvljs6SvD9dIwurBSUVUic9br5lcELAQ+n9sd+KghDuS6+MhyZfvlkxIysy6i3mpf/DJ+4jUMk
x9WmuNX/Fpb33sV9hg3lOi4mwRcE2dEplVy3TNhP4b9y65zbi7gqCVy0FduxZtqOrAZiqj2kwdvZ
WSvRm0GVxuzq3/BMOLg4apm/E3TyCNHuv3TdCn8aOyoHvXWO0BOGTQS/WOyZpTJ9tRk7lh6FqjGt
ZXFHn1Xmb9ny4DDyeCmne5vQNvoQKwh6P5K3VU1HKDXRIF4MtgBQ7LDkd9ot7Vc1ZXRIelqPY49F
lusj+E3cu014av07RFs2FrLaqigSHgFittDkKN4n4pGVfwAOg3LERwF7DezT10ymOSnNffQL1Diu
ttbA152ug2CzuNmYzLDYTdYWbqXubId//aJeAXD7LeedGV4WcHSvIK5bdNSe3Zys8ZbnKEwprRin
u29q/2poD0D9ZnYKUq9LP7WcM4LDMDw14NgBDfa7zL5EuAY6bs2xvlddTDmy1hhiMzF7IdFxM3Yq
oyfca+yG2OcQXTwH/wF59pyqWuPOHgu2Uj2lI6PdMrninpUs+nSNYCsi2RHrqawF03uglFRDJ9P5
gAaBpPOkuPe6i89dmYNYf2jGG2TChFlpnjMOYVbR4vIwVCTdQYhuY9PLX0At+Xhw1GadGcO6INRk
qFEbT3TdRoU/QStX3R+KBSf1JtRstWdVWLt3UesRVjV+kDzBnSup1lB3Y9TZMOWOnqJAHPYpNF9p
QOVv9GlTM9hc4i54B+wf1XrLMTYHXkcl3lzNmI70PVW50bPX7tY/E9unEB/VTcRKiy1cOwJrJAuL
xQQ4uergchkLWF/aTZuRnrIAXLh8ePJsg9OzgNmPfDtiBQa5nhjucOLoy4N/MwEhoZmtB35R7OOc
lSyq4mQzl/E+a74MgPrEGZbRvCFBwGvFxDQ/9+F7HWYiiVP0DG35lPW+ZI7bnRXzakCIQPZb5+vg
d/Fh/E7ZllnfL/5UmPfc1tbOnP1A85rv8Yg/CDA8xjmkGkWGxsRrb+4bgvuAWdoyQfEMRNbRWtnV
W5X8nndW2bxw1X/KJykc+S3HqwXRQLxSpabfLhGnVKssr2gYr4ggMd/wg8e7kMeO6e4frzjbndeR
EcGDXgWwCrNKbEykCC3GrRd5ao4k/u7jh8ShRxl3oJZCFlbtWq/zGTlGBqAzaPS7ZsIVDOEBhYXz
Pn5gR8l2yt1gQI735yH1tfstsSjelv25X3pU4eNZ9a21ecOL2CsvXGlgLfBZeva+OJh7Fi/YGDad
5anEIJ27bfDZe+g2R+BTr/LA6gvRYk4FidNh0f2yR5gpBPIDKymIoXv5XnygX0qeJe4fyGHjH6oC
jP/aGmAPXUbAnAMOzUq9ZUdEZ80ve7zsy2RTcm3fey89LSl3SNgY2YgXsvWCDaoxBLsd24WDOLe/
PRjYs9iYnq76qLwbXMAv8YOMFK4NwsEarv2fysN4j2HowuyZ9WmNO31alVd0Njty2Y13zriZZ/1G
ji1YpxhdumdvgMUi+OJK2jd+foSb0Dx5HhzPfLV/s9NimAQeSH7xRn/S/sXm1j3l+Wb4ZBQAuO5m
fBHicee533KiRz0mLDwQy3oHPd++8HFj6afei1DgvUh0uGD218MncQhIhL3gIIp1elSO8dt0ksSy
4yHbtOMqeFDy30pQFpf2HGzlFaQojeSuOQsYHKvq1Twl3P/P8hwxQlxFN9aFydHakziI4RIf46UH
6vBFKAxUoi2rK8Wv2NS/6P+xHSeuchesEePc4qsGwO9VveJq746YE5VHcvr/h/Cl01lTeswf4y68
dHgON+0+/GUmxTrdvKX+xEh81eznAS7uqsHKwagkuVJ9tg+LFCqo45Q8j9g4gPAIgV2WmBa8TrBq
3oYPfJ3xX39Lz6mPXpcxAaSxitewn25GYV1bk5hIBj0hpaEFSLKoxFnMs5dgFo/xNkTyy4ZvM1Tm
kRTlTSA0z0jGR2WeouDWlMo2Wv5wxfbRoj+Mgq1Oz+EUyVGBXyUkwnIDyiVKPtG963BDp2KnY+3u
oXO0lI5jz0K1lxT6wJMHoz4L3XkXMt0GJdKKhHYWWlqxTUMu1pf6WtFCAc9alqG22JTYtNB1hPsB
fyVQZjyGjpayIfiyY/JeeOig66mIb48RD8awGSDVoTHKPsPCl9a5Sx08ChyQtFUN2TTr7u4ITzdv
MWKtMNvCRGQ+8O66F5rIJNtEdEcW19t6yuU2Kd+LmlFwua+bvarQHB2gQxnNLuw2avPAjl/qK4vp
HJwUhcepXItKwS8Pp9tPoj0WgsFisn1XTfANRJdc+vQiSpJt+nNY7UeVQcV+sjHtQUpf6Q8E11Td
i5RVWwHwqMk1oHc0D9m4KxaY2i1C54WoEeZ9MNIuOTvy4CF4bspgv+QDNRKFsYfUGgDBxHiHlQC9
LlKbJmd3gFgXV/UKhEUaePm8xWC/JZMWuOtnMOEwBZS5NFIY+xg86BRILnmrRyTPZrK4XGYb9Rfb
eeGemxn49oslf6R2w+RTsXzNMrJVDiYFvOuNTBwQ3jAlGepnGh8VA48gdiujumHiL8E7DMMjQVFH
ZklibyPVdwkdFjGRGL4DKXnbuYyDNAO1qZHo/zp3IlCkXUcCHnQeml6yRGGwXQCYryCWIRuZB/pE
zMqqQ3IduKx5xsxg3xIpgoiUNjTD31qzrXWg6axrwCBH4A20yuYXNaufKG11onCb9rcb5vJZKyQu
SEW6/1LSKZ5uUNS7YeCtiAc3uRZ6Q6ZKYj5kPTGD7qTYO44EZ2A3AepZlr9TXP7F02Ricu8t4FCm
hEw+UZk7liQsrjItjF9lVnySpBR46khQXF1MFTYncLIbErPdbUhix2szspCMylr7N2ZdfUGzTsyh
RoHYqWa/1WWFJCbSay5LlUBCpxNvbTthwC9Ai2hV1F7HrOC8y5ROMs9sSQ7RdN08Otkgh5fIQW0N
fd7d9VVBVsJchAQRuAhvDIf2Kxh5FqzWSG9upE4z23mO/06flfcs05bpVgHZjSGggxU77cLPJO4z
0jiH5r2Na5WecXLE1iDOb+MMqbjElZVBUkodbOQmSQKNI76jJuWWccxS3UUZuZehHTHIK3MNcquw
GmpRmJ+xOLRdwYzMKvRLbbcImOBgM6ZlWsU9Khgy6WN0iwM3vaYGWTK2ZiiANOHfsQVrTF9jc+7H
ncTiPBL4NETEFoyxlr+qWc/kYGAgJzs8te2CktSTdtqVbgjVyZoe8LTHiEutB1iRZcVbN0YODZlG
LzUljDZIxagOYWuo/FBdXnzqaQIl2UoafPOG2aMezKd7oZUo/lXI0gyq8/xXkTySiA3GkH9AXShM
o6U0lVeYrvOMxim9yqHFhTOVAMP1OKEmKVWX6npy4tfWTmmzSoMUGKAeavVdW8pikjQdvyF8wC1U
qgStdCkaUoP+hP/gREnajHO3qgYcj0G3A40icK53bfXeyEph8JgCz9NFh/l3xveYpbZ9mvImesyS
sNB0TP4F6vA7VSxTpdkar4SGMZ2vi3htFN3dCHv9MAeiU/BXllW2JkxpQGsec1rkib1Q/cjQ/cpN
1m2zRsBzHbeAGkaF35XyMC5Uf9K1qtlH5FYcjWhimxTGDU+bTOOJAYJepBshBFepaTD8Cxv2VnAO
9atilcEtL0rmfdVcTfeQJ3nTqC2Zsi3O5GAGlMT+FgDhwKoRYvkH3x3WTxXy+S5VgJ4wPTa2JNwG
60bk8TUs3YD82BQcVD5JUhj7Z2WyT4EnGL7UTtvtJyOjtWk0whmmfjqUQG5GMvLe1Kitf5KASAFe
hBr8ypJwaTXquZ+a6FJLMA9OAR/YgrLlzybhP6xNa9ZAc7C1hY4mCwYLOUskgR4VQNpbc6wo7/Ra
gIezrQG1S6PlTy2Q00poNrM3bCqkOVflorJ209QnmYpL0u4RM3cKKYIqx8XVHgN5dtR0OA2xo+0z
AhOwnGLNM6Nm8JSgalBp8tIZlhj2pU2IYGOL/mDUSncmj7F9E41RoGaJdOfgukOHGn/CaQgdCz0M
FWugk8jH/M4CXwNYiphAUHZGUOqMBM3gc9JAKamjxhjCobPWnEQQT2cvf4ZALRiHUAFMXu+bRiDk
Sh+ARBCoxWBtcEnjjCYDcSWpLfWuYVm/JrgxvbttNL7ClGtcrsiOx6hGVlIWBWVDFy8GnjLUdz25
9mj5CD139Ka4t2Uhz+qMoiZgX7we2aLduQc0r+/ICFBzhSiartd2vR6hxgJSa+5TOxq2MunNU16O
5s9o6og6XQe39TDLTZ5NwzOuJ57tIgwcptd1jzjPEFSfhTPfe2OuT3Y3wZmdcpRTiZXQXHWaL9pG
CMQbqEOsqsnOVVpAuZ8kVIcyXexnQ4aRVVPq9JQNI3MmPJZAZkBJxn5WIeCbB6iPkWmSr1GqMMUi
U35lxcQwddQ/wzENNgmpb5tJndC2BD2m3jSMKqzDyOl7w4Sf0UORaOsGOp/U5Z4DlHFiPsFgeqla
meCVnmPoUEpPqeiCtgj0JXcyKQ2Uh6F7LUIFBYgTZcO9siR6tsHk/GxTckGHhMw7rgrKwZrBbT8F
AuFdWESA4Yn3AMBYMrSrUuVilL3NJr8F9piwT2Rhd5hGmf7VbVQkW9Bbgx/aGSSQgtA/qyzCm6La
KH1tYgYdMxhpeFqIMFwkEiAWaPAPSEcLrMYWzITauBw3eh8mp9EOXbQ2KZvf0S1toNOMK/W6SC9U
MkjCGhKoe91iK2InENJkb7GOTAadtQ5VU3edNDV1iBtoGs8Nm3bbpCpewgxeQNaTCboiCAAOgTOx
sXwB60SvpyTAcPowpmGGBYxmOlEQ3ES1jXAw0CtvMDDkdjX4LwQPBbgCZjIx6qtjUEte8UFKb0j6
0qtqeL0kTiicVRMiQH1kkeomvJUyxXg0lDOOdIQtEQO3TIQnAed5kw0G6fX6aB3NWK2PEUqnneaU
1bGZSXAG6T2oP2kR3KFyJQ8jcMxf04jbTxICwp2qEOoQWlThksLACzQUSZXa8VobgtWh6mQRWGhz
BrzTNi5KtihxcM8P0tz1pjQ+hlmNH7XuVO91nFtYYsKhOmi1G77rgfxvQCG1FGk4F9MU/WflskiT
0fDVmtakeI4x0LPbrFImYqBSvPw2AzMpn3EX5VsZx5GnEU+0jR3BrDiuYXbpau8+yPJy97VRfwur
dY/E0Urf7MP+aNoRDq3OZW3CbMSWwSOqZsEARrhE1raGwOY2ZqgY+0HT19pYLxpI1+XTLtqpPxpl
3P/TG97XVaWl5B6NKEX+kF/FG7d0vuPQqtbdMABVU3uLvpoj5mxEs1v4AZQkPIIJAaZtz/5HBaQU
h3i9WloNc40OjCuPKoRVoY57sevK7BjMS6RZWajXooBKx5ovSj3dJbd0lrB5U5Gy+sxGokpWQa3p
Xhyy/tSbUOwYtjkmqYAask5ppf2uGS3sNSVi8yLOusuIOunFLokW5REfbmCI9Vult53nyDzeO/3A
UCMeaErqcH6UZZnxcmTxgK1rmNZjheSzK1qCg90kIlAlDjaqabkbGw45OEBdOQYumJI8DkK/sRxx
jXNWY3Cxiu0IbnrLd7/sEpL2W7PHDmyGtPw5YmSiC2tgn5Mrh9mEZmFPBR/8ZNu/pJcV72ZaQM7K
R/M/M66MM5lumYd9Nf1uRmZDqSn7E1e17mkNqCuRJv26HOps7w5N6s3N0L7Z6YQcORzblQUgFQXU
6J5UR0v2mdkkB61kvep0AwMc0uwbyvARYL3U4ReXBi7NAQdfQJ7hisejf5214aeyBuxPaqc9obnG
e9uwtL1VLw2Pye8FQM55KhaTwUoXiEhnW5dEsbvNRtZEdFU6CJpaAZxhJGa1HizdJqyoWpoCndhy
FI+ruFA0AGNDcOEIgSASo17GCIsuIia2c4wT5aGOhouqrUk/+oRcykQTymHUk/w2wwpcEXvyKuUE
WVANQ9zTifSTyVEOKpm/22bSaa6r1DY/OjcMP8kCHt9S5GueIoTzDKOJfHnpBj6vJMRao+Sr6kf0
ue2YTb5bTsEftEftYtfLutvNOxBDVbIXCGZB7PcOs/aSvp8BwVteW4RN6sbA8kHvTJ7kahy5Wtjp
T3nMpR6Wvfl0ZWxf8tniNQ/ZkhMASw+M2VG5uAXI/9TNoAPOmUDMik5MVWbaSBsOLKCUho2PKsOU
lWNdK/fcimtmB3nibBqXmWAoyuEwdvoEFNdaoJTGiKoCJ7NrVe0hrFCsxlYU7G2leZ/CqTwNMhoZ
ADizA4U77Hd5ClwtDAFbqpo5bKG868SeppRS05D/Fjp8Bmba9Zj7teyuRM4NXl9HQNS7ahQ3IvAm
CBX5vz6vlc3gzOJfkqfSU4GOHupw0PZMT17tQEnvSmeNfp8WNMQat/otat3sOcRJy8zURW1V0rpW
zHPbvzpsQ6S8DlWg1hTRZ+3EUBloiX84W8CSqEF+DujHPnh05rXDV4r9wRySDZ8/hhoz6/eklpbH
OIkgxtCufBpp4RzGImKpT4k/IfctARy5Ew7Wsl8WJEJbhnwdFRQbENu+VlYVv4U0Xx3P4tZqoxBP
tBa8BTGOCcUMTMKa9fIya4q+G7tMns3SZXHFDQTeSIX1Mcr5EMwaky1SXgF4xNmHMNXZYhOqjvew
LcZPW9Cw2MZceEOFJ64zF9TKZGhM3EwCo2ybyKS+Yq3dUx2FpcKiLNIQSAY6M7eqMbcg2bAsCVvz
a7MgZU5Twz8ZRETLRQ2AIKNu/+NrN2i74FlVtcEi0OlSpjBVghfeZRxdkYWyCoVF3K5tynWV5dWn
2SiJH6uzSWq75MosrflX0fLpralYluZGCd7cKuZbbkP0x4Hd9hbSVRXEzDj3LEbtApyXFjTTa5rp
zr7sXP1KZMNZL63xP5FkwUlA02VKPqmoeyldjKlDBDAmSMa31AfpljEXGbSRhoUeVXl65xlrkM7P
f2OK6AvELxbWmSAZfQ6xTyCsPRaRO91tkbGMVPOQmCQwHn0XOKegj8zPbBzyQzxo4clRe82PixIB
Z5wtsQVUB9ZaTET9DgZjQ6dz6oNqdBwCLXpQo+A3rK2p/hJjFYNxXcTFVhDgXTZA/HIiM0CYoIMw
+1eEo//2QyffODHtD7e13EvXSvA+i5g7b/rqnULL8pqqx9vnOpZLapVZPAxhRmfVQK7VhRKGaR7W
26Huwm2VqLPvGhY2G6i9ZbFW+hI4k4jT4lMMTYkQKTd+OM8ZvVSlvqsSXCNViu0C7AQD5lbjwkUZ
jC3cxM0bzua/nJZwNaVES8bjYO/qKcC/l9e/iSzEuhsrQIWyHZ6KSZptElPnc/zCUUNWiJ5N8FS7
MztQG5lS07KC1suJGttJD4CsXeJSQuuhuHp3CERdY32Bl1ERhWUs3zKUHJsZm6opxjF1ZYYVNh1h
dyz8UHDfLesvg8y+snV/48QyDgwjnB2JD1hehUumRnPp3fA1s/o/I6r/qbPGo0GwX1knA5w9FDRz
gV50CSO3E+llrboqnG471tyPTkr2KADsF7WXuMmMLdX6KoWGNRrJRzY7rO5V4gXhU5K+i9iDs2kr
1PmNHAgKiXo82vUEPKfsbrnS/RQumpfC3joSz+EcGrci7eDRDdQWlFHVph+QNPL1JBubdY3GhM1s
grMdyWOTJG8WcQEro0VBNOXBpY3y30BH7sqD2Fnzq05Skq1xmCkCVo26T6EY8xWORyWcjkAX4NeZ
Pml0mwBrh1WjAbUUKkGxE7Z5nWNcmrq+1Zxqh6PhLZDRrnUZk5XaR2fjSJ3dnXIeES1KBTaG0SCn
1AiCQDahCy9StFMyd1w9w7F3UH82LB+mtBZ0BsV9sloaIZZdIazEoL8GZXavqI3lxBKOZZvJWrnk
HTU649a2pp+r1UFJ8RE6NUN2F+YnAgrShiINMxEwFIKpzvbI8W6E+kEt50diWqgL41VgW090ih6N
zcqd29diadME+ysHo0k4bTvkwCbWNmY3W3QM3Y8TihWU4B1DMCrYRSESDJcWP4GRtpcs7PY0gq+a
Uf/ZlrwmSAzUFHP5mN71WUp8pwF6XxOTrvs9hA2+gxj3UQsuVVMv87JKc/+McIHmVbsuJWhJv8at
4RHuiZuZQetWB2Ylw85T0DOVkI0NJCRMwXvopEZv7+1xFdvmg4imUL0CmGwwcyh2e1LR5rn2vHMM
tpukePRvjCygbZi8Ae56RD0xf2rWR6M+7ZwcK8SKe/g1SnZsxQYGBjRNvxP4omffpq/onQ22EtZd
hKViJNGYNmTj31j/q6GtObc0f4CSVNyDINKBJOxQwiE1xXeNrshE0dRWxlfI2ljNXRgp80vagpMk
gVVNZs9tq22mfkeCdNUvPWYWbd/mDObYWlX9Vm4Iv3qx0x8KaPRil1J701kUxMyi0w3zLF29F0R8
ULsSl1j+FgBPo9+qJLeVC2K8xCXWi0XmXWrINyAHPxOdHVZfsj+O/VnNvnSYoxTxm64OEISbXowA
T+L6ZQBOTUKK38oamA64rK7G7D8lajfsTFUJ6RJdOaOavWt1Ry1ALMgCufgKpQ+lTfIApsO9AJlC
9aN9cNC/RKQ5l2NJ8cxCAITdaCGQrp66Npxq3PSjRF84MJKcHc9G6M3AK9YRnQ2L163q/CijBl52
HahdTXkOR4BwT7DgHgadtQacsQ/QZyz3Wbrwqn8ECo5AYTltmpc4/HUGXEdoIMRlgV4sIQHtsBDl
oeRTbcn8x5j1fQ4ghPC4lSgCT88Sw1O7il24u6Uk4VWWPqdSxkHEKLOp87+5Ms9TBAgIp9FJ8nVa
dreLYBLbYviJoDAEsb4OFNacCO6cLmLRGpFDyzvsBJgRCIALGWQkXEMMrmmhO665AHicSe6DGzA6
QCqDXXac8Pfo1j5z852jD2eXEn7A3JOpFsqvjho/mz4NjFqjEMys9RM5mF+zpp/cSBxcFa9sM/e7
zh22bcjgYOJv6/I7czV+hsT6ojO+zgv8j5sUqRJz7w4p/4oC3diI0jYPsgRnZg/ivaU12MdWC4yH
8hmbuPkVNkCLktSkIZk5KLVKwSjKbgOA7Fxiw0yD+UDQ9TI1ptsOV0GLh1bkAK8j+6Q7gqvS1t9M
bdGJ2j3SKu7H3jKcF2UKaiRn1sFuG9bYVn0eUnInZS9e+p6aKzMzvxUO++aqRlZJzMESSsSxN4JX
i1LgIKKa4fraP5Ma+4KGJTewRofWTRmlV04kv0lmRxHZWriIHhUmQzFwvIaOxYg2dKF50j0FvSAK
La9gp7e3oIAGV7ef/QAkd0ym99wxTkbZ7gNiKGk+IfMbQdtwe1gbTqbfQosvrhTXdgrvndsceosI
KuYifgNCOGrZxqmGcdVjZRe7ySakWadi8C2lOjNrOBoO4qqIaG/iWp2iQuRZYs0sA/kMoK0OMIBU
I/5KzexN9sZ7TOTGy5i3nq2WvtFiZApG3zajI5F/a+Zra5tMEtXMvwbKC57T4mqCL5zwIJQJTiM7
T31isHdODwKXOmo1oN2snH6dGNOp79GZYx1qeXa4T1ykp4kAFsil5PbB1uDeTdl9xouuRXdQJxFg
ytiEwO30bZT4novyNSRMkxrA3rEN8AWP1YvSz08xF3xaxluhMyEPSIlXpZEzjbWYIwZrfSQ9hbaX
N9rIyn+odpBaG3LLFmZL9Orb3JV7GvPbXArYfMiTzREIMX7NGMiwrVuvo2ofEwuziEbGaOmeiaz2
jD7e9TF8rLo4NhaSgjL0sgzUHBUG/dXOzvJdkxC+k0OiaeYlEnphCTQBK6/6EbqMZCd0NdXMALnU
v/vIOVH5bRme/TCXXqWG/ksF5dvN9AhS6bsuy04mQJsmTZ8Gx5dlVGs30PZ1iEIhYCXTAHanri9A
7xr1guLt2j/hJq8WgL4xUBGAz7dS5w8KrnmyV/fSKDYDgU/7xATK6TJJ5FYrL7pALRoyWhF58RtN
BEoqff2qoWajEQrX/WQsvM7C79LwU7HgiMSqu9ct5H6kvY+EZ700glI7VTdUhBtqlYOiDLtUEjGd
86QkJMDR8f/oCtFKzTztyKCk5tF0lKfVjVgdCiKYNQZ0bRZsTAflMx2wXOFQ4y7LinUhs39pPJ/p
UB+Z093LJsCZrcAvG/BEOBHK55ABRVqSlUacnB8m2kvZXN0JK6wcoAoZ5m2moC+tAo4DB5mhf1ra
9N+c59c0QetLXoZfxPkIkLJ+6v2yX5qMPZHLe9HUDysOzFNZzxwT7AFXocVEpO4YpMogLL2Bk4QP
ZNokKt+RwTAJyx+DhKaL6SPrg+6OpxZjUWEgMHEm3a+miKpEiD+yvVLisDj8WZUh8sCb0UQqExft
YrVqvxlm65yEMZ0tm/RxaX0t9ct1IUi5EjpzZHG9Ofqi5jccqI/FQXNSNoHlcBszhuZqpOy7qkD5
oYE7kkhMBbztJmYDXGMfiE2490GmeO7MgVwV+kaHC0SC0SliQMHp08g7vYz2HOaOK7Ph180TVqoO
RBVIR4mMeiZf5SXt7bfYUT3Mqiwe+uGHCd9l1FzcY1IJ17Q+3N1R2a5yNf7A8LvSIphW0tpM0t1Y
Tvm0ef1sqW8J7f2MEXmZ6nAXeIBWoTGm25IREEDUoT3ZLs78GCu11fKvxQ6DF+wabOsFr+o8HoSK
kNSslq9zsk6Dspieh+zbCIE8DPH4Uceqss7s6DqmIKyS/3F0HsuNI1sQ/SJEFICC29J7UqJca4OQ
1Gp4VyjYr5/D2byYiNdOJFB1TebJ+Ez78SOL5MOUU7bsK5TBDZV+Jomq4f/p7fSnsMp/Y6sCRsD9
j/bbm+3gSJB89U0lfdIfagraB7bbGq59SOLvhD+cMFOATOhpKa6hIczqzuTgPLWDsSg8RkAPOGg5
Dfhk5vnJsQWSf/3V1a7eMdMy+Q39Nc9Rf2STzZ592oUDCDbJpCskeZI+5zKO3OLSTP6UcBgNA/WG
bM48sNcoM9+qrIGpbRkXM5pNOp35TAJj+W1oZGtkOezZGa0Au20qBJpK+UhP3PnYW9g1WyeYQeP1
22wUB22ZRzOjWgMhTNP9YhvgrEKOcEuhDE8qv8cbXHwXRvTNB4YuFU2nCuaTYeS7EIdp6+KlpJSZ
nGwrjAiVs5p+mUitbWfeyMQ3uaUfo9iRZWphSAxDMnui9D00mF/y2f1LtO21rRjkx4Ch3JhKKPce
Nu8J70Dlg1OgdwY4AqIkiztrZYysGJWZftUmLbFhCv8azIwmMrjj7Ni+wr4G8dbKe+rERw9y3VJR
4WTjsPUIRGCGDHWVHFSqu/bN8RB4zrJ/LQmfUe2D/N84uDJsLA2MU4ktxQnf+95mTkR/5q33VpGP
Li1t43Wq8Goo2KvAFnNzSNaOi/S4nVt1rMp2L9kYNl0IGiczjoUFUNMJit88dG8G09utliHWO4TH
s3sLZ/1qPI6iatLvhGbvfeQcPHFXFgwcBUHyhpUTjIcIkifCJn6wuK16heG97ZHJF/pEaCa0EZIU
q5mwnSJ4GuPgEKrhQ+ryWz1c7pretazbIzKA2wxrFa7beBK5fUgoVZ16PjFDwwQkLmGWf7ORObaa
+Y5ibgGRME6A/rWhWiVImbPK3DVqunKYPRz6JoxjmT9FHOALF+uZGUUnEfg7L22Q+9TWqwr8ezCS
bUaEgIVGb9bIK2ujxuSgkZdWu6DVR9WI93RwfvI22RshNMkpfc8LWEC+wQFdWD8CA1Vd5BvtOxeD
VF3Wwjs9DIcwH3de537iKV+ryvis3ba6utrL0Oro6KM1ATibcF4XqfdYK0OhGgnAyLp1oU1Ii4Ru
pha6argfgctIvSnlhukTSkfd4WbE1Bb3wbfbq79GICfC8fi3uw2odlpSVlUI5GAIyKXh2GAgGb93
Pmpif5brln22lzcvdeC8UvrAl9EDfb4aIQXlqOvIMFjYJBfKoDz6RXdkW2QuYoJMYQc8V8q9+O58
zRUyxqGIfgr0hWoUsOMAdOK/qikLEEHQ9uANYut6DLDTmkX06qATFD7ew9T68CU1fB4/7DUmk6sA
pfbA/Ct1jFWTElhE0kDi2myS1HPaQb4n7K/QnOApZkmcy+ZXhEszTyPUr/7S7kilUf6lcoovgpQ+
K9PbMmr8kYMHzNH/LFPzMs3deqaISWqUWX588R2Qpqp+so3m1Y7eMt8Cb4qByTe/kw7m+8Tt1lV3
TVKcJyaPEK5xJ1p9EMFwrFH0VaAMQ7LOiTfeV0Xz5OYPBxnGTIkhex6ZIvTNc2JMTwFSH0XQAbqS
NdksyxTozIRCqQ/alUUvp3hwYjvZ0JZumbbxosYXS9R/dO6cCCXdzrg3o1oSO2ccVTu9M1798EY8
Yxk9LY0gugyD4LEhPtuVxLqSw6VJvIsgLjEktKal868jtZxHzIlG85SqEXOuZewzlX1NSfjT2qyB
kwQYhRss0k6/zQC1i7La9T1FsNnTEpc1FqFmOBq2eabvwxvSB08yHofl4KVPhapZ+TqSGEFxzx7J
GFV06kbrnA/iIBPUuQJiWRztB6p01hovYY/zvEQYskywMvRtezM5Mworfp3wQI2CsiR4bNtdwXnp
YkIRpkdQiMKPY4IIah92uppt1p410RqtED8fT/doTs2G1O9kG0DZL/MM+jWWH7vO3lJmOMKhIhx5
UBAc4XgcyNYutRfzMaTxM2uZdJ9ru93a2j8LBzpW4+bNR8q/3sYQNZBhdnQ7+H6TwFpRz9F+Tvln
xg26ewd7TN1zImVjKdF20/gHpvPLDZEccgnQv0ymI97gfVcjDya2M2dIYTw+c+NOv0fmRCT6g/bk
Qln1abYbzJlokKD6OhGpFEG1VlLQ08TMff4XF0lZ3j0NBSI366NnUkfqNPsyCM6RY48fzIP649mA
clv6BoeY9Yx7SnXlvW/p1+QzGj1GYB1Cq26i4GY6uJdJ+sdGH5EkGegNTBghzBkssTTkNeXU3E7n
yVBbon5QQnClBNxr46A/u254JRVlR1A0WezD3mUgMUx2eE+8fJfP0+/YkPxe+sxZUh0w9qkQg2qN
wP2hsBfT6+hbipGy+276MUCNPjqhzLk45WhfGo+NfYp5meW4CVxpAoUyRwaS4PQ1VQgzi8Y65A1W
Jt/E0Tl5n13lXGyv3yVTdcqxp/h+duLShXyfAmlJoLtE8fw3ToNiSfSXcxlG4Hq8A4dcdck6L/Hx
lYGxi0Z4hNrJT5YAt2OV+WVGVAXwYRsJ9rwMFReVZOjFxK9180+pyWZuffMw5s4z9/zVZf2/LVEK
bAwVGIfUzwkfDqAvarN4Y9lX72PpEs49W+zgQQcjeDqnhPkQU7ntsvlPjAaIgxibg6WsdhXY2Mby
MRg3jmEsA+ECdNIKFL77XKtpVZLVIu0A0k1rru0Gn3vN/DQenUuh5Xtgdq8B9t2I1cEmQWDZonGM
3PBIsUdR2FNqKSV3sYeA2utiSNwmWnYYrNjMJ1wGtNFKkX3bFfSFFelhtTj6Qdl8In9ZmQ7eK1Kf
l5au8xvrEncL4WMfYiP28AJNQfPEjfFJvfZnNCNqgOBe8qt9wyv2TeCTI2+yjjYJzeRsZyXq8D82
i268RwkpUHb0lFcRokc89Zu4zmtcyajZesLE2XqKasm+gDptem4zPRybxG02ylLvmY3DKzNiPDmI
38mk/m3oMQAJkTZE1DphuyXJTwONc9iQVt4kFdMk0BybEYkyCGVsR/kGhe1atKgBOvDOnndvGmrO
rK+cXdwGb8rFqxYH6EbSwt7bk1g3ffqbtexY2mgAKVw8yZwtAqUPhgmcrbV1T5GI0SM0q7qBLiPt
nsOwxjvsTrzARZvySSMgfYoGQojRmuxnTz35GQE5abaf7f7VF9jCmtz6UhotRVZukB7itpXGq5d5
7xXAt64gScOv9Kvl1HsIJNNKquFg1a1g9lbkYFF0uXLt+uwF3a3q2NaMLl71LKMUV8p5GbPhxXci
8pxyN4Y4ap58l1mWZwmIkZ5br4rZ/yxmzr2p4vDuW/+eCPdeGunWYNuQRMw6aE/p3YZpV3o+au0B
3e7YhR8caOuYOTuuDNKKFT8pohX9lAvzGg/9xWX2RciUfeo6oYlfKsYjLVAAyqb1yNotv0rf2iuL
sb3kUuCnsS9lgB29JFIiUPaav1XtWURbZ1RPX04wfkSWBRM7nLfEwXtrjx3xyoyplOf+5OL+ITFb
MESqBxShHEP72egNys4a5jzvvjmrYDO78785+aim4JYDkEnckYXKzATfJzQWrQtDEccRuyHl+IjH
7uAwNlANS84S23VV+B/1jD06jdI/JiWoiBOfK75/oUvcOTmw7akFQhc48zp7uL/ieIiuhdNmW88Q
oN1mOI9F7NtLJNjHGdqzL/C3Anq+UnZtZ45bQOakGDKFYcOG1pqCJN3CjeCsIxOkytx1ULogJaqi
WFYSkW1a4GFhSkmpHiGejc333JAvZtu9qv8H7Wb0Nk7J0Q/la2umwVYkap9mUCnD01xB+WR0EAXp
tKK1bv/5gNhlWd/7HGtiIG2maO2lsX2oROjLF3nAwRp4xq/n9RiHe2xJqmaczU6/TRGnRUgYz1Hi
UjOETHnG0gyBdUvNusxyES7zG4KO9actrV/NF7GwwvCzrgD8BRgKE/fSdRkgb+yHyknfjcrUSCUA
tBUPriKRf9vMnb8Iu31JR4+HgwsrDvjWx+qPV2JrcWJcyupxnw7S40gldCCOmWlJFgTOHB3iR754
WCC2w1A39XeniXaxKndtEH/WmqUMa97bEI+I9c2BhaEhYWlbp9qP3gt2cdvCQOfeZBUjR6957f3S
J5khMdd6GnbN46TzkJaWQ3JMEdgtaydA42tthGfAskKSHsl2a8Xew0LRWeTGxUwFSjXvJr7YNMsA
zkxQ79r23uvhnGBRcaribpcG33PxqtvpWnoeYYAlFsYkZUcP3XyRk9YNxdA8aDkRIg8tKqxezNH5
SHPnWj64QD6GDAUNsGr6G2f6sZZwQGzCoiJ/QOOLK8+b7F1W+dHTZEpwwfIlI3WR7xpuojMffBJ+
MnqryMf0aMblse8Kb9OofDOb/EniNpERaRTfhjEBBmcHbaHWXlV5lCykFRCY4Y/PGULGbqrWk90S
JhaCT816JIKqC5MleeQ/qd+8ISP75lNHk5XtshRsAfDrLIhe087TLGMQ1qEfLsLivSVeRA/E/tXe
68TKCHePlLtHr9Bl4zZV6d4Y25zDyL50mXiyKn7EsrMoMjj+GMAiE2a2mKGSBbbgTnW2skDDPJfM
z1a9dp/N9n+8N4mGE5SGqoZ/SvFAebBzSCguI4onxkg335zoEmnkfDM/xODAXWfGEWdtQ8QzceS8
M/T4QD+XAesyVuQhk3gT2OXS0JAUygGzPC4zB6IeQqyNK+nKfJmuwpFfPLfx91woEKJsqSJgF+0w
rFtbLL2AbYyC3GB6ahPUw2+Z/21BMEjL29S92jcGkFMd3TTDeemrld/xBs+wKmRwo7rGjCokhRqP
q0YtRI6FOHasj5JJ70Mbf96Q9B9ell+6CZViSd3BfCPaNtH8r4n6jcxwCloR4Y8EjKZN9NWbMd7v
pszXqUG6Q9MzMqk7xpBNXnOesaj0EB5zzUJX/Fsq3tmmxLstW/iTyoSt3+Pyrbp2XfoewWK4QTv4
GWEfnCtk4ob5GEPF5sHyqDAzdZYWAzhbQDb2JTMuszHh0jjtYUzCy2wZr7LmdZ78VTkyuS2AEngj
ec4jy3Xvs+mPSURGbJcXNY5HCcbjYMMeGMonnUwr1FBqwCvdnenBMYNR3QJs7fsvcxrrv3Vc+T+o
dSSZoYOxGdD2MWVR3W+OOO4ZySuNbRRmEYlwTgWNFqcJ6Lbc7+85Mpt1NoTGW1tW03fup9h8RWG0
pyI0xGeKZuDojPO4HznVLlaf6NfRGsEez20DcqiALNLbFjZQU+C+klVPprM2q7WZhHCjHUzhgQjD
PbQk7owYe27lsB/ycxAafdJ3txkzzjpV6My7oPwnHJmtWWZOmHx1/FNWDk6zCoVh2xVwm7VJcEvc
vbdFcMCosE58PCVpTLRlCZZpKY0AWFyvsFJNVXXrW2qFqFPopuDAWQakk4FRM8P/aAzekzH90Mjn
TqmvsGUbE80pjhm2mpA02PUlOz4Ql8Uzn3aLUpx7LEaS3LXRdOzmWUDBSMm5rXAs5Y+Q5zKBH1IV
1E2WAyMvIhqbM6aGdpjWGv1Hw0jN5zcuioCIQFc5Ng/h0BC5SFBP1zlMMlnq07iZD+lAnCdrPp9f
x/HnmxhMOz659uPP7oyAjhoeoJcFUPcrI4IHKowkm5Z6mKdLJLlKEVRD96EQ8iHuMUJw0wcDUxj0
iwjgSMbVnUCyIP4YnNJFSJ04GYxrm8cKRXtUJoopSN0xEDf9TQtGa5uVjPxlOos/9UgdwcyjukyF
+Zy0tl5n2rsmQ/1pIY3Pe3sfaO/SA/HsO0bzWeX94OHB5yOZetVzvEdA+RIWBC5EmCRGe7hVRV9t
6E6gfigy7hJM2Z1f4HWXfxwkA5OoTdbPxY0u4mfy2aU4Cnq+XZN37WTRJXHGfZhA5Oysez6H91mm
n0HaUQTrXRzl98RHvEf0ebYxdb9TfcwFXa65ZZKtQGEaC2tDf3Sqccopv34rfYginn+2MgJZeraN
01BdZwSe6Go/Ctu6CbP8dRFAYTlqnqRu6LMaznv/3syM3lPTegszibTKuqgS6FBmUSQMCfuBtnti
Fze/V0G7txMfjY4VvrZo3YiuglANwiMJWhDykz2tSwq0VSiDJ8Mwwq1Xe/fBZKdKX/eWReO6b633
oSciJmnvJWXUorNxP4ucEz+NSJZLkMyeHGZIXEzs8ecEh05S+xa6hL5eZCEqkqF85h5ZhKxrTHKf
lVMhPrFY7VqPN6wKU4awWHbKnhJ0cNYeKWCqLvii5cnIuoAa14AIF/yNfPHNUeI/trnWJib8NO5g
2lr9k2ErYDoiYTMGdu2eOR1sqDh9NQCQjIjdBfs/+tQUO6qH3g4jwSqfeTLNxER/SxpT0XXjW5Z5
TN5bCXTetA5eVHlbPpNdFvT/yDNuTo2nnweCHhk7tis0XjAV1AZa566WBBdgQ1ulUCdlaTAbSoGB
GTxSQaKZqvT7xPJXeS3/iCG+oEel3Cjdvc7y/oLydImHMGBpTKjmo4MrBVq7KOAvzHu5am3GoVHq
XXDdIS43yngrqvR3ijgJYj0A7upwv2o7WvozBI0cF4I3URJV6MEGV3zKTv3rJLU2J5469mb4b3Lk
zY+YgOCIxJI5Pyz4dmGvHFFD7AVyMffyI3H5U+3y7Pg9TvmoWiR6XBmBCQDEMj8CEyWJa6FlJrWl
8PjrCHTVJod/Hr12jqZJGfZxDjA7iM/hQ1EKknUd5oC+m8x90mmyscdqzTT+z1CPsIQanNGD29BW
tPVwoPhf9wjJ5xybg5D47SpmZIYw3F0TlYJZjBZ3MzRQMVVld7Va3vpcPCwRZntJObgadgNDMS9j
HlPSVBZUUWuhrKVF6oxT6bvjgMDwEX9JnoKOOQpLmKUpspNCYlWb0beTTqcyrNmcmZs0saGD/vHh
bmh714Tdb+U36dJmc1AxtOXmvuUYUHm/oAcG3xnCFi1u1gw9nZStuUzPEtWpLz8rSqo0Aj0V+CBX
nEfsJRAWQOGsKAnI/ZiwBCIC35cSvzykv8lvrmjC1pRFa62hJYTuInXNjfb+aYMgROtH1fJFoiFK
3S92MI9DN3JhAshDWbsb8IiXasCGDG3EwK1hWiOEU0QxbAG7kGQPAtMwRnAbQOkeocyDoZpKINjO
eNIFOCwJ2IGnqK44DjriqWx9ilTMRr9ZJTFTWgyeMZQBhmIBQZ92YJ4aREzh8OWR3kfFsbAohGMX
/Cy/rOrDL28quUXxrDuYnjWKvgCBrNWolZL9eqpNEgfk92BQ7gfcocJe95W6tUAKeFo3BV6OrNGL
Pi2WjqVAAz/zM7MLXlVYzhF9td1fC8wW9seHjHzTwM3C5rPwfLGJyxUqdzhRPS4fgA9odfJGHNyM
wKTe3bfuNvFf2IWxD5s2XukwwBnXOURw/eo5bDDq18ZB628hJplXGNools+irF/jaZkoHlOLECNg
MqzWA0YC1qGIsR9EV8S8ORprC7QGwg+H7wDU2dpDyVzPL83wWRPrJfGvTzMqdf461LkbOzdIPjXe
Q6d6j+AXRQ8CDadW1LpLAIibkDqAdeeWUG509hg1AVjo3Nz4wR+scrtHVrdbGV9ufYJFbHB5TOzA
IuleJIqwDE7IjM8zlxa8X3iGLB4qBKEkQ8Fsc5Z2oa+eQbZS8yrJImSnVJEyG818onN2KbVYRZP7
xe28LbyLM+0n/2jCl7NRtrod3K2C1MWdh705IE04HS5Nke1TNbPTYAgT77X9ac7gU+Zin87dsZ0E
oxN0VR8hixeHVCbvYHSM3lcBuo1sesl5O6GFuFgYrPqge9DsL2q++HA+PIK8c4iuyFHc5tIoQfQY
KRnDnyB9q8uO62eZ1q8mRg+PnTJ5lt52BraRie8JWhSP3wNTBG4gIi8oaHAwPHPKiP6xuSSgrFfb
9mFqJfHLfDNlCRv6GIHHlNVTBZ8JtYMu/+Zk+fGF5Y9nOAReBon6X28+x1ScuESp4pjetHvVvYQx
bQ6ILGU8xL1g0Dn9uga65C9CrgV6rcVcDCyxH7CKcuvDO1dAuCxIRlj28PBHy3I0qfG6q+uJp6B2
QIR2x37sjnHyO9M8tOm8GhPYWFxGuN3IyI1uCcI9A38DvuJtnz+PLhmGKct85xJFPEU0dmgYeMaR
2BFmmvkdI1d8zaDgHPGUQBrmVc7lbwpoYZInCatZWGpdo6MIaPusydvi/oJ9Nj0HXbBvDS739jmq
E3K27KWdsPIENFwQDG3kxmc5Bru6uFOvn5UGqcOsWkOqiHv2qG95+reOTJT8jiRQOKU4s4O3yQfn
hSRoq11uKmDQSE/1nhXVYY6Gj6EufotWrvFEw5WNzl4IFnN8mRJCzDA9GWjYkJKc5+F/TmIS1kzi
YcIwiowmEGHuL8XIYqx/q8Rc2C1zKHNYTnH8rVp7Y8TZbzRUJ2mDkuYjoQ1aoLc7CxeIO3KXeRxu
Y8r0w2mW6OkZgPz29nBqknfV/hqzPGYoJUZ0u4vIIfBU7EZ0dUUcHSfbX7uKvWPytzHQow34Z+3i
EvlExBCeOAbtt6/j4xCpS88oxu7Sv3M6bSSxyX7xaWoNeyxbuXof5P3OgCHhiIeYGUaUZb4FUP90
/0kJc5zjYGdTYsRpTW5ZuLYwIPNj8a8QD8WmS9ELozYsnmojXVvp8wRczGP6rQbsON1vzWLbKt1N
7fwdiWXj+pecEM58Y9T5DA+5jp7zWGzH6kxFwsXBntp/7RBs5/1HWVwwi402QaOrUm8a5s48/BfL
Prs5egvItb3xZICukXpezNkD5zoeGYpDtqgWs/9vVq+iumb5l4rxO5JTZ8PBHfd2/1SwbyA+SFG2
5rD8XYZSFfPJID75gHMTeIOQOOqXGbqTH7DFRYZsu2usZcusOZuwvYuEGPMaiXFIlq657QTrJz8A
9EUOXYTcGFjE6PSI+PzliJ9jIRUDvrBLIXlDmqSxQvu+a/yc9X3DrsLeOxSfM9X1Ei8CJHrAFzGV
djDAC2T7Q+XtR3990N2dfhI0/zQKC/QrHiW685VGX0XyVeaMdJN64TCnLlMwLdsqOIXgilvnkfkK
32PqqbFGtEKtc23w5KIrqVnsBHzVGbYzwHkROBfSYrX61CHYE5FtZRY8mYp1YZyqn5jMk8nNrg8r
N+9Q40wrzF+44lhIUIZXkCMWtU52qY+SjE26wlc9wwioYNrEc/Bs2xsv/WZPB8ezuNW12ABFWPvM
MWTQHx70aWH+Mcd/MTExNh5spLn+uI+AujT2ASPsCl/oDu8IRxGvfN9fajLSmKFt2gKJcm8uQ9Ft
BjQQEoiCgRugZshnhu9RBPlaBgQ54qaid8OWYrIVpVpN3zuX7UehQKL1akeeJdM1OySCzE3YK9X8
6hq5i3YtFvrFfPeCiQYy/SN70nfRjlgjDablF8uY3FG+rXU8/koR/lVojxo+AUf8kI4IYeqlsF/z
DvU3CAUjvmSuvSjCfj8W17o5zslbwEEWA6gpfdhyGbRUKi8s8G0/LpgTlhNdyUtvkQJjgWzjW6Yr
WY4MkryUER300kC5Z6A8hQZ3Z+4q/KmaVHr1sDWa+rNX8AcCm9AUge+O3NwsPA+6vbbFH4V4Zq7b
k0nO9Bjd6yp9LYxhg0wcAN/W56bDsrtJmwyfEgEO0kAsymwt2WEXYp9rbzIn/mswke8lShARbA2H
LaNfrDlLUhCK1ldtJRV0qz6+txAW7Ki4l25x1jj5PIZfrkjvfndrLRKRS8CU+I/QA55D9D/Yxk61
+Oh8GMqR9VR36pyKl9H+a1OEt827gnk9+rc2/cDIxnh0nddHqZNbR+yxkxpbUzpbR2OKpIVIiCrM
HjlHjnHqI6IC+S4mcoSNVH6YFW9N2v6EbbJhskdKQB68DqiDafC3QE1A71NHRsxKiLqwcWqXl3q+
z4iM+rG6GkSztY25Lvy+XISMyfo+XpnJLerey/AfYjxtHUtB5lpKwCYWs95rN5T9qz7QfMpXW94h
wvDaD/uk0muBSr53jR3Y+o0szK30plXPkgOtQ0VeyUmjUFd++D6lxkbMYu8wxaya36n5QoGzzjCb
tdZ0UJlga/Gho7tXnB7lboSobh4I5yXeEP2mwQsOOVNK9PI6ORYR7ZmC+qp46WYaFRlQ9yH5g1Gy
kJAZ6ugHAfyKzRI+yxQxK5P34XnskYoxhivskyajSjp/p/kHvv5e9mQ+Ie3Q8VtLXkmOeNJjleFi
JEhm9oJtyx0PQKEViv4B/b+n+CeTFtSdPVhE5SNax0+2mddBbocYO+bV3o7uM1w0xXc3NVRw4rUG
VlWIL03cH04X72lmDmgztNzA08im3yIDRKrfhAfCafq0xLUfz1RCh2EoDi73XAlCvX+p0p2JgcIL
/YVZqZU7Mv7jQ8r5Sas53WWIDxLzH8PODaGZnflEskckN6J+I4ErdPhM14b3hn5oW44P3wt54ic/
/dQB7Dk0sDW8Ki6tptt07bdoN2wWIcnEUcztQpkUXrjE6/6dnkQzREDDCBFgQsR7RK0mWFCiXIVy
zX8zbAnYOeDBauDH1/gMBOafOENsO7pbRm7gBMD/opXVLg8+zQ3Tt2UMtdJjeNsbxBMV7q7k92EB
x/1HTxJmNwF8whS3NnqIrGMERPEmc2kSIL077TetpopvTX3D+rhuiOgW4KjEpuItqPmD3fIlcq7o
yADttmChuIOj4fHlHR0fiQFgJH69NE5kQjjWUdYAhie56XnsEMKmvCbpxR6BuljZpjTWM9NyUGBD
iaDzGLZ3nR36ao1lwilPLmJktEUwkZ9pIlZ62o6i2NrtEwN+WXyZfDAxYvSBv1aiy5ImodqITyd2
JqQLL1sqU2N4y6tLpihrdL9C7b5Pi0duK6N/6yuc6RzkzGLzfdTlJmgOM3jgmZlIXBLY52GLGYje
DfgB+fDyEvk3d7OTI8evifc6kuLC5g0GC7vMPOAYq5Yd2tUYAWKmWCn0v3l8FKLa9OyEJ0TxeQYM
ANMAzDXTJ9UjG9nZpzZR3dGpcZ7raq8JzVEJAN5SPumiwAFG/BKVcQ6FPpR7gTBldArARNPNNDps
sRr15niOplX2cAkIrDNfegz2OIc3FvcsMZSJEayckC80jCAGz/CtuheoQGsjQaYsfe5jb7hQBi9s
h3uZICqxayOHLfPL1HwgkGKduGhAnwpnXMU2RmqYBTk8cWHjx8FEJMjnwVfA9aqWwzh/emTRTgXx
SywvwjS4Js45C1//J/hoYOZzQyKxXFv1uz0jI6BkDb1jwUDdivhsx+6S0lqXEojNtayvMFYskmuI
qUQEeHBJEQiwlaaYcdh7blH8rZgV8gieHJj5EAGc3j1zl4O+zc/M5YlMyq6W8ywj6GIztLtRhpBN
g01ZduRZWOiyxo2Kmu9oNviADsgWBDwcNRYkUSHowjkARj0deMOcs+s68QonRMAEPTq5Qc6sPG/a
y1gmj5iTQV1UbhBqleW/gHv+JGHar4tHDnRcIJgzEDEuYQKgZhiYiqE3wQprczrG8sGNFy+6cW7j
AMeoDok4CQD+texjvDZG8ob6Q2NJNbXYom99rOj9oxjDP5ivCYFkEaJze9vZycGR0T5FlBB0hIOC
k4GeGJBfJ+LiitaOFy45dF63lcFAFSgfYNlZX8d54k1SGEYDNYHpd1FN9sl8TJ0cB0bREPNn1eW6
K4xP5jG7ymEwOz02+JNLIFjkUR+SHS5clvVa2DjD6gIvFhQWhmBWuC8eraBhHS3TOcTW9GVMDKw8
UrE7W355WFJRtVEpMfsquGfxcYy4RPIaSqp1sCpOrCJbxfKrB7Fs9uHKRoFc0ZJi5yEttLZv7Bev
VhV8jGPEqgW1TG6LGAV5DB7XQLU7P/bPw/TjM17EX+BMmyEYfpiDvgW+/x3Gk0YOhK7Sf1izZuRv
GYrMZRQwCEYjcMFMcKVDM795GIgvz4n/ilT72XQuUAvcYUFDOOaAPsTvMkLLdPAoZrAIKAQUrH7z
GYR4JtuVkMZbA8ydnUrSeOcqFj9sNbctzaeHcKmUFiSVejMkyUvjGtwQeC/ieCVNhiuYVsbQ2ceI
vW0PqAMi19S/CgMkYem/jqR2ISXHSoFcEG5PLEiPNqiR5ujiFPLY9bcEo4GseWEfrh6zFxx2qN71
2NzHEDE9DieP1YfxNyYY23DzHbPxL60E6E04Ywg8/Wc4dxZTOb31fRvoYLryXJ5MfyDmzdMfYeht
eoBvaJktdoYoaoEoesQ52GmKjnm69Y73bAHKjwvnbOS0s4yp4/wVh8R+yAA8GD0FHkpXe7zQCa0S
1R4t50WAxECcSQQCGQkIVRL6box1FBA2+yP6pOAza6p9LuNtNdVvDo66HPPE+NiFt3IPUweHGbNw
KJYpXVvbeuuhxiCUh4SAxYhYrVXxMLEGI0OZe92BReA2sqJklxHPQkdHoTGcOl7aqmHU4q4Nvg3f
8tZT+9brZx29AgEIMBPTzYXl1RmPU3Kz2rOCBp1DhqoYMJI9NLlg9Nm1shndgFTYNqjDM2Q1JvPB
sRgY0wOSR4acAqd1QUE7zKR6+VUDsWjeTMRsoduuEeismyE/z9R4ufH9ADf6CEPUcEwZXLMXX1gF
HHuEh205bCeSWmjbj7X6Goz/ODqvrsaVNYj+Iq2lHF5xtjEGm/yiBQxI3UqtLPWvP1vn8d6ZA4yR
OnxVtavb+PGX37IskK8FxKYFZzoZQzfeW0xPqH7gDoP5oQell2JCKLz5UzPzdSnF7Jd8BoGpsuJd
bbaiyW4lJGTZLeOexYlPhqrtyP6kXFqYv5bG1oqjK6Qknl2dvuVmdykI+yxvdKmJGS7knrA88CQe
GrN/Lsk6e4i4RTDucZmfwvmfAuI91H+43O98kLNagWep6R9Fwm0JMmc9jcY4VS3FMmROGypfVqLk
pbH3Fib52g6eVLTkTLR6dOvd3H3P4q2mxqjqwgdDkEe8hDxqovVxW7v3U/+ZiUsKwBof5Z302k2U
dHyzaWv5w76QJjTjbu2RynPQLeC/kBPoV70XvSbtUnHnlg6fcgYZPRz/NQ5FzlPVQu1NkpPrUr7T
Ob+jzDE2mvcyEK+toiI0J1WYxaxttd3rdT8Vu8l2GQ3XFngKTo3VzHGJtZTx13iEmHHrlH9WmBJS
ZlESfnrU53t3kn8BcEsW8uCax9NjCCQuiTt7lZJwMHAHYU02z2ltEap0DNYAc2MSBk8Zp5p5hdwz
bLQHFi2dabteYhDOveMp0s3GVwQ4hVEORx8hahNKRX6C98jJSYgdwhAaQVYeMwOd1sbBegcgA1Ry
3p9J1norPzMHMk5ArFxTAf+lbiKa3OOwbK2hjY0+U8a/xBr3btdRXZ9t4BaFGG5RT0SdvpFB/Fax
u1A8Pn17cd/p4C0HqbkarDCm1Qq4h4e4CGMtZv2zSdVS9dXgBe1CZs0z4Ye9VzaftQfy0pn5O3ny
7E/4f4r4TyXjsek9TNOsuSO1PCKZ9y3M9r50Xr0iudQp0cvY/+6cjjBZ9ZJVwxfEu+nQdzG1tWZ9
qdSXwSy28kZ+5XgSiXr6vP3Muypg76N9KTNqyCwIx8n8oOfiVuHP8XIK2ZW9DVS6aqfpmvDLJ3u4
jiWHSDOEsKsWgL2FFc1y5A4BZ5t2aqtc9szcerLDtieBw+A9TzEM5HX5aedAA1r31Ex0AMh0vCrm
SHh3kovnO8/CECcLRJCTlOehVsu0Dm0MhITJNLyKCdlI+7HrfQIbxgat7Wgk1V9HIUIUQpvhRZeY
H5m2M4VLYwRtHmVj1WMaR1mDCBkU9HDX5B/9mrR3WPxqv/9ScDtFNtKpFmsFlR2oco0S1Hfiw3RA
RTes0JEEyxuhReZ62nhWDkzAG5/qAY++2dFAVEinPhh2vy2yGUWxr95Sh91NNtuKIOqqMpfMkwfO
Vi0H+rzrP3CU4dfDd8r1R97XY0TMNfuODZj1KdYsndGs6jQ6OOeCu5er2l1i0DlgxO7jHEO+jZf2
IsoIt3oGxxI49B5W9aUdrIk7mz3zVbFqtikH8dq31uRjiZADTJoNgyugy3CX505292VTfM5ueiDy
jnwyvkdogHHSvuUZtegGXj7iSEevkANj/Yi1ydg1ARWecULAvQ+dP99zLsJpHrESuG98gWuQswaM
hbpaEyyulKQlY1L4wE5h5RQZkE8e6mxT2kO5H6zmm1LHc66Kf3aqTnZinx1rdtd5ZGW7EMOl7Io3
Yi3HLgiWYduy7Q9/uNa2iW9/+JOBY8C/rzoElknFW6L2WxJva41U6ofeaVLWaWoADRvVQ6G9P3MI
ntohPrZ2/RHanH6NtLUhuHPNGkfjjbVjFzYjXKj0GAMWd83itQlbHgCggDoQD6YQX04xM9v01xa9
FYb0D0Pe7nKTAV0Q43b05Ps88AnmpYshPXSgRyb1P6Rlwr6LWGI9NlbfPAS1OEe9vwtM+xMeSEF6
SH5iHTpOiVobrrVQm++GmFwMtXEDHZkR3s66kjvsOut2yPYCMnNU4dWn77Sq5w/MUOsijl9tZ+k7
CI/0ZhKAdqE6yBgVoGCcEjfGOk3texr1bpAf7ZXfROtCUTHTsxJC6H3E7nemOhKZhHPeoOAjyErv
84j7W2WBjeew4Mjs1Eb5CO+9uE5t9zCDMjf8JX9WgtWN2nZbTVjdiDMVLMHmX9AxkVAofEQRyKcZ
Jp0EFvBseIiYYn1WZOXDx0/gK+fzdZ6gvfTipJS8iUqe57Q9BkOwDGNBpfiIMsEcPaSp+wL5gELz
3roV6fDQm+DQXXdTuem+D3xOH2plReLcmDQNjQlddAKUFUdS8ekFDY4gtj4hmRg6yr9a9WxhMchI
qGjroRvVOY9FviYFCCEpcjjy26FY4+ikwYNKu6MOjH9GHzYQFbrHMQr4MWywaWSe5CD4HKr63hXc
dW1NlcdAth7T8K3xxldnpECiAk+8wr33RdztDO7v7Mtuqf3sv10LhTRv9Wvm1+8lqnOVUmQBF+RJ
uAJni7XuFEJ7bvunPqqsjcWqCqgNP/sUSpyNMvsxPco9PGfcJIp4VWYWZ6PrsTUiRmEGIOPglp69
genGdaB+H7F+MYhGXzPmn0QFR0GBwl74c4Ms62TbMV+KTrlNyNJ/wWxabxrmARhvMmbU5he0WHoI
vKR7wZQ/rLB68+8gbIPNBXlp7qmyqhrCYIbxnhYNK9Cs71WLR5RX7K4EIbciNseq4qTNjnfhRSjO
TRYjB9SI7DK502M9cfaqPCzivjMczCYl7GXsWfgOYdg86ZjOuBA1Fh7T0nzDx3XwM5I9Gd7EjZeT
sm7IDm57QB7sAN2pman6dqa1hf175c/esTGyZNNqaa7JKi2NMcl1iim+74ye0SWKkYObYoNBEvAO
75rnN7hwI3pXuu45FQFn8gCcAJczmYzwCTzvalN67Blcx1pU47uuSHbdiIpNGIWDpM/xK+F7pAkj
TCtmiEv9rXNnjmjaohpfvBHrMt/x3WsQ2PA47GKTSqq0n2dUn9Y8y6Sgkkqa7k07Ke1Ey9yKgVH8
iJWaE4z4bbgjZqED01id2QeoIxeQBB3dghKA8Vfy3WxZ5tsqMsqFJvguddvxDyzfwhQlS7g0PUe2
LnZ+PDFPTCJwVqNv3w3m8OpWmp1/oE8hGZBVOduPOTQ58z7ui31o9QFyOFfY2AO1iN4mSQ1X4UVM
5RJ/H9U1GYydK0ZYTXr8Zwn7S6eQRgotWU/4YKxxuk0sXG0dJCA02FZtJc8KJ8crhByW8zHgQXQ1
f0abQYJbHbe2fPFM52UCaIGyht3Ps4q/ScJYsQC58VIhsSUGU/1orPsVOwUX8JpjQjNQLV2hWJhs
R3feUNCDbn00EY00QQHGcWrCtyjsXsoqkFsiJPddVcAimIs3wgMn7Y47yyufA6vZ5Xn8nPnzs1vq
h2SorgMxIxdkLFDaD+hwl9rztkZCgbU1oosHRripfSijcU3EMgifkjbed2W1Lc30NrsL3iTD0ijD
h4ZwchFxpgIQvh2nhuWIPa/mnkdC4A/wqbHCi39R1HXHA1vzqLN971sYZEbG8Vl4AEp7Ki34FmjG
bC653Kb1Im8sieMpMQLi+RGjPlpqZz78KKNabFiCIb3zgPPzMTLGnyYtSiYO3sWsAnyg3B6Bd2Q/
1INyWWXsUPfWKYDTFRKogD2sGZrF26kHPexyOXFYdwig/wl2GqIgxTdxpEcZxx/OSPNg2EoW4eC3
DZsLVNAX+OUcy9z7pbR0FiWjzURdsgxEyBA+TjNVWzDnqRK0scrz7BFwwTVgwY+cRMP83HZZ/woH
94AaySskiI2xiW00NHjl21Yxocx2xPI5v8gBW1ORIlLk3ACdOdojyB68OT03+XC1Qo9gFidz1AMq
VynkwUj3VLvZya3yYu/mdHf6w3zGYltSSWreQBjsfHs4QON/LPX8U5fzO0dmPhmcP4jnY0wNRQFj
s5xXjpUaJ8Vyw/nUM8ZHk6jvO6jd5NbD9d03C94/qhnmC6ErjtO0JW8nC1w1wOXi3rGy21w48qEU
WbOqevSdLgRilUJThu54mfve3fiMUVh2uPNNJpMdI2LH0QZ5SJq4d3Frvgiz+PIIUBEBbrnuK/MX
d/puar3uULUjY7up2XueV90GepaJ6hFgVpISxX7IO2Z/JnWdrWoOkQrfx9SELJZjmQWhuvdrrkJM
MldtjSTZW9FNtgSJBP6Quyyf7ms9LgH9HKto9BGlAfuMj0SB7SVvYfroZW2mSBw1J3yzneBRL4uW
Yf1jDvWowhmQSRpR896MfAcxXAm7n6QxXuPSPMWu98CY/jOZzBcOdaxs5LV6GyFOg32LiX/fqZlJ
5Ky9b93RoAE89Qy64x8B29em5AhS0AQ1NtYbzBEKqRNaO8K4/StzJmN3UBxTYEuZe5yH4TsNQm/D
JtXv8SavR1oleUsnaqv6eWMA0hqSPmCxRc1iX2jvEguPf2t3zNBHB4MHnQ1ybXQK6cWtacQtTyKC
3eAxLeV0Cx6jnN3PgtvZpgUuw4xfcoHhWlXXmgCFjwF2COfPuKC3kz8nYkf1TOjtmghTGuDED3ab
d8m/HHLLC2CDBxf4nWHb434q2Woh229HyTgy5RXqZ3b3KYQWUL5YOqNjDRxeoYIH3+NyjIOXC+Rz
HPcssVSpiOYZegV5MpupT2I89tzzpN2fzTz8tIj2owdB2QeKtHZj6+qU5pNyXOolZrWJOXmjMzaP
fkahzGj+6jlhymBirAVWY6HW6YT+vMw/BK2LSjK/5IzfOfkyfJF6vgSBexv7pXXAiH+ZjDH7J5bo
d/5n2I0bPoNdFsLGccNHloA7Udqk/Wor2YJK6e4xQD9NNRrchMVhw0ya1qpGGKe+Y7QRhSROawZI
287GUYW6p3aF1s8Zb18eYVfoJfm+xJ8vzK882GQArbIG75BT4E7yHbO7Mw0174BqExuI4jdpgDop
I+wXHc9D7PuENex851Myu+Bh2MIOTdbsBgPUu7b0VzgGJze8eilH51L4nwNk7nXI67J3gRRykFoW
PgVN0KzoyPUFNVswERJ5jMkTcsRi5EYuGdHNZGdJc20cIfTBOgG5nJNhmwIYYWlKOJhwvHnq3Dp4
7tJmwrDFcjtgf+EMqkwmmQWeetuJVpOJs8QYl+avBmGF1DZP1iJgRj+l58QrA8ugrdx7EoDvjWUW
+KebX2RpcmhE8asMD5pITgUPwyp1mOi2PYl7GwKJw/tN3lOujIQLaZz7HxnF0itoo4cUzCcdZXxo
Hj4mXnO6D0TibW1cSHyMasUhBmcApo41Tl5v0zWZc+ww5+Zm+8+X6T/TzRe0/K1JinnN3926Tb+V
zFcaQSNau3QuDONmtlh8M+dmaVywo4r/2TkHWSNf4GZhvAsnhHxosQThDIwCoVh0XZeQRzouhUCt
iw0YI5jLftz5Gm+aAStpomQQ2XlhIC3YGbWlkBmrX7nApezpqiM6jSbvWc6wSOyYt1ACnwMrBuq0
3AvXeUwbsVGjfS179YPF+AjYFYuXKj/b1pyXx+9PNigmKdUtdOrpLNqXA82gaWiVe9Vmr1Olj1Hd
vSXO9Nv3vNmZF91g8F+KsaWnSKQ4UBq98ob/mYYc8dq6eqbUgftjt/VQWCeB2kqwAIBLWG1RK/9a
SpX5Gbkn0ywkOMqa1OYBnN+TDKZRgH14E4/qp2S3XwkE+GtRTPcC/Rn8FtU6UBB+IGg/E0v8g1rz
3Y9tTEWdc6hNHwR0RNWKVOdorPapLLdcxrmGdt5DaQbAIaJOnWsvbp7S1DxDr7oUaQOEM2kO7FJr
RzQMz/japH5uXYfpdhZiYdv/CNuIN1XoHAJcy+gZJk982P6LuHbOEz5Dv0ecLycu7NR6NR11mNjb
ljjRW5Cc+9E+McbhgG7yb4ip/wbHr/b56C+UkOjEqNM+hDFF03PfAIPPCu8+cydW/yC6SsgFBJZZ
gyZCRS08pAfDL+ud4+HCdCzrNQzqpzmbGYPT9A1ajkdDo8fRluT+GG50hXK+7Qb3CHGDuThmsP0S
OdKMtrdFjDwY4UB0K8CAImMiYoM1g2tlF/Tca+ttbpzPcMDJlNfeJTSMD2XQpTEBQdpmiBh3QlZf
oN8FakaGB5MMaTJejSl7DdL5rlbhweFQrQnhEs6LbzKpn4Wnd57ZfwnX/prpcUA99pjnuz9ySq94
dq5UTbypcjhBp6DKOTVXYQbzUVKWO+tNRyYs48umJoYc7e2iQqxrxTE/H0jyNIO49p5NurCE+eFt
WrM+ldOMlwHVwR5mpuSkCqPAuzRj9dUNKYS0hLuRHtHwIEr1Ur+Gk32MrQnfibDfNVC1wok3aRHt
MqFfZZxdg5RyqvI7NPAJe8FJZ/IyM8YcA0p0ejCrk39LoDQCsKI+L2BzpEAx17h2o13LGxqr7tPs
eRFteuQMDpOIg/hbKINSbJEIzXIOkBZxEiUdgv2POX6RquLI2R2MlqgnlFtyI0c2D0osK4rp+3NV
zBc520xR1ZsWjMULth8E9roq9sppaRfvP8NQ3kc6uyp6puLAO3rC3HQUn+dZeeppD+Cgccjp12hq
+y1DhW1pFjKZBtMl2/4K/ZuBvkZJe4oY6ypJ+RhdvfMiSGc5BWdoZzsVWtuq5Npmh/61t/AI2PRX
zkZ6iXXyllb9vmCJrgsKflsyqco5yoFDvkmsP3RMvIx/VvVVQRqtkuw8Zti22lryBvKkbqoqOEeB
vZW99TPP0zbg7BYG3G9rq6G8M6a0hhtsm//1obuv0oxx1jLif+Wmcdcp95rjparQJ4R+ihicxDVF
vDygpBEe67bf+uGwr7pp01Y+MdsZD6i7qkf7Za6mtSqGfG30xC2WvnCne6FN7U2I+WKJ6KVKxDnG
mc3y+xDRpY3kC2DGAPshj6FQm7qab3EawSpYgBmsyfSe5VQPqI7WUK+3Ln0zT3tZ0BXoTLuhScHL
2t7WGpC/rFY/GDZqjUkv9pTq74ImOBsjCvQkPJVN2qxiUX+zxj7oiPFEO/E5BMH8J/Pp10uDHCqX
Ab1IUmFdC/zxBfiiBEz1uUNDODjkB4k45NEpiEj211P1xBg52mbDcDa88FOrolkR2bmGBaFhG7tg
nFdPc4VNPqEDlMOky76JpGI4Ed5WwN5BAvFSt/qdx+GrBxJAycKWmxW27pmsIrxHqnOkC87VlFtE
h+1UyI0vsXoBJT/ToSXWRgMVQTFIC9L+wpXhrjfVMcKL5yEe9X5xkmTJw7g4gD0+ORWlbRCi7B5i
hQN8ljYLcjQl5SjSU2sA8rh5yWQIkOJ3dZq8w0RmWzV9m2G5wd90UeTdDMQQdmqm1CZwCIYNMXUR
M7D1iG6MzqoJo0DKy8hRPy+rsGZ6eWf7YCPdmcPL7IREK6cXm7NOY+GA1MWRC8BlmZfJgHTYRJmH
6NotZ4pjawASQvzqHGxbsoZ6TR+UuZYTY7ys5b/gINat3VxBuASdj3spNmkNthr7nE1cnxrmLbVD
91OOl9JgJyd74Z2aJWFcmjHuK+6eWPgGca9s65TokU+YvuWpPPjcOiZD39vNUnHuvliz/xL79ilv
sQvoCB1VY/XCNoCO5Qy7IaMNFkcBQqZXU+fmV8Pe6Zo/0rRQB0s8CbXJbmhvwbDdD/XwUHiAG3ra
HHSzpCDQt4RvX5ouuKUaMSiu9QEhYz9B62ZeuGVkQguEcxqkLjehH6Ex2cUvmIpV7yMuyvnVxM/R
GWmydnHIiAZmPX4jlNVVEEPbF3oLle+s4/YxoKo3cPUXotTeCqtX8Nw9YeDmYI/yuQu7XyhUWLXN
mJZxDKg8TuzguA39E4VQm87sv/OJI7jqnVum4QJPzt+Yph8RBnG/8Hac7+iOz5pibc4ROwdl5vFw
bB2YkJX/3JgoQv3wbvlAKtzWfkn0dO84AqBRcFiqwLqgb+5aiiMw+FnntmxCfozFT+ZQ5Sdq42KG
PQ75pPqIM+cnadNFs12KCFVwZeITr1qr3ZGd48KRgV919KNjlleIa99VxT+rZqSy8QfsM1whblFQ
PXVtVmzH0r8OMAzQCMrkklDP4zgsx4EAnEbwwXUFkTg6m9BLy++5yX+NiJ9fRqTXoeuS9FtkxEq2
69JPd1k7b1BgIGBlN4/hiZHjWJ0SukkLsgN/7XIbcqPm3UNu9dP5ZBb1rWs5DXIHfnIBh3UQn23b
APKdEb3K5n0thy0xhGPr1w/Yk2+lix0l5WqKjwWpQG/ovGJuonYK9ANnY9yRRVEi+OTrDH7fxCl8
1TegbFNnFSBDyaE+timrHKGy/ZRWx6DSV+Va79Iazi5/aYqQcWv3o+Z3WfkRwmr8JLPikpKE0eP4
qSeak3qv5OLpzi4mgeiJu+rHmGNr7DAXzg2mgx51XtruzVySfF771jf+Jm+Je9N1iPOCnJaTcfC1
T8J28DQyDU4T9wFh99VOqkcn9N7pdgNkRjn6xBQQp3MWTzvgzj/5GB1J9D9aSUpOrr437PxFS455
sXGtMLsGM8LCVBwZOu99b3wcyuEae80eKOjRoSxGJawceG6mjoYLIykO8zgeJAOrqLfZJygQHO2b
55aYPXqGCd2xVy6NJunRSPFNmM21BbpRFsYXpU4fiqGDSQWAD+MR2Tpe9n/URi/74NByU0P+aI3J
LRvBhPRu8diV5TrNqlWN61BW5m8XAY31WgdgVkC3l2WCWWRrsJiaYTD2qbCb6fplpoWHpANgG2Qf
5HHIVQ4dbxNGAtBmlRx3DQ9Oof37hCbqNJ4fHZ9IlBf8JXn00yN1ILd7T/6AXkSjgovxJHM5bRHl
i8xzXcFNrAA9Qyx6MMfkHhFwqa7+Z6jpycK2TkfISff8BHpM1hVOuTqZlu7FTZqRJ6D/EON1CspV
xfc539NNYrS96QkS9a4m0V6GDEaGeKez6ebGCAhDqw5jF5z70j1DXPyS6G8R9+zKESfDae8zFRlL
Nw2WkvHeT9J9MEAuDdUuzoxnx+SRSSiwFYS24Izcjcwa7zI2qYRrDF57KoGkpPO82nidAb9MzwNo
9/gZu7K3sxIARtlC8rJq7VO3mB4mbAMxJfYNwWUSbW14JD0omFgUrzpAUY8iqk9w4BssQVgONkGc
MbwBIlW7vYWgQTPBYOg35NPTXDGKkiMq2HSvRmc75/PbZLpv4SQfmeqsUzHez824MUvoWlQhUrXW
bTmKnYNZcHPnwoexFtxqSKEeRLOMCgD0G/fV65a5gsBfFMHf3FS5BxlzYBS0rgpXXAB5qYW2CPxd
euID4kC1nsO5ueCxSChowrjg2PghfSzrpwDcwMrEbf2oQXTcM6JYMlqT/MBbG/7YFf5vzbr9S7Gd
jZRsE0/J/SFcJ6OcP0Kf2JbdhyweKlgStIXTAsXQnbPRLgu8p0jeBxBT7sss9I4ww/zLaAbmW+Km
MU3wjR2SW5uhAiQYqBScENxUvAWJZ5EoGOabX6Le0zHue4y1ScBg753B/HGy19yeIqJn3M9bh9FP
Y6yA5K3qbHolLrGt8Y2mZOLNrruE4smicLv3zYuJfVQ76mBGpBXH97xCeugXVi+GH3cpNgLozf83
xeB5xvouEugxAKOhR7ADxXcj7MmWiCpXNyxjUfvBhQY/trsnDYzeb291zQvbMYHAgFEUPhTh4i4a
zLu+YMwXOWtKCC8lheC+ST+gKl6NRJ5Iwh3dvDgMMeRj3uHeGDl3eSfpT5/FCPOpdR8H3rAkeFFh
chQ1st3IegkYloa/7dz9tZnelBAd0M/QIigyZCrVxXRPD9+s4XuPY2zLPpm3nx6+hTx6BTu5NYGz
BJ7zgiVr3Ubdr7bme+UWT4kiRqfFhhqsGwVy62VYRlB/7/U9k//kXI9/yhT71urgf0wrqzljX1l5
mh6Iim7zKuI0iVB+hznsNNOIjEnzLoxHangAQCt/Fcob0BEmfVSEqmrjCPJwXnSPF3OF4ITVbMrO
tlG8eHXrHeOBDcUwA3kifb2Vcn7P4NC+DDntqkqZi8GFxB9pAybI5Hy7eT7blT67Tn2SAhrAiKmV
59GRN+VjD3byNxc7wEm2maQCNC3O+KL6XZyaJk9PwlUPuQIz2dQ+hTjtGLTn36PIfyP4QZBzJgRo
mwM/uem7caIcDfSEcZN1P3zroUiR54fTWIqD9t351GR2v8GzeeEaz9u6fCR+6kh4uM1zk9bjV1i1
X3Y7/NhTcGsaiLFpj9YxJyTPsMj6o/vLmJMc1gDpwDIpgvO55VoVGeUg6PLnOsnrnT0AkUrpjVii
bGE83JBQDoEHwLsJO5yXYegPD5ERpc+4QYzPcBz9o9kXr7XjZe+hgaOErbc6pTlNSLq04Z/aPtxC
Fn3HlPW6SJV/7Lrqhxaqq20ovCahlx+kmPwXNO1fUNr/cjOP4G5K4JRRTJUx5WRtRWafgFN5ZBI8
nhqO4QdVlCXAc2I9iD/+pzEOGSPVBHy3XqDAbJMSMzwxfTVPEKOVNzHWjGHP42P4rgTV7eAATuyb
agX47g8QuP/GPYKvnlfhfR/qn1xMf6IiZhyql9KhT4rlAXvaxHmWV3FnYN3bF1NvfOg69fa+qFsa
sLLuHNbt+NSkEa3GvS1WVcPMXtpsjVU14y1Loh+gd2S7RMBdhEPFzDibZoDchx5YuQR6fNNrHsuw
7S4OLOVVUXG9SytoPWqYxJk6FrFLfJA/bnasK83MoV64YH5pzV9FWP6ayvIuWd809zIan0bHdbAf
ZMVf6IysVpPVIBg6OPfrAU3OSQhL+BZ2Ti158j0PC4qukyVmgQ+nqi3cGSNVkICJGU9V1cnn18Z2
iFpWaVaMoIJEAz+p3VLb1SOVRWillqy32LltwtxW+4LO4m/6VMPrrxuGxVFUpKQtE/eia5diWSc6
WLGlNiXgy6vs7P4QRHSuMeS9CelSEZFAQODPeCPr9KXV40cfkaHpYtt69EySfS4ED46jQ7+RUdsT
G3P7UyMLeBxWW8znBJbwNp3TExloHCkgIaCx9/ocKrdbY5P9Cgwvf5gDE5ZtSq1jGHmCx6uTtMfZ
b/WC/e51M783Om/A4rFcQhfAmxRrWhxJD3GAjPXZanGR5SZX99nBoDpFPEAqhbXtxSenLWyA9zkx
3N55Br2LzFm7wNgKWrL9RLdfXSk5csxMFuYgdp5DTYgLUKZmwBhd024ReyKwmibVTgdLo+y4E5c6
y5iDFb6jZckkLlEz/mlsrCk00cMNgG66S8lZrZuSdll/bC0CGzDvG2u8mfhJqKgM++5fHOCGAfhT
Lsnlhiy+XT8nHA33pZGqDW2M3/DQIzpKaiA9GeffPqiDTWoX4o6I8sywjkujl4RcjETq7DrlFGc1
h+k2tFoPP1z1mYCLBTkf0oykB5bktOCIHjXDxa8ZEmqvJQuU5cktApC4sSaKLIWBWzakZOCOX+06
873orjG7D78rL1HJAK+0ibPDFun3gT06wCxd/2TlVrHLLFxxcWATna9DrDlCgiGvUSHEBAd1yLzP
jvrOvWx1/V7osser3HwEvrsFqXEaihz9K+PNtKL7Yaw/DIdxf56gCVYGoeEMhNMhtKhvbE2cKAOQ
wDuGaxejlEhaUfUXaGDfI6yxO+Rn68FX/XOHvWifK3nAv8X1iAw5LDCwIGHSX0eNo5hB1C+ew3dV
N++OET5zVb0hGNh3FbMdzPFQnIaZAnAz8+FsknganYXf2yfND6DMgjGfAJzXLyiCZtbr3OZM2pYT
ZZ8DxEBgfPXWhT/CaMJwti5fD9oQN96eOkUzJGrbpIRPhjw8Dm5Oz+FyfMZRflcVjbh3cWLfcRX0
vu3YAYAzt0T9NdU8wK3sDTYqhFSrQ36Y3viUzsrBSjrY+OyjwiU0VBU4Qd02+ucbtObG1rIphszk
9ezVx6jTuFUyKY6+NX+ybMR3Zs1PB2zOeG/Zk8mhlytnSgl3qWpFZ9ENJeS1htyxCnm2YQbMH1wA
EX/L+aMzKn+TzIxVBGOoY5Jy/7Adbr3FUjCYM6WOmLes3AlIxiwomzWBz250GT4x0zS3Ce0YPJEu
2mXjHKrAKTbGxMbDlMrHDWZxyq6oH0qxEtA7RBYlDF8HMeq947oHzmA8Jd38gNVCETEGMqlajYJX
QR9v+0fcT/eC4/kOx3u/7yT+z9BPGp4K19jGBac5Cis4i8qxgH3NSSkyhbVlzfDuaUoft10bhbAB
dOIeyiqu7rNksHfV1Ae0V+RYC5SaIXJjyjnkgsytNG2cfgZ/EEwBEtuY+q89eXyinV60Z9I2UTXm
I49FoJuwXwXVNvAIoTVVQagEZ8V2iLz4GOhKbxJTIhFb5ikII5o3oykhq5NiHcDNbi1z429vXPzk
SfZj5ShmrFHDxmoKZ+uF7bwDv8yv3I0ZNGYONlfSGTwbom+vhkfq0GawkwfTo09eBfBOiQDXF9C9
MtN1H/LQ8X6VV9QHvK/disQKQa1MF2uureQhptHFsxTlB61mcbVi/U/1EqgAbtHncdDpk2/WbEzN
ctVK+9hktcAlDLhR7GpuWpz6SVXUhsk5PaIaKxA+xppgHN7diTLeqi6p1kh6789xux/LlulOtjGY
GTpY7ihBBscJMo3LjRUivsr85ERAUvKS/ykFTiZKqprNHGZM7OxsTI9ZS6mqXxfuVgHpupOUs2yI
VIgXX7UQFaVHqM6KXtPUoXMKVoPNNW4xBs15vDMyyPZgwmmzYCWhkGxrFiBsBbsFl0f51vb/cXRe
y5EiURD9IiKgKKB4bW8ktVotOy+ELN4Vnq/fw77uRuzsdDdF3byZJ0sQ5GVPpK/A2xkZ9kdfm9R3
G57z0gvFFto3UYQZ+lbKq2JuaNCpOlh/c1B/0s7GZFi3RB7cEN8/YPGtW9vlBo4mrWh92Z2swf9w
q6D/tCto60q4Pw6rZDo7nJsZqvcJ6tKKG9wL9mQH9higTHtMeaVgIL+nuxUJjQqg1dgRiWarbR9I
txmXNqx/rQXWnDsqOfJnXbswvlLmyOZGsvUTpN9vjKHNzs2iA0VyX0ohp/U9TIvEtuAHZhEPCiHY
sLeyvzgPx6MsgpuDZAtjiKWBhBdPldU03CjnhFkLc+mYByMxbAX/oAL7jcNXPPRN+16YFvCvHg5P
AXGCH8mXGw9smRhgcfJJ0PBUX2ywcb+qeQSGGtcD3gobc+rIJp+GNg3sQSznWRK+TL46IakNWMKS
6qBzitJKn4PBK92HkRd8XpBRmUZiDKWuI05jLBTYbFh1Z91uSsNr6nvfAX2i+BBmoMNpwElaW+Sz
XLUrZVEfUNLLLYM6xFFJG1rbB0+OsgKEEAoMR+0VvNEGGnLENLy3VvNIG6qDoifVcZwpHkpzElk1
qcCN9gjiZXaF3XjkLliqwNgWzgij0W6096HiGak2T8M7yL48s/DiXktHt1QWqZd5qOVqGjU02KLg
0QwL/Z4OAMdZe4+nim/uQ+BQmlmy8uILQjb0bckN0+zK8lY6IEroj8TRNIZneHqSM6lgMa8DbJV2
cAaOenLYur/NWLNhLzSMP84PcTfaxVvzgQODTg5JVi3DEtnwXuU2hdJJ9e/kP5sBI2MGp/4IFhYg
QUSBJWzY4hTJ+MucsvQ6zmSOhe5uGLaBFHUmapidP6d9xd1DDCB4hsBkyRHF/2x7CHYIEiyclphu
WmU+eUw4KKkbZa8eQhytWsNmsoZ7BsAvK2CBHvPWg4WzaAT9SAqnGoNTXmQl6Sj3kmTpt7S52nhj
jaiXRCyOmlALXN0RqkBZVUzXJq8uA7jYWiSO9w3a459WFo7K6QnZTx+knY0buhbAwXLMPdRD81Vn
0UfeTeE1KlrKaqzuPk/a78QRz0Uc/Zm6oK0HSFtAfGfttx1Jn/jHat1bm5lXMy/pHerzBy7ei+Oc
L4zF1CXH3HJE6+UnZro7FuUshPLap6+4ck5u6H7z4gn3ZMWxyHEZ2wQ+uIcmG187lHQ/mh+FZ93D
yyc4PYCxKJ3XqvfeCw9azZTBPx68e9cbcFNje161E+5s7XkUARgBCLYgKz7TiABvxKIi1rX7K3o5
0L4+SAqlRrqseZFAIFgamJxEXI0w6/fFVGjQYSbsCien/8eMl+mWrQuKi64OgdVC7M7GsjgBUHCP
BrD8wzRXdOQac0pyNcDOTVQy3U/4zBNkqnVrFBA2hCDkbI1oMxbhBln548kqx4+ydP+hWfzFgtbF
haoiRGRcem62TrswWBPMDrzWBIF9xhdKRPeGg7PDydiwhIlbkEwmf2T23XuaE90k4jVM/lVN6qF2
ieRqiZENf8ePXzan/zm2sVU+ubSr4dbxoJrEzSdGlGg96pbaRN1fy9T78QpaO4QdkhCb6vrRMDX7
UIGyklXOzVgaOWPtYBGnT+6IQ9t64ltmkBFOdKBs6BCB2F/3lGVgvE/whQuzW0+lmHfFOI63EFcO
a3YZrzGbo2wo4yqVb+66sSnpdOI5KLP6ExtS+RLPBV5u/C4oNhR8irAHH6r8+hhj461XAInjVzPt
FFhiQ54IKluffgruxlElr3blTS/9gKlpZVFvuAndZnwKyIWsjJzNBLMq+00TCpaULsfTuOBvhQvP
1HWN7jBmtIch19o3DBxi65DB2izovo0BR5lMBtYS0GxsAwMOl9jIsRhGU+08om5fSW+NOM7JbvsR
7uyC/dhKl6b4nfF7PSRDQ/IHvC1budoG4id7mfI5VIEBC5zKIN82DLAhCHvfU9jsnc5xPg2rGnma
m0fdkoNBzWzY+bhLBRqnXKPwhvhJGXOqdMXMe8ppEI75ofHvoQIV3nRLGUaJZOKQjbDw0zxX9Lda
z2QE6wKDpg75PmQq+mtIMRAbx+w+0jTtmVNo3vCG0m8RGiBnppIw6ZgYT25HA3Ni5RWdS2wsszkC
NkFIZ8f+mH1G5xFgowVgzar/uaE2YWsLF7CQzbwjW1D9RgyhDxSw3qNhGNuy7zlYauwsPvuIBusZ
9kH/MvnpobCbszS917ZoYfw1+HGFnNU+MSEQgFrkk4vBJjQOGBvmb6ZlXaabYcGn58vcnbvYI7Qz
Aulx6mND2wCPKU2oibzr7C7Yo7Rbe+xuD4z4+VPM9L4ZctiReTC9jJ6qMQFSrcLTu7GD1D0MrshP
Qi3HDRFsokolUq4DuXWlfPfHc+lm6ctFJLcw+9Q+FvtUDWePNAStAJjIai8JWV9D23SE/KXL070D
aU2RCT1CIJWte6cxg31VS/mMPsrzKeVutnEOlmRUT2ST5mscdx+GiN8Kg6yFIl2CTs+hgPpjPNKD
O+5yiayQIX2tclj4LF0FCGbRUfAaEg4RDm+7oY7mTdjUgpIjUkOEYxKo6+Gf4VJEYXuGd8fjT81A
BI7RS/x3hcTMkoXaFOQRdd8A9yWWyJ9Q2vNbErA/4lvExTaF3V3GDgRRpPgZK/UUSPvWVYmJzJRn
JNcT4+yEITKHaA2c236M58erzpNoPwfLcfERwTTng+0AAUdfWU3wXoftd1Sn1aYJRupL2ak9dm5d
3tnKXwgTsjhHttsczNSEPupgSEkNq2UhYsO8Mlh/93Pa7bu6lg5qp2Oeh9bMd0rk9Pw6xbSrjKl+
bshjbhtUinVRMEZWHdTcBEtfbE9wjPyWLH2FRcPoctqUxiE/y6w90huiE/xHsX0nhAe6IZJSXKu+
syDAlEiFbsoFmIRm9xFYur06hVsuzRn+trahYRRh2bM3D7ODWbreuzQc0jRCm5cyM5oTvtviMKZN
eywgChHvG9Q650qLmwHfWhc7/kVHuQLOWHq3JDG6Z8+U+TGgwHTPdiTc2rWrqP7MohcukN2etzFX
FVzzJk6FtmvfJxukXIprEpZIQCfv2OBRkE25D0qLrS6RnUNXx8uLp8YIgZS9bWkdC9yMtt9Z/xZN
ZOy0C7xkCpEoDcHHPS43VXLd6jHR4yJl8UtjCM7vpkqO2G9IZgqKijeFDt/bGpJQ6pD44n9BHlFH
wEYUBKOyfCaeGJfPhR+qbTzNr71bPiaZUQHMcQJABA11gezHSHoIpIC+mLbsEZ1NMdBMVbVIgTkB
1snDUzpl9UYZbYC7Exg8PMunSTmf/YCZa1riHT4hQ0A//bUf1XHyu28zVs26tdVFVwwig6o2wH7T
V90a/jXwiACF7YABVDUNBxrU1BbRem+Y1oIHxUDCL59dqdnUX1mPrQf6OlKSlaS7kHcH8CSCeASd
ul02xMa2VU20y5mbF0xQDIIlqO+aWZQ3t3emh5bSAAdfDQM/MVUDVstoS5uWSVE9pCr0bxmNFtwO
Q2X/o8qEO4VLXQshCLzafyRr9TfvSJiCCo/PLuypnCGDbTnPaojxewXkxoxtD/SmhYk7zYg7hp89
YweN2JQ25IWokiXECT606l5m6sD2NlGkQxCMzzKcbXjPc3EToklhxdDtsy+18X+ixD7wJhm2blWF
Z8Y1B2SJEdybAktZ7KfOJu36S03ib12xGjjhRUkPwdjPvEB6egtjcrIBcvPKas3ytZGa1JzhdXz7
uAVcg2+Mwhd0HQydl8wNgm1uQv/1CqjxRoIM67TcEMLSIAPj8PT6wmVPZ7DejwXsVCvQ1raypHk1
BrbYVEDEB5UMcN94W9i/NMN0r21r/xVK8Wvt4u48GsmidyBSK7/pN03qiXXNJ7qzjYBm3zynXQ4y
BIJQ1OZ7EXrVhSgSmeAWIyyX64TAVB0RdbWjY0UNwcYseAHyX32Loyhjl+F2Zwl1lYBWdY99I1gZ
KjJPwk1BbTmWtwss3rqN2VJrm6BH+b73PMr+Tiq7+80NL7rkk6temiYHcmk0FlyVjFpZnIERti2Y
OWSs6Q6OxzDahkh48J847/dVz1lIyMrdI9VGICHdBxrr3F2mqcAwmHDvo6qxoLi09llqAmBx6gPt
CLJrL23S6bTs4IAL130VP2PRvZGiY+sJmoCmjCzmqzJMCgi1mu/CSjQr6ejfeKz+hF+Fd1TJ309Q
/2+4Jqc1F91s60ECB8jRHcK0eQhCgseS3ezWbCRWpymNWWDNaiukP1EJahL0tTBSZehzG9b/9SEb
Qddb7AE3M/zkKwV9xiJaWzmMJ7M9RU7CaNCJ09gGL6wlIIykiYfZh6JCPpcrfvYvIVEbktZMj3GY
PlWpcN8YJnD3L/QaLcPq2Oa9tWpYwHJd9HdGA4s6oFWK88ALtrNWX6D0adO25XZklfKGIhTtpdc0
eyJXpOg8pHZFqLf0lkSbLpoPX9oGneSGfU4j76+w6mTHyXxHt/B3mnvWwZ87+JDge/4qJ/jlZ8pM
Ku8pJoj21kCtu6uzzzpAPGe4MYlvzd0+i5LhwOdS7W3kR/rhnOLAj3VA/2GHC85KrT3fZ0facJTi
Cpo2Nv0Jm9yFMdFMMLMlcG3Hrnfwi6q9MQTtZqQt+9WOOxqvepzgg6kMct2N+ZRoSYaB9xgG5CYv
Hmu/f8yKgIeA45mARXGoHRAshpV9tm3yD3BlRgqPw4XlTLMpC4c2Jqp1XvrKwS3Q1+UpnrQ816F2
KHuDh5W5UO/Bf/x6kePsqxgVlToefRqnutvkCOTLbNRu6gZ3TE9r8J1DPnBfhjyWycKX7cZI3RJ7
Lrmd258VjoCjSIkD6Axw7WDm3AdNubfcPDsbKjYBbEF2DyfiYIV6o56VtM2YkdiZCuvsUKu1mQLl
ncshYosX1tR7+9hnk2roIbvkW7flYTNd1GqupUC1K/fORY4n9O0dirB9st2gx6mZfbgTCYehr6oN
ga2n0A/kRhWMrVOWvWaqgdvsVV+jLD+1b8O9gbDiOBrQQobC6iw0m+Qb4kS3VhFk2n6kFstJ5e/g
x3/CAOrHZu8S1wF8LvjrT0aNHjpronEgu8J9CgsaijtQvX7WFNpQWkLPwfjOPfAZwNWHHDq1j/G7
suyDSpKguLARYE0RI9ShNUi9kwARjza+5hXNuuj8PmJ/5/nn1F188GyvD2WArc+cKwyAWRs8lDoh
kxXBfDHrOtw1TQwFGkqDUTDG5PZVRALJVcRYZhv7LcXzLyTOXoBD2Cpy0vEj9W1kez9R/XFDoocM
uYLVrT0Iio3eg6J4qMbhixwVgBHI0PQusqUqyva77hw+UvY4mJ/7Y55mW0f4L15Ry1PgSP6sHtmy
lTjtXZoAZbAYwu6R1eVBy8WI3/jeJpj5Nosxe43QHT/UFFbsZjH0e8Tr1nPnP4at8BmmMvGdzvaT
T6PTM7cL9UaHj7eTPaL8RKXQFudKw5lJ4/bgBfeJypsNOBbaHkL5yl6I/KGo/A1jAb6MJvOfZ9d+
Cwl5rGRI4bg1YKZJ6zQ/xy1Tau3X/OLYwdyZNvbLxOTEFHZX3Ml0uNAvwYUBXcnlhMZfqXArwjqZ
q/a38Nv6qFiY7PxUA8lzTabrxviHnWKh+8KCQIvEaZPCWQv4PROOJKYcmPTxdliFeme+i1WI7SeB
2+U6Lx2F3IZohgfbRKoIzJimXdG9QFt6U4kN+sPnv8mEPe9mPxjv3HaB30I82KXF1K6o4/jqRfEY
OSlgopIrQS3d4ZAbijhdjctbzBB16YioY+/kOcilWPaT3VwGX1RAs6HkYsCsgQGuHFlxG1yV13XN
fZ/Bl4+hHPJnbq1IGDFZu3TUJ8pY4lPTxW+AbH9KA0aOZcon2nzMJ+4dBPVpQgD5D7XGwppst830
5Ev3J+dGRf0I77YpEEutct1/VCOybtjFqLAJhVG0bwl+7i4Bau0m/8qU/AjhD8wwiYG6lebGlhOZ
7b3TmjflkngZDaOqeU/rYVMobhH4RbLHWoKJDOfehuyogRSZj6lGxwadsR2G/k2X0cEOnScGGSq6
p8w+jylBuL4t0o1HBOXiZvWvM2F48UTprg3DZ9FvfzclV3pp0rDRsMhwUvVitqEA6+0Qz8mY5zPf
84gNVuE6LYDRzMVdQP4CR1/+OC11QYVRDbi2qp7FHApX7alzVuqjdrN4hxyxK/rG2LIazHfAksdV
1AKNE0u7qMqik4gL8IdxDZErRVTAfPE2dcUXgJVt7nnBo+NV//Q4Y3AK0WZOyktodowRoScfs0U9
JsVRVoAA5rqbD5UfAhDzx0I/MuSzy2yTnAYJc/ga/Ki5t+gBx4ws9aeWKOmc6MW/WaP1ZiEwYiYh
rD1+8tdjKYJtA1Iqy8p2o2jZ4TErmkNCvmZHhSf3grz0zwzo/UFqrY8WpC5K5rAMF4X1bnLDofew
+OviMoJTg88xNyPrdZRT8B6zllpPOUGQ1tbZYRCN/cCITs9hTnNEFeHmy8PYgMvnGexMG/OaJALj
qNmFHzZrPSusn21vQYpryv8iDe11NCYN2I0ha0TKPYAfoflaN8kW6d7Z1JF4iOzu3U6KW4bOtRZY
us9DHZKBS0Z1GEkDbdMYDl4sE+/c8v+2GYVvUe/rAAjm1AFs8WugTWxYORYHn077c6XYQhcR77q0
Cz66jiIZOzZxfqd0nucZDTJ8D5bSVBaaLB9z8ugrCnrkpaebBKKNtg4iaT/LOXVOMU4wgh7Og2ya
AnnGLF/Yo50t9plc59rkZsdqfEgtLtBR60eHPJIldh/yx5ZgF9lK397FY0PQK7EvdhEP53Bq1H70
pojaFu+TBxjWY4B62ZIL6gP7IrzogAL/aY/qCZP2kyfCH20Q3KtnUSDHAv4xZwrblsE/a4lBiDz4
GjvaYqK0ti4DtLSj6Y1PDNDfzKvjxp4SPPuOvaVXxThamKe20dweTD96iCOOHbTp5M5w09+Zn8zO
FCWs8CLvThhz8OSlDTl2JCe80HhTB1DjEbzSt84V9iUyYmq/mOPaMGk3ocz8S8L6m/PBSp+axSWH
3IhFxiKXHnJpr0XfUqsUgn7qoXjcU2jISzWCdltrtvFkOmg6SF4sx7zKUD6mWPy3sEecVTkEx1FA
ulVQtoCssA8NXds4sBGkoFk1d6KWz3MyvAWKg6oZ5viIww7bIcBt3rjjvvIlv5nA5gZVc+vI22o7
+sWN7nlqQDAQL3tXlC3B+2lYrslV5n2pMvBYk0cnGveWfjCitl2IZ99kfVvVLV28WEb8wHqWbXB2
0/FUVqz/24wKAoSxbNUEGDmGkPy/RQWU7ylKAmPlnQyl2rUY6gtmLAttYtqzzrwbELBoUST23Qzt
zfZTuR2AJawLJ37vTX1z03K682ofeozX/IjSICexGFbROZN9MSPJtVX7V/ZsmCZTgCZgdYw4C0G6
xL+9bief/p0gGi+DO+ybMZ7uynC6JpP9gUEQ9TPAY+C5wALTouPRTeCEh4DCkW1bVvbOk+OWL4ln
PkUlhmoOOxiQnXfjF4O9wquqC7MwIwYXNfRd3CBgYk1CmwP/DLDBxmoU1zjt/YOaemcgrq/TatqO
fc2AWlXDOjBK+9DZ09EkN7uKnRZNEavwOa0IBY8jVkwcSMvCkIV+aDI4avu9ZsnJX7N8s6CaLPiR
eD3VhndINcdzAWVgxRxP8Q4q9Yqd26IAyuOYype01VDrcq5cWsALioEpbfwMtdVdzAxZ9VFCMkCs
FcwNcXOFyo1MQJjM5wfJ2mImIE1Ofp8thiAvsb+lY2GZ6TUwCdN573TxbZHXXmeSY0bZ4b7q6id2
Gu+uPeOdnjNznTjFGT49uaBh2rQZVsO58ARgdoxFAXFw2x1TSnHQhlzfuB9l81Vm/gO7ERy1lr7T
84C7MB0vpWrzB7ekBJQSDzZprK0pfPw3BPlHGViXygItY8+KQzjNT0YARJTEh9iy4ke4asl3EoAB
Vj53/I6U+h2FfgjTmH8SgnvqI/ClvT3u81AWpEjqg8PVhFINWjUc/W176XPCuocOd+u3b220TeuL
zSqpx9nhNdiBGws0s4Zthq+VKXHjGfQo5UKzcpiHVzBl91RafzSKfFQ9sj1crFH9FLoH7VYvM3Qi
REBuAnlEL7KkIMSlAdGN2nrbTepAMwa8XcGR2MT+lsTlo44wrwN5P1WR9TzXRn2PNA1FkNYyi18k
D+ZZeea/oiPjmIfDJSbO4LgTKGHMbUQl4axCz8EG5LHhwGcx6i5jPAQSzeNc7iOLNh4MDxZ1BdzT
KnO4VEb0EQ/6VbshRMgYT0Aydn9V1r25nnVT4bxMva9VV92RN8g3QOVuxowptldoiXM5OYfcUmwu
gtg+Gk73oGN3r0X06XcFz6FXt0c7aqmassRzuPivMHaiDen4D5GSzg3DwVLDrfzX5HzkYcvZK7gq
5KIhQ4IYZncfNc13peM3ztnPQXBRn8scaRpkekr5i0T1PcQRrHSOesInPEBdwp9s4QYk30UHcm++
MS0Fm6TOOqpDemrDM698SOLQwPNC+2XEHvkYIj+favJNG+Jf9E2nbDQ83U6YsK0H5LJ7LbtPc4pv
OGApj+i8beq68zbXobX1SQOtMeJulfKOKpHxYylN92TDfdqTxwGz77N1LHADU2+Z+nt2BQ2G844h
RkxvAIz/rA5GkVUepyY09jPI9gNxI3dtzREqElKk7JczHnboKUg8osKl27FEdX7MvkEKcdwXjWGe
cbpNNq7y/1UoV5e+MF4K/DebdLB+OtLjWH2yW4dr+OLb+B9kDvBxnuR7GyHU4I+d3tooeQUThgKY
5i5sfPh/NmmEKkjOAc7HDX9b7IMRsRP2wZxbqUJdj0a/WWWlU/6GeIxoo2HRN0f3iTXJs6WK+xr9
nt9se6rcwT4qVslMa5SwDS1eDa8bu1cZ54cph8UUB/Zp8GyqtpaWweUrFKPlrfvWhAASNVt2mbQj
gsV1J+8m2/qLSkBqxyJdPc5VjbbSUoSJ8YVVs2nfmWLcxT0tTqND5dlAFHplNBFsjsFx7yrVNR9c
pA5+m1TfTdZpeuej8dpbHg4/WdpvYu4ovLK9+RTjfN9jK/Y/ODPxBTZ6KG6zZWR7WATst3SNByim
VaBoCfa5iQT0nkPMDPGz7KCiAOSvdP2MjkYTHZZE1Llc4q93+c4qbU+7zFbUv1uteksBIdzDWPdo
7sWMYAgaYITffI9Vh4yXJqL8546W2Kaj9T3kpt7UqSDzW9GCmo2ufHGjID36g6x+dYq9le6HZ9ok
zZNGIlkxPM+/6AcYLkYWNxWLAEgRDjZ+nUXuh5ML747rPuBbPqdxE0xAOZ26+qaneLFdQqpkQITi
WVISOEjivtE0PYdZmZ49tgh3hmOrK/5uoK9GSQiuNK0Y40+YflojW4motEHk1yAvctH5FxnxY18J
Z0QYY5WOQuhFJq68rul+3UyQvwh6XQ4nJkFuq3b/k3S2dysSxrF+GF1sPzQLl1084/giM5XAhUNn
YifUEdlCbaYrlh+mBQoNo5ibcAseIbbpRcgN7VRgzMUcYsUVDRKV5ln3Fku4zAXlytl0paMw/McL
xMNtywKsoA0ytamm8djv7kxa+qKSdZg0Qw2EqiD6KI0Nq1RI37FGbjOuNqv+R7F03fbeRJVmVR1U
7i25OSOCWJF3zr2eTPyN4dLlblp/doP5opCOwgo07ZSjL1hSxMqfDeb2gWzAKq+YBhgVZxKdndXt
NI2KG8YZtbRI5sBVCUjsyghsld/EDO4+bhru3lMSXZrCYDiN4nkrw2xc8f4u+XgR+3woZASXSKqT
qeGt/mxAigztnIQ0atM5DdkpcL4YIMSKdDXZE+v33H8JPb/7nKaC20rMbW+Olp1wHZ+man5tifUT
Oz4WykevD310wVl/FNSs4rau70uVv+nQVcfAj/yPLrSYcyRBgUfaaPHYoflyBFtR/GM3xBrttA3Y
eev0CEWQqQHKD72KTmmQGLF/wFVi6HQEptUhWw0NpXxNFHw3Ttc+jXiF6SqiondtNWN+MOGKdZ8Z
SEyosFMJM9qr86HcF74NULDDL3Zr9RRxOakfUzBw3GzbfFN1nMDQPYhqznQCDPmYbPuW9seiSX38
g9m937piA7pkr6MQBmtELphNPx03oXgolQu6V8OLly0MUbt07s1YwlPMDeT++JJJ5o+hgvSohf0i
IhM7dpRGBq9dekww34FjE6zvuPo2rKO1IA2IXWvseJlkzVset0y5DdIk+IFKM2N0EWlP4HoN3xLE
f6dhUdK6kHmlW2tin036BYXjDhgpMrBrWk9sdKbnUQcddkb3qzf9NwI2mCB9xiYWkN1CfhgIULIR
l2xTAPaa7gbqgkZulu+yGo5FgXutVvWtFuiUHd8ED2TeHKweBiMx74GcNFHd2sZzMkvsbnJgeRjy
WQO68UnrZQzPMA18bwkjQTN3Wnrf2aY0xNTQB6JDyO/EMCOyn/7UbELEB4QiYAIKn+G2q2qAgUSX
4NEH1a7rsmcdtxcANBOducRcA2ZnyiR4iRKIuvYBtwy1iDZTleEiHQauEBL/UGOwTeDkqmB/kVhN
juFsXTKjJ9qA76vJiMKlTflVWpoaH897KjhnwQOfi8ylozkZ+JXJslnqi5alVPLVMR2vVVX9stWz
NpHgpappT4jE1F+GIftMs+wPI9O2s1xuT1i/MZPG3SzaNZTjAo+WaVNyW801ITO0zflTxDrxAcOK
GXJC5TAPjClRKWaGWt1SRmO59ZMcV6LfYN3d4nibbpBXEHFrO5f3KCYUG3HCVm9u0lEApWTr44zC
J948zmauwchk5vCO7a4h7AtsMsGtlAyYBQt+4IlvUziQU8gGZ0FmE7s1fGfrvubgqq3oZkad92g5
8c9o2y/V2D4yxDi8eKWDXYdXtKhwr1d+BjNW/bQx647ek9kngQOcPW32ahdqWFeGlZ/NSS43NEyw
4TIoyoZlRYbssp7hYz84tTO++lyEjgABcHK1TNeolwhJRWB8FWZPSsAmS7cfBdkwwsslcDZWmUdC
GiFlRVQ7o0CNBm3uA1UlbIQ89rbUV+mLq9k5kqtNNh1UwxURAZoVY5yneCvjd0DD2actqN/GW2kS
0cXloXAfrPIEg1/s495wPPLNiV1lTyIrICuUtfzHPiyl1a3jLx5QtmcHEqCZU3Lwo9gwhBlVBv80
FMHKYa2/476WAK/Oy3ubT+CH26D16+nG29MSPe9oRQp/U9udvofADx+tEbdG5lApzF7c2atakd9B
GqHJm4UVT9vg+ls7DbP7GDfgR0uI5YqoU9+cwWrXMsrZ8nqlV1Blgl1u2FnM1y9KzHQVIjrqnaIE
HvBw5OprkVfN8xT5xUWxCMQPMRCHctoyfQo4Yt74BvXFtOPlHdQgKNSp4eyqSOBoKs2ctofA44VT
Jdws6nYGFd9llrjMbos3raLmV6xyAVhhbue631gL2TMXvjiBu6BfeJwB8OeOwd5IQ+mO0uY0EzJY
dZ3BUZSpCLsa7Eanx/BUdYNklNfhWfEhwp1jeg0GP9w58GNXbRF/lH0Fm2WBsYf5wldfBim3G7N1
lMIsKjrTO3s1bLd4QFBO4rLb25a6twjfICci589WwoRR2C9DReFpwjLOzvoOzzECUKd7MlI2fvEY
fbRyIzoJIoTEpGfIz5LRX6mRQ84zuAYAGlzQ5rgthqg61i4ADHsh9uWWHCiPweat/x8l3Uz9mXj8
N04ZXgHpU6AXpm/QKWh8S2h5iuOSS7Kx0BtZlsakSmYeAlbdUb6G3A4ldiob+g3iCm24vXbF5GNm
GNjJeWw06WfHOR5UlKp7Mw3dfiz9Zzrcin/FsrgqlmoOb0y/pmJ6Vg37w654TfIhI83S8vE4xhKz
1N+FiQyAJhOSg+V+nUcGKGGDh8PzskeO8XftNqdkJuarpgi5uOkxsYv85qridc4rUuZx2G7xUg53
fgYg2Ot4KC2n3VttZKz9FOsn41f0IkT3OoTUjKI2rEfLeuO23vFytNLwlJWEHVhQpvnRMgI25h2D
9Z4BPXvw1ULiatArkrZUuy4VgIGzXt+BaBjXncG5zYNZ/cux3FMay+EwiPxHliE82Wm4BkTp8LN2
n0GAtJTP0n8EThlf6ROuN/2YPCcFHDHWS1ALl6juwIxziOQQ7M2av7qKF19+OSKHu16/D2E+rKOI
/1fLYA/EGMJuvLRYpk7iEaPMbfZbSmr0rPf0Jvur3m5/y8L4KRwYNq4HnzOM+a1xB+KalQXnQE20
X3Wn3OMe7+VQYJJBfOKaQOjN8n91TFxQm5NYV8H8NowOVrn6mcUOBBIZ/vVI30DQc7rSh148OEmL
ZAbWd6tq41h2rrEThvGsAvyzg2J3OdoLXlmIeDv71UPoOQvkOaXDQtDD0HMItvhTHQGdeIz6H5cK
SiCLZDpdn6xm3DA5moN4Cdhdsd0bXoMxf6YWyuF7YzHspNVfPjf3dYDupVR2xQqiGTrp3qQ7d983
E91rI3OWxE5HX9hAfxDO1M6zPi3p14cJ3zjJ7ei7sEoA7pblgm8rXsEF6r2lmoGYFR7x4T/CzmNJ
diW7sr9SVmPCGg4HHEBbswehVUZEajGBpYTWgEN8fa+oHpE0I0e0x7rv3cwQ8OP77L22T3NfHRLs
rwJEK04LbtUuDfEushSeZtKmZSM+Ojfm1jTeURjwlwYS1z5utwM2SJjFAXgO4Rhnxy4vXULKv/AU
eDyJiH4DNNuk+FOPxj5jCuCNsmTH0GP5MDanvSrTcN+44V/Wa2BqZQ83FPznfWlosN6BnXDpH4Zd
V0O1ymdkrCjOkqPOpmQX9+jCgEiBaQRVD+0DzuSyM13eAlH4O4L7Bz8MxgVAYosHcePh/MrfnLqj
IqGurS3rPoFeT9Q1b65z6BRnt3O/54bvQK7ljVfgIwPXf17KfQqv7lsc1NeotczTFOWKGapm9rEr
fNILQ2m8hk3ffDAdER5XlvNDWsH9CIFKEkBnuV4O9bDGJzIdaIjHDsr9mFrZ1L9yy0Rd57ZKNlFI
lljCPaSor5uiLs3VVNxKUxKyDvHNQhu1/ms1hTdrJYou4e3wrGIuQA2BBiJG6hW/X3ru4kpfk6HP
ToMdP3oub0aGrWbvmfW7HoqelauLahdE2XKI/exSKFlj26ZSnri1+VlHNNRYylL3sTu+G4XG/1Gz
i6q7Xc9Thu0sPzEMOFo7+CqH0o1WXWkirDn+wB1dI9UyEc/bNOSQybqBzvsqUld/iMgU0RK7Mw3D
elGUfe8UPoFFHlc/w3BjzBaOu9d+/l1SBbGEBnxfEfFPG//LYTu1ZtziOZ1L1ON0wi6TeUtlN7/Y
LHF92g3cbp3VpzzFJu2PwMkQ1pryVqZ0u9eMk7aW+EwilNYZz0wNwg54k3ELK88rp+LBKqb8xZLD
DkU/BHyi8/vIsNQ7d+pypetm2llkU+/tsf3rKiy6fl3X20aGLBKjygMZSAtBz8BqpkSpjNSOlkyo
X1xP2oUzqp+ppjA85pO3jqXx1rhxvFdSfdrsMYECePPe5bO7HjFPrEblf9JV9d2FMX0rLmqlixsK
la16UU0iT7njDWunv83XLVnQJpTDQXZe/EH6bm2FHfZ7f25WQ1MN2yCbviJ2UITNwnrvt4V7YeNw
hF5K25NrBNs+QLpqVSTwmk/uMUsNY2FLLvlyCL+83sHM6wxvWMTvndpzdzVfri3vmAvwqxCHIIyw
AmEex0X6pbX3hQLNrmSiv8dvu/LsCocdkeG9+QhdF1bv3T42aghgfRT8RnY0nJXb4l0Zhm7FdK2W
lGxrxh8dwRUY6L7J2WHEhBs2w+SdZCf4iis6F2IcZNxTjUKRzaNhRK9ifkTw6UgmVWGRVbZsAQ5z
PgAE3Un6WAnmH6U13heG8+r7pUr3hq/ErQR7kP2VD8HFn/xtgieJQjhYSVP0aOc35rGxzSgttI3o
ySzlRaSqXIXUyA0xNHRh8czpS+MScW4v8hEIMUz7cZgfkBSR87FtRvGLRZ2KKkoONpvcg4d71QGT
fwsawCJvIzSEKYYjoAA0BD7bkDbXDzeCRQVPHcRYiAYt/Id0jj682TrIG+p4Rkao+eJnHQW2hfjx
Ur6KMAyWZQYVG7qums11mOirU8UfIiVpFTVPjHRsxYrxmVqq3ZiziMMUxmO4XM8Uwkpgsbh/7YPj
mOu0jN78vvv8F3sGlxz5M91T2hiEQEw52Lh3Rp/9pFoMHS4xTPh0jm+eNbsqqBoeXZfSPHtZeZqx
rK/wW6M94sRb3iyx38UYcOGI9NFRrDlDDtgFRhGshsws21ZXBJQLDIMfyJB0YrcT5FonuVIXfumo
fdaA8BEEzEVVdePW1QNGCMmu941d8F+j0l0eM8/Nc/9OAHtbdvJQ+el70egnq8h3KUsLF/4ckKDw
xSImmwoutXnu7nMz2A/ae7GqHFSyCQxIDxk8jDQZ1wrP7o7jlyGCAWAhzMm4ijK4x9h+mZ3+e6KA
bke0LaGzbOQZ3j+1pit5X8kzgrC/Ok0uFo5knQQx+Q+yMzRBomBbu7XNhQPYfMnmaYvPRawmJ67X
JJWTzRBXDyTi+EPxl5vmzzR0BRscVPyCMxNtdQ1Lwhk0SUHfT0mClQkRuokO8RVlOTQGdJP6DkHn
vPKEPmLcumDPjADDqg+USPPkQULO5fijUOrtrKrIplHS5KLQmSiDnnZ3c2a9x3p+czQkFI0zxHCN
X5V7iJeq+jOrMFgjpMKB7XlNDDHBJ46b+74J/5okfOpzlzW5/2pSAby8seVkcDtB+KYtbCqfkwFX
ho/VbCVN9pgIeWT6Z5J8RvFNKCJfTZprcSqGxzxhucwr+AgezeAbYm5NeqmbiTsIE8FLGDak8prP
MCbYTSCanz3AOjowBS/NqD2adv9dda5akHz8M3oiAk6dPI0xJ7Pd3+ydMRSwqX91xJRuHGeE88m1
cwVVHA8KoasIZYgoQnKH4b2AesNIS5XxfTmNxBFyLCfCtlhbDbcfJ7UfidMCyG43fXYbnJ2y3cYx
gmpQ2c56Ys30QLYWzoWfvZmEF0OvRKkR89JwmtdS2GdhOxtHNRVhMX0hBnsXt9y5YDzTzeewwax5
6iTCJq8ZFJRrTMQ7ys7du3299jvNvceEf9adsWg8SnKlZD3eIstZZ4Z3EI7FwFoPaMo85CL3Zper
RraGlnlh33meZuOh74u1xThGPp2fb3w2AjgjOuAw42n8QcZAP9gTS0aMwuxtep9fvjfWrsECUHQW
qEORkbAtmoMU1XkaEErt8VhL4CdD8UyS71H1+So17AqIa4OHFTKHNQc7OgP7Veik7bEVyUNQWlj8
6pFznllY9PPJqwq5HNLmxHGGj7Ek1jZE5555wHAhzrg3ClQSzp91A0PMM4LN0AI4yNPqGpvxQ+Nb
9+wCEaqxOOXo/fYQPdC0sHbxbi6sXj8Gifed95I3KP2hdvEnbrv3HLhCG8krWaNL63N4+CDqHZ/O
W4McWUN5W8PvKidUWUZmHAnF0hMp/RT+0YRtwWf07EQYtbMsOZM0vhkHWblMmXnncbPd0mG9GuCf
r10ybu3sXRS1lrR8raPAeJwT4W0j1fKRL7+r3usWtY85ajbZU1vTUUb2MS9I0cdcRIJ42GZ58qdm
gIS9/8ig9qqU+2yq6ZekyobybWuJA2ReziOIQjMo32TZ4WZrmm/fdtrP2Y0Z40At8suE26wWcidh
l69qydajq8LojJgq93LQL2DhNjrD09EKvqqWGV4k93LOtRpueZI/aUR2pybMoIfolsZSJ3ogw1XP
9hdIi38MZfvgGhkrcxnvG/TgZeX6NMhH7pnfDTBk2XxbIQ0AyfjrTmz1QP4267p1f01yJySVHhKH
f9keX50R/DpupB1OlG2pzS3FsV+m4RCayL75bpzGkbbhifcuR4hcytK/780o3aVdtG5quTUIWBFl
ep5V8FLXzVcc+h6lgelz1/snNxKvaiCEaPmuz0lh/VlTx17BbGC41dXaEvp5mtMviIeXgLTCrdMG
UU+6RyAh16yeBqbX5CXmEoNTJj5nxA6mEF2ksPpXvnz0NnjDuTFL7m9TdI06h5YUnrx0qHwkyCaY
+6N9Wo7nmu5er+jRzEz9YCr2N0HafwhQ2kuuAx+jdP5cH3KvD0P5GBCbc0x8gNlcHXozp6qLz9Oi
tpPXuaPJmhFxHZmet4A1NiA9lRi+qBUIGRRboO3twVDY5rqCCHSsQgSKiGXIeLY7g7VY7L/zxucL
E+9zjPnd9aqrZmzAxDFSB4x1woWj4FkGvDVVvYEooEuPWFNRGRwLkXWXaF5bBE5KHwCGAe24B/W/
lHEMMNSCilscwmb8DCRNio4yr1M/HCNLXseehUfU7YCe/9xkUFrBOpwmTnkejGSdt3rPELMSIvsK
mXx5wwuDRDjOEN+iPgM0BsMsrVJoC+FemyP1JU37GI4C8v2Aa6KvT8nkf6dlzIQkCd36b7FkOS2n
R9ej/M4a/F3oJVs+HeNl9M1kpxppLMM2DpYANr/m8ebrs+N6k/NmbMDvOAsfGX0psjzH5wu1bHK7
TZ32uKIYfocZC15S3Jml9xqIetPCkOAKwuDLLXQFbnsle17UOphXNk7lNYaNTdgVL3VWPueGiJep
Xzx7JtKsU0YH4UM3qpNX7E5YqEIHZgJiV1rPmykooeVQe2JPxYZwcrWu4NiB0DljFP1snXI5TlSL
epNxkhVfvETrM2A69B7X5bWLsTcL4gZ+1tP5AI0fEMYlQFzuNEbkrK6OgIKzZeA58ljn4dEeHRTI
bN6SDv4sO6wQ+K6of/Cyn9BP13qUr1YuVmxTg+WAgWwx0QhFurdPNm4jnsns424qeD8775QKe1cB
F8I1nxzsuojuQp9mNL6FcIDzHogG/7rhAj5BVYWGNW/c0l+5gHrdmF+gz1mIZHn/OoTZOpgyzjBF
Z3zp8ZzKnPaepzC9Frfy7ZYYxWrQ8iih6SyUFGCDao+r5A0vTagjK3+SERq5176ncbQnGHeUjgZk
7lGq1GHqxQdFeZVvqhRsKk62mDrsyWHtuJDexEMz/Ryi+TmaemIlDEGL5NZ3EAjrGBiCBKn3RG/t
fm7daD8Bhu7G4G3GGAN4ug82+Cewt3ZUQiAzr9I4P3it+EtbjvIi2HeF8ZqVtaSlEAttekPH9InH
jwmuetTqonxu2fCQfVU/ALDZ+4Z6w5t7ZCd77+KEWBZ6fhatO8GfSp4EdI+CiZbo5gGFD4eAcNl0
FeVqNH12EZEL3FU/gVwiyTwZd0L4e7tz6pXoNDJ4tE/Y6ecTlRKRzyUszhxc5bV3xPF0tivx61vW
xS7Lr24msR0QKszz1l4OhtpxkJ3sijtNPjzNQSB2878Ge+BNc9V/4lGg6dKbsK/yRyHlkpOn77U+
1/LW/YKVFSHJXNEvcV9nBQn6/DfggjQkCDMtuc8iTB61p96B2eB+1eHDkETHIWIu8/vm2Wu7Darn
Q4yXb9107MbwvP7wiWHXCyBWSXkQRfZsioQlg8scaSUNAET6X6c+NrfeXMGTxhtjSExCbL6LBXVq
u1lnJ7eiy9lHcXS5e2p0YG4NwcMMqJ0GF06Ejg8Mr+NuTrxf/KYvlUxPgeEcWlYWDHf4gKyKCyGk
QAwRXfxSadzP00BtLwgPlOqGsAyGb7ZQPsKgEDtqzL9lFrJJTVkUDoykWEdtgpgr9onQU4qTL8R9
7k1foVOdaVX4rdjccV+NVzE2bwv8ugicO+odsXsX+Q9MiWoxkS9ThfWYeDUNzL1PwcnNFA2Aqxtg
tjLkHUddnkTinAQlEHPB9dBJsLPG9b5K6AGeGv3ImH0/eGJXV+59aOew4ZggUgAOQ4I5NeW/WoYj
daUelRhNHH01vrtPrejBSfXBhUa2pdWN2+GcfIai5EeI5REv4960SaA2oVMvR0jKyxHQVepP1Xfj
c5mLBPI2YsURc4++iwTNL5nSX6JmAxveAIV1Xsmt36SYZpv+yI7kd9TFK9QrMhal9phUooNslQvS
yD4DLfeWdjz9uVkbHHPX3tpp+0TIH6R8SrkCQrpxYBUbLVErKcUzGJW6aTw4Me2XkX+00bG7wkLt
pbkghhG4MObxqRPdBRGcp02b7GyjBNBpdH8mHqYuSDfwPHbIEi/Aw5tFYuDO4/7yHpfm2bqB/MVt
1ZJE7nqW8qPFftpHRHaxDYZOezWM7pnF3KVSxql3bz0DlC42ffsFpfW37mzsS7amrJosPsCWHZ+D
aWka/qPpBeOG+mYO19g+B+xiRdb8CRM3rk/n+GKo6otvTubCok8t9rnqFkl21yc3zDrw/Dw+DG3x
pR3PW1pm5e+JlDRYoiKOPGfJu/2CJWUz9PZv7+XZRvVlsIHbep/lqsGaS34uJGjIvR9NPIbVviQ6
Sr9x0EHtq3n4utWDjppnnIOQHIawpJ+kdDCnor+wX1gNtsNHlycAdQbzFqG3wDcHt1jied+MmdgG
uQ+tllpumRcHl2C9LwzSBJQbsa5Y8QRdjqr76VOVrjuWRxuWxvCVYLltazPAseOC24fizkkNGKj6
lyB2O5PsS19Fj2VQnFvqmDspt3I2N5QlNKvUH0ErmN+W5EkeDeZPKtiguNoH5Ng3W66ml/YGGzfc
Pb2XM6sTssNDEm7dFvtIJOL1aHVwCUhdrk28kkswn8NSx6Rp8jkIN4NDyMTie1aFlDFOTbJD53+O
25SOyTHZaNPaIMC8lb5zNMNs1U7Dy5zSJFqKeyvMn31r+uVgffan6StNLWyh2na2s4TELOCB9oF9
0lG29px/PX+LYk1Cp8cbi/0m0AyuSfXE14s5pOvIO3mEg/qjG1ZQlGuSNymMC8t6TwpIdxh7zmTS
N1keMN/RwBWlxSl13PfCTB89y4wOeP2Z+oromqXywj7ivrMhQ3JYrTsO18XsGZtstLdBV34YHROp
Ff1FyrlLI5uTUW/nIj+NqQmehtAKAAD3U2d08ZHjEyVTn8zusS6vaH/aU9TxYGofB5X120pO/THD
snLzDQiVHSzhvgXTsBtEeXEyXXGwsjk16fHN87zbQWRZlTUmaod8bNp0T37QXOi82cIkk+ywUjaE
KUCcCMlr6eGBvYq636a4XMrEvJodtCGrO/ZR+Wm09dUZHXyc5Oao5aQfEAPxkJ8QnP/oy1rpIDkN
HdwYV4WPTSuqhTub70FNC/itDBRl9S3DMDuP6k0norpovtvklZGRuJgykhPRJmdGm0ImED4tdgbo
GK7zYWFU5jdYUwW411b001LguIztKl26aX2ZUbnxpXFE8aw6urnc9lHzNfUK46MSUKbyykFh4C4X
gtzgNBqX2rKeIgQ5q4rWPECibafgXlN14LCgY3HhXjF5B6vBJKFLaAGcfJ3JZdZTAtEnQYt3ZsoQ
kokIef58yEzlYB5rNtyRAOyiPwZe9KXqast6foYuVuu7adJnLOoG3alcMSzfs2+pwxczsc2Nr2Gq
Vr11b7IO3DuBB9sScsdTreKj2covY5RHI59o8S3AUxQTD+OoAkfm5g37GjykU3NirEKsjVaKeJ+a
5o1j4KGT1pbl3tfURL/UqSQ4vHhyJOBOPOLyC42kDJb0JSmrce833gXeCf3o/D2pNe2iekKYHsKH
PjWhGhB/ZdSll1e1t2JnuOtJAKkhKI1jYQT7eJyJGSg6jVBz4Z9GVy6dD57t732PGrKuzI4Bk/6y
mYmmAcR7jSakk0ZbDyn0+aycPrxgvsS99YHXeZeTYVrQV5gsJ9E+DqnxatgI1HbPO0qFL2gbRaIx
CIMvk3UVvnKYqWF3a2QF3oUXr981ICjXhHQ5+QnFs3jAUlqXlGlmgpaQIfhyE0vRx3kLayliYHMA
gK9xrXc8yvSihNYdrv0NRJFyWd7o4eSwRu5mLUuRpmtXurQfJ4gZq8agfQhDtYfZE4d99ch9GIgF
L107qhtOXYXbsVLPoGo/cERw91RvpKa/bFH8enNIeJU/XjO5y+adpSziJfWnQeU/6Cz8mHOMKj01
d+r2US6D7onyiWcflZUeJbqjWheyPfGNVToDhmrGiiYGO9hoo0NG9P9qj+XcFOGz8Lk/ei2yZ8va
MfTSE3jGjmQ0KxTJW2SZ3UjsojsEIx3wLRKDLjwWwdVwcFv2hFJmnPHNL5YbfDmas2vuuQxV7kh8
uu4GsPJw2Qd6ljyjvi9GzroxEsmKMopVbdb0vQYJqSinwiiFr3MNAWudNeWLkj0KqluvBzX9mK1+
HfNxWBQwNhlBbwaCBiZ3bfIwwKgillg0TExiAslAlluZjn9CSuAYVJ3EoMqtSX2FE6H5ZOQO3esA
z5AX06ZBedlyrPCQzGb2YUTmvg0APcPOmYruZegjEI262CJKX0rHPNt2x0BqThfHdpH7S3RfRSkE
8v5dMFgIh6RC0J65GvVXu5bIEknPR4f6waQbXqdYkmXXrO9kZ3yohiUiNMYVCs+2tiAQ+PmhAN9K
5tani7CwD7U2D1SHr/N6vuN68KyLiL0+JyYm7XlrEQDAv3pf1A7E+RZMZkjaa87sv2q0Dpj/J3SJ
+Y6NHcAg11kkhfuK2RqnTOS/hWFxNyPrUkuBAch0T7XXhFtI+R+SKWYSebJUnfksSlyXgoihh22S
npvwAJdlN87Ba1q2qF2UZrgC5dQ79BA5F/0QhCvptyuwdGS0Usr0gprOkW7DEPZD+GviicoV3cjD
9VC628Ylcep1lNs2mXqMsJ6yaOTnQY9dzLB4IB2gwKOhNryF7KQblN5Wmy++XX87yaQfgpjW36r3
7zAbAoKEea3Md8Lsm6kfd57irtkZwcGvJQxjtjGwTRPcDNMxbOZjSZ8GNiYKvJwZ0G/cV6sAr97C
y9LfovIejExTUtcPd2Er/9zO39B5taOf4Wyzi+lygsg9e9BBl5R+9/R0FGJ+oWFX8kKLH5G2j3av
x5ONzLboTKNaNGqST21cvnQNr5CjPe4ZgBYYnuolN/x71SDop1BzHbf/oYr7fYaxQ4rfYveJpcvk
c211PImiIYWD1TpXCNh7n5Yn3yXbLnrvN8zZ6gczFaFA8g0neB0NfY0pJUI7xaAx1nvKqh8R96JV
nYmT9NJXzLhYtKfyw6vFI/8xCd+w/UyoyAgtGieogzgOnBixmq62w1q3ducYQn3+avn6V4LfJCU5
AimVNwhM4XyDRSbVlB+7WhiHzsHygV2uXo8i/TIjbkWTBX8hYXONVTDdhxNieTXgsw6HliWTl702
efLmWvHwYJOp3LR+HOzaGpOTW/DVswoU5nCC0mgN9LberGGnHC1iFw2cuUZVvELHv4KGuQxxisoU
19PWtEKfu2Ln7ZrZ7j6MHjvhTUkXbltzvTWzY9jygrQC5inY5G8mdRL5MXCF2Jch9Qt9u4YmbcAQ
qcS2aQH6TInY9wNkj5Lg6hmps9y0kp/WSHp+rxHroqIE6BSyHNjgbQFHPhX1Z2QHEc4e8xl1W96B
lqi3Nk2mI/C1+amrhMFOVBI6L3Nh7bLJkazBacnc032Sv4ikQ4+c3a+WVBr4FucAvyzgej8M6wgb
9hskausINm/auX7XvFXO0N43vPcPlJb2dGmK+tHWc7HVDiW1ydCSJfOTc4J8BSeNtgGcDY82a+dL
rouKgiOPdSrJam7TAHL5fAqDDF+BzSvXl75koswmmt98v813mqs0r5j7QmCof/D6/g8m7/cATmar
bRXtg4SbJAsX42DNRnlHqViwLmS3DZzpl1p1vAJJ/yprSaUqdyOawKNXUg0kSSvi0DNEcppB0aJr
J3vuYXVizC5IUTZPFeoK2RlAjho03rpxiaSUUF9EzHMr7lZpJt+ydiq3Xe+ES8oytjBf2QOOtrj5
E2t31alWFksVhz80TbYHzBZUaNkmop3lB7hcert50DXTjRcRw4uyQp5sIt3rwIJsJpyg26dOYT5Q
ZF6tPLeF/Mw65qWM/Bk5lX7ggSYYRntO6qZK5gcjSQGHZeWLCdRnoXLlI7opLnC0NTXIfdFLMI8X
ncingP4vGu4QXDHxU4MoG+SSzsDCK4UDGyphBvIV5jcHCdBuym8I2qxlWj1yeHmcC2PwyDkOX6PD
UtHFaMZzOhSnvlLJs0NIGaOIZuKRxiXNGWqi3hSgK/I3+H0c92Z9NCaoZiAeIyKlVD5gsOOjkKOH
cyv9bpwBMwVgTFTLPrgbC47htBi67TQxwmVpyHa0y2D0+mJvTQlQhLY/aIE0Ug9pQNBKb4VmmTQ3
Bo4UNX+QpwOAo+MzxAA6hYTzFUgwIaMv54NkrU90x0zjbQVd4U5lPUlj7zk1Y2fl4lreDgEafGCM
rOSKYdjksx4WbhhxKZ1tiwlf0VjlVc+qlEeTIPu6KtrHrM0/CK3OdyDwXirSSytrdgHY23DMMmGm
zzIe683odfEVIJ+5Hhq4FhVpsl2GmLl1Yx8kcUDiwXbsLwcU9dq1QHlIbQc/sAb9rRHC3m/Zz9Yg
HM6uDR2oRVJDDkDUGFnEcKLzUvcZ1eER/4i74EC++M3M26dymp9cWT6ntaO3RpPXqLdJT8cnt367
UD4qBHUcYTo+tI1ZryIlz5arxVn0Jh1IsSD/blCB1pbZ3mjcdGe2zIA+LQukvxkQe3fi5MoHCIgY
pROsj82wxVETLC22OSghsoIeyViRBlCeomgCtd0/5FhGPLoM8hC/tkpiA4M9xx4eqJzeWgX7Iaqe
wtCBxC2YhQnH9/etdB44tNM1DUEF3uz6ws97C2YyUczDQ1Vluwx041Imyd4MiolBiKVeAMb76IFO
W3YO+Bm/QjtRysQOJfCy7aSt5doxu4B/1Pc5kKx1Lm+Y7T6j0kb1r6in092QlPMuLjO9rOLgaWw9
ymJN2j+mm41+Trrbw4b1YFGT9G8SKo05Ob0Vh1xHcq/j+9lTQbvG2HOD7yTG68iJxhQvytMkG3ad
mPUZnKjQmqsHWKnN0dTkToiUP1LKy524EfYC6YOqvlxCHXSJDzNwsWzreQQp7tsY3kbaDHGXssxt
DhrA2NKPul8IveWurMNiWQfJt2h1vTN8w4LL5nVnS9rmsrMKir+d+FGGANrCgO5U5ZX6I3ONdwKN
zhHGU7oz2FXRTmZh/vHiHOjpgLCMUZJ/7o0EK6ZnkNDj4dKUofssJuaYHJb3mKp5idx8q40t69Mc
aRopE8gJTs2ak6cznXOMzGP7GOMCfnNVI6iwNwnWF8V0khCXVjwes3XpQ00ektl6JphifyHvu29A
hf8q7iM7prJ4T3bB3AsNjwOXcX3pYsqaIJtDNMotzKAkvImHYPvU78nAfWgLFMM9aabQbwBBusZx
ahEAKOqGOgAvlVw4FR8+FTrBBztB8aQCcnVMr26kSRBwqcaXI15lAawa/3hw1/uaLUBqSLzgoaI0
TLvGPp3j9o79pM/ew/fg+fS+og7aRoZLlJCPXEuGHwFw8t4LM950CxADl9sE6Fzfqjev6dgCDrL7
rLxkYpvdpC+jRtqPzK67N8pUHeq5sXFFuaR+kzFwuPCbbBi7QnIJT6ysObjG9GPFtthTMdWBPZto
3mvBUZERL4fvsoGYVLGGJ4XSUQFHO7x79dsRx5L0mzede/zXpYD+QJU2AVijYvaTbT4wswKSs+2b
iBbRmNfeBghKIRh7wCsvLcCHp7zmKu2AJzl7sfojO+dtosqmOsBU3Bs8ixtiw+ITjwNtXUwTYQKe
SzF7robZcNZ1FP/2Y/XrEL3dR9IjSNlpfS9a4w6Brb+PTdQhVbC7giuTb2TKOEu87LuaoDlEhc/6
xWcdFFAUtPRrPb7PZShf+cBBz3TCeWuS3tqhIYU7vkQ63HQmtR6Mwczw8Kc3LKmbtRgyZwPXJNhV
eag2NngT/JISDTYNWuTX0XmbcJe/kxbJ74jjcOs1/BICCrmFfTZ48b5r4HaqJo53zUglBI/58AYH
Byn85qWNcdT0rt4PXcUyAU4dJBMeKYC9+Nuo/4rG6oqYp2C+WtN2YI1/7xi1Ogd8gs4O6uSyB7HD
Gz0cddXrY+W40RfLcuxnNYbBrG+ny9zzFyM5ZeahczXtb7MpgV5hL7u1+qLBluXMU6vsuT572Vxc
21Jx+Z4cpk+PjEmnHG7ZJT1KwBHVfoxamH5TGH4Tt4z3gwyfR8qc94r+3oc2cvgXZq5N2HR5Cc2J
QkHLHU/GEDLp6RFtIyvzaMtHAL3LCQWjTotaaiWTuPnyh2Nu183lFuUF50ZYz+Wa4OKfvrDkpdzJ
cptonbozNVptk2Il8ElhBHboHCs+hTxrDWc89FPGVAsx+ZB4sb7rO+tekeNczoNVcf0lBiEADzOF
EGEeTcteOxamosg2Wfeh7xJ17ghz1NKFIN/TwbsUMtdHuE7xImD+x0npdOyuihxH7kCIJqgmi8+U
4amjMrV1BOjJcRKazPp5nkFUiMyQW09njjX9JrMwz1Dk4fsb2OSPgs77ZS8hp5soloyyif3KxjO4
Wp2IUXw68j4BYgn1uHa6bJmk2J7gjsa20Ju7huCyXumMDOuCHhLlbbmV2lRk4TbgK9rSq4vvDHJi
y7ctwVixIHuOf4MDnaJFIBntsZwynOkjodOaZKMDRRY6UpHuVE1mgEOxNLotY8S4+Tf6D7tygFSP
MTcHMDSXzzVG8hFeXQngeKWT9rcxitfWGe7iimfEnNJhUtAKTaVlKg5UjPPMiFxdI9/Plr7/5z/+
1//9P9/j/w5/y2uZTSgO/yj6/FrGRdf++z+F+89/VP///73/+fd/Ktd2XaHsW3SN6cMUwuN///58
iHkG86f/rRh6JbxRGns/bPShjpiZq44ui6LgchGE2bTrVCC3ETytVVL2WCW6yGQ7w9QOEzw/Z3Bw
VyIzWKfemu9oXIzj5H/4IW8/w3/6GW3TtPD0mQLwteP/x5+RqEJudFXq016tkmuLBXFpVFRypRUa
B7T/TdOaw9GiR+H63786t//wf/yLlSc8MDK+ZKGtzP/04viwa7mDB+FBlp5cdWYlT+4sqPMbJPew
kjCzM1bLLqxYTTt0if/3f7v6L3+7i9Ls2VLxf02Ohf/4a6eFlc0okGREHO6jQ2PSAGjh1wLhgj8/
/x9+V/u//m1SWLDKBGe0tN3/9CL/P87OazduYMuiX0SgyGIovnaOaiUrvRC2bDPnzK+fRQ8G124b
Eu68WjDYzSarTp2z99oALtzK72dgHhY4RBH4oDA3uMZULT7+Wv944iSPm2NxHVe4xvxBfnviPPhT
1jSQp+erBs1AVAUrU8NdxYNfbjqDxA7iPuX+44v+417+cdH5779dtBipRZMKGc+UZsYWUJ/zyJOf
H6y2btYdGXAvH19P1/9xO5UD+kG6luE4xvz33y+Ii8umetP2NB7KE0s/Dg4Ik5CIukd6CogSzMjY
AISh2Trk7bmKE3YZ7Pif3O1/vTuWcHQ5v+Y8RfOv8dvnALMt4i7R/EM758oUkU0PPOm/2hqjen0y
imUS6gxdcih9//0dsIQpKQ+JAjThhf555SrrmiBOTOBoo2bfIGVh4+urR+QAzdFL859tE3M2ddNu
Q37AwStoBtchosSPP8Y/vj+zTBwBhrClQMR09Sl8s8YSietdDJ7fQ2JgFafzZcwh5I0mLr1hu5sJ
J/mXyJtIBP346n89BpYuaFcwO+dYIA3HvX6HORjnsWf2O7uz03Wn5mbABA1jZwVa+uL1wt7TKHXP
dakhW7TaBE4FwrnUCLJP3m9d8k1/X8x+fRSdeyEM26RQt/68Exk46skfojnmO6APAZ+HstMFdukj
1x1FTGxX1YmzKHKxgxxKXOxkULNxcAVI3/rxgXmRt/z4/lwvsNef6erpTH002UhL0kOsPMbpHrPX
QVfmGWDBWmrqdpT9psxpbNY/P76wPt/4v+6GciQJTso12Ff+vBsmvRPOJVN0GIy4Ow4AqRauBQAu
wAT1hROY9z52DOFr3X2uZihgMQs+P/4M9vWS++vb/+czXK+EbV6RCiCnkT5nKb+DX71lh0WBg25o
UYboOMogyS9pre7zIXnomnY9Ft6cKLWHc3NCjAkPgqrAIrQvRTVs+8W6M7XzBNej78lLzSW9WWfn
ucUJ5eCDZ4yXcLAe6E6uRJKesXhjnCOUkb7vlJzEFK/ptyEo0y4QuA4m9neTtEvhb5iPnWboeSZQ
fPgVbR2e21qDclXn3g3Mh40BoCAzvvqSMj7QVhax3KopgEDRMva7pRrxxaM5H7oCJAfy7GyAvFcx
yaBMe9XaId58fG/nh/n657V0k0eSnQwk0NVrT8fGjHAYhofItvytKLL8RTW9dhO2DY2Y/8e1pCHY
POe17tca8NsSK6ehAG8fxgdU6+kxziLizHIxdrs+N/FafXyx691zfmas3y52tap6E0L1GEsbpWat
VxC1Z2HmMATJj3LIwp+tZfjJFqDB5H+ylF0vpL8ubFqOg87HZC272kFLzphkb2TFjg4jMp+ibBHd
p04YjBspQgCbUdWVZ3ZzasCANLrgky/+z1/0P9eXVy9s6+DqwMyeHNo0zemzzcdxMkA5fhB0ob59
fJf1f72agBP+79teb5vMWJgF0UA+sIuDYhziAEF5a8Z7r2+LDi9qz9gAn5Z8azIn2WWJDGYsHm+f
y1lTbgkchHgWDwi5FmPQ2cHh4w843+2/nu//fD7r6vmWLgrwsHMdQJYdI/vSJRXFbhiAEqKz6SGj
f3JD/nk9JNI83bblUhD/uVzCBsCdaAMFw4k3fkXcawVr0bkmA1Z7SO+boZKffMN/PejogEzTVra0
lHW1XQVJUzbOqNQuRNFFbLoTpI+hSU73IrQb60vFIY+EMt9zok8e9H9d2PrPV71+nfEajnUT8FVJ
1UgeBOwKbM5xvG4n0AE0G97op5efLFef3F7d+PP26gEql7CHkZIQS3nRqYeJDFXdwa3dmoaDND5Z
sv65/Vn8kDqVIeBb6+ptgueZM+PP44OOTHDfGpGBxRQjX53Clo4aZhqTKYkvCIDihgbBCT6GxveP
n+F/fwjbVYYFu9mgd/Xnt25zRXeHVIOD61rBxHkSSUlKKvg5KCOxj+oqvGQ6Sr8FzYkGMxQnhbZ3
m68ffwzzr5svbSWkVCixLAS04upeNNlQ+iDkzL0FOpa4jgGOM05zuJicNV0GA6MWQK2RFpUkcQdS
lavCDeHikOZhfy98+hCr3I2DF110NokZKaNLkl9CsDAtSQ3oRg2wPUsKM25rOvb+iCLPgXNZBTps
N/bZHvefVbaETiAfO5UtTZ5NYMVw+LCeonuuPT3D8NAXHiC/mJkYiA+8oGtSmZieD56GhKSHn6PI
YSHt2fpOTSVh0ATArRhfG3KR4n0v91OHwHxTFaDSaDwI90XDhvyoeypqDnRuAAbMhwV5+vgG/10E
c4MtlK5CdznuUQ3/+TvDWUjdcNLbfYhn4BKJYthOZkDLPCYQRJOspHENTsfswZiOqDJmT5EDLMkK
P3m1/9pD+CCSM4BlUQcDG7z6pXUZOG5U2cZeNcoKSYnuo3GLI0AOh45k6PSTLeuvLZPL2YapOORa
LkfBq+rWiKTt+l1h76sk/V5HOLFlGnzrZY721p5asSlVAFHci+zLx3f8X080TR2XaCA6B4Y9//23
isQYNDOcOm2CTTa0B0Aw5BQaGskXNVGtgwGr+uPr/eu+2ozZDIoEg5PF1Q9cBMyDGo5T+0YJrAnQ
cYlD04INXdRPC3f7k4upq5O1E0dI4zxO1oV0M7lrTIkhmCk2UZiBj37MbbQU3Jkm7Qend+HfEfha
Mt0bJq0idFZEhPfJ4FhpE6jqMYhG0K9uAFCmhqbcUy2jeYblkpyMtEeEX6UNEm+6Q6hAe3LXYI/I
fNas93DINiZCRFBzJGXcJmT70ANOQpWtDCzkE7lUxIF0uJO/av4EQgKrXfeoIywAxjKVWE9zpvfr
fGyVtxy6DssRr0rzEwNMVW2TOGxI3gkYDxAKiSp80Zr0l8m0kuW4YYkYj/DeyoL0+KmsF8YQQBI0
O3TFWe+0ziK3rWlcZlVgoxzkWy+nxC+OnPPTH0nWdAP8Xts8j0GFZMmbnHHcx9h6LACzSmWbQqU6
/I2wbUHuSB39Oi17H+9HGzHc6K1adLCxWoccSVTfal3kUf4gfKFf/JKDFakXZnFKVAfENDdhH+y0
ONZwrYJ4gXhdKCisfZe+QgTsfwK7pGkM70Q92OTR/XCk74d88965p97zb0vbEj8qEw/JKgo0hPey
ashWCNowhFGRQxVxJ4B94GTd9C0GJcQkkZKhB+AmAgD2tQ5702sL4t34BweDW58/RBDbXphj9m9D
OOAmE8TAYDp2IzJepjyHiDno9X2EkSVzGoRcDcrV5zYh1iIeZigAu2XPPIghBWAbE3vjwnf5QszS
dMKoSVPC9ZRp4YFwJqLQGfkixM4YQvKoEGnNCyINeWi0rl50wpw1Ra2ysxvKkiJYEdmKOTkGvEPs
eofkEYFERaJJqoGtxeVk5oT+DIz81rEb4KWiFK/ILAgJCYjqYbqfKpn9mEZAjUuvVMgNKGTfelLS
XkiXcQ4g8NoCu7RZOHtS2UH8unYybl1EGR6B1K2hQG8juSfZa1bE8hvii2mgfkCSJbmZWS276ZLe
ZOCiFusqVBZdhFof228Cc5v36pN19J/LmWXgixT4kaV7VR2NkRdaaRUQn0VSO2JiFZBLWAvCqhdQ
X5mO5l6QBpuP17R/Lt6WhZSRaYZJI+vPNdRnG6lSlFf7aZLYct1GkSJtBpdBo42UY5Y8gW0BbNea
+f9nNUVbRWOC2kiIq9W0KR1+Cd1saY4RXlO3lnn2k6TfdXH8Wf/lr1pXOoayHPfXLuHYztVaysoB
VKVtgz3OVeugLAy0w9SqB1JzXq0AMZsyK+uTzWn++H8cXdgVHfq/tjANwxbXm0XewhUGXouAy21o
dIim0s5jQ3H3yWb/q2N9fSEX5bhtOKbi2HL15UwfsoBZkF6KcC2xl77b2w9WjWqRoZZNFLQCpQ+X
DXk88LQUK7QhKkZQWokhOkxZxtaaXqOrKoLmQfYGQ/YM6ONQiOnVIaeNgLShMrZV6RoPUITK+wTd
GS5AcMvf4iiZoz4LqHy1KsrtlOjpsksi3wYPIAgXof1UQd7RDP8eon73vXaj2MbfqzU9LjUd1cik
9fvAG6W29kHlbhK3s0BDYYaYVnEzpu6FhEAGerZljSs790lfUwmkJ7Qg7bJ2iuTgIuCdkW0yuTD5
BpekT4oIDpmgzsNtEguU5LGqLUYaAzZYjz0M1nTowMT0fDksfR08HOQ9SKiuVe2iAYet3uNpCYFN
3Y6Nrq2j3C43Y1TY0DxbhjKNQD+SER2JYxYlYFsY2zDXzBd87MwKjZBQ464xzlWdBylRoHrQAARG
HEuf3Lr5+PX9dUL/89d3lKDvatJ/Zz2SV29RqsHeY3EL9oM26JccVKa7rELMqmsSyWlXUICzaA8A
LTEXqkR8TXMwnamObYT90AuMPeGd+V0ZRuo9BwxuLuwxa8mb7htGtkHGNmQO7Z2GB8Hg3t3qljlt
bUwuoz1itlVOa5ya0n1Wjtb9REuAdrp2vA7Sf5Tm+UpGoXPMIKKmN7GjF2LnJaDZ9nmDyHtZZJOX
7IWEoHH02gFBGDaaKlyPYz+mq8YrnRi1OBw42Mmg8LDIAJI9oQhBukWCmjesCio940sSmPaw//jG
/qv8+u2tsq9q6LDw8EGUurmvijbu5vCCfo1vwH7uQWLd/9fXYiCFM4pDGSNY42rh77ve7Aw7tPdY
d0gW6yYswmSwrrs6LrcfX+rvwygHA/oayjQcVCRsNn+u9zbbo7RNm8BjZ+IZKYDQRhn+2jhrMIx3
9hvk0BecqAEKw6DaxIbIVh9/hL93HFqVrIfMHA3Gstd3VqYoUrBRJvsJUTyCT1ARjgPlTzb2m43P
aW35pJbJfEw/+Un/2l+Z/wpJY1Fnx2GdvFooebJ6UQ5kQ8o6IHiGCDUE7vjhdl1Qy5eYwJTdx9/0
Xxc0LMLKbZ39x1HzM/bb+YQE87TSbEft7dCsTwGL0w5y9B1roIKr3EeffL+/drl5vu0yN3AZAzEr
nT/Ob5cT2uiKxnaQzrcAenDxImykGUB49oD+8XvX1g5vt5FNn5QQv9o2f6xBvy7M0Xe+qKR2+fPC
fTM3FoLc25salsPSNkm41Thpbkl0R0hiuxGxktWtskr7gHupxOVVB3e6j4k4goZ19/Fd/7XkXX0c
2xAuACoOpAyVr14nXUFrtlgk9mMHvnETm04zbQtT9SgOiYY012ICY4YBXXX1U6iq96EdYxfFuYZ9
uSc8Nwe761j+usU4hjwvzAgM8qImuRtTXbe2maywZloyHR+SPovvU4Ee/psjFakBupmAoIh0SGxL
eyyiGTkZox1KbSOHqVcmzmsV2mh6YeP72zRne+3MMk3AdQ9AdUpDC1/8IsHM8/FN+asaMamzkAvx
JLoOhcn1s+GOoT/qY7avVWd/Z0Zoo7cNgCR8fJm/eyDAt1jKXOAnqCyMv3pdpEBZDRKVve+Bc6O5
rK3IH6yQe4hx4coun5f7YtN4rtpOilixwOOoWaWu9snL8K+HkqJW0gChpcMXv1ro6Lwknh6k2o55
RpMe9EJT/SmMIzStTlOc8YGdRGtbnNNAs84qTfD8s9LWxVdaDgni0WmC4PxJk+gfSwLNdj4Un80C
13+1BsWz/oMpfXwAUNyBaOp0SGJDiT6baojYETxtRKd+/KNcLbgKDQL9EZvf3bWpEK9LBBXnk4tA
qNk5aAO4pqrzvVHY08aueSYHg2wPBx/ZAR6e/8mRZr7JV68iV0UboDMZ1h1x1Rqy+q7uvZolyXSg
7tXewQmFexQUVMepwtEPVrFy1pleyE++89X2zZLLCs92SlWsWygTrp53D4qkFbqUh1DtvJMZinpP
NoW9qw1WhI9v79Wy+7+XYuTtMmSV/LjXFRi8ab+fejyTidvcF/SClnFefNMVjgl9CrsDCfXWJ1+P
JtfVGz1flosqZDumUoiXrhZd2ihJFVR9cijwvAZjdtfK8bWvdbR3xOdoTrLvLSLsmg7FbbbWHfWk
Ya0YjHxu+N9pbrzsjeGM3HWpG/k568SPScd8lsVfWj899JD3PexBeMNngyqeqMxzf7hZ8zY69olE
xb3wy+d0LC4jXg4K/xDFJyLrqHZfBzInk3Z8I1SXkK2gkkvPNX8hDbCPTeusR1KbZPXFSLBshtkl
9rXHWnrkRYh1JF08u+LI8MFAHgbSxU6GVY0tj9DLu9q3SNIFG64DWtFINGVWd3Z048bL5Qb7CnYw
MooNYxVDCkaBqlYO4S6+Jk5p7jxGRfddOu2BPMIFQdAnIi13NmLSaip+4o06yJYgHKbTqStz2uDB
q5fDgc6t+A7V0BIT4n7EtiPK8cGNhkNcOy+lO/2ok/i9JJN1AWLrUlRBuWQWuwcKywRH+ZeA71G3
xb0ejGSO6McR4xX+Mo8uGR4o1xkP09AfQXF8mTRz02r1GuW8QWYgMvxQa45S03dpHZzsblxHfY7f
zDynZbv3BqfHM69OwEJWmmRYF5EstTDr9L5LY5LhAGgLUkeg25HpgI8xApkXIK5lDMCRFP7Z6HT3
tZ6sqtxYi77CamZqr3pCzy8RHfdZlofWKl867ImFXJOr8VAoIZZeJMa1SZ+uqUIwZrh3RPw2NYoM
VXOVp+KW865BtBZ7KUJtsDxYy0X5Pvb6GnG3tm3i7LnBzELcpYFEBc0hzhMWZaNLnuoeGCYyVJ3P
6qVOvgSneC5CNuSmlxfNG7eFjxqejsVN3IRfHUUwgaqSeI1XaTda0YwYWA2NXS2UqGdktHnHbA2V
ea8fmjLa17PydwQHyG60LeL40A10oJBC4PY29nWVIEn16y+wYZcS16du6t8M6HDLzmnvAj05Bb32
Fprdz86xv/uBtq1F/n2ciTBDcmYubS2CzHyCzoAU33oT2bhv1Xgoh/Ak+eKDwxEsMo0bKV1i2vPw
PAU5mlZsmnk/HnIcWEE/bGY0Om3z+FyWHhp+f8eZal935iNwsXU99IeYbcokpDfvg+9ERzyx+h2a
Tr5K07qFkLYGjPbuatFGrzpG1sWutIBgppNYaRFqYg58NvlnpqVtfNfaO13UrF0SyLD+k56oD4Rh
OFtHJ425JTRWkS5uKZBIQb5ytfhU4b0l6uLBC8atUv5+UPXW4CBsNQVwGgEoYURKKh4ps2fd5IHI
1BulTY8QqQjpkOumAkAUO+iEaAOoVmeT5VceM/Nds6ML7OsXV+EILI0vJdBI20IeahU+HC7/F7OZ
xyXHGIX3NWteqUZJWRp+9JbczLABiLQbI51ePSgrVTx+xzm8Dtx45eq0gtEZaab7PpJVU1XOV3ME
jRAIHCmRJX+MqnxpnWjrAgPU4u62DHFARgUxUMxKxDQ+1ljJUH4bcxghjQAgzGla3o+xdhO4OHHT
GBSeTl9TmvmKftKNhYssGcqzQ0M5KqP7oq4ORtZhL3eXNECOJe+XpkBH6fQonKx69HLMqkN1Y+Xt
DcrSx9DTD0xKn63c2EhLu6ctC/Qv3AwRym38ayVB27OhDe/iamCf8Zp+bYj8p1MPO8IBdkHDGquS
9Jl5yNb2vZveI4txNFf6qN/GbrLyo/ounpn5ACkggKOKnwKLej0i6nnM6IJEl6Ko1qSHr6UAH+2T
FdrpzdFoky+ezV1RBUH3SJ3Z/OgQcuvN0NL3tU2YMGvpORnzS5hwTvfD1l509aj2E3EshAXOvmoy
TjmZHvUmvw9TYLLIzGFTMnmoBtLih/zeLgXtYbEvwmCXh+AeA8xco/bNJQBlBrM/BhCJjaDdGrLG
EyppEOBKC7ItiJqbiFAjfai2VimX5mDgAuXNzCxMLzLZIEW/DCN5Ggb4fAzwUAWbOTGkvCMQai3y
eDMBnwkGhgBeU7wn5njrgDRRQXowWnW0Wv/iV0yXNIVFpQWXVdXpQxFn0GNdc9dQ1A+N/62Ea+p1
2V1AEoqeAyIh5HxN5wM3T7PJlX7fTenOGPxbEQZbdrQNs+9VmWeX0QsfutrZNG5z53XFkyvqDeHm
X0etgHUw7URWnsLK/gLpU1sUTb7JpuzNat1+XSptS9bS3vObnR7MPouR4k6od9ceQkSo4dKS0SuZ
YYS4DbQFSaXrWa+SOz+WP6wCumFLY3BpTjYGwAGHP9lni8IOXqIUXnguyPTIbub1qCKAGJXKdsSd
VQhaf+281geasxSFdx/pWKFNAudseYh7fplSY8jrsaUFw4RcXe5niHYNLSQSwQPxzTCJKY8QwC/7
NFmPidFsoPRehgbEqhNrI9SLggQ/ekDTsAbRcddZ/rEBKaKL4ShrAh0wtsVGdy7GYGfJeM9DvDKw
+Xg2OJYC3feqb+w9vRyQve0h9MSPJmtvpFEo2k3dFxILt0xuwyUY5fdZeFZ0EK+0uDkTwvPqxfEt
TO8XH+giCpzuGYB/vBh8IGOehT1ipi6LdhdE0SGwCbHV9W4rGmuX2Q4skSGSqwzoxhLarKLP0jDX
bsszcbdk/ZiQg+HARXq01tJwq8s5GlAe7al+YtpDyID4SVNhPTTusSodTqYVr7EUFyhLr0ofL3Vq
PpGYwAJtmE9Wry4M0nd164CcT/f2KHZMwbHEchwtLe22h7k0sZzGSXECIvhAjNOREAv2WoDzKwJQ
j05eYOUyNk4stkZfPXP/uLi35rB4zJOCc1x3h53iR1WpdWPWhxriAFLQjS+6B0k2CsGvT8iaHYLx
6rPOcprXA0zu/IbJ/44PfluU8XFQ01tQ8DQgM/nReeQa2s1b6XlHzRp/8gKvRD1zCttsrw/M3jBN
rXRtvI3J4UIgyb7uajsznwcwUbuHqArYNH60g8bAQpNidojfNaeIwC30xGTE0Vq5yUMyMAKzx/tY
Bf2iSIa3Sol9rinEyCMVeoCTApa/JaEDYDpj+jInllJDkWXEsYwHZhF13a3XsASq3Do2vVqDjFyP
FjQh3cD9mVsuvESZk/7rDqeslJytCbrcuM341jfxTe04r3GMyVzXbrTKfyl82MOe6BwGfQILbb6u
0uCprgBgxNqwDz3ryZTBO9ajldCxo0meJcydK0JU8Khj5RVcL+nMdQIjR5j1bSBaUKWz81WefbwS
CBtLKCwaluusDTa8Kd0SWNpXmB7b2u/Omk913oY/3Nh9HXM2f2D4AFMKcZepTK0Sfk2vgQxZsotg
H1tGCtvRhOcJNhQDu+E9J+ARXuqzMy+gjefsmxiUhXQhNeta8FS4ELXpzPykg7kbPWsnOEeQYm+x
ShKijSKE9nuVqrtJA6GpovwWDvudbUV3Dm1py4L5mxr5bixnm0zY8QM08SM+qXOeADxncrtLFGlr
VB5vYV0+I3vcWpa8bQSGp8bod1JC+8yr/q6j/odxZ63bHic+9TzWof69GAjOGhu6VIGwVtZQQae0
jtlg7fO0PLt9/zQAnLAFBoRMbbsqPmmoERkmyBUv/PQLktblDILj4kstOCCFNkESJdNGw1aPykj3
JJeDl2p25hDf1lGw54x2bNOpPAwNNEdKvfXo6PEidnNiyggNZr67DjT5mGXpOerhh6Y41Di6rkoN
QJeK1T4BNb4AP3RTY39ekAx5cCITT555Sd3iMZuiO5xE1FZ2e5yE+ZVuxiOtwEfZz4AZ+NA5IVBI
rFpogkJBAeh86JfkDnSTceOgIl241fxPDirAHpxfakPscXEdpyXSgiwvAdbwaNLBP9dY05Y4UVZm
47yNerxpSX5ZeU64t8Lu5NWw2/v8a4K0e6tk/YbW55EUtWFn8s7Uo39Pks4hpx21IEH+vhy9S2dM
myKlDZSOuou/z7q1jWJlRbyBWSiZLznajWlH7kal2YvD4OJgB2xXbJ9rDsHnPKfGzqMzaa3mYqqy
nxqfLzYjWHQW2mETcArxytpaq/Ndq8BsZo9xWDyFIn42S4D5I+AT07awZ0hqOd2WZ2CFzdocAcU6
kRN/rUyCNTRwc0OPC1LlP7EGXTRfVhu7IUfOaJ2T1ZUru4f9o/ziNu6Id5vhbqXWOdhCi4sgp2+o
LH/FvuyzGejsQ6G5NFP7UsBFEJrH8bJ9IboB231OFAGgammE29GHomPHXrJyjf5es0hHGfLyHQAu
4GttD67uoAnlLP2m+QoSsl3bkUZq10jzKjVCuI3+nGvgX3p/uKU9/CMK41VgJjuTAHFZtZumU4/O
5O05decwjfBvlpr3UE4+fANxImKBJqYjTp0OvMsK+VIxeBwd/4pK4czXLfJnI9VmL61NkGZprIvU
8Rak42mrJmrOEfR5GRhbDbjaJpDpMeLhwKIC5jB/zQH49wgpUjCuSwO+b9KIZ05Gl9YP7XeayLct
HfulJJeP+lThr7WAg0ZkCzpTtQXyesM5eyXNKDiFkVzjTTi00PXQBHMaZbYVZW8RFKe4UuQboFJd
hixkOv3IoY9wwqVi5U4iXCpN7LKquckHdQxsk0qHeSVxoivWxtVoTsQ+BM+ZxME+qOi9ddhbs4lT
hFb7xGjwfzuMe1Xzkmv6O/HSQH4HIkmC6a71ga8O5QX59k1QK3I7y0My+QcB3jQcA0ho5fji6cXJ
yKqt2UhqF2ujgcuQUxXsnHF+okbVntwpfk2U9Z0Yrm4J8tiDOOAyHQvtlaHEa9pnVK/dsoUykfCy
E0RQLDnnntww+UYIKgIzH9GsUisbyM8UG3dROHabsXIxx/snTJEwyiPnkWM9pY8+Puo87VEsK6iv
Kl4RoH0MOa4v8hJE5Zzf42T4Ul3q9cB8q1r9SOf1Ke2IHyUIZVpW0j7Swz4SOuOvGys+OKrdRoN/
Sg3vFiA1aqP2Z93QG44c80tIcAxh6gfM7NSc5vc89FCQlPSIMp4jmY03eoVptEo7YjOTHUplYKtp
GJzzBjAjpnQ24HE491rwYmjWD8vsvlk1xyqZi7Ouul1bueBle56IGsd9ExOurt2VKruLDLwOA0k8
qG5RIxnVatJGQDwtHRng3WYOPbvJH6PIeGA3SleEV62SGjlLag5n5Pgnsx02+SzhG8UeO2C8jIL8
XXdyY+mbzlMb6QdyYpA4FizPTQmM1muBEivilvVeLNtKD6ifKS/C3tgqJxlXpZXjukwouaphY6Gh
kRNzMaU2vDM3gSffCU9jMYsi/LDBD9NimB+mKaGfgfWqVZI4p+DBbvSFsIcRxl3LgyiMn7YPpQuX
aYR0f5l7wyX04fBb5HZm3fBcC6yh5Elo+w6ueZ9bS02pM1ZB+EQ1ifB6duckEx10aFHw5L3vInSe
/ZIXvhWwdiLcwlSAhX2wffmjowhZNIFxgB5L6qsK3rQ4qZfYKKimyK5bqJZDSSGCdTY2mGnbOF1l
NT56HfpiZ/TngaXHNYrxPFSNtTB7m9cPSY5l96D5UHWtMrJF1kApHrUxaXH20rV0QTjaCb7rsCzy
Naev4xj2G1mAUAyL5p1T23lS+kMUeuSTJQoe90DFO+SPbTAOa93K7lh1yAOQ+Vc8/DuyO1tQAiAT
QjgqC0tv4Qx05IXSJLQs0D0jS2m3N9idWVYRn83vSTR1rOvll2psOP9m+RJHBhEZ0ryH23tEn0en
pbXvCbLkkaZlUNvyjofjuzGGx8JuVmbL0QJT/Lr10pNpdqfEy/e2iFcwyCBdOrdTr1/EUD31Eqlh
btzpTbZXefgFHdKzk/o4rcgGE7oF4JR2Qm5pu1o315nT32AyfRx9Fqey5rTOM0cJvCa4CjHmeMga
C3zahHbBaR57GmdZXj2BSFxVAZlLbuWcRdTe+3X8PQwgv3nR9CPy4h1Z3OsQnUmNYtjWtGWRqpuI
aOjQMUgIJJ7Tyry7GLBLrcOIJEkMprd60MvXyEmGZey9pFAsbdoOXAdeZwul1UcDuOkZIyzLEpFJ
pl2YhUF8C1hyyuo9RW22ghKrEZmrT+toxMPlTHMI/VTrpK9pah+MxYb/gzmonfKNGznAjPGiwwBD
o2dO94FJn1WKl5pU66HD7jU6/WPgGY9aAWqiNJITs8B7KETnMdQ3CV5zy6NEzfWBUOoODSaZ03Gh
LkqVr2hgl4M53gfkgwaTs8pa595lf4Cxe3Bj65QZ+rGFBGEbxHoiSt3YOscANzh0qfgyQk1fRkVK
J143v5bRnFgb9fsCyj2nDJteUp5/pRG/8ei9LjIzfEl6bVdUJTtxaMsFP9qvYgAftxzXvjk+B229
LboZrZOaG6f3qPcSe2sMxBG5/Cv45VvZ1GTQKKfAL5U+QebZG3SVbc3ZOWF/B9rjvgE6K934aFTu
Yaj828yyLvCYHjyz+mkY3lPqoKnMzZsiHS9pS2jEABGHVxXfH5G8U7KsUYu1Bc7wMN9ESf6M03BV
yO7UeOYS3MZuMNqfpd1z/pqG50gQX1I61qPv4VLEPrTwCalZRGMLNmfYEtP5xWe70czRX5FVOBEf
6xskCTkcOKmUFy0SkoWdh8+eqA5gm5DhinSHsXtcDEW7DYqBYUTn3qHfXOYGw1tB/t4yoSBfUM8x
ZMug/RsC0yqnydkBTAGPHVerjpVJikhL+z80uRlD/Sb8mvKFQAs60k1HRlA6yhufUbcDPr6uulUe
eetknFmkhvkd9gdRMElmomNqjjo5Xr6iuPQM6DVexlLnED7lymgZB91dEDRnkGILMy8vgaT52xXW
ooi1d+Fmc7fRP2i19qXQiu80sW5MD8BtF8bY9YN9VxHyAT70EvPaRsW0z+uJXgjU/1HX0V0ifAp9
ClKSycbmC+Nvf0nwGUGhBd2BNL+MI2VzJb83gg5gVhd7gtd3FMsg6Of8U109MjinmZU/O8L84g26
BeXBuk8je0u481aF1tqJ3C9d7v5sZfQtYbhUeukO5VW/gHOMmsQK93rjvZtGdiM8XyzNJH5MBh2Y
VNh9iwlaxHD+1gESFSZRJbm5CQJxzkn9TB3jf0g7rx3JkWTbfhEBavEaWkekzsoXIiU16VROOr/+
LPZ9uGdyBt0YnAYaKKCAiggKdzezvdeGaJG8VEl8NwXxRkqR0DVHtKWX+RuAnB8yyIA2slvmNJwr
yFwj8EYERru6tbaTFu3mNwMcynujf6uYFK+h1heJUtm6lOaKQeVTkRDD1RODHbdQN2Mtf3c0mGGe
EEhawWzokbMPKj+AWD7dKlJrlmjPUfDp4A9AvKLLEYcyxveQt+LJIFPEd6MjfOCNBPNB6ZRoq1iz
36wWzaZfJgfmJlfZiU0YhxVHgXavjXaw0HP51Y3uaaxMnRCKaZFM9t4wk2sMS2iTCsZdjkEPCfWp
jK5ZGDFP8UFsNWsiATbTaBwaKKOQs4mEFv66L6rNUFrryai30I0DniB1NATkzVmEQKDkYD93rnFX
69Q/qiHjT18Y0tupqPhoNLkDhbNOEWVJJ/hsUoB0Vu2t49ajSxYEV99NiPzoP5mkPg/au/AN2kos
qly0Y5KCWubdIHZdJVAUSd0rW2umFLNj1h5Lmk/KSMCRlRfLHO0fKwjuoqTciZbGoaT46Yr8sQmr
iz5ouKSDcZHC8/OD9Oxk5tm0SzYxzJYcqIo4fh7A6shOrbTQedEbuJ+cgkgoWLXZ8EWh8Mcf/EvQ
gP/159lWtwWLTpCh0MCvgAur0OuX6XBMy+adN//TkPKjhWkwVggAo2jbCthOXFxY3X76x+UVyAx3
X1jaI5seevZiS3TNugymW+hhCYzTje4SaFYaN8mMpHbQ+ZjTcujZJH1Qa1q+sqJ0447xxmq9pUb4
MKL0Zdumn07VACcddn6dfMS5f+in8b0rvkSGWSbQbKi85RLxNXMKMPYyrxh2kD/KESek+SKmbCVF
dnToesGTAhUVnq0B7iwEMx1EZ8V0VlrlJk7MTZsM52n2gdjV81TJdaJhELcJYCLxYAkztIO4Yd1D
hdwRJr5oB6KISiAlTsWhCdgv6YVMYDxvOIWwsk1yhcHvMH/1+vToDs6mqPi+Hcfbib4B4Tvnhk1a
R//iRQRDaWLfITsxkcC6if4QRuMPxgWWQ4AlKaJ79VqK6Gz5HondJPANyrgMk3lfAUyDb4wjQTe3
kBW3qZ+DACWCQPcuFkPlNSPHvZ8SMNcFcHx7ojGoKez2jlxy2CkX+gBhO6xJZHlAeHgK4+8SApWZ
Yu81KU9N6Em9pi6KwpCB1pujP9GOGG+DxUrTtA65FtkuhAnXEEUyBdV+7AT0Gw5pERlZ+fDKQZLk
V0Fx2tfdHzDzNRafvoWx6F3MlPqcqQJ2hp+x99/ypAwPZZVutC6YW34HZVhL+OdYk5GU2u19bWln
0yX8GcX/LQ+7S5RW33VGI0TJLcEbbFuEzgRCfsYTnLSgv3q1v3E85wBg6BR4fyoF0r+Wa0s6r5pD
vuBIyR6QZ4bbu3/0WvuTRj2ttBFMs39IVHI/C4AqTaPA6lmbcuIonisNKxwEkGajCw/kLcfgRuse
TL96GvTwlVyb8zSn+tniNvrBwzRo97B7dhKUb2tYm3Zgwl1pOwW3qY2jJzsIbhYtcdMSJ5LfH3sO
4rWALS6aqwXNOI19zAwct3pXXXNjPJCCsIgcOt70e/S6eQjJ+KGFkqxM508dlje0oXtlQm1Fow4V
9imbuifdzO4n4QME9g40fhmFiAeVRjRCoifmJmiOqv5P54p1abcbJcyEkQdonijetZF4YMTF8qZn
dyyCa21gbjxaJm++BjRcQwQdCQwaYfBClkW1tWPWMHCJ6F3LZmWHySFuSMhpAuejaxRoe0k7fV34
LV24WPnnCr8ZzQZOHmHqDEfPAsWdk4PO3xbcWJrIDOhoramjInRB5Rw0aG76bftBLMGX0oIjB9V1
bBQOwn+02sqO53SMVSi192xy9gMRUDtO5O9971wwVu68kHzBFrty3Cu1LQqXR4JusSmcs4wocYug
vJ9I1SiG7L7LQ+KjbGBPbXZI62LX4Hugfbr1wg79ihIQtSDExl1z7xjWTS+NrdKqkzdgw1D0xVxM
RZpWPuQJ3Dnh3AcjbaKwv9Di3jZ+bd2Fnh+tCqdibhCwHogyRWBBfuMCdhNOEufYNuamzEoGAdoC
KzHHZ3ubFpJQmfLeI0tLspc1otuRNvkQurSbyTRzku4WlcTIpFV0LAuQtLo1rIeC1b6qbfRmVZFu
YWEiOBNJEhwLSLJ3pj/ZjzLLg30uw2CrE7XecUUJYTCMsVzXRvA8WT1sNYnD14fZZPktbZ2CGzWI
zdCASLaY/iX0AbAQabm2tWA6PaM2YcpPWWvnXOO6cgkfc3mig1p1H4HRfAOq30aF2LgpkSxZzqYx
Y7HJ5qB9c/bjcd+ZjDAGm+jl6lR8ajZMOCPdNA3qCct8aexarXS7fkUnyciDU1LLXMFMomublydC
4xYaQTB5+9zRjyuD8EVBMGSBWXtszR05ppMQN02CIQ7MG1n0i7CrNzaJ6kE1MIsVi6l1t1Zi7PM5
9ZczdAtGsSeyDMJvzCHWurmk7hrRG2A/iKxMBOA2K7daIxG6BBo52j1qhZhWJ9CFPbDpx9TZUhMx
9ip42LQsWsPOXUeiWukFiEjGkr39kdQ2ncf0VFvZlaQcSnB5EuTu2Rh6lpZ5l9XsPDVBCiuCHqfF
KLN7Dx/bonGqwygpJglOvSDVxTfkU6B5TJaXtgXlNzOdWzdO19YJ9rrUFvqAvq3mca1I5hSeS9yx
+VoM/tE29S/qiZtCRgB5cSM0ecE8Skjf3JMGprcPG46pBdKZIjsz2p5WhlVSHFOomgLqa6Y9aqax
BnW4zNPkmPMKAv7X3zRfAtvjTD9lZMz07mthMWKMjPhqkksrBzKuA7WBmHib/I4ZF076wQsAoJMU
XTHINUfKWEpbi7J4RPIiM85wMHiFrwVrNPl7OibjNzsCNS3AM/uniaTXLpM24IRMel70VYSa/UOb
s/iu/S57h9I3nh2vbWjWDSp7HVDzA/lSoffdBo6/s90wsmGuVaJ5k73Pn7VB1SRQo8e7FJwhz15a
eRLnnUcwQQP4l3QfTZsOQNnNAzAsjlLScowK3K0PD7ay6Z9NeVk+y0jGBGB9+8G7pW5h4ZLjaO7s
MPwWwTN5JWDY49VU+HtvYMLmRB0F9SCXneou7sTppOltgqRjLsIof2jgfwGhekzGedbZdEcOUOes
q5/1fjiRAzAnzwOFjNUVS/BSh+rAriLbpTuHt8Cx2tRiXKcB73xhr7w6vmAW3dauBOmarD0CydQU
3Bt0fA0bgHZn6Rte636hIppIamJCWDUwAvUPj54QOD1vmxVsbml3NdDPLiAhH3u7f2bZp99T77qK
Yi/vzWrZDM050rUPpiFAY0k0HV2EGkFGanCPOIbhtE6l3aCr0ugsQJBdMxcO6PQX74bS/9QwaxRD
Apr90DUZbDajvKV6/on7s1jHPYlkKRNSJ/oJmPt2ULqGEk9fjP8yJGKOkzWI201Ikl0ttAUeq4tH
NBFuILrf7XBqZHutJ6qjkFLS70CMynrjCW1VM7MWZc8Q3qKyUlsNtQh1NsDV6dIY1ovTJ7uqCI6a
Hq2NUrwbSfOmygaWfn7hDfpq/IxefWn5a80JFr6XbUMV3uWj9hR1M7qVlSdRpKER8ncZEkGC5rSp
G/991MyNOwc7Z1RynvEY+9qzZRNBwsiIX7XT8AfGublAQLtsbTKNSfAlY/4zL6e1ptzTQN+bHZw9
L7+hdISOLqNDIkgElsaiGOKtX4aLPkjrtQN8uQ7KS+CIbekRu5FqD6Ng62nT6DhUnLoLwPI0EiQ5
xqXeLyPFRxT09vv6atbuis0vvUQDL3BOuR1XcmWirjUxbhqSDpzDUQMo2FmV+rcV+ZzDmYGXzYcR
WJdCqzcBL4AiDoxoBNoH2mrwiydFPZvJdu+2wkafzKWIxD63kPjZqOfx/t5ZlfFUd0Rb4YCkjLKb
YzrBWY0z9MLEEl2Qf27ynuUHzOgij4JDin6nnYABkufi6mh6ivCNX/VcjgVSEAaWk3eiKfSYdw0O
LOumWhLyPHUda8R9OR3sOowTGjuoM+qiO/UoGIIpuPOt8E9mZIRfNevQTZbSDb/7nFChoVLLtG72
JAefJwCSgUCrpO4U8AycQ0vUwftoCI5+0a8zfWCmQkPCZ3Em/OyYTRa2zxYLcGH6p6mi1195d4No
jm5TnBKrhgqA2jBvPuw0f/IF5ra+bst1G0G4F/NUi6AMGyEztqB9wgCJBC52K4JW6KPctaP/rgMJ
R5y0NKzhjv1jM7T1SqL6gA/KybpALUXgAKbTa0hzQPrnVitvUvrrSHm8vP5OEABp5jO1H7Srn7Oy
h6m2VhNhZxS+nQN+W7jrwSrOXnMLZfGIVTjiuShfOODPMigETcQz1B2H3Clyho0QZNrScAbRy+3s
gj1TtmsgIRuj8Vm4cbs0SFw0wuCuxt5NHwB3asweJP1iIwiRbqrgGmqvlettqxCCKLxiKtBk5drm
plHqcUAug/MvxhCoDwCOi5RpGnmWyd7TdGfRYNjVh+zacaOTSN8VLgFNLY0iDePfwmX3pkHE/2SC
GbFxcEb/LQmMO6vXVigUD32PCBCmfgqOYTmZyUuGOo348R1apNXYRze7staD6XzUtXudo9HSDuw8
q/ZOMGYA/LwerT++mTPoj/gXRjKUGC5c5MhMJB3aVWMBMBbhld1kW+cNq4S+GMdkLxy1aQZ/W9Ow
YRdejeUETXN88oyBMbVowXl7Wxu7sd7UL0A9E5Im55YEqaoEwgVRuqQpSJRReCD0aVVL7dVO7Qe6
U1svHlZhkG+DOaUQx6vk6jth/CfmMAl9hcyZvtrFs4Su4IQcSGh3fYgAtv8sGiR0fapuyic5Os1W
kV095pSFC9nYR3geSGSGc1BXS71prqSO30/jjhcs2crRN1hshc3sWacJ+dj01ptjjB9+xIhE0oAB
qI0EOHk0HJL7wB8hyww95hUe4Fg7ugRCu6XK+RlHeldCK0dUUorkU0r4puWtGdxyj8vhWAl7KxOc
eK3x5RFXscxm4eusEA0lsbXwjel5cB5C4pUz3mEcSxJql651XdxhYnkpzW6d1eWhSds9+TiQj4pz
rjeXHkhmB4yA1sNXmljA1nlKRyoJle6GRGdWG4hmMSjGt6WfH4Pev5nhLKrl7CO7w2B32Mot+aBk
9MdLycyTLrRmcC0cRoTfv5UaaUwOiLR1bwYvtWPfyri6ZITJmaTPJZjScdK/mzYo8MCIwDvzMkcd
yr6BN3rs7VVR8VzQLf3IkAQtibVkRJBmIG0rDgQ+5FzaHALciv+YGOU+MsOdS6eXb/3I8OdDurTc
PVLVIcVziEZo30Dp1jLrsaBzunS05jXx4yP+oFva04XKAbe2JvB7eSJ5jqLEwWjGNP88CtgHJgTE
RWloj02X/emdgPFMdGxNmgZ0uu8TL91giLvzMWHoTn8X9ngsJyz4oGoQFpMXXieYeUtiNEb8sega
OKl4DaDXeFb7dTHBES2CxwnVU9vaOl6iOt6Aa36wBpDUOQlwK1GVCYhiW23BvmwbRKaIapDZE6vO
XFvFgF9b1RdLo7aPsY2Mu4abi2srWXJGPAQkBC4dPCPLBvWHI6svwoR+vOHeDRBwIOvjd3iPTm4+
cP45RXb2U5XDBXTiQqliHbSSQtz+SXGxL1glriFiApw3yAWRwzUGAU01ajpblkfTbLqNTKJ1GzTf
cQnWoMw7NouIvCgfIis6QyDGI23ARD25qiPypytPciyfVOaSOUyXu6Pvyt7Vumtt7OZT/V1pDlcH
yZGo3Ijx2nCwIzffCtM7BnMIceKfGR8TkqpxBOXeFoIWhW2RDmF12WGAcL2YOsJo0/DYsMcwLrqY
rGQEuYRUUuMJZMHGzKDEhfobsQTlCp3Vdmx7oNw+bdDgDUfKemitg8wTjpRz9B414woM8xcNEqaI
eTTDWS4V4dAYeKudKwyU83iUNziSWK+JxsbpXaMtYCqWTMOCedM29sSrsopnr2GumVfmfcoZNxfZ
kz2kK4nXgyu5LwuLGLjpAcy5vRJuoW+ylJlKUK0Asu4tMlsRQylszfm2CLxmC45+vusWamP7VUgG
3QPJ2GZvLwH1XYK4+LDYw1FgrROqpAwhLJiuz7gYzr0xbFI3vZf8K3D2tv3UbcCWPw7kgHYx8dYR
+UWZunphe3XjkgrEueMwyP5pstMaLsdiXHdZ/yWk+im7ZNsO2aVU6f1Qo5K3PfHiMUeD87LRALSs
TK41S9cZOtCxR/ncDeoRE8qmbAeShSKd4CRe1zjVP6DYnvWkuGOIuepUdmdFOXerOiSd2DIkpTmn
H6fUe8l8kOF6Pu0KOzrOFRDO9GuDMr9u9D9mQF6gP/zxpP3ksjsQLHCuhPNuNBo5GvZZ7/wf6OPV
bbIZv+bR52iQsEzzkaTUyxjzy3Rsh7rfJ4vRTRH+KQgpuOHYzMqHQDYnuGTDviDQcI2ey1wkVf80
DDUEbJt+f8ZSUFUozm20fm3xHfF11t3QHaoy3pKCfHRb95L52klDsZPWGtIIp96bUfWnVgED7Snb
ObZ5JyMP+DJMcvoDAcNNXb53fE1AibgOiupo1HHE0c3/KXIJAy97b/XxFvvFuzYN8LFArNDeGivC
xTnumQ1r/wR+v5jwSMvOfo14DBad5rmrntI1zuONrUc/eqYTMph/VymJ1KK2nkoD74vG8CvVjRuk
KGqXBvRUHZIsLBFzCESTzvRBwfpU2tVDrFfmSmuHW2hpX0rZz3k/chLKnG3H0FKp9qet6Nj3uv0i
LITWtIlcsg00q3EwNtePYYm+XXUPRUuJjzPn3oO6tp7iDDK2Zo9rB7wiwWrupyR0pgys18gr9Z2e
MViKm+mViO5LHRL/kVYvVaFBss0+8JZw87Qu3VR68e2XwWPW6xQaYbKS7XQOrWY76cUhdBpSN4yn
Xuaf+G+REoT7QvZyM6XOWqLkeTAEexJcToKKqcAaInb2BSbltRjlbqRf4Ziwc5ORA3bYVIqTpnEY
fF9bNWmJrNEjV3NKfFwNlX0w7e4+ia2VMYzkmxJVCLSH5av5mYZhW0vPROKtmGtIij2N5tx0EDGK
Go+FgQIcLJobxnwDYJtu4+zsHFxMba0c1TxMXvTS+imktIyFuOnl1qzkRiNLjVhARLCEmykAfQn7
PG3J58ou623ZUOohuCN+vCMjK0zU1sWERO2R/dSjSyPKSNCjoOMUYweXTXSvbRsd9WReeNPmkPbZ
eoicXSync4f+PDQZ9VUxzS2F/DdnSmQb+hdWQqiu1aVgEDI08sUmz5dzDFcqHMvDEGZnY5Rbdv9s
BQ7m6tvOOirr73QWBHnDhsjHNYm2ghKH7ZplzSMpkOsA6trJ2+yIsvPVqfxLFqdfuqPID1NEMAvQ
A9De6yN62HWiU7LFiP+Typu7bQb7uWsejWJ4UUV3Mztrm1r9fZbJFRGXF7dQvBMjnb/8wSvGZR7R
Nk+SleMiivJDTq8psxA/apnUGZxQhTWT8bQZlAe4Ih1ebDPc1IV1sgpGy8ymaMFtTISZDIL9fRbH
915kik2qT+0DMgzzFDQ5yxcrT8Uzz/tOPqltnXA67CiT200J7hDVY4fsDR3bStXdOUtp+XXEla7m
P5QmBV8X7iqKNMbq6TFHkrNIvPpLN82Da3trqcW72kwB2KUWoYeIDZJYHhDCBZtkJFRMDk+6W995
PMULO2EoqifRZ2r5K6XHOxKBK9694i2g82d25uOcPrCKPczymAiHhUOyHVpeQtVVfPN136WZhQK2
t6drGAz3ldDIaafdA4+HZS84eroAVSGHdekgRhmT6ZJ79pmOFWla9hKS/5VwDpJJ6VgEZM0lYqqX
kTnWQABt6rWWIw4pCgEci5Eqa8zia4W5oIGMOKvl7b7cVWg8CWZ8KkFZE4a1I2xia+TjsbGal7Zj
VuY43tEzx7nfvas1XCxOc2nJJdfthlsitzLObqXrY0JBRbSMoxYrEWCnwDKvCZoCHu7s2Z2YEU2D
82I3yI6xFdwqxRnQNHA8FE72kQZQBC0XHAlITrEC7b2pjXGF1XmDGuSpNSqoSK7+IF0x3zkEVwrD
imy2aW05lBYAWHKbNFQvevfcam+Qmkxql85woud0hHOrI2iI6aZEOmqp/t5gHV8RuPRMwXgtPXFK
wFBRGmon6eQ/zCNyILs4NQVOBskmC+vPAx228mt7DrMud8WEBt2X9z52bMJQGCWyMm3YP7fCSB5E
B/yyhpCxR7jBu6tX8Qa/gEYrh/E7mJJdFvIjOLLx6MWumMM9TlzLvdMYWyfrHv0O5AnIVDJ0yoMw
FWWReULe8mXr7SuJFUCEBW6drNVfrTzke7LYWhxLwyJ5VHPKvEKYk9nG1nOoZAPD2xSMTidJfW7Z
by5Kz0Rv71w5x3cWzQFtxFZGc0Nv6MCFdc1nJVBThyGUWgMxbaRH5IdpUbdA9zUsNJonjezPZQ3y
MhcmfR08o6y8I8IqwEsrI7VKsMji2xbsWQmDwWUZR9B8MqW2Q8dJ07XlH4ftd9ExpekhKlLYaywN
zRXWIkngbOZ0PF+l7RG8N3EI7F+njhPB4JOk2t+i2RHbRN0Fd2i/0odiDexziwb/LCjcsIgyBkzb
57L0cQ/JQxiOz1bvbTJ6757sUCmZOXmH2lVLu6VEKuea48kZk8++TE6dUrsQvyp6fEhrBY4An0QQ
fb4eXrGtonbakJr8lqftVi+0U8VEYxtzFEC6J5909ODLuimthSPTDycl77zE+hqr13SUK6Jz5Bqm
YL0gs+FZdeO51BE42hnYaK2YhXreOxSIrzCqEJr16tsZrReOfm+RSfypOyRn2chdkhoPcqJ9PFbD
F2MwUqCL8UcfLbxh9hNRg8NiwMpEm1Ccazw3OOOOSsYYHzQstF5DypreUKgU8wMbDpfWlOtQGi+d
zM7EJWyjVl5FVo3LVOkpelUtRFpC2RIKYsECw0bFU29qR6GVku86gsCC2ZDD5r2uy/CWmjwhidFg
CvU0RjxECvIqxE+5sB6BH76mpk6+S7sFjHk28llhF4sQSBkgt3oynmMrHRdmy9HA7Lf2ANDPIopJ
kjmyamdZVVLWVwQnNDFmHqVxlU56agu9WZFUdabvfzRC814PqFT71uAUUrmHoMweB5uZGCmo91Mb
b5PQu0wF2V0F6rRGuIiGGBg5alp2BBThQjrEcqRR5UVHoKZb17De4C96a6BF1wwFNbJUGhTBkN/5
4juuGJuRW/jHinEtN4iFKXmdFG6RM9HoyL4DuyxWeqXfh5ill1lvs0FVaEdaZsHBrGiR7OZEFiIC
a+mc2z1t3PRmUfcwu0JmRXTNjtbPQQ3Bo4LQZLpMLsnvgMqwU3OcVypI0Sx1BjqNeG04HceGeXBa
bTHq9s0lbgjC51EDFjdI40PZxXEK8nVuW29W6+4q2/hSXvE8JvpPHZqLspSXNk1PWjG9Eulw4/l6
0Ng6nDo96cFAR0hbT9gcsqC/tS2b7aTFl7E3PuvB4Z62O8Nkzl2Gf2KHmbyhT7cGHc4i8OyfKGEt
oFqnwjiifkMzTQR11O+YABySlvUwCALayUjsJsFUJlu3FWZlzNwAboOV1hiflozOIcPbcfjoWe7N
Kj9zlHzy/OKmJRbvHCwIAMcPfaddO5wKrk2GPUWSKOlKOlP/GuZA+/xi16d4DwLvFrnfZP9eCRPd
GfBRVhNX3+L4F9e4jP1BvlSmcWuoU4oQc/NYviVRdzaxVuPAbNFhMrxqacf4nu0sowKrbNO9pV65
JvPkMUzklpH8mZ5NNK+BZxGqB6u2HuugIgU3rW+aUg+c0cdlUtfc7MSj74F31HbFDQTcrcyHD59h
o26nVzIbN35XMKv2cDHlUwe/D2l11jNCbtqT1XlXnpVTJIxtBHzp6IcShkAy9Jt6LJ4KdgMvE1vL
bNfoCpYTKKourr8IT+COh8ODa3ecXaLmq0Axa/nyLE2JBZBJpG8IwmvRqAt5cZGTrQfWJQ7CNA7Q
gBliPOUxuXYhT0rh08iIXeRJwZtGe1ZrzHsoi6ATRzz1NqPi2EXu4z4b+EdpLwVnqUegHr3pEHf4
eQAzvHd9tssdQc/XRGcNQLgys6vfswNEalhGIaLPIjlhxViWgUJPgaskQalRTf671KpDJWtQOJzs
ScFaB0b30Qt6RHgtQS9E3baI4qvnt9eKxcBV1U+E14onrMONagwnt5ePFl/fRpLVGVhEO+vo9+a6
SelSRW6GT7Te4VXH6aixItUPDUUA/8LJyFgXavPN6QCmWdEZv/Pa4kQMepQY63TGTeTYs7qGg2xa
frRze4NtCV1VvBszcBZR8BoMycsIxD8PpzWWwL2C6pcRHJyE6oLO6pW551H3hkPn04iYBUMR63nd
ryNGfnAG72gbM0BOrT34sM/aKDd6TxAlL7DD0E9vjGDpDPMFyLJVK9NDZhBrJONdlhKSZjjXxmBz
Vy0g5MCLEMTaGy127rO8f8HM94L7ex/bhljh2L/gTNoZhbeq3XFH3bfNTNznvi2fWydcyprnt8jp
iwbg8sxXvda+exgXcRuveS5JWfckLizy7BnO7mtijlm8702BBUSQxaYpHhsFio4eNAe4ldfRddUr
YxsUYs8H/wnGHFtGjazeZDRY1Ls0+Eo99ePpCXO16NzaxjLXsNd603E09dexsA9J4aNVsnahVI9d
hZI3Ho8pgagofAsEYs67a3DfJr65V4K4y3UfScbAGUv05iHAQ2YWqLEyC6/x6CPUbn1kaf7A19e6
k7T8h55j3ESsks63jpgD2zIh99pljdJYx4MlENT1X+pAMrCXgnmpZ1Z3qiSDraJgbQhECxkTW018
EUS6ZqF311vRQ5dZW41hkFFUMKA7xOUVK07xpRg+AgHfQi68JVG5V9NAfawVX6ADnBfe6DkPFT+5
OT75HFpBqeYkjrnjra55VD1mNH4g1gbVYZQyX00Erx5Hap7cUqJM0F8pCqEa6JfZoAB+ZB81OvJF
c+UE40p3Y9zn+sAKmq3cOvjT5/ljqiLGVOxrep1x5eFwczq8VMkrFKhdahgrpyeP15tupTYR3a7e
lVREMGMUwDuPnKHDzV32JNDaFNaEvpb2699DbYz/gJfxLYINLeTsJuD0X6Aitwd/PKDSA5HBwuJq
HIqNyJVr2U1QWkzEE6OasUlZJMRGc9CUKz2RX1S7M0KcRqZOg4LYYM/8B6TQL4KSD/fGtyiFfM+D
4qb/ztuZkPSwGNrTzuOcjXl2qGZQjXanuzqGH6NmAvD3l+I/8H18W4chZbjBTFn8dSWCqmWWyETv
EMCKWE5GBdPByTuE5y02Cc109r7bav+AjvsFTvrrV9rIoOD++M7MnP5XpFqEKIIYtmbYDUobH30f
R0w5erMSsAHxkUZFfcXSPzDz0f0Fcpngv6OXwozS9WAm5juBC2bI+sVPyofU7xJonodGs/Cvq1Y1
nJE10T/+lxfXw5jiGiZJBJ5n/Bs7PHKbiOxuImS1eWcyK1uth7KuH5zUZ0WHVXbOCZn7hzv6b48Q
Hzp3CmwH6ZDl+7+YtxkFfRFPsb2bolyAxVal/+RYUU8MeWTUYmE1svjz97/z9/vE0TKYIx5cAwYh
TabfYLR0HJFjGHl2AFwHd3FI801PxwH+Ia72gAuzdi3Gp7XhYpHUAPVNyNFYd8jFtWvEXjkQi1Vh
s/z//Rf79XT/v+8V6LoNPBZOrf+L0IWbk80VsRye2pr0XMt4MrusOymnL7dZn7hXFzPkP7zCxi86
118fytsL95d7MCty/vXpnmqbJCsGwgcZp369BTBc+cmiwPmcrXE+OS++3UXvpm5w/m2AzOLz7AzA
G4SvH+shMT/T0URm2ZCr7C3auTVBOmvqv//XlwaWoY5xw0PFZBm/Lk2BUyLSkio5WAWqMEML7GUk
R3dB2fvoYf9debit/+G9/w9XxtHJaQDpqjMZc39hRw2F2x3rmT+rKIJdK0lpjbUImSa4qee//3m/
3oK/boLPu23OnwQE7xdAzBTa4BWmTA4mSqxoORSufct1i5sSpsajMEDn/N8+cObUff7/DMYAeQKM
oJwcDEfhhWEE+RAUKbmSY9BvlY1K6+8/799Yp/M7R+gVCE4GWRaBPv/6gWHTVBYhxxgwclQ7TuYS
MuJUGMsSBy+ZtMXawjFSpQdXcLzqM4Tsf/8N5g/43/g7vgBtW8NgZ+Z7WMGvuwl0v0gcrNIHIwbt
Qe+zMnJmJeOo/8MH/Yd76bB8slYTQeGCeP3XXxoV4Lm9tOXwO4xkufrFdChkBnS/Kr0NxH7vH97g
X9vT/Ow4Ph/lA9nzTfhz//p5mCUwI7qhts/HnA4Wc27gSRC++jEMdnlHa1JlnjxaDkUFvrn4Hx7d
/3BdXR0nPv/5xM2Zv97MMc2F8juwgrXGGJyqfe6zuCGj6X+4rvMj+esGsjkFnqmzE/Mzf/1OVzBY
RmHD6iha6y9FQtsP0dKEnIIVvbkzcKw8FQyfXv7+wZl/wO/P5cQBUpXtwv23bbFAjDLR7+VzBxre
/8PZee3GrWRR9IsIVBXza+duRUuWLPuFkBNzzvz6WdSTRQnduAPMHcC4My6STVY4Z++1Jcm1KERw
zJRWae1tEM4I65B3nR/0s2nZsgHkwu80YANbi++lY9eN0NyJTlmmUxu0i5Ykc9pN0BtwZqZ0CFSY
XRFw4B9yclnmzUcGQyd9BpZHZ8RHZMuxGGB4cvGH+OSFg1/Kq23YfEuOpd6/cIHbZdIy0+gETbJ4
rvzk1zARBQ6wDLNZnqTPtKYjxJ9s7CN6HRdmZTnvCJa/B8uVUJKlcqabvh8+JxSqca02OtVpUbwO
rfJIrfPyREdNMuk/wsrPE5LfOiSj+YBmNQ7F+DPErf2oJsF5RiuBsrQVbakLH+InH77174UtJnFD
Qz5lKhWdgPO6dGcGDFwhcfJ+A4K7BcG2Of+OzH/f4kGweWI+o78J79KdH9Q/c3itZ21J/Tw8NROa
1EPSjeqpqhvsoL6RoMA/P9on37mt2BlSbuNDt5YvpNDTMRgMEZ8Sr8yf3Apj/tqckPH/H+PAxLaA
QpPiQcvq/V1VCfnohZ2Tnims+B4bff5a+L1/c/5uPvmtbHIpOVSZpANJsZikDdZ2piv2E3lrJNuo
c/WNQ1jqlQcdbI3n4+n/GI4gsxnLzNfoLs4tDfXXPGvH6NTYIZNk2Ed+h+6roHmnZZW66U3yty5M
Ict5i+fHWmsxWypXsvbNn/E/r0fXI5S248Y/qljcdgHt6xn3fR0Hg7aL49Y6ks/tXZijP2yt3wZl
E8MjZRUlNfD9oInlxeY4RgGC1aIExeIOB2YhdIIEZv8gj8RekXk9h/zSfsyMasYmoelTJoUvf6pC
jLfEt2e0IC9c2PLtna+L0C9OjSabDwKS3l8XQPxxqsgTOGn0hrpVj+8u2TkjRoL9+V/6k6c+x2sq
zunMBba7GKjxY/rpWqcdhBGrre/To83pDj/oU5HvPFLKn40E48b5QT/srt5uz6AMzfrEYXGJ2W4F
wYLF2FJtzZNb3w/IDkNEkL3ouWX9aMeyJpozK7svJWJ460AAwVak9oU7l/NL/O98xEVwfnN19sxz
frVafFO+8lWUIJ07WQDnKZFJRfu1dBvq/IQaUWHpttIKMG2KcNi3PKZVrRti10mvuRDkd+l56Ivv
TRubpDRiOzjSWBuOg4xRIUb0GEo81JusoKbpjj14/yktn6IAITdHzvHXhR/l03fOJPyHJg97zuVH
b2IiT1POQmSQaT1Y07GadXBuP2loqIDr3za45fwNBasRmxWznnOPyzjpH0YqdmJntiJ+NIc0EjiL
eIF3dKmL7sv5i1yuIW8vzj/XOP/7fyYJDC+lsqqBbE9sU/d53ZETX+CLMspM+79+lH/GWmzgoGc5
nYOh/QA8KPo5En11zXl3Zi1aRNUxVZCyZJsQX2rnELh2w9wQxBdWl/P3qy/nfUEGcqOGxD+OtUs3
UbObu67FHO31Q7Y7/2iXS8z8OUjWGFPp8KiZdt4/2rrH4AUven4Ho3Hu+1c3hTkjupoeBl8JK+T8
eJ+8bo7iGG9SzVS2VIvxKlBFZVNrKXb4wig3DelO8UrZk3vpgPPpFMeuY044AOrtLhYWxxvGVvW5
5HDxFkOTB5tGxE2783PkmX4wYW7FCHH+7j4bVEdExIhQtIzlvNpmRUfrvXIOhqP9KerUOnlRotYG
9ueZpwB0ys7tx/NjLk8c8y84Vxt4piQycXp8/wvmdatxmOFtjBrY3KAuPP3K1Wu0CVM77cF/uFdt
GhDSlA/R5vzQyz3229AcdaSh25yqlocdOo8wpcPQP5azksPNUZMru6quK05AG2jPxi5TAp+sqCs8
54194Wl/NrxBvZlfmOIcYUbv77wrgN9xBktPNYTJVUU6wdXUg2Vu9Cjd5o726vVViifHBg9VueJC
wfOz5873QsGH27co974f3ZvSqvKgLp7KxhiuAh+dR0gyIwWD2EcPH9wh0RHrOFOXYiM/u23T0OHy
EzzJtmmxePuhPymjd+yDPqlAo5tsYByovLj6auYxDJteZOZf0DxBsrIcL0aqEfhDeGEd/WTeIPab
uhOZt9D6l+XeFAqPb0oCyhPlg3bXkemVYHtwJ9s1RFlLXpgSP3va7BIt/uGoyS7p/dOGcKlXpBOx
T4yS9kbFEatU6nbOQx0GWbElrMCytvaYdtci8Xrj/xgd1ypOGMIQHERF70cf3TGuQQDitsoiQLiF
g4+1TbRtDHdrjwhq3HW4end1GY1f/9MnNpfVJRsVkymaeQUZxPuRCyt2B/Br7cEZRPlAwpwLTTgx
oVJoyW3MFnLTZ6BGCmeqryoX4Ob54Rcr0Ty8w26DoqtydMeQi8cuNCItGD8+WTmS8jyujNsJJsl+
pBZw9V+Hwt8/731tadHNWO6GrCnRTdBQ0clNFd25xqX17saEetm2OJwf6u2y/9kEclt0ZYhD4Mvl
RIpE4f1TJVa+m0xXRCcjRGcl0uZPEJj5M6ZcNA2oWVNpK0z9hgU2ECNzpNQ3sg2tTRfm3YVJ7OMT
NhVRF/xDacxRy8ALPFOjUcdDfArKxGD03nlJcItj4Xszi5+/8Q+DuQYfLLs8iy+IbeviPdbtLE3M
XJsONeePPyN6y2+hViXf0jG8uLtdbLTfnrEF5oYZmDIj3P33z9gDRFb3VY1NLSK2p1Xmr7L1i2fU
KO51Pch79I64DQDg3Plh9BMsLubthJ3m+TteTJZvV+E4BldA+89gx//+KqyumvAYqPgEznRcp2TK
Phq+QG0/gGII2goyMXEzGz0YqpPD2nlhO7nYEMzDM1uwtaJKRgdyeeRxJj2LJ+mTuaE1zVXPn74l
RdqgvBvEkxhyAC+N1v+3uZk4J6YKqk6Kz8jR7WWHBqTHJGiSwR+HbB1uykSIJ3IFrS+BImEKecuM
3zn/mD95sagb2JbJckAej71YkyxmJ0WKXwqskvSOmJ0fvEsMmXVlexfu7sMjdW1KuMyIijI9iTiL
DTrpLKgHyMI5yLwfnqO2Y6hMVfu2rfsnLzXE89Bb0dP5+/s4Y7z1NhXFa10Xzocmct/XyDxLK0Eg
7j3oNVz4ssJbnAZ98hPWkHZARRQ+yLT7iz1aeykN8OlOnlg3eQAe/fzFEMDEW/tu/uJq6MRQ2OQQ
TwV/8bhJ4EHBj4zv1JeSKMPQH/eEmSSb3mP1tUcxbDQ7mva5rnd/NAfoWCO779E4mF8BXkxHwnkr
HHhAF+IUY48ZS/dBRS2R6uAI4eXrVqyOZAA5t1Ve1XexbiEEEZBzlfTDRwSFyWMaxMbBrT0SE8x4
OmWzXTlKHIljaRyv0pmFGg42kr90/BHFVFrtzrtlKyE3QKFOBlK3TVuhMZxCAgpSZEDrauwwBqSl
8X3KJRBvsBaIlBFDS4Qzm6EZvWOV1t0Bw5YG8rQsv7TtEBaIRsjqZafD2telM/XcrzRwf3ZaPOUs
5Wt/VnP5KsDDx9lf+8PEj1PShAQ+eDOIo9VwRhVmu8rGwj55IJ1wAcFHhUA9I6H0/kkNWvbkOVX8
00T0CFXN7sZTmFnoY4ugynaDCf9vA31J4HHDHhf2pvNodzWoR73u5W2gxcVTD0obNwJeraYJBdLn
fiTyKiuftBwCEtUPRnT9/BgWFf4+D/vVgTIJMBDh/fWRmkGJmINdRpvXr3TKHTqJHpkPm4cHu9On
v70zlvgZlLox4pTdMIqDCYl7AO1A83O0/lb6qIahfGyFAoqky+F17EG/IHRun/uo6X/CdKK1Jwjb
ytEHnPSSV8Oz4madB1UKiymujwDSezYcAGsFi+a16GFaN8gK1xwDvGFVZF63N9JQ7Kc401OcumZ4
b1PI2FZ6lJCmi0qx1WP/2qY/sZMdrGyzMYJTHNbtA0SueJ2UKHVCEyGjK+XRGQLzSHhEegoG5hF0
1tdUxFB6moiwjBkODiERoyh5RT+Lqq5e0oZnXubgBW0jnlZAh6G1mUSN6IUDuhL+KaIxlPuY8+IH
wuzRfxZFUBysJvvT6hBSZerN+j+uMyRYYetmfXFPZbw8dp3m/CLBFADOhLG/XZtF21/7wD6fNMLS
N26quV8S2wUtJnPbwpsGxy8OvB77oFGerLoYUEOU3a0zht5WNtXrKCr3kLOXXCF8iY5tRWeapnaG
cWvyj0YyiI1s437V2Wl2x2fY7Z0aYHjFzI95PQeBCpf2LtHT4Q7svMUtT+ip+CLyu24wddh1Y7Or
LQrgxCbhwwm9DshWbaLAUSl7uVmmFmqi+dN1JXxBEqme6Q2Q3jnHNMjEHA4UWig9y+C1dupfRq21
eyvAdGgOYK9Ur7SdLb3pXvcNcSuH9hed+ecgzsl58IPwmBR1u2vRne4aJoIS3TlGCa0cw5Mx8+Xy
DOV9nAn/FxAD1t+C0MHWyxq6+f2PggygBz9B1geLc2ZzmygNsqYJrgzPtleaOaltTkzECt4O1P5G
EjItmemCFtfWBGuD1NMtnqg5ILx4RYbfEcXg4EuswaNBUAja68hzJTNQlhzyRjXRShfhU1Tn7nFq
y37daDpOjmj0bt0o6n9aKAcHjKwOTPCuqTedHPtdCFl673SetiFLHMVbHBFQQ+/4Ht0G+GODVuh6
8Gt9I8ba2eFb/mPYeXRvpBFGO1e1VPj0b5WDuXnKYu8uSENor5qQV5Yzu0lBLL/YfT1gQU9eesNB
y9vq3iYwR30VJDF1DE2aN1aBOUb5erNuQ0hzvRuWR0/vDMrW/CUQ9gpSB/zhgbiY6G6SJGf6ZRVv
VT3numcxuAJaUPUJ6r18aGXXn7Leq5CpIdRzcyKyMq/x13GI/YB0tIk/KmYMDCEbQDDhWtZ4dFIA
01Xrq7Umggf0awTfaHDGH6C0mdu6dvLfTtTpD8jDuFL4HUfHptuLHd/YkkCinxJ9/gyl59g//L6H
nRGwQfSbiayu2MCkS4LxAQYyoQljhjm0bOXWzPqnPKs9ucqJQ9nZDZg+K5gUYSdRewL3XO3awY12
aW+FGx3w1qGr22ZTT55xNbS8JMYU1CcECyh3XM/YWtYw7bQeUb3Qm/CQJko/FC2tMC0exQn/fX4z
6nkCtAwgqAsa51g1nUc6BgGgeip7/jj85HOefyNeq2moIKyiUlpFg+t8w6lfgRAZ800xk2GcJBGP
Rq9hDcrJLA5J0nvIWtQsVamrnecQnmIVdOWiyawedSctNkSbxYQL+xFWPBK9No5WjICRmaoPeuM0
0Ob0DnR8X+56YooRQuc6dpcw1zbYrWH6kti8GjTX2jrFOJt+TbGlRm9s0o74jBEhK18Uz60OInUA
vYXDnSAGcypwEwfI0skoImlExkGzs8emeuqiiA6zj9fENbUMl4KLwQ88OLgKQ3wfCQx6qUizxP3U
P8qmy65R6D/ziof3kz/7bohgOQooujsrHaz7Smb5FiRlgmt5jOka19U6CAfni0Slcx0ipH0wUlm/
NJksV2MWjidKYViowfi4B5JdigLRaxxtMiI59jLIho2veTFLKzNVm9ckB1h69pIMkXrhUAjqu9c9
SDo2guv7EJrQN6JWgca21bjpe1b0uEipdg8gG3FVVPuUyPp6lSJTQJqNv91I9HFDB204OrL7GhhB
eRPmo7FtCt4eh0X2apiyDtM0zr/OmsMTfW5tyAb90FOoPKRe3/EL+XSWSrp+V04zqd8G4OxTK7ps
543lsPfzzPgGSM3Y0XoPdlFrBXsDdsQRSBL0A5ekEmKqe7CjQw1QqC0jdgxl4EJsRym/dkIbqgZ3
9MWtRfzE5lDea1EFcNT3THjHfgZs1nchbo9Aw/k/b91Ek9vEIkU46mEjNzTkjkEt+nsXfToMFjg1
wwQwc5pKtWrsmoomBYsH8idgCgYR+OjYGw+OqlOgoEjFRQ9o39KgH40580xtpfpdP/jZjZYWGsRE
KHZd3ZECMGTtxtJbfSVAsRxTck6h3jn4tH0Tw1AroiPEIuyMICDWmfRJF9YSdR1THP9WzJb5qk1T
OoSBuq0Gtj9FZ7kbUpWMR2s0uTTXy+9Lqt5bx2nLfTg008Zs2NrpavrWqJ5gKCUIchkHWGwob8Ta
j9LmzugNf0vVk/IOhhWU7WRMWEOoTlMJPBeUY0IAYJzsmQOal4qgjrVfAuJFit/sXJEYX7wyxW1S
5sVjh1+RBsEgdqVusKzUOkQVGBFAMcUIiLrycTPm3ZPkQHOVlrA3VxnduHXjF/1dROThrh+mYkt4
klNAKZDQnmcJd1fF+kvXYbOJQCeTM5JY/VXaex081ykguRTGydSCZYiHsNnQrtC2ZcIcLjs3f6Q4
29yUouhv+qIPrpgDiBHi9UdiCG+8LoEIkKnuv4JWYm+lEsO7eatf20b9VLsiEFvDTb190U/llRkO
gJVH5bT4iWlbrUN9Yl6ZWvW1c2z/jle32wPzKK4Ho+MdsGFJtjRftpkIJEiUAmcKBA5Sd/LA/waO
BNgEFcB90BgQiZtMv5YCIWswZGJLPki+I3+1WIkJlBqwDliAfcRdumbk7bn78SaslHFntgBJSP5m
LZ9qsXVF5n5n3vSmDcxBbAuYe0AhqgpYoJccRod4poTFcytV0kMEYG8RmJDraP9YB6lNzoOWJlDP
9JSWARLYp1jNRwQ/4VXDJXBdGgrPdT8wPRnjNJPFiWktcLwSHxNMTGZmJO5CxXPS3br9Cq/XDdaG
i8O5tKv6FMfNtO7QTO+tKuYYqVfJa64BZk3ixtzLZmYjacCO8pHUKor51oz/GTetTK3HwewCDqRl
tbNRye1ieKSHxsue2xpEPTsn5wpgZMQWf8x2yIO9fTxFEVsvGz9cl9YwPJr25JgmREZg/HiQdAII
nPBOKwLnQJxi+wo22QOwOMIFCzw8KZNHrk+IW2c9VU1N3s5sPo3rP/C9rL3TNh7mvYAoyNwKtj0z
AzxbPiYddMtrPyBkSOcJy23y6SvrsPpaakH3rU9ZyJOu7e+NytfuAtuoYL2RY7TpRHbfEIi6sqzE
2Ft5Yd9ozZg++R0m2tGqWKoVeFZZeBF+Jav4QjHFYhHEiTrGAgekld+VWd6Q6DNn6qSxrt/ncSS3
IQbHVWi1mJaThNOh53dXRQTEXtYcCXM9y35xSnLBHgR8MBJbfoBSYa7ve/CosUK6kTD2PX6pajUB
UqEIL17iuJxF5pmb7oMAGygwahiBMfla54//i9I75R307DbqE87+c+thLnn92w0lPII4US08icK2
v/hll9/kMTkLFSERazeAdHZ+vA8lNMYzKAPP0mfdolL5fjxoA7WNYds+FKyPX7s2D2+plgb3UC7w
Zvk0AgjbAeUTk8z4TAAjheLzF/DZDaMrd6SC/EktXL2/gCp0hVbOfIUEb+s2jpG5k2LhwsYZQtJx
BP2NSyqpj/Usl/h1Sj2C9ijq60XZEFu6ryeWOR4svR6OPbRLdgZI2DBE6+YFlc8nxRzHkXTPcL+j
F1s2kmx74puRlUfFRfoHQFrpvY+EGVMi+Fi3mrIDZCHvQvfqs2fq8Dj5bRUKI3NRQQLL67WwT8Wh
VcjGN5JT+2tkwKZdjaVBJPAQaffnf8Wl6ubtvZ1znSntz2/Usm9FyoeRm6USh8odc1xn9TDG31Pq
eSSa92Q47OIqsvEMJnBVtprPWXEdiSGM9gqYj2BT0fQVraWk+Nq3pvsqsWdfsop88rPPlVpLge6g
yicWr/oUanURVaV3KNBZAulMJqPeTvj8/tgajtYL7/WHoiK1Utp3pjGnbEMIWzpT/JKwuQzz70H2
bY8KkkS/Rw942i2QtPJHLIbot57HjsS12lT+luAvEABdngaw5UHnA2tqCraB53+nxes4K3Vt6XDz
tH14EvpiegnjaUjYetkgX+X0qkMh29N2JmwrVnH3WNjE8mBHw8d0ftjFLPM27FzRdQmc1xFBLcQw
IY01SX6Tc2S/TcTjnICA29HYTV5V32YeQs7KSWOcmE5JYHOm788P/5lgk3HRhDG98nMsK9hFGSDX
T4lbKqKa800XyuBalZlbbRw+vxC7QDLeOKHTz4f+fHqm8MfuRM8SkPLpJAFSdH1Pv5vsoQuX9ib7
+qfa+/ZoULEi11JUfKl7v5//0rbtRJq6aEl9v7TBCLJJWLfIDDi+wj362na1/S0EW0P+R8vOZkUh
BM1ehMEWGBUBjDDAnFvUazGwdkMAf63VAPq+0AkOps0EiYd2YsomZqxvfURTEOLZGX91wjnKzWiA
Mq3iKujggUbUT+JM64obuIDmwFZAJ67ZjgesME0bOg957YQ3POI83naOL/dNOBu/G8w6z+GAghGe
SBoRRcE+AgSvl1HWMrMxBFSSWkG+bQOUhnA3LAaOhjgviTVxSp1Dh+ZiaWtn03ZfXZAXffbGA9+h
A6fInKcN9/75DoWfkR/HGzb2rNgKOdrRKmmkp2CQrqNeTL9B/6kLjd3FVDP/qI5ucPjghadPYyym
GoS3Q1NlQXSiMqkfTatUB4xL5HEqqjzn3+3PhprHo2uCUkQtFxgfGhgyy3LWdaoYyKiasiuOpma2
riayvrbnR1vO89iCaAGZClmlbrGXXwpSNB3OxzCy/XbrKIG1KTguRkNOV8hATNc09a+qqMsnos7U
KZJgQLqCLThq4PYWn48PfrWjIo/H6EIv7sNjcFhgXUEP30L3R9fk/c+cp2ONztwjdzUDprUi5NH5
UiV20KwsMRTP55/C/JctvllXR5ljObRALbF0Q9ZdRXpDR7UTnelvWXLoHCFlB6vSDKbrHOUw8AV4
dfAjLjkQPtwmPql/R17MFghVOmkaGb3tovLvYC6OGe3NuBpgMLaldWHa/uTbwaZG3xAVjDRptL5/
qGRSe3VVuuGp74EGx0rUmxaq5BF1ZXqayLneAsv4/t+fLTtgyf7XQby6lB21vpUVsSQmJdKN6lAX
XnrXythaW4RprDuOlts6yIOXygwvvdsfnq2DlH32zbDxthEPL+6WkBTC4RMZnxwano9sdNQuKVvg
OT5k6/M3aSxfIN5Wgb4IIbZEDvz2lf2zy5+0XCUVYVNHrXKrI3AKeY8+A8PE+WE+LLvzRyFmc47i
iSKaf//7OcDTqKG38Qm0jY9ZNEnYmo0OuY80y2O9xcPvV7QTKWk+u0Gn/5qSuHg4fw2fPFWF54k7
5b+5nMXS35hWrpzS9084dMrbgJIKK1RfZLcWgJdLAsTlYLynKBKEgf7XwRkiF9sbTSA/jP1uFgQ4
1q+YYoG2Qpc80wLDWv4fKkRELYisHd6FWSj1/vG2vSVp/3BK71qld1e9NUgEnU6qP5MzksBjaAP/
mZViePlvj3S+S6YB7GxCGcyrixc1N5zY6jmkHjq91m5brwvLdam34pWIPXHhTf1Ex4zlaN672cz4
7N0WM47fuY1s4ZScJlz72goFWHulqMJSgNcCavuaNVKqqeoE03/TcRIC5GYAtDeaQl441nz8dU3J
Ci7wTBi4hJebV69MOrYnETHWDrKlVZPTaz3i4qAUCfTG/a9Lism0xwLH/peSr/3BBhK5I82WBOa4
ZmZAzkctuioyWwO2Pk0XdoEfltW3sWyXqv6s2EfZ8f5VQkvrObzZySmKJvtYt466MTlDHYlnIiQt
Ir02pO46FzgjPMItsNo502moA8pbptOtjMx8JCZ8ff5FW05T81WxxiOh4miHMG/x2zPBa0apZAyp
01d/soF2TDPp/s/zo3x68wSpMFHhhVEfrCmpBGyb4sE+zpMmYPLgZ0I3baN1LvcuqKANAl6+aAU1
G8LcXo26+Vb1rUNNqpJXBpvQTeHXl9xGn71tpivRkqFn1vnP+59kMAYtb7UmPWlZZx5Lv5yOEuYB
vRJzvLB5Wa6z83OmkcLig/hFckJ7P1QeBHSGZitQ4YbeE+zNdItANHzs68jeCUXPghzAS1WQ5SZm
HnQWMgt+11nItHjlMk9E6ZCI+lja5dRsCbPQXpuSuAGLRsPazgh+dWUAAtI3O1leeLM+e7gcxHFR
mzbCT2cxdVZBYw8OCJKDDXjjIGDV3ohiKKGsYSQ8/3pdGmqxJjhBxy6O/LbDVCVyowKbIIUkVGRP
Ft3/8xnjmeTYj+Iebdjih+xkaMVZVjTHvGroHZvKsySG/b74IdoexHRbV+R99HivVtKJfXubTCZh
bWaheeVWs832WfQZwfIKWn5/jNg//MeDyduPjqCaEiM2dqEvvujRyjJvauvmyPaj2SKeMw50LIet
7lvO9fnn/tn7ZSPftDD0m0iaF1U2DvwlcaQFhio/S5+TEC7VYIcO4XnAJ2OhtesMKc62qHr9eH7k
z9YsycEKIRoTp8ty8f57MgeUc+5U+scgDJqaXQ6SjrbH+FCjZStoLiTdj7S5mWjdts0TPaDO+T+W
zbnOMpdwLR7B8lhmQZcMYs1wDorkwIdKVYVcl7alqTUhC9UPT5nuFxGn7Z8oqaIvgw6tqg6d1fkH
8cmrT+EJaeIMmmDTMM/v/2wzMwPFUtZAhaFJRUffRMbgbTzDx/ROY1TLLz33j+sFmnGH9RlRJEvn
8u0ye486GjLCY578hf9S710amSQOSmhThfnsJ7jDLegs634ODgQpQG6DRuMv6yyH/CDHv5HpRdvd
W3Hn39Ma0xyzJYxGJnJ2MEsngd9lAYJDMzqZRVf/RCzk3IqxB+M/mPD/2YYeTQXlVZS63Os5SODU
d8DMB05OBEj8PJU2pSGoSyAq9JsEwiGsG4cmuYGlrQk4hmQ29DHFNnc7VeDHNHf60qG5WhUuwKrS
qSU5UfWdtJPvIjf+9i155NIawA8i9Nv4aeVc407L6SUpdyvAVvm29VerreB7l9gv2hB9Ab9DAGIg
fsfW1G8JMlMzjG06Fno+bbTM29D1+sM9xtvRzv8mssFnLJ+TbA7q1qf72vAlE3rdP2pN98vqwNVC
qznVdcfF+s6f2DD/yK5q2Jcnv4x23Id5RTrCyKLbe6TzSbNrV0rBSXRG/bWmNHTwCtntU28ioKVU
zcbNwm4zeg7KhEa8RlXsbzC8/RrIef2CMOsWwgo5F2nwOLYzgtD2xyu3MMurlnbHicSk3x4r/Dqr
o53TkYDjheTJh3bz284hQ3U1z6XQEMLDwHlBExevwkG7qrU5+cuSAYIpwhpGO+6vh8b/2xum2pPC
AhjfcF/shoTiVVJJWhhlQpeHrvePprVIc9OSdC/GpF8Hon4QQeSSxGEQ9aJSUmJso70ClQvNSpGX
TjoJ0E6+T/jC5KFN2c2UeX8wmt/Ae3uOsuSLbpI+YGXIk8ziZzuAZhqc4klIPLWJRSue/DKwcVMO
1SvObqSooDpKp0ZZCDAbwY1/DZ+djppNVE2dwUhj+iaLqLHp+1vD72BK8vXo6ONK2AgpOlUThk4A
7J64pqfSR9DOOmuhmIleWzLy1tmYHkyvp4miE2PXxO5XjCtyRVrIF8uQ3rVsAHz3ZJxka0SQ/suQ
02ptZGOvUS+VGzcaf04pHoh2lN4aifVdlyffyM7yV43lVUcStInJxkHMRG6wcunIr/2+jp9R7X4T
MRq0VVkH9Ohoxa1RXilSBQxtbfltuAuL5qbuJ3rKMFxXOsrLFcdT0oVGAEqWOUDjDIJrV6+8rQun
eev2/XdSgGiRK/XNLB00SjbhO07t/tZMwIVuokPNlj/EKBELE2TIcmp+N4X3ZEq/4JOsgr0/GTdT
AHUOBQThUOwy29YT9ylH0rUSDjwDmz69xGoj7fA3GcN/cqBfWxFF1SNtYBruE81eMaJUI46QYuck
+B3TJ1e0j4aF4s0JxW3ZZckGjNm93xmnzoKvCNQVyyT5u4lXfE2j4mdaRH/HRqOhnbrbcrTELiky
YhDV1RDZFMaboN/lsSqOyk2DgcpqXKwTwrRSn6knDv3qNTBgqhn61G71hv8FfgB0GJpjHM0YFVvj
hc+a6/+wmV790HtsLPhbXtKJ/YgAZI+YnfpxYSAuCaEmwrMhigJ3FdJxWn92cBV05cvkmsldKe1D
KnGhjE6wD6Loa9vUs+BDXuNaf/A77U56CFH1StuXoBk5hGTfB1cHoG7b8Q9k4uFVOfiAQXVRnCY7
EBvAgMEmKeGkIRT4XebZvershyYAVMtu6opVo9jQhhfbONFPRTv6J6/qXzuLmwmSlyQGP54EzVfi
hB9KBK4AQdEyBXH7DHMkMVdOoNS+GmfBZTpd9TP/drLFk0MmB1H2wb5W1pONbeFkznOLZ5fIjN3A
WUMVCXeKWCBWKMJG9LJeRxarQTuHQxYd+dlM+KTFzRkMpVd/yWrjJU+Hcuv3EHDN/obawF3Yo79x
iN8azExtmvnbCmsMKF05ouXlInel7/5JkW5s9Dh8com85Df/AWz4xpz0+yIvr2Lg25uuHuLNmLk3
pTFm+yKw53p8+dIUTYe+Vvthm1HyEJr9U5MC32Zf3l0hM6OY3jqkJo6EMFJpeYKzTFqQrm550/jI
HXVKmxD8MFELq44d6BrkB3JTFGV1Os1xAHw2IwIdzTjJCrp8ygqF5UwTSNp6b68n6qdj45j3wqrb
4hp9TQsruSKLl6pvKQhn11CAQeLbOvG07ziSPRK8dV2Z6YHGgSDD2ntqDLCluqxveuIbvnq1BRA4
lx1pDCiEt8JLvpusEOvS6r4TJAe/OEAP5cJuQ2xTXFNhCACghsYaDUFPIGfpJ3vT5LPMNf8Zftd3
YjKgv+r+k6WalkwdFBK5Y+9xDf6OZEmc6WR/d/XAJjOqvNX16XrokHnEAKGPruZ7N42KnsyoaI8j
YcobGrQhnSrPuymb6meml+HRy1wuQYwPxTiOcx4rK8kUZNdKEBloQi3qi/CrPpKfLZrklXGpO1Xe
TZ+X12Lw7tF0RkeLq13JsroekEZuARHoG9WV2UNi9P49MmQd/U/01e1sMsMsMm7O7wU/9MDmbRBn
Wdqz7Akhpyw2g22E0AXil3dQZGgTSxBr6k86zMFzOIpysK5FPqD3UEZ7GwA7juYlS78TOi7l65Zd
nXWI2FfDUC8yp79Q2bHYiC63aLRLBNA3is1sm99vVPMap1RiNxoKuiG/KhDZFXdaaSblYQhdL91C
DwZheuGBfDx180DoF9DOwEyD5uL9oINygba6RK23ihfbBY8UvYxzxquKHapLaUF4kZ0Q8MdOYW9o
JnGDFlzPKWpiMq3IkCLxkhAd4WMKkHG/po7RfT9/jRcuUS6ei6hwOui5S1nI6Yut7/XFnV5QWSwd
k7gNmgGruBua2/ODfnJ8mh+MYwrOT5akwvj+wahaM/7H2Xk0ua1zW/QXsYo5TEUqUGp3srsdJixH
JjBH8Ne/RU8+S90l1X2ze8suUyQBEDhn77XRwao50og6JavBdkvMXAC8h81cRp4TzIVwvwDTTdEn
Opw8niFmJc4LFlEvvjFs3x5h8AtqtJ0shxK2c1kosPjkOFPReYdhnsrAqkr7KGaDbMIJvvb1+37v
YUO947ioY56zrfXP/zktjU7aaIabMgjLQlF9S1/goOXp2HIep3/rIki3O7GdY+Um2ea98U+R3tTw
dGprV+D80jRVFM8VnhMqdi+H3Qw19wfYY5IuDEzWG5RImfFf75ZYdQy+jurQJKAUs/6kf+7WQq+R
5YMojnYhojJovNgk2L52AKFbdbbgc4kIdSUDY77VlXhbGPhLPqSoiMsJ4c/Fc/ZiRdL6kBk1NYVP
Vkp84+88scGKFlXyTKgemzYKB9+Zuc2NmsR7o4klhmYWQD0KAxc1iW6gZRuVMjrgKsycu3Yxc283
tQnb11Rt2JJfH1HvvVbHobwEFGFVg1ysMHSX1YUwaDfU8XF/YPkUh6UuPR/jyYrkt7v99eu9O3Mp
WVLT80wDlOJ6//+8VG2mSqlLJTmaUZatBCpKTl4CDxGrYhFmjpf7+JmUhwX6x8PSz5RFhFbdGFnv
PGRvXclpwzJfjL9csX9+BFpgI1OTHkZiXxK/NRsirAXxnFr+n1t2fNM8hsFKerE8FN4X7zO162EQ
KCvD2o6Ll5mwB6ImGkKHJV6BGy/z8rbofOsG1XBa31jiYZSeP1tzgcMoRsOjXWdpeOENXf4Yss77
OBVYjK+/yMulaL0WHyRbQ7ICyufSylv0qlspkHqOrZp4AfrgFDA44VX9YqKbmtvfpQaA9fo1L6cl
18Tyz/aA7R91WfPiW9PqVqoh1LL35ixqcqcWQumXuApmkMWP2Knmn5ZbrSWOIj785yuz4K4yRPQL
4L3WX/bPgAHvP+qKjDiUoQhbj9h1GNucTDuJ16sYCR6UQ0+ivLVot2i+68L678aDmwYURSsf25dO
9f1iAFF3Qr8RG9EhIorTCsgDUZ3AaJtbn7H3rwN+ko8YxbjLT2qUJnm9LHN0yCqETpu8gIu3RMjX
b7zEvzuCtzdEv8KzUUNQ8zl/lrmCchxJ8bpjsMn21Ow4YCGGBVcnT26TRp/6tH/SzdLcz+6UPqdj
5N6Vo/l4/Y2+f7v/+xUX37NsQn5YkioVDqWn3Fmt0T6acT1+u36Vdfl8c68GKgGLVroJGu78XvE/
O26bKnboZcRQmT02mxFI67zRBsPaYcxi4z8SLabOrXbvRWSnXr/+O7N0VZQBT4DIzMf04hNqJ5OV
AJv1wmFKEaWDTqBAlpGtlUux1SH2UmtdbrUzLh+txSVNFncaznBorUvknmV1ScsXs8REWOE6KrwC
/ybYfpltr9/d5cdrnRo0IgH6oFtlS26cP11qI9IQZrMcWumYUDURy352K5MEC6tavuKhieTu+hXf
WYHQStFt5uMBt0G7eJ48ZzEPFkFzUFBIDLOUCaS3ljn0epNSqn8iNFXDrlOUjsNJK4nbuX79d+4Y
89PazTdZBtEQnN+x1nbOZNBZD52u+eBUIxG2fLMOORbLXTs5N5p+t652sTngIO72hGoOBxDHXrlz
mtYgQk2pKWapurLVJ2qTN1aHy7HDK2VTr7L8MILW3eb5DZqjTfhnN3thl0qtC5RIa6jfsJn4df1B
rhPvYmKSX8msZLDaHuCx8+vUHgeHri/F0U6peWxrquTfWCzgJE3ZUn2/frF3Ro1N19wkmJHZ8AZF
wdkgH/sed3Nu9dODcJMJo15ClklD1K6Jk5EcqDH2kUObNx7ne7fJPNRA27E1cC6lEWmijgIQYX6U
s+v5tUHkrGGM2seyJSLj+k2+s9QBXucktK429KQvJmMWkRhIXiwZgJz/ZixraVEFJUnkd9JFaLgR
bLnnTWzIeQibqhjNYOjr7NbX5Z3xw37LhS9i2Ggq1fWB/POhnhRT69vaEkc3pQ3faov2ZOFnuzEN
33usqIVoT/Lt5WBycT6giE5oFFHCh0m4y661Kg92JD7R2ksw1l1/ru8s4YhJkEKvZYf15HV+R12E
8pvo+orOe4eAduzb4SCdBqkQsDQKR9OsjeJkL3b95fqF35n9dL3Xox7gIRhXF1ME6zJsFUoyx9gR
aRCppU5mR48FXNEgVKaklyQ3bvW9x+pisfBUi00WDuXzW0WMOOc13bdDbSQYjdzEcUpYwjpaHYU8
g/+qHWQPvOrs0dHBfeA4cnGDhWcmKU2SIrRqj5QkdbR3XgSsYUnnIFm4u6iu9P84ctZrGvT40Jmt
UGBnfQT/jE+EGjbLm4hCMB3NvWZN7fO4jP12zgi5vP7+LgfO30u5aKL4XjEhL1vMMgc8RosmPyoa
XrAxGaaAL2KyncsEiGBEz9VMCdy5ftHLpW69KIYzcnDBz0GgXufnP/fX0amezcItQzaRS7ybmimv
D8JkhxywpXdBMLuD8wXDic7Op8hS/fX69S8H7d/rm54KswrAHzuQ8+t7jkKMuSMRKKFegHBsV6SE
W3I9u/dF01EP1lxR3rjp9560ycrO+q6x5bl0KPWtI01c5HPoNd49GwBq4gU9J1mxDs62Jg59zK+4
fqOXc+XvjaKwY3PHAv9GkEPIR5TEfeyGg2n0RIdPRW5uFXzddBzVZahv3OLf7f+/H8w12INJue7Z
Ob6jNzp/sDZh55Domyg02qL5pqDkIlecz8gn3Pkkm2rWEKebSUSRHZgdxpNNHznlSMN0BnzSyqH8
Lbqi+mbnufZAvmr6OZ0a87Or1dXdZKsFUeeJsnRBZKUk1KpallYY65TO+qFMZZoEdl0l21gMyg3z
k3X52bp8jheLgBZj6W1sLwoznMnDGi6ExzkrrAEp3ZSLHyJXaP+5vUL6oeIMMgkVIltsMqmaBnNC
hVu2cyISHCN3+WDHmvOjTCapbiytGprNSIVsCcjqqcxgsvsp3SqCzu5mSojShRxhSyWILQdetGLw
DAgr9TBiDw7ZWVGilkHUyGKhxQAUg91CbTKF2zXeZ1AW8y6eaiI6nTG1HtWeyj9Nf3X52E92Y/gq
og3i+XLYpVt7BcTQZRmau7hQYrrv+fBF1En5MMg+dQKr8/RlV2T69ClSpQeYPpcE/CieNlY7245Q
eM15Vj9HAOQfYq2yy2BUZwoMDVWifNtkdvXZVef+D+SEpH+5Ps7/qm/PBx7TSmWcs+flm3BZaKC/
qkgcIF4ollKpeNi2Ob1oQuQfIzg333rEbhGODdlY274fRO5n3DNpY7ZdBFj3ogRQCdg4GM/FByJp
W8KY9Kz3tawZJebcufA2/WzO6Ayqdn4WvUePqeK0srt+H2/nK+sD9TXKtxA6+c/z+aPgR84SLcdf
1Hm8mKasw9zgsGu7eXaDZPe3pnT+yKitUR/GswPumPrA+bWMeDITrYMRoDeF+cdQFO3YEk7+TAwU
WQCl6qbfzLpI70UeTbi1c+1T18ZdFgj0zs4mFjL+mKogX+gzznGYjTUB33PUYI4HuJRsl7xxXorV
lua3Ih3GG8X9yy3cOiNtXJYUXGBQvyECC8OBgeKlMkyqrHlB5Sciv3Sr7NZZ6p1SJBdyWMvWVAhG
1vot+edbVcUWszoGGlbUOrq+oiGgqx7sPxS9ukCvBuQZss4OZg9YozZxf4OOSm8Mi/e+lw7KVWoD
qGeh0p7/BoG7DMVbngJ+KrJ9XXtGmCV5stPHuN3gzdYDYQvjpRcgvq4PyPc+WlR+2Y2gh1rVb+dX
bocBE2+OZHT2FrKaDL1uT5lWUY9FZDHN2wIj4GsfSTO8ft13JsIqvEJ6ZbFFhzh4ft0hyVKiBF0Z
pkQc1oHq9cVrLJGAbhw1YxG7frV3XzKqXQ5dVLbWs/P55Uw80XBC2yqkufpaWOr4jAu0RVWjmvfG
iD5hkr27oY5h0Oiua34EjrYbv2Gd2xfzkd9vqkAb1gbRZU2fhiy1YbuUYW+VZqCuo60uGmOXV7mz
W0T7QyPS8xugdSeQ9FT2Xle6K/HaIrnamG40GN55IpRLsARAn9T+ih/Pn4halp3aD4UMayq4T+we
HL+op+dGl/ohzicD/kdWHohggcPN92w76kl54628HXv8BEooq2zdXjeM5z9BjysoBVkRhayDMNgW
Uw9MxfMCq0g08A3d+GzlbnKj4vfujbOusPNejSaAVM+vGsWNObYKrQen02QI/1Hx21lJtg2YxCCJ
EHZUnKB9qlYph9hi+JJ287C/MRbW6ubZWOA8BXye8ynGIYiqF7deS0HroWHD4NClPlpiQk3VjoO6
F5z0frlpWjobjiWkzQPqsr6ZUW+1fiXY1aLXGvqb+U1vXgXCeT4UGA/XtiItzPOHEkd2VgnLUlBS
T/pG6+yvsU7/Z1GTaDNNJOnVZXcLgv9mz8U1OZiwSadbytJ78SJkzHJEoZtcJUlhbxtZnXVaet38
RBg4QZL60i3Gk5iMhjy+Xou+dhmilRtD8L3fgN+H/awOyJi0g/P7lgvsZr210yMpufKBDXrv9w1k
Ptz8mFZ7OutjFBW+aYp2Q31+vjUY1+d6MQ4wLeDjYkSu5ZmLg5Jk95h7eo7rPs/rfp/1GczVTC+o
qNF+yIB5YAge7iizllhUtRLORClsvfFV6Hv4k+LR+OzpWQnKRqQAvq4PU/uvceLy91HeQO+P8JRK
2cU7csxR1D1pVziHAM8as3yMtfEP/xNCsdq3E1Uc+q5jUKXqxyjuAQn12oYXN/D50H7QtL+TfNBy
r9pKrd9rpbLXkfLYGqy31osa2CT9XVfJ05ChwXIb99gVTlixqRyhJm5cNdpmWntAU5kFRQuxhpz5
/egQX96qH13BNg6FFcnE5O2yeB2g3TBhlvSkD2NYSDY0sxbanDw8MWzllD4mOfnbC7DEtvNeuqg+
TY11mLNs38bSWd2ee3BLzcaI59Pk0dwpq59xZqK3lPFBH4q7pSr+sO/xkzl5LubqpUH/dc+/gaoS
eVtW1PyE5XVZ7CfXLUHuGAFiRi1hahtHOgyPyL3rg8y8bFOOGng7TghuPpDQbeZ3hdP81lP3pdQn
8B5FyhY19QgT1+tt0kyIfRHBb/RC2zoauJQJuauYo1eXSZM1fbhoyM2s5tApNuIHJ/bojtkHxVMg
8tXzx9Xhd5icWRJXp3DyFUUtQ9E10adWKe7b2D15OUpJYMQvWZ5U4EW6FTq8U2drq6TlUfOWEP7d
ySvUEGVfGWQJECZVdM+EH+ygPp7qXnuYE5Snva1+mjV1r5F1t6Gp/EVRl11MdLA7FntCHO4HR921
g3z0qjq0iqLbdAje+9I+eHLYL04qgszSQtOWHsmwHdlMc/O5tbtdmpoRxA1n26KxzOu4PsaKS1jQ
kiEONk5jrs++LRT1DsT9DzUeA7Wv7fspK3ZWzS0lroV8bEzC3COAnHBItUte+qrOD55Rhfkc3+le
dij14iRMUmcrFIjulH2PMoaMoY0/l1zjOCTzIkyTodyQDnIfN9a3ik/6JiJY3Yn4co12MCnlPcBs
jmj296YXH1LQiNAtIFa2xjYdbXY4S9LvWys+YCJH82pD3Sra04hUS5P665g7dTC2tk+q1bEbHJ+N
4c4q8u9A2NpXfbYoSPXx3VS7PkqNnQmWKMy8+DOtrFOUms9ZROKtzcRMC/PLaCm/kijea/FrEy3P
Zakc+iR6MqE8IzHTYLlJ0YWDML/rVrIDWb4mMCF4qL17xSQli/zaNCid+SEdbH/wil/qYvNS3cUf
DCcwJbHG8QD2L0lAvw3CF7F+14phDFzpQc7rdhRgEXvCyLJbcu0L6pXJIgOj7+OglIRDJ7IRu6VO
79yRCBj2GUtM7O8oQnP+viTVU2cbIX8xMLzxMU6XvSrqPyBeAKhBqMun5vco24M6Dp+W1vxg4ey3
l/p7D2DUTZfPmW68UGT6ZsIIYJY/54v90e6tHzr9KJuIaqNTv2S5va3KRPoc7mH4kb7rJQGklyc7
zhC2zsauakbI7urW6tOwH3W/hjK4aOJH0dZTQA3sN8roHQ2hBX1ggYnEOpVV9Uhxel8tzfeqM+7m
VocCN0DW7LodhD5tA1jxy0hRcs9xUztF8/LQeOq3Ru+I1yjbR5krD2NqPhZd3NHXbkYSm/NvmjG8
UAX5Mo3512Zsy4BPqz/BLuhy52mCWskJIxgjsqYMSYB8nwRm0QISc1+8Sf9gZ0aBHCx5NFv7hNIb
9JubfSKpWSEIT/U1d+EFlRMrtwMdqc9ZQVKJTBCol1BIgcbIwoHfC6Mkj4i9Hz4vfDbbpNO2jWY+
KsKBBVjuM4WsXRaYSZg/ta66s2K03UVd/AaceeRwcQQVwjtofFNNH4h9+b6M8ces7k7WTKx1bDan
jLz5VHGPidfsXX3IWSqbQ+/oP6lufMRuuSELYaPXeBNM4ciNOahoUitAz+VzlgMCjUgKn5T96I67
LmcSL+V8hHmFtLl8GaflYLt1G6ChwvtuTw+w5fdNX33mJCA2ipnEsA+jU6ylO7qm32Mi47W8+hDZ
3aMed0+KMvmExIGr0e5y1fiAeeZn7zl7b+gOEXlp1AC3lTV/HFIvmFPbj1XYqPqEWN1ovrVzcUci
2+CbvKoB6pMzUbPocvWZ5JGwkuprAU7rYU4toJ/qwZ2jj4nC8xDjp1l6P0syu3O9+Qqo6qsnJLnT
8knFqVx48XfcHB9Eob20g76nnC0RnQ+VPxuTvs3bameSa41LMfJVUX4u7Qrd6oJKFATpRhEWw3/e
pxKIpFB+V/EQQ6aLn6pm2VFe8MkyHTatquMSGXSUhe4UJhlqwpLk856AV7hpv/pYX8leAc78Ei0y
ImBRZfclWNPEtk/aKphoh2M7YWCZKh/nSuhG5c62yq0xpqcB5rqis7bGRhIgtn0FBr9RaaryVUZD
S5qrj28JT0CqF9t+tD9Wlf6RdZuo8PkAsuYYRZMSWksTxJl3QgVCvp6FrDUfjtkYdXvMSydDibZ8
An9m2E0iVXx1e6PesEQYG1d3vydN8VrVAG1l/9x51QuKp9ciMT701oQFj6VcWsYJhLqFXIe1uAPq
W089bOZG2Q2tciSz6Jnz9X0u1S9mZT9IcyZcvjS+Tp1RUeWrNtgzocg6o9hGHa4F0ol2/ZDtI5cY
34aPQBx9oSJ+KgbnoaG2Esfmto6HB6uctzOonU2EAAOwubUXlvOqK8uWVm9NXXDw4XXuNb6Zij06
G7p/6qaJkVvapXVnE/7ctsMmGqd55xQLaVL8/a4/Qj7b5q4ealn92GrNpmIIZ2bx01OXuw6C4yYy
6BV06vywEPC7ZLpfVc2DE7ffqKyH/QR0FM/HglJDLXQKtLhDUi8zMSck302vPjUqiMd0yQmsp+Lp
mEoYK8qdp8ynqsYI3IglKOEuH/Bcmg8LKCsMj2WoUx2nq/iRdvIJN8yGCPQywBYGpzj6IjNtowOR
KdR28qXT+ums3g+sW6YS3ZdiDuwYlfKqHK95Kcukmf7Y6J8whP8i081XDPExh0sXSexLpv4BZ+Gp
0dxPGjkxDdzyIcZfQWKzb9dGu3Gj+Gia6a9I0cOhGH1haOEQQQcf6POht71L3fTjwOaNlv+rxv6g
rUZ8WStTU80ARnlecdTM8caR/Z2zCgqy/+3FL2oYibt0JpDaPOy6HivKLJK9SDp7F5XF8qgtFcRL
QwFc0mpfHS82nq+fBfR1q//2KLBSyCBtrNLs86MSFyBgcFnyUKk8aIh5to4RdUmhvkpjlN+MSJmj
EDADzJoE/XuyS7UuEX5SGDgq06Tp3G05aFJ5BtCajJBlnYmESRg7R+FWGtNZdwRoSaGQ3gz7EwJo
bC3TwQGh7Ox7zVTW+Ku8/tknRfGYQkz/hQmJjwbGgJj9mFWgu79+z2vp7/KWOdVhZ6NERaDARZFK
ZJClE0N1D5Jm1wdnnphmepHda9RtfODAyY2ywDuncE6DK2MOC+QKhjh/xEhypiwvZ1IxZ12BtRjH
vqc0xn2kIOzIVG0kTN24JQ54WxChBrFiCmCOgWpASX1+1RgMjW4MhQiBUvz0YjvamhbMfIKpJ3YS
hdgY/eIEipfA6xla/bAY7fz5//GgXTywK3nDNN8IpNQ87rWW8kNtt8lRto362uBG3jbRkG9JPNdv
TKU31Udu2TJpmNmcuKjHX4xls1LBcUatF9YdrLcMHd1903oKBkI9vlH2e+dSKMs9Bg95wwymi8rK
3E4pcN0pOYIEzx9Ep0yHxXTnQ8Fh6UbJ/O9juhivPEN4jBCkbBp0F+O1mAprkZEZARadVmPilBol
86/wGl+JTGU/62wWQEe3jekbtTU+mOoEMitrCDzkLfdaucWYhza1nXOj3et90wm/bvVS96N+Rrqm
uSlI4tlO0iysp859tJMaMQl1PM4Ui3QfYHGLoyV7TAqM1GTYXh8n63u5vEEKRpTrAQKsktrzoVo5
gvhmqF4hTsboONmKtW9it7ilQPgr4Lq8Dk4RKkKALanJX0yJuqyp1o/2TKQUvtIjNBqDgB61m9wD
Z+W6AKI6VNO2Ix9AnmbDq/kJPdQPeyNlb9ivDWilaqsPIMWeXEC+1bYUbCrA3VdOHBiRo8kbS8eb
pUrDzUwDgUWSSYTA6PzJyK5NlqEFmKpGSAqdPh0OIsPmmmeWCKrevunSWcfS2SPigmhvKRkSf4Iw
9aJyRkZvPamgZ480oXruj+3oyRzo9m9kNGdJMC4Qn9KiMxJ/tHOKBawsFZkHi7R/Xh8Ub/KfLY3e
BW+Kbj8fJtO4mM1kozZQAZ08nAWORcjZ+kPfY78yLX5HvBijDw9a3ZbaUtwls+egau1whcaaxUlz
+FXYWfZij55gu6Xd0tO+mf48JqY9vguafgZ1zvP3QpwE8Wxr2minrsBvK/XKnxz70QXON30h716L
FgePA60pOrPza2UiLpqR9e7Qjbp6SjWmfSamZM/mxD5cf+bXL8Ulzy+ljeY4GC7FFBIa1O8jEoQ/
MSd2nLJGcP1K7w1sOmKrwhMDFFP//EpGEjvW4mXF0WlhenM2Fff6YqkfRlq3h8bwqhsV4ffv7H/X
u3yI0aJFQozonVRUQEHl1Fnsc1RRfa/s8v/6HVpHB+Q9DhloOKi9n99c27YmeEInPRLZ5pFianAi
iybP3WEPBL1x/Um+e2f/u5hxcbGk1IrWSPTymMhBfWxFV+0yRY/XYHTr4//jUizSOowR1E3W+lP+
6amWS4QFyWmKI3KQ8ZiPc/RJhVMeFLMJUvH6td58E9bZ/zeFkBGCTe7ihS2j2gqw64gb61F7sq3J
/cDB/lZW8d9u+cV6h3B6VeFzUwjjL76t9AfoTejjdKjzZj/JEQx2mkcY/KvHqaAeqCj6tlisQC72
g+lkHygNzxQQmwNxREe9U5Vdm2hfZFl8r4Tw7oYh/3H9ObzzeslQ/fsN4HFwUDh/5iKuIVMnfAGI
oQL1ULbUY2GnhfS78t31S739PvLMSU1V14w8DEOXjkRZFYYYpCmOUWk6955T72FkEOhhiuKb6VYT
xd9p9HElIzETwjj0oyy3uppRgU35AzdPs23R9c49tmuwDW3Wb6//wncfBttoNGigFg1VP38YuY6z
28gz5xBpkedDcZMYq6tiG9XzLQHBOm0uBwaSNdSRhJzRybv4+kBbz2KBt/4ou1TbqKVDgXr+0ZMq
Qe6U0s1HO2vN/25N4wUQabcyLhFK/j2s/TPBYkw3iWvq06EczDTeu61GhWvQtOUb+rYs3Q1eaigB
xPa435RufEsH9uYsyPsnhQwpDugYTg8Xm9pxGmnaQP0/Zv0wf3XUYm3XoWBAVSOdrzNW5odFOE6Q
N958Q43+xjiyfu3XIwJPGgUa2pDzV9vWaAqHwZMHqlu4XwcaG+T5WLvcXByig+0Mg4PpfdTThhKz
52q7TpLyQe4seJPrg+ySnMwecHUC8Sv4Z5BXXtJ6jYQ2LgYnQTxRmW3radS2aL+SQ+5pbLbTqthD
1YafUhdTuQGclnJ8rEi3SVJvhzuiuLHqvl0JHY93QmcbOhtbjcu9Bs2hmVzxKFQcRT4l8OnggHgE
8/rX7/uv2eh8yHOhFSWITJdrvfmS5NmStHMlw2mex1dhF05EiFNXx0FnGQtZS1WuDUGadvlAk0tQ
/6Len3dk8zpGSVOnUE6mKId7qxPWV2HV+iu5Q8op6VwIDWpbZ7gcZRSvqUM5VH47F0Rm0eR0fw2I
YXoi6VNq8G6T6WzjpCl/lJS6si0L32BsjVpG5OOIhV6XkiMZerx+92/n+/nNX7REawusrDKNZajh
qNnnNtQMLzNejDizt3rqfFfmKvr0/7gkvXBKAmwVkEycD/nOizykb4yzzpap77RmdQQO0W7SZP7R
DaCPUysSN+Rjb/ddLC9IZ7HiY2h+05l28UbWMp0EfmrDuiepugJaQ70lMOvB+mqn8ZTdGFZvF5X1
isj8+MSycl+yRoceH5Y1WHgJZw3yz6wsarRxa6xj+87M3AdD58kjcY3zr5NuJ7f4S+8sLFwfiT11
4DU5275YWCr0+7odkTyD7kL3mzROfFDUlIkJGyHdrwocqy72/WhRBtZKqrjL4u4ktoIbb3vdsJzP
LgoF4O7W2QVp8XJD04B7glncZYRyLIp1TG2NwBgjhfeQq4ml7SLqNASkdQtpHcs0SPoc7eD8uT7k
3n5A+RHMbXB7/ArrcooT1pQraS9F6JqFt4sKj5hJMkOXJ96C8/36td4baig6scXibABxdzGjIBAT
w1WmechuA4Z5LvP0tPqb7kvirw5NYt6S2713c0QDgaKGH0Dp62J3YIpubCYo28cxH4sPui2i/TyC
XHH0xrnxjXi7WrhM2VXmD9adysXFrmxKXacYCHg7YmGnOJuTaQM5PkfptakVxcH2POfxw8Lesg+u
P9W/laWLceQhsWNCQZhFD3uxMRYxOZHGsJShPZTC2CaKmenbtnebu4jewiEiH0/sZ5XwaNIWuize
JrigqkOyFHjnCIzC66UbimiDyo2o/Vz/dQZVqbfjnN9H0XFdYPgYXTyatjcJZ00cO2RpqzajnMZt
Hw0eOPDW21HSF6fFAwZM+x+TQKuYJ8OJwTBW5dG1ByQTkUbcaWy8EnfvvPCu0fwKJACRWcY/R9zl
QRvXh066O/Q3w7aa+Vg4utQ2LqoBy5LFdiQ+oE4U674qXMIha/3RqizCv3rF2Yy9GboYeYISRdym
INVuSSPCc1zssGSISh2CiizHH/lUnmaTZmKd5S6tSTfza2lGvjSXT61Gi1lJfUWfHqTNg0zIdarU
mPZyJV87Vx4UYz7oNXDaWFlTqzrCOeuofCyUekXHQv7qfoOTeXBrcCZOqgeF3u+rHtgXpWGuRjdj
h8LvJ2lhuYVmg8USpwESkRLixYGyk3ngx9h/CtHpbMdz8h+JVqo0GNwK/mzdjoEOLqqKoKXicXuO
+NJD6HlSB6yas57Hv+Rk5dkWcVK71doBj643qkqY5LTEUTE6Ow7l1UFLnIK7NBL87B0fjWdU8W23
ZYtqr8gtkD4eNqxjM0T5CXFCR4gSMUikS0T7Ll1638AYt3dYhILF0Yd9RpyBPypq+QUwk/5KpKfh
R0pFz0PU+cvUR98MBfgJe27dJyPi2Zz6z3iTPJ9cv9/TYnxu6gSFjVI7HxvKT69uXhHVQsCUfWgN
h95njMBmEn290xZOA4ZQj3Cp9gnL7rZJIYgQDk02aZOAgSI3CPdarv9SBwQlrapaYUpfMywWUe7Z
5ZUPGTgmftgAOiwqWD5aKsH7mizQu763xruqbL4WzVB+Qn5SHV2VKYcynxCsJUqxa7XaMZmmk14r
v+VKsBpBdwUtEpBdljfA/WZ87gEQhnpHwCUGxUyH71faNM0Z0NW8cnsQDRkGehzIPZtaKBh9dAOu
nFn+SYAtbmc055u6J6tBRqqaYMVw3Aek3PonhcP4XgASwqmap1+JUeV6k/mTiCTsCFM8+BF2sC9j
0jC2dIeEQ0BqOwMI5YdRJu5jHbvKocTDAF2r0IO5liShEvXqj5bDDXZ99WE04m+6Wsida5CTxYDl
UJpq5chJMZGf7NzsXzsbkixiks9xi+JKDg4N/rnrnimDNHc0HtTQEJq7t2srf1YMKjKxmrSBU7Gj
5pth+0Ln54H3tz5nZp59nyyne1C9sd1YojZ2Se05X2OT/K+F8N2Ypr4iuwCnxuQGyaBP5YFBn+Nk
WFyZbahnqieSKtWTsMfOR4JEv7/MJNO4KvJ4g4fQeLGWzNsaTkkff2YtylY0HfOrfkzVUf+i4PI4
iCapf9ca2FpfDq3q23rSbEslyYO6LoRDgBcMD1Ir0uUl1tWo9UsGILr8dNrA8Vk+aK29POBhcvay
jqeP0RKXPv3H5Kn34nRPJp7hp2OvhNECcqCGFAMJplZ+sPE0v6PYxPwzJeb0BCJq3o208n64hCG8
kNS2bFvdyHYke8Wk+xjxc6wDsdKjcfHxo3c/IyrqJ2sc3Ltu0OY7PZ4IHLUyNFxaofjILyd/0GpS
4Ts6xqk5iYesnkxSR1Ob9dP4TtxbdoDBrLx4Ge2NfIp1KFYMcOJW7KBHUnOEB93+ylzH6v3CaMan
0SDq0ya+6oNHHyLwItv5Cs5uPnY5g6odtGnHTjTzExAwz8CM0g2dY6f2W02arNL5gkBEL5mCY9sH
Swm5TMYzDMLZkiIQUb/8brO0oJnMOVGfq/hQ951zGF03+QPw/V5VMXFuDGs2v8TuKBCDE46pmDis
kcCI5I9DqHEi5hyMXDltCZortgqRy9ulsYfdqLrx87yYxQGOm1KjlCM+8YATRduyba2fQX4Ho2JP
v/POoUNgarL3JwQAe+L1gLq4JMEFbBoIU3HaOUQrR1dU1E+ytSzwB7W3tTISKzel2sEaVEt1R7nu
/zg6jyW3kS2IfhEi4M0Whp5sbzeIbkmDgvcFFL7+Hb7lRGikbhKouibzpMfrEfhtxKrbzoiZ5owN
Oy8VVaJMS/1JgzXjCnWWhutctufSqpsdh33PE7RO3akSmnfS23JBZjr6wAwnN3iiLJ/uwIeBYJbG
cMKhNO+wQ9FXhAJJ3T3QAqidF7T5Wy31yYirHKH7nR83kRU5kZGaozvoUFxec8sT12yU99xlSuwq
rNsC6KOPwPLoeE0Wo8/KIm1YmcosznTKbHK0vYFj2ckcLramr72/TuGPh2wzhh5Su+RSE6s0L5uT
bl+Bkub3UvvL1UtHgjIbG1BmyKygikqbqma0pznRNNpxTTQVqXCeSEzUwxdSN63b6HkENw9dVk8c
CO6QlN0YyCiwegNJ4ZyXidO7y/NA/iWhn9QibD0Z03cVrqgw9QkoIIvV/HRnLcf3VqGDsbpt9KOl
J7TbbL3mgI66jEvosndhRzpmvDQy+yMyUb72aWlEtnKoQ/SMigcbCUHlk41+lTextztJaVGkIR6q
/QpfDxfdP3iQhL/M8D+btXxGlEgRkS2grrPhCz5uvZ/LQP0Zg/GblObXwUwvnkBX4QaE6Wzy2hTF
2R7la9U5RzHL8awRC/2Yukgo+on3qjrMqpwOZlY8ufJO4ySTJJQDKMKZ61aNI4GS5NCy20KETfZu
kmFhCwU7BaOw3zarP2YTTw0FAB8HOvnwHoIadp0TmyWV5Gp73BydGQUbR9tMvOZOlOULaoFbP2sq
0i3x0EzZR6bdP2RWacaAcmVGyKCWn2HNlijokbdmRizz5V2ArQzZab07ufe2DBo402Xa66t5c5zJ
CquVsPu+1uod1rA6kghwqbfIOdDSLKSAfXCAyxLS/uPD4fRIVkvm0YBMS9ypb8UaKE8LD+55whY7
ZUTXmrpAYeMTode3OtIfKbz0j6aaLq7R8dyqASVObbjpg2tKQVklLCucXdlFnuj3krQKv2g0FHPp
TgvW8iKyuobk6/m7nF3VfpDOF6miewJp96RpHlTgsRIqnpaq2QnPucxEModZURz8afypN/vbq7Tz
whbs0UzJYzdb50K2wll4vtp3ZnZqRTBFiDTfB6HtyI37qQZJx4bS+pZaDF2MAvWuO0ifg7F/WSfE
vmPVdoetNl9X6e6tWl6NGc4htHqXpHHPqPmOl710hzi3kaP7jaY4etHBW546dF7r7mrHexQD/sTM
W/eIPLD755nDt1HDkao+bX8B28KBVYgAvdTCT0NIeO7uda/+0Qio6gvrSfb1i22WOyClL5xifyuc
IIqTjqLfDPut/uchP/N875+12lNsdPljVxLxbg5xOgPdIU+ci5Upc5kljsn5QccT5Rw7eksook8i
ZzUj4SucB0g2V83P/zaLCyvUJgB53REd+JdB9gtd9a3UqAK6dO+L/rHJNy+0bOtHVpI9d/4gawiz
QffZd//XI8MG5+l44vb90dfl2V/nBb277+4Ma7s2leiiyZvZhtqsc0gL3GH1Pi2Z7e2oFaqDWTW/
CMBiazMfuO4+nYr/HZDYcEPp4pDn6PRJLX1+Y3FsF/ckeSy5O+wHkllPwCpiq113a2DtJteI0zW4
CC9PXJNta9vT2RQlOrBtVNEqqkO1DSkie/ctmCgaAnd+MRi6IX6tySF1eAgcxZis0F1jpzUdsXu5
7aEQzo5p4P7z7q5RL4tI6KMdWa7U/8lQ+EhfmvarNQlBdMQNMY8VLb7xtHjLPki9X9vjwLa91I97
ufyO0xQJc9kJjO1y8G9uVXxv5rxDrnvk6n+aTCfJi/IyL41Aa1h5cV4Rk0E6+1VTjNdK2DRTv1ej
+IP79FdM6YM/0SGt9Y0h8Rhl9JdRN+ky2YCl74LCzDhBND6fgH7Br8fD0nRfgZ5O/5UjmZCT3/Xx
RNZXVHTBs1B57HWmEyE/RFQqebSCwbsxTj9lRvFtF+Nb0xa/hfS+i4AWqDW32BYOVUpw7TQvRoQU
t604wl+mC7pbfDt/P3nOd91pyT3hLjL79V+z6RDGvRTWsAUBNoe1WgublbmRjJX7CsqbCtCmuqvZ
TWsLb3MH2wsq2hRJsGEhUJEOMwCDRhAaGC/Q1TPqDaJ+ND38A9N706uOqrv+YGQn+Dip87S+pycd
5K9VBzAiUpzvQ+1pEdTOb3+aj8X9ZekCmRR6dkCjm4ZTB+p3qXpU9ypbwtHUOMBJYG81dUvbwAkt
lIukEhVko4+PU0WfIurbynIpKOlMtu6v4c8vi6XzJ5lPLW1WJNagHpQcCYW1uqszVV+jxWFMXfwP
8V3KTdM9t5YNOTsFAWLXVNKLXr9VVne2oaGGpI/uK/KHE8HecqdE/5qvznPnCnCOXFdxm7YbCyb5
iwIZ+ODGWNlaw3FUpKwzoo17Z3i9B79x6ZaXJremaDT4YqAwHTJHA0jQXu18iCcL2nxX2VeYIc8Z
/p8kn23ozU1/JGX+0XTSAuG+OpJON6KqUIeg7478VlcD74k+kv9Y5FwTay+aPcGjfynDIztr/nqN
caSt0K4dKvjQamiEey+7Qpb5VSnp87rPl+tWC2Gi9IyyH/l6YLmrrQu4m9dL6vI96MhHE7fQCaNs
oeTOvTVTSGsARswBDSphWumFdky/ySlg4TQJ52gC7h50dpI6cY6ovR8LIz+qqT+U24ZevPnglA7X
1thVRYrXXq6fRaVDk/X95STN+T/P0AbsMxpOHjM/Wbp6HVaHeGn3g/zu6bqMkxE5Hn2UXgVonpvu
ZN4r2ypw1UtaW9jLFe7xtj9ImwDRavDkXrcaWOUacxIUQnQcnOogr+b3fgx2d44sbsxrm0uCf9tX
gMQU0V2vh5rF7l3zRjzmHcJvxrcNxXCLfaNEcbpp18UyTxScR8vOz3dItE4hi9xVJqmlOZGYahnK
jqOw7u2D8CT55HN72Jg5HWAJdeGid7hs7OVtDkbav8H2qnhOuT1sLf+iQPmoRk6E0rMf16Av4rxT
7l5z78eTnC71og4e3tEI00aymf0tx0YYVoETgRrHNMfaZ6zmw1Zm+6G2Dvgg38HSESepX0sw9Si0
Q1Nz8kgHJJDkNv85etWu8khDHDa8IZ13xLMWV2J+xfb8ZpqK3PEuAZ+dhnPQknnLuxwalVHvOjWu
keEtXoIOzTzk1NWgJ85CNDu/5HOkdlShiakv1+anYTT+FWn2LgkYDg0jTbou/6S+j9POeRbmnHBv
fKiV5qn19XCxN7yQgeZAmFmvUlNvkoKxGbXnwG7n42imergpeZR6xoU33lZ4cRqjaUj/P/3m7KjM
9uQEP6lUvUurpS0v0/2sMNrbM7p8fUn8On+eyiW/eKso8OzQqeh5Vke1x8ULsruL22YakyafbtoG
J12hFAzduyHDbHsnrvgy0X//5zf6EdHEh9XbBm1jgZdz6479Yv013Ho5N5JfxptU7Kf5YyGbc5YZ
D6Lpr0z4/yuKhUGdflMtsY+A+n8s9FuxqWf/UPadx27Tk1rzHwGK7JSthZbqvhQh0305Pbc1Wlil
+784CjA+uH/quwliy789TQt2iprBQR0TGdv0ndUkilUuFzJFzhS7RGd3UkMRNTxnlEq+rexD7ZTf
ctTmoyNyxhr+yIC4BYzvF0PFrCW7es6I+roSx8Zi2pbJyTk4o/tQGNPJcudb6fovW5rNxxIrWej1
fJ32ttJ/bB+9s/6l7HPjmjVc2Nsrj9b2bCvzbZvLvVz6K8yWIjFW6Ln16L01xdBEaydfkW81N2nK
F6I5nHcyel9gX2DSEpt/t3wcVWZd4I/H2ziOp9okkwe4/t4YrY8yECmCc4DEgzft/w9otlfx3Tr2
1adEF5sZz9aQx7bnwHHEP2UOmYt0wYpn10swzu3tJceSL+EOfM6194pHl/KySYa+e5DO8lF6zt/C
qv6m7vSg13Z37iwm1XODSrsTOzn30FIpYmDtMGOoJXEuqRcHo0lbpq83uvcHabvfVkniC3yWdqp5
32z93LMXCbd1SpZ0eewtB3dlN+/bvo508hhcCMe13iZrvu22yf2YB+vHF1iJl+C8oX3o9TkeR+wk
iypunOxpVKnJhM7cMLdqLDqcbEB+cw9BsCi4xGFLa22/NM3NJ1yduIAlKrMUqwUQ/2ABtasD87cc
UOedoq9y9lkpjm6mG+E4uyGy7OFuwnglymFfDOOZ+OIpCrzsJhsmC6U7XVsb4rxJC1LNZlggkWv9
7MVnoQUD/9Wt5r2XbaetKpi3zzXFYHDU/HHPnisKJo9ywjxwgFx8ZzgM3Uq+O0yCXl9FpNbgq+j9
/QY8fTPqU9pmSZU3O2k7+1TLasgt9pH8asZzcJzsQJ24xiM03GcQCpTrWmJhjjKNIV7bZce6PA5m
hWaCj67qirNHiTHV1WM6Kwa36XPbu3tcb4yYt71tu5Sl861V06movCss3oskX6QSal/RE4jRZv6x
RoVn3HKj2jFDvlSzv5NDH6c5jAtvag+18sjxyLq9FeBXUGN9nRTz9Vr7bYzZvfdvEervWA3zhfd3
L5hvBmkL+y6D36LipilDSP0gU9J9WrUnoZm/9pbucW1f9Wb+Bv1yJGL6s3W51Fv+oxi914HJW1O0
uyYdOXidaz0gEFm3M8LqJPCD22Qio6FVWdpmj9P3ICc9XirsLZO8QcA6zoZ+RUhzyNo2tmxtN5Xm
uVEkZiChQ17VXKRsjHhsOnLgvEM/lMc6m+P7zYzU98DTF21ZhYNGJd1Y7yqq70IjNE6l5vBQNqWK
hnV49myy5a3qJLw22chACbV5xVTRp/ZxznjIS/Op7MdrnamnSU8f/Ur/WTRt2tV3+k/bz3+kg9VC
UPl7ItZ0dQQ2cNFF+7wWzt615hulAvEwerVvC9tLRGcZF6cfznAUTfYIY5TyHd7kZpM2bbqP5EL0
x17fHgZ4nS8t5orFw/6Tu0y2/CrJ/XLfTXKf9vmbzfPgp+KxM5bLaOcsTLZYrsMZh/2OdVtiyjYL
80r/kH0aMtCKdeWEtU1x2bW7vtzSqBudA8PeJNvaWzsJ9isBf4Nz0FuaY9l/6RlhIJ2hv7ocJWj1
E22tI99cMWznjAoZ0KSmqjkAtNe1UAm1KC4YtBiJm9I9OYN1NaolPekaLvNM2FvkN/ZMQ4vRrZIp
u6EsKDhK/Rd7LruYyHbKARHojDHqj0bntq0GcelKeRh1zjN2Jdd6Ln8GqLeDtpE5mjIdTzsdNYQ2
Pzpz8OxK/z6vi2TuKt4r47l17lJD3ramXE92o26d370y0TVOvczfGVe2F446Rm/GVMN+taOF+iWc
N4+uU9OeZLX+OFl1VibtVN/7t1WI7yzwGT9kzblUateO4oH14X62zEMwFXvBYIy91hIz79yvDb/R
sqaJ6rUTS+bPigeDmdd2JN0mrmoKyjx7tDIKNd+dTLKH2lPjqjZMXefqQ17Z2L/ro/FdWPdBAGsP
DNxYvkZW9DXRr9p3bxARs5bU/cOQuqfUWI9awBTG0x96ZYL6WJqd7cw7bqiLT6L43UGYkjpwj7A4
ulIxaKysWzHkNiPNgfzleQzBPz3ktvySlvlnkLXzZjd9R7Hnkyg5rQ0fZU3h5DbPbYcbWFdryNrg
6Ds19QUigWFJlrrdZevinEUgP4Ve+Ac4j07cWR2jOpda1mYy+iQDdc7EvSCc25htD2UbI/qYZy2p
suJVl93XuE0dY1u9jGvd+kg7kVSOkYHPyG6sf7AhVowflIZvm9QmqkLYIkZ3wK345I/g0qtAe1c2
WRz95CRyHQ+ehpPU6ZtkLclIHhbdjXsKY0YqTpRyD4yIlyLLoerNR/auOUHcx4XPOfbxNPc983ez
XD/WOWXNNNc8ZykEemc0RiAK3t6rG5jtnbez3IFmxFuvDGjfuPCnuCflPnZ7kGBYB2Ly3kOXhVio
hHUw8+DN7dhW9l36lVl9i+qES5uwmWcZjEzbHC2pxbBvHLFvcvXZYRi28uzir97FpoIJl/Y3V2sS
aNrvsukP+pgdVV98BB0dV0FKk6jTO3iz2s6jufw6RQAbV5Q7ZQasoOxdu7EUh1D+02O8u6bYln5U
t/wpDexMTCScchgjDOAP3lq8l1V1mXN1ydmxmxtLhoxQIbciOw7sLxNJpUWQvHZkP53aYvovL8ur
w4rpJHzeVr34FwzW3qkwD9v9h2GupJ4XxD+1yjxPaRWXznJtF7CuTpVYW4WHP/vG+k5xU8I1yPFb
lvc5twWVoSur79zpv91C2wP7e66H/sUwl3PJPG40q7dpqTBgBYQVCdT4Ayn2TfZSZgXZW+awd0ky
FjBqGIPjXTSyV1VsD7Os39qef4hRfBb5W3dW5JCyJagijCJIssf3YuLKDpyzXbCaqUf50hiLj19a
U/FoTL9jS0HgF9qIqa43Y2dqfsSsfzHuG87DwiGxeE5YabxHZM7dF8X/0I8eA5mXcXZPqgZk3rMb
FvOtyaF/TEZ1tre+TyrqtEgQOIptz3/2RbUvWftX6PeXWV+PnZa/yL7fc8VHljY8ap1/FWbKb9g+
tNMWk+T5sBZDhGubgWZjhabZ96FJBI0MmkdAY387ei5nzfRo1stfZ5Nfdsp8rGu5tOoF/7vM0x3g
vaTOZEE0VbBr563mb2hjuTBdqvOWqCtz+/EmRhDup3BHJybZBpr19qp56jeY2JmtU3bUMV66cDbC
bt3GyLcZhQsz+w56IfGCYzVdBXaBHMRcaGG92wf6/IlOaj8G1aHrnds0yuxb3rFNWUpIjP0aaOkc
k4vSH9h1XtJJz8PJTJ8dfYEi5R+zjJiOEdtdrE36Z4d3c6054ZwaGQCWKXLJmTpoGUykLO9/FxYU
uy3VrqW3vA9bTb/M8KNR8wsEiAfLVoms7fWyNiBzKs8gdydwz32F/8N0/tYlGrVSP3Nd4RidL6v4
aK2CIZy9tczftAt0si89V/u+Nl82BB37VBnvjgoeN3e7jao5McXimtSbk46NJciy3erCiAjavTtq
feRkaid7x2Un0j2TIvZgakLFgWHG44ACILOmR8Wrja1LgzZAFM9UXTC3U0sE8GYwOo/ChCSQ9i6Y
O7s8dL79aRKysC+ZoDEQeuLFx4MmrkKWt0WJOcrszvvkj1LlBA+lPezIGl8TnHoCGAYZEanhvlQd
DQBgtC5pGZ8gyqVwCEQWei10AKfdiVW7tdKGKKIRN6mLPkT7tHOn7UFO4x+7TR9nXfu0UY6E7lZ+
baIjx2d+nMv0QS0B3vuFi49T/l/f1F9d7eyGVX/ckKkcALOGGLdYR7F3bNoxalbjsGXObnZhkNwN
wsaGx9XbfobceNZN85q1XVQ36Mvq1aTyVs8I4GN7ZT7eLgGvM2sxgx+eo1J8koD0C64oSHSW1O8b
Q7F+tvuYxCi87ubRtKdvp89OA2ft2sx/y02cml7/t6b3N1U5z55Ox20HD9kwJD384Xswkc7ZQ4iY
PaQRV9+BeRM0uc3fz0HzHy3LI+mklwIhrwr0HxfOTcQkMpyzjsDM7pxX+SNRc9RG1vLBzFKyJPaP
pWQbbIjmr6vp9FhsDKYRZ2iKUVnPrS/DnjlUByZMafmzBMszoQW0nCtZNV4VNuWCi9uKTCv9ldPy
4U7jOz3luXHKeMxnRmvOEaHn0a3nV7NxybdRpwAZTlis5T3VCz2Q+zK2PGpWfdLT7LY0NB3EJWNo
I+AsVW+uX5CtJe/Fn/W+5mxavJkFhR1X1YKvAOyQENV1doJXjsiE7exxLMUVp/MPcfKspkpEvaWQ
R2GML+PWPVv+dMxEcUgtFbutvGRbGRtz+51ZzslKafo8d1d09qWEDRFM87mXxn6RNGWadI5eQbWb
jjbzyDwR9sgao1WYtIL+kwSb/5DWs78my830LpvRxqa2PllTDpqAdcFYX6bO2PWucXBs3nOMm2ab
XjBDvRU+JCdb68MxxyunC5dk5Fo9DHNDbq5+CRqGcDy7TTVd5WLQXXindbaevWCNvd55yaacFfJK
WJvu7UcQnINskzQv90LIC/1J5Bf3yJ+Jp4JNCfvbVehruLGpWueavqbEzN6dVweLukhvnY6fvt5e
stSM9ZmJbd1qQeShN2b1Gvcr5A/ICVaWHhqQMrbKd3o/PEyzTYXK6TCMQazZHOYFfjYSaOJaYyTR
I3VBtLjzxPg2e4oFCC/bMM1ho5pzrbJHKKa8Og70Sa5hRgLlqZbN3hTlhT43kYV7WN3ibBkWMuaU
SZbkaW7+1ulEnbqe681/yhz3VE49Ay81E0nCgPk+DpxocBmvnxpneUOPcaGjO8o8PxkupYyQU0Qm
1YMltWvqFZdm2Y52UJKXmcl/jc2ctyUJTINQWxN2MEMTkMyVPRI8w7QwLhqDv74AReFvj2uDuqBx
a/zvHdAAO30h4AzXmu5AAQVou/jpa1aUMsxK+8nQm6PQAOixBbhp67o3S+2/rhPfTHFptSv0ZSXC
OKia00WY+Y5QRdbROotaJohcFjsQr9qO4Q4bErWtp972nskbDpVlNnCRmshdl4gt5mEsLJ4yjWjO
1uYt1cRwXH1xUUI8V7W6yfmuviOqdzNuhEs+eeXahgZD+8426F3Euy4AK/JzpqKmvXf80IbiM7XD
gZ+E766Uf1qji7ep/Fo3DJR6fmMzEckqfdnMOqKo3itTMkUVD6vUYh0i7eBrl4pEP3u0b3VtRkpP
P03UB5VmRNXmvPe9uoxmDZbf2mUD1bYgT5gbKotW03upCzPMxuxJagY/AlyBdSRHZPszzl08d+XF
NRbvVq7L2emA8SBKeairIZqLBaQHWhmjOAwVdaFPv+GM2tVp2FPzrL1aRXnLHPSFwEjABQEgqShI
6a68E4uPMxrc+cCWx2AnL5kX5uqtdumEgIEcy4JtsPSsP60Fnkbyb5yZGIRBP79bIt+nU5DAztii
DjlDrOXd22a7N2sZr/5GkysMFc96BzYkcPdNYF4qPydaR1rWddW5tbf0dbRYsBB3eAlGuhoTl/dQ
Yr2cNVwCPBfGlOtR56aPdKYHSCAnK2/2sx38Gc08CQbtwYUFZmtsnERKTx2EROJeGkDsbL+t93RQ
7/AmYUwQOVgP2WvmiVuaj+e1Lj9n5p4eA022d0+YwkVUD3B/jGp8wUV0ROCVVPXAhhXJUZHZ/1bP
Penm+FRlwf0BPXhckUxACVpMO3qVxQJk4T73A60UpRDCitCftbd2LUgtWB75gjLAv+YfexTYQAqD
nFqNNujeTbV2vYOFQxlVJRjkhlDrC5Bu9IL7TEv1KN/sf8SXWdHooNV0RaxWYd6fara7U8J1th8r
E/LVRN6n3pzVuPQvuSAesqBRX115zLb110aZAuem+o/HBmDRPD92yokNDxWyt2yKVR+1iAPYLkII
Zu6YiS/vioMttjcgg8tQJn4+aiGimC4UwwIJGG1HsqXbgyb7x75hQBdYp2Wyfl1MQknjUoy5Rrf7
v/XcBrn/gMT/JEqUHw7xWadCOPtNLxfksIzMF79gBQvnLh5YY/LaN7GpxLPe9p9+aV3KjWHhyn6o
nD/YaX3PtvWLLLm6UW1Es13Wu5wV64VVz5zIUf/TdxhE/OkRGfT7NiF6aF2D0w0qM5mpa9H2FBsG
LJWmvUlGd103bglq5xvbfoIC8+a53ujV9ME4GHmOlEnZeqw1YmfdDRDuQNxqVTxaFSujecwP5iLN
uGtBorXDDlnVO7ZsOylIzRqCgZ/PcR4CN7tmWnfxFnhyTBFZ12S+ogZkeZHXLvNeBftldix4Mku/
JkIVH+S7vq9a8585mD96mXNydk8DMb2AT9JdNtfPmzs/VdMKGN/5GJgII0PIknVDStVoSQ+axh6q
pzFg0rjNQRwsIKMW52jN41urUnhJ+QxYTy0EwNoRGtddGsDNC/7fzE1RlgsX1uz66Tc0Iys7YqPP
BYhUAesa+Eo2PytYmetqnTuT965L3d0GGbJp8jelZ6gRvrq7SLdQ2VuFIWFnjU4X4zClLcSCtuvR
H0cys7jKZf/GiVCGtQ+DLSzvW0S7a3BHBXqHhzg3L4u+Sdgg2sxTN8m4s6dPt2zfC79MY/QQRth6
bb4bZFfshlR8WFm5n7KuSkDI+TGeq+G8SWc3dmk8gDNAusPg1E1pAtL5gFvpiZ6F8ErmlkghT+bM
OS3lPd4XWFiq0mQxm0MxiIMxVn8tNkTh5pfedasQQPdpEbeUz3thiPqhkgVcc0Qao+X8rhJ+EDKP
gwWrkDGx9TLwRvs40dOGVO9AG8szljygPC7WuUyKVx5z/eaPvTrqU/uGrulKsgKTf8t8mNflbfMB
ZVkkTdLgsFGzvJd1bJO8DmZWJor9eVs/krAKk1FcW9W00Wz151Zstxr5TpRppIlkrsV4f3qFaccf
9V+32XDiXIzAwws2TER9Tkng+sygmvojLU3GHsb4bTlF4rbj2WeciaYndBaxMP3MTx1jrhGhB7Ng
YIwBe96qJs0o4/PPKic7V0F5cibEgl1h3yFiC1pBFbyqyT4Urs8kxM2hOepTYkKKBKds/miie3HN
4cWYxzWx6D+hUzNSmsYydnBPXNoBrfeci6cADT5spE9MMHPkUuEUVfPFyfIsG+VcUQFGwVKIhHbw
RTY5M2TgFpHvsy2mmYjaLW93ikUqoPWMZG/EfrvAahRFWrn9YWtrYTyTzi2ft2cL4elMQUeUGPrQ
hf1F6ao3ZVQfnlOfWqT1oltP6JUjXQ37zJh1uHfGQz07SVW4cbnWcuchc6/Tdp/XCxnmwRuhkOPJ
M5b3RlTfVb38VwRI6qwlOGHhWdjKGAdTBe+0XmfNr8GDM0dE4UnubHAMGhPl7/hUdDJpxXwQhXNq
bHNASCEf1GiikXATq4MI2Skdk3XrlbFXd+A6RPEgVEM6kH929HoPfey36o0JVKXHJ1R1AHeZmseF
nyNCEHq3N02N9G+SXULbMt5FapyMbAEIXcYs7RDhatk99brcnsdpe1rX1IJs5p8zJSBC6nV6qZuF
hbKy+92k3JtNielssLBG7H+sxbmdpKBmzF390tszag4ohAWq6MKGGFgXL8VgfJgE8TSLd2p89+rB
4a41eE3GvJEJr6Uhbw7rLmqPE1MWN6KQZVJPsRwg8efBvOo9v88w2nOEZKAKZ3CQ/sBSAMYDxLMe
Lom5pgpLC2v1yTfgh5a0NBtTFhDU/O0us5waWej04FUcsCUm9kNZkhm8LRPz/o1sT8uff3AX75rS
jvuhxYml4mp1/ivK+px6VRGpkfZubUdyI5cuasvxWVkV1Y1lHPrS+ud6aX7SdF3F+RK00QKxLuyy
0kFblWogM1ys5bMhb7lnsftufThliK+XgomBxwjMpNIsx+VL9N0fZvsL37c7h0VjvLgDGBfHZbM4
uQ5gRBB/pMngtPY9xjYTKLLO1z/FpF4bOhV9QG3nBDD2XERy4gJ26e9alH/SCadbMe8ta9hVOFlQ
koyQDVv5I4vpDLaeaX1W1K+psT2VLM11zdi5s3MZGtd8LfXyYlb6g98w0SsY0p35dsyYT/9/nJ3X
jtvI2q6viABDFcOpstTqZHe3u31CuB2Yc+bV74deB9uiBAnzL8zBAOPlEit+4Q27MQBM38dQEjyD
XzaY3nGQyludes9+F99bPM0UeY/srmBlqFm9SfP+oe/cz150X2G03oV4EGOp7MQL0OwkPdkH87Uu
bYzWUdQvD8A5V4MdHdtIBjSQjTfColcE8FHUU/bk5sipG4JSfuLsKS34Kwu8FRUxV33BtsKkCsgz
XwkXvfuYdSCvxYeyAKxfV18NgauvK4JdOioHON37sAcFH+r9F1uvf6SDed/QwgactMtl/TR2QbgU
AXmXb0XxsjazJxIhkiCXpUVJFSoOj6mK30tbwd1s9PfEw0XCajHc01DCoqVAuBW5xU4bokeX1tS+
boqY2yaghuAHR7VC+5LnDEE8D8OCZJsa+XdTi393KJgcoiG0l47eI0oJyJ3CVreNmnRHu+R7g3xr
5GDNnYKUyIJiAN8XUJrzPmo88MoM+ZgWsUnFw/bZcpYB0QlH+11XxEfjA470LVQpRk/7kGY9+bUX
R7BkBEWau0mbZNUWOCDCfx4qgUTi8NLKosH0nQIkum6Q1JNXjMR+kyJ/q7X+Lq7lSxe367To6gUS
5XcAEPf4NaCKXi7DqjRWhle8SChvwAHZMblCAOwbmbouLPPJEp1Az9X/YtdmSSsdFgXB7NEIQGjW
jfOQB3Tmvfan3Rb8v+hdxcQsfRiIdWdiujWQEKyaunwzY41eZSa5+hqaUhhWLZ3Ye/OM5A86+F9S
ArJFG+Xoxfdbw80xdwke+qDeKR2qtW0NGMcc029VjDWHyA2SxaH7Dr9kcgR3VrTcPDB+5A8pdK5o
CPhDJVp7AHPwxLrzXRB+PSQcUd/z344Jep5VH9KuKJZNHsBzcp9bqFg2ksaF7VNeDPK9lWeIZTru
V5G47bLQ9I/AVMwNQFt9xVu0lDG0E3uy/K7CfNmZ/Hen/sSdDp0mw9nWY/aB8OoDQgw5z7H4aUKM
ATCa/7AsuVJCoz70FSAKobR3cLe6perI9wpi+dJEec/H+Xvlk6Wiufbh5JR1M81cpBlwf6vh9Y0p
nAPXHtTgG48SniLpJrDsZaibX2RhAW3OAFKEjvEhPP/TrBqwp6khtjpa7Ectxj09QEtqSdXIXHdG
+Vy4HRbWhL2bEkQALUBt3zruSyy7ow13skCY2pZhsqz98M6tXJYur3d9ma/8snjKYv97gRAlGrOk
jF1SoOfIHKo5tifV6KxDmkQ6f+8CR5pvRWLTJTQFnj3NvWNTHe+UcB9E6Y/agOpLnyVzhz/SbV7Q
Vf5aoJrp5gg8NE78rHjak9k0x9jFeRzhY1faOPGE4QKZ/2EZwRoAQ1kINKMwUm/zdlsbSDKhJwKa
wH3Le+/QRBTgLb04REZ0jGpj18tuJUqwpujBtgRKVeCBMk7/KIJrQPO9XSXMJ7+VLbM+8BYbq9LK
DzQQ3gEuoCapNawvEBJF80GgdAd0XdVdYOQfdSW2yHkwz3G0r2vjUbe0rVa0OJdzg2ayOBgAOjHj
fOiM8QnXnlVuGA99AgvOGB9Ieza5Iv/4yCZxOKMN9ZXH0lf5myz69sNzCMBPuOWPwhBrtdMfc29c
NaNprdgbjzIAT9TH93iUTQAPQOKJ9xi65nGsC/VIgmpsfVtF3DEHRdZ/dxJ5V0bqc6NxAiLTunNJ
uhLL/8aveLOlduxt8l+lt4lhjIGcGvAMKg97LXUfJYRNqFS1chfpWnv0M/dOb4E7uDEov9igUMU7
tobdCtE4ppEAR8AkyTbeSsVvwKdDGqLl9IiSsb+0suyLaxfJKqiMBjCgTbxD6v3QdYRQid7jjxDo
f0a3OaDPaK6sVq6jKpmAAx6xeA1ctiDQ9jqLuM3bZz3ipiBYN2av/enadoW0/dHrw/t+sN8MaXKB
1NBe+iAKN9zsCcgpv1wCAPhhF+Zep4kUeMApxfBgjCYFX2XVpNlrnUPM9jSwNPFhoMG84Aysh1gf
tpyzgUoBydYAC+FgFMMHsH3I9d5BuvoXJbAostTlvYQd+EUnZAI6lKo7wLIYhVaTr3cRwEbxw02O
dxhlFQxEgyBnmWO5lKh7OHb+iLzLvo7UoxmofxQr+23l+W/TqP9wKXtb3UH2Nalp+5FFl/ILV9ey
1Gl155/Aw54l1XQ6jMe479Hw/FSQkqgyBbayQh+Co5H4Ow92EjnynVASIjdf2dsjdhFBvUKL4RjJ
/MH06TiHzo8msnc9oncLryHGAyzxQiL2SCtu0dF+Q+cuOBI6PKFZ+enQ4lng0QRaTElJelRaEXVN
yyRvVbqDoK8bdTuWtG5M70Uxoh+1o0yewtm3OKKOZSQfwIMexqw86gWOEQrXTMGmaBrns8wjNmyA
oH2cpgAHC0gW5SFXqj3RA2WwZEet7b51aU2in+atR9t+MHQUa4Fy34P0XaZt8Om2gB/zCsxsdABc
sJb2+NVwjHXoUKfN/UnE9NXN0yPIE5+IHKysw97Oe0qjhaB7qFJKpcwF6aQHizzJumbHMPc9Cpg5
pG9xSLvsS8a5R1T8sSk6OMfRs5kW69bqaY2VUxs1gLw0btJevFLxQikc03MZszkbF6NDgWNXAIfP
AVAV6z8iJA2tPvpQQu9ebxWbXKP6LmgLDUlEjxcEFmLgMq2/2r3yHsDDWkS4vy1ii5aVV3ffm7j+
2WXDFxEo977db218OPzIW2XYI20iaK14QCi/VWRn1mz4t4ikfDmCrccL/ZCC8BWgjAx+MfRgnJyG
gb7rQFOz994xcj3mGbXJQFcfPC24cxp33DYWd3NTglyzuhxMpGoAqK6MjzTkdkgSJPlTmVFbTEPY
QCotwyrsnscmbA9xj6yuHervTqq9FjWUhsbY16q4Hwxg1VHCS9kH4ruXQhXvCwCl7lCtbWtc00T8
UpIWP5DLmWu7M3/4UEVuyHZckDZwUCOSKEFNgjRzqRAXo43WhH96sL2k+xhtWpVWxokT+qg/X6fw
X9Dr+HeouZdV1cMv9ey0pzwUwI/omnygFJ05rw5SO9m2G0vjyYwqMr8sjzNj/X8YHZVUzUE2AoHW
mR4XJVbElTuzI8mqualFqdIqKs0XrNIefE30O0OHXJ9Y+XhDuWCSAZnLKqD5g04rFtnolcxkQko1
1lwlJwGFwpSbeyWxQQPYwExvGVOez6+Dko+uY6HsICEhZyJLJar4Iqhw3lS1JoBDUOvPWTaGb6oe
y6+x0w1/6i5vYbb3BNPXJ3emyGFL1BgsQbiDkqCq8Z2ngjPgz5UCKr65S0IpH0YEkBZ6ULaPgctq
drIzb2hVXBxPGqo1WY06ljrt6n/krBxb0Z1MatHBrYb2pWw9+BhObxJfeBS0bYrG179vdkr+932Y
HyGyi4YZpJXT8RTNSfxcdbJdCaZ5V2s4LniIy+Bppimb60PNtsv/hprWUarMo2bPPk2axLb0atUd
ajYRQB0EQluwP2Fc3fAwPJtDrNKAoyN2RnlGVecOsZnRWHZUNskhgIk2ESeTDVrK3g6ErnMn8bLp
bhyEv4I8/5wEpK8YUce+SMdBzIRUejqLtCDjSuTC2elj2FiLwR7iybWict5UCMAqNERpvtduX9K6
CnvVWvQ0jR8dv8/xLsnAKW+asNFpukujMJe6pYj8hljY2TrraAlNJlfQ4ybLvdk6g0kicGuIy5tQ
fOpO3IHt0/uNq6nOjctwpvMyzQWXARY5dBgsi9N6OhfkNo5iikDdDSiXfOT5SCMfJX7gYb0OLqSl
vIEwmaqXH9e311zzlw3MLY/tOQtv2BamnKcDdzKOqcVl1DR8sLCKYz3kIcUmpyz2QfXUKNESevxO
GNF73VINbyGRx+ALsNkBGr5sMSxG/EP7yfO/pnC5y/2eriFS7n38Cg3+UNMI8czqmQ5seGP/XNiw
J1M2U7UaM4G4xXS/JRUVlFWNQRvIvlhtfuAIHX7a2MGJ7fXZ+islNNuymoHCNs6CWD5hxHg6Wy6c
2appHWenCFctdwoQ5gwOcxUGTwSRWf7dswaFXopfauWv2NCrJ8WW1l0nPTob4FhhQxp9BW1alx3g
1qocs20PmFDeObKo1Gf+gL7FlZOArwH9ZACa1ENZf8aDggmKmiKPCrzEnERyY9xpzSbR17gQmDXA
+RijVL0Nh2+Zo2YUe5pfvSLzCOhj1Avg1AWMJUw4EB6pTDUnUjH1XwbWJsmSwCUYQWaq6e9IKnBk
NBt5DFtN7XZdVKNFVdEK2g5YsV8Ne4h1PaIQJG7CPGQVeW9CDSh1KCK695Zp5QvkXzboPr0g5gFI
fTzI8Du8xY7SZk8HKQ+1XTba+GZqoyyJ9Iq2ydedVaCQMmLmm99BqiitVYL71ycmNs6zlRbhD0A4
+jtZpPnioRLyq05Hj0KYkjRiVZkmyHIp/G9xwG8EHN9OfH4L13dAXFyhSysEEwC2wW+A1o8gPauS
lsrC9qwi29FXAcnX2VgURLRA90I0xdcRAAnAddvAn1LVRfRoY+AxvPY1vRIP8Ty4w5ExKP99T0P9
FTZyv7Ay8QY/3V+moffAz/NwnwqQVcNgvqpckCskggfOWumvr+/nWYjwv1uH46+iZoUr71+Bwn/e
zbwCpVWJYtgVyIZs0rqvDqFBJ4eiYD6+6H6uHRwI+iutyOPd9aHnsvH/G9vhtUZyXKAIP/22f8bu
0UxoSkm/B/xLtGxl1G0QE/lDGcNftDIQd2HTBGvIgj6NeBhzwY337u/NNjvLJ3M93S///AB/tEYv
0QKxK6qmyNFpEUlPsFvDdYNd6T/TXWyPRhJoKMc5AR0ux6x+qaQ0b0GdNL8dpAioPEfWU6KX2kZH
ivRGVHM+RdKComqicMUEmeb8UUhaCUqil96hy0oo9EZU+h8p1aaXQRjGe8ON99xijfzcZv0Ii555
pkaHC194Y5tc+iEGcqEIFyKdzmaZPRKoHcAVtxxlP3DS/HUZ2+4HOBHQMR4P8N6v4Y6i7NOEfzBM
YTU9g8yEbFIFcXd925xd+hx6FPct9CmJvkAGnC5aiaJpZ7eaRwiU/qlrGa1hseLYAzcbGQ7XvbFL
pw872SOEsCZhuobQmzMZgJ4Oh7iRQtipio1p5Nm6iWmjauDcNhEQ5hurfWEoAA3SIGxWOQ3zzEuq
hVepwkCKQYRSYBoLPkDD5LTaWhlG2TdGO5tHlAF1hMt0Yi9NxZP79MNEDvTB5Qo9KEQId5N4z5H+
x/gMapX6EjP5X9fNVsmzSLZgUjPsmcb6KL1Sl5F3SJtKYjhF+LYsut7/mlQj6XGgJbxe17fK9Bb/
s3aoq2oqb/Xkkcn/VGO2do4A7aqlOmL/eYvY5ACSkdIEwGTssxBqqzeF5kchxfPQ+kQTQKtfel8p
5eP1X/HXtv3sZ9iT9iYHGXnl2UyHHS9oGtTKrjeQlgO6lzf5BpkZ+c1QAV8u+lZrvQ1wXe+nEweW
s8OuRhtfhRpFoKFpYTxVPIYmglH2vrLBpKwyL0AUls7UiJI0aQ9eV0x8h2cP9EGe2KgdEZwszH7R
+LL7E3dap635TPGZ6r1pb3r80W6pGM/209/JFigU8myp7Kd5sgmivaSxjTJSHBbR1u4NYO5OCxzQ
g+QZj9qNc3lpOJRzDd3kPpiSzNn2rTW9aXQ3OaRoDf02IKa8UUXiikT55WdlZaK+sZmme2W+iqjH
k6yotgORbjYg8UMTZML0KRdAKKKP2k1R07DVoPqt8KeEemT4/pYqhnVj5Nm98HdmTWzLSQ7wWSYb
Of1UxxWlVuu9s2to/QOPr+kaD2r+PLZYTl7fq7Nck6EEkm6ktFIabNa5bYWiRbktR63bdUMuKAKb
anPocrpSNy6fWbLzdxxWDr9YgaGJNn/6nVGBlDTg9JEl0ItSr4J47nreN0JbhBxdtjJtzOBG7H5x
0EknkkuBis9ctJMXvM9HSNO7xJDeaw98v1y0doHgCsIV91j9yo0e+IpxY07Pdyp+86qh4gOCT7Hj
6KfLJ1o/dTi0+CYOEDpXad3pG72pzJ8SSqgFxaC/MeD5fhEmuF/2KsdQ5eU6HTDUkqSjezSyX+hU
LLloVLm08RN5N7p0+Ly+Yy58HR/GJYtEumap6mywwnDKIa3aeGoMTDilwvA3dls2YNTa5CdyNcX6
+oAXVpEIhK7SNJWkYbMBzSbSx7hRk4OhZ/4aULr63LVe9WhI9z1OEGprSje5sXP+Ttnp4YdQZiO+
OuXIAvXw0ylVTZlYwHc6ZItS+7HJw2At+9HdxUGeH7sCTaasF/AcHflg2GQ5foKSgwbIYeF0eJED
mTXv7RzBG0fxA2T/lF/XJ+XCuWVj86Dbmq1JlN1Pfx/wLVQ+7NbbW0qow/VliqxNbaferQvi/Ekl
UsAjQKVuQ+3WNE4HQlWn1vJOBocKXuYOq7qtm/arsRDrvsyyrY3y3D0ICLEvJKiv6x95YV9TG8HC
gzzFIQicHSSLRKhOkzo56IbtDjuPlrKzNE1axcBf6Y78X4YjXEFKRLcEVarTT3WrLMvDMYaV3ubj
kX8jITY7MiX8yG7c8Po0bSf7izSbp5PoQLUczuz06f9kInWt5GZgEF43hHvAY+xk+IagrkAib+w6
OJy53o2rrhoT6ABe1MNJc3L5PdE87St6r9LnTwylukjAOj4lmahelUwNAIAVRYgkJHZVCN44A2R8
2gv1e6XCC6BSYoNi91Xy2wZHtlvV53nOYBHJSs0kvyP2ot49f6LLANtVyySdVnwoojvHjoCG1fkQ
wJ6UKhJLtExAbxAqFI85wgEwLwvEWcDbR0F0Y4bPrqnptxAl8NYgOM/2OZ1gCAdxoWQ+5B4lqp86
V3PARdsy/4GGtYveHIpb1zfrWbjAgJSHdNMQKverObumBsNRsUsJlb1m6okA59FriIANqBnZkfeV
Oit1tSKDhr4temPobryvl0afIl9ct0mwnfnUV3GYJQCo3b1vCN0BvWJ3f3qtCsKF4wfFYzu68hu8
TSQ1RRJn5o1vP7ui+XZKmcIic9IF3gank20UlWwCgtN9gGYKmokDGtZLwvzyPvLDdmMW9Oy/WKRu
N4q1lxb5/4+LrcjpuBW4LapXckQPuh+2SUAhSvoI/ADceVdsvbzxmWf30d/PJBIk5aUuM/cSs7UE
4HkzSqSwLACc0MoxOK71Hcxx5+36bjqXumYsKgB0AOjJ0QyYXUa4abtVHeRin9fCQkVEKZqjOvk2
LhF8RN7Eo4XmPfQgM3/LwAaxHKtU8ndS6+pjTM2/Bu8MZX+jJaPj7qirmNmdGnrKRJkafmuuPSrH
RqGns4DSIIcn0IXKUwll8/36h2gGazC/6XhKCYjwBOABn+0NsBD4LtHO3pdJGUOCQcY2Tup0rZkK
GpVYMG6L0FSQJ7OCvSXqCB4cnc+41uBLlYH/pUTX6obr3aVt4wBCmsx/CNWc2VEtRlQkldC19rhR
g3PU1dwZll7olr9UUFeoKoQTzOjGPEx7cT4PDrE2M0AfkYz4dK/m3IbqgOr1AWmZxHu3a6VQNzIb
M1SBod5qkCh0pEqUvtG/IM7U4IkR6BgsD3najDfCm0vnFQOSyYyNS1uf67zjuZaWdlUCwfDceK3m
7VdEQvCwVvH4xpXVOgy6uOFbdRawGBwZ7kD2Mo1QGh6nnw9mZfSKIULfJDINEPyjA1Iwpopl3WhE
npsyTCOZ5BqqNUXD86vQM61MdtiO7qmtWMcAjg95DQHjr4JMeOm3ZQHFiEg8tRFfsRBt7kpTxeJQ
CXY3lny2z4jHKbk4PAdsM6Lz+dY3rRpNbbdAxyjVgRhAoBVG/qNLUTOI4CQqCsxkMZqowWck69ZO
BkhMjBQWpfbTG9HTre0uW8U1Rcrrv2x2kdlc0uQm2LIKwb/qfztE/0QfWUvMa/loyGDFqAlq3l0l
ou/xZGZFFULkNzf/tLn/2fw2h4y3WKNuppH+UTg8XX2rbMMyCWwm3amNtWGMB6QjGvgJCe7P2fAC
S+sBissDSrXHBuYUvKj80GZVeuPBuBDNThVEonrHxGpMnS6rfz5c0wsNG2o7OSj4bz/3MnUWXlog
+uM7X0gHBI48qBYMqWV91SMqNden/W9x/Z9pmLJgfPYwIzKZdJOr/XR4g7cZESVSmZz4EyWgCStW
hkimBd6bMKG+m8qkogxbDwsmvOQLZMnvWyuK3m0nQwrs+s+Zbt75r3HI4WBR0xCgKHj6a1STcnhp
0f5VVQ+leydtAHH2VpY+4eTUPNX66L5HfQvMyGo06+n64BcyLB42AbPO1lSmY74UgtIRZS8ftSH4
e1+VckBICAEJKh2QuzIvp+0loVgrWk1zANr3KhHx157ttaIDBkjSyyUSB324qXukNRQKqDe6BbPT
+3ex/pme8zY8jmVh6sX7YnAQ1S2SYlujVR0u9FrV1zImsLk+JbNTeTbgbHfEwuNxNFV356VB/M00
Wx71rJVvjZ3eyurOL0l2oiMk1kCUsmlmzcZyytTn2Tcc1KKSwV2iNh5/dGk59TwGO3htjEYBjEYZ
kYab0/WfsQ4peYET24BokB7eqJhenGrpkNxTaePuma6Pf46lHztNPoYUvEAsB6gg5n2/b7IIqY8J
CtuYMKmuT/WFre+oRCOoNlDt5zk6HdASIQ67gVB2w4CKcN2jSA8zyk2WJCTV62gBaQ4lOuAujewb
p+7CKp8MPYuHDD9rShXF0F0f2y2KBJMqO3BoFd5AW41ud2NTnb2700JL6LkGmS3lmtkhj0MrHBpD
sXdoeJSvegr3uaLid+PRvTXKbAHxGspkIlUcO8CvvqUB+tWLDP+hbH193c5TTI1qM2V1blH6ZFxe
pwuX+qHacJMpO4AmT6h+mqus1e3XPAg63AAeBrrqIT70bv0omltJ+3koy+BUoKde1BT+z8Mmq6us
kNDa3veFZzoohhSas3AyrLbBPwbSxnhpAvfWZSDlxiHMq7dO23t7RMejbDGJK00MLSs/lgqw4htP
2/Tls9ucGsk0KzxtGK3NTrRUo3SsVZoObOM637YQ13JEAIQvlpFZZJ9Kq6MNNepCuje22IXT+++0
yFkWVud4OxpOJ3dw1N0p1rIj1GegpiQvtkACZAvVliv6+k64dIwo0VAll6C/MP863QhZOIyGqjTe
HoA7udhg50fI9fUxFKa1vT7U5XX/Z6xZ1EAHZfBdb3B26ICF69JCyHNsTFAwIcRfvdXdvYjKfqlG
eGc7k3p3q2TaMquHPxUV4BWSw+WNDObS11Pn5ShQSp9imdOvb7zeGTQT7HITIvrqigyaU28owCuy
9kZl4dK+MoQw2O6Mh7X16VAxbpxtFSn4tnhoXYbILNGRSJoPetFwpc28RHE7916vT/n595GaWXzY
VFBi3NmtBSnJLYoMX2KtMKptU6nNtkgwX6h0+BbXhzq/uhhqegopwk1dw9l97Iu4sCkk2DvLJGNe
Ij4QIZbfyPRWTfnSN9HqxdrWAfhFgD2byECJ/JpCzK4DjmzgDSF0ZZkiwv+UwS39df2rLgxGYMWe
pQAmLUozp4Npbqd2ZQDYlIfdPoRR3G5lGMAJHIvwRmZ3vkFw9JaEcPAYKI3MbW4b3UsGlio5hLpE
4Q7hoNJHF1SW+8zoYUhGvtu+FUR5t8ASlwYWJmsHCpSSo5jdO9MByMBzYMKmoFAKIvMnknLxQqmz
ieczDKhhKv89RqOD9c+Ys4OXtWbvZl3r7DKB4L/VyHhvQn/co8kk19eX8NLn8WRPRXdqerSvTpew
GLMBt6Pa3g2gdUkNPMd8C3TfjLdc9YoP55CeGuQxHC+310c+Lz5Ro5S0v6hBERtS+T8dOmC7VHk0
wTwaqDUB0JgCZRUX0bMeb84B9YpsBF/W+41xhIyK64aS0W1GOsmU0VYXlf3Za4UP4WdArCsxH4sK
5yLw3UaUL+EiNDjH5aWFEOeYRe7agoyp7fJK1f/zmwhWlnI+iSdBHs/26XeEJjZtZUaDHTYU5A29
5dDdo1PTG2vE5hFEd8zB/iY4iPqNKbxw/ggvgZJQE5XCnp+/AsnPekhad2dBaIJ5Fo7P+MMVG1TK
7M311bowFGNQdQa4SpBnzY7B2IdanOmOsgs7NV3CeFUwnK5NtIp15fP6UOfpM/XdKZj8a3ZJSn86
n6g9piT6mbtP4NttxiKK4UaPOHdhVbKsVM1bWU097FH7yDZKC1bh+vBz/BYLeTL+/FkYbCvQojJ0
dgg3JF+iQPh8r47WgeumL00zPAhYHiTzjf1gFa2xQo7J2ug1XiN5hzwhZbU9vW1t57Vmsb/+2y6t
Ap16kIVSiinQPp2asUmx8TY8bDB64Yi1kuTRJG7UoOUZKp59q9dynsAwE5bBvhY8KWcQk0IfDaSW
fMSQlMF96srK/+j7geX3Ne0waL386GycuHK3b268lxdC8NOhZ4dK60wzCyPV3WfOONzDukX9CwHS
OxcFgnCp2UpxH2GRsvIhJq19MuaD0BHl/+/TbdKqM+l5gF2Yo7QQOiPJylLvUFCr2VRtQu+rG8z8
4MXJLezCdNGeRtYg1amTalyJNms7C0YUIOhOSR1xLyNdPQaOVyM/oRbtbtAVBbJp32LCeP3zLi2v
jTc4/uCU6IjoT3eTO9oBEkSIN4Ppcb62+NctCtNH1wWF3fELmS0+txqeVRiiZemNnXzh3eE1JaLm
KJMd67PLX4k11IjbzoXA1OhbAGwdJoJBv9DMCp6b9CFmeWV9I4E8b4iCt+MW47qWgInA3p1+sYmW
gJ30MoBBH+k5pIe+3eVpPcK2c3g9wDW1/ZOGVvG4jcExFw9hmnryzYna3t3IBlDUvVMK8ZR0uuYu
NZmmhATQPP1FXuT1PdLSWGlhuDI5QIaiweMc60VoqK7WQJA2FAWNSVQwbhQ2LtwKJ181uzCLEjM4
y4XEqQ+euRwRv3y2lTbdqbAlb8zg2S4lJzapOPPWgeRx5hUds9RxCeLMHRK7tr8EYBGaPUYoUFVb
P/Z+NF2g3uqHnT0HsyFnN4Ht2iUua0p8cLEvODqUMg8hPaAFxIYGFyP8VP3YknduIYznxsDs6voh
OZtchueboTHoNpHKPAlyjJKa3KhaO+ShrIcsde2tiCMWH3XgG+H0+ZfSgSO8pVbJXUMX63R3Flqg
wkrE3yaPixyQnSp7zF7QP0vHvnhRycLuAm3iB9t68r3tBAiF6996diEYDjnDdN/R2yWHmE11q+GM
FjgI7gYDShQLaMBwX6GTPY6G4b2HPSpn/RToKHlWrv/z0GQR9NGpq9AzmEO3MNktC6T+4wPIhGqN
H9n4POjGeGem8ST3Q35fR4pP40qJ/2tmQb8IzyzSssnDnELd6ax3Oti6QCTqrtQCd6mgGH4f6Er+
Wvklxg85qtJZbFs3Ykbj/CAxKrbS0yxPDZL5S251aKcVfXAw2XYwM3NLfykw8lAWZeqgGZGjjoyX
bKKbr+D6I3PtOZXzlQPuJWhAyKBeYDCqesB548Hb8rR01a6xOo/UKO+RG0SZPIAP7I36G/IFGlr8
ChJWIdfxwqGHLuDNSTtYN0XRPDt9h1egj8gSghURoiTxIMtym/tq8KinlvPm1hpiA6OPCK6Vww9e
Y/fYucsCGlxBI0HLbsEwzw8dlUTiG7bidFXPQ+qWllaWlNLd0aEudpiL1t0S1yLqXVZwE3x0Hmuw
ChibT0BI6jzw1E53AJKNbeLAvDuULQwYWtkIN/RmtMUnzNwNAfIS2MtheOJow7JqFYwbe0d9vr7/
z8s/fDAIVyotNrgv4FanP8Jo7FCNxsbdBVSZ2mVmVBGmSFbjPnrYU1rLAUb1NxkURrH2ULx6UQuk
AlY1eg0tzkKap65pOiXWEqVthHWv/7gLmxWMvzVR6mivke6f/jZ3LBq7A/+/83GDO1QD2r4mhGrK
f/CT0jFpboTgF5af/h0kT2Cc3AjzpohaBYHVxSVS9KLVHmM4UwdbSQf4Ouqtg/iXj3sSdzHvILqR
44URQfw1W/zA0FJpK2bMCAZGjfhLUj/FUK2OUXGE5Q3X2rfrTQdRqliFJUdoaWNOdy+SXDoPdhp4
vxDrbp+xi0XFPsex9S2kWOJukqobraVbojmLhSk2BJYffK9KH4NSP9MNNMV7qiabILc7eh5N7e+B
5uN0FGvIUNBVrZpV7yIavB7QPLBxVECbGU0nBy0CGpnqUhhded8qI0rEDgqY+xpJS+8QRbINvmMF
ne6KLkOkADFn9cEUJXZ0mkf/GHE9TXka8OiAh9nqZr7wMP2CA6/32qHFce2jaEJka3E8b+MlTgLG
Yx1BgMDY1fO3ricR0NdHK0rQBUu0b8pgwGhxjBF9LzXKUK1uw/HG9ru0HeAuUqfjjjZAtJ1uv7ZC
bZlXSNkjho7weSmb2NwHYxn3y6LMi/btP+52QX2bG3PaEXICWp0OR06NdrYmqWp1Y7YDSxYcdQeW
qkDbeqEqeXXj6J9HpQaVbZNXHwAZeJE5DLRp6rC1NU/Zq0mvvmkFrRoplAa/w77/8OEg9gu1qhoU
9qSZf/a6mh1wsvKPQZixSUondp+i0Mb1wo9N/9dgqvSUKVahyWX1FFAXbp+E2DrmSqsuo3ysv/hu
gMijpoIzXenjiLzT9Rm8sGAEWiAxmEIx/XM6g5gHllpjoPlhuxaRonCejAbJQ7VDEvH6SOctRsQl
aJRwcOmcU2Kdrq5/mnoufoKqi/bUQdB6qlEQxMf4GTH2HpNuqGLIx/Xu+KZkZqttXBmp+XeRikjf
9KgQBatCC9voP4fI1NEs6CHThUJaNbvILTQaNSsb632SWOU7Zoo1uI8C/IMziYjjttfc2D9nt7MG
YwHulE0oAfpJzpIaI7Vcr+hKsetVt2i2mksrl+hA8Uk/Mh++VOLko3MrQZ/+1pN7k1GnXTuV68HB
zNtU7ErNaid5wB6dwRpVRq21lp035PYKVZ8IzAEdbHfXjnWXYVOik1b2IZSVJYqPWKnRzvIQBPcj
/xZI8WzzTT+MpF3Hdo/Coj4rSlftgEGznrj7nuzZnYymEIsP8wK7odJTbqItpr9uPg+sMsR2jVoX
UfvpBozD3u4Il+xdGxhVujdrM/pdumGMuiq/0tuG6tD6GHYlSfBUUbMUW3PotoPgQds0aOiiwNgl
fwzSl/eyRkn+xjpd/Hlk2H9BURBa5rsRj3HNBw9CySKNsbgUNqIkNh488saZP0temHYIZjCwpnRe
s2e5Q1zUhTHUBlQ+8mdAqBhaZzALC918UipHf/D4eH9ZCbinS/Sv/fiYSk9kN0oa57Hc9DMmSuHU
aaFONlsOPcNsPrId5P7NxPqUbrKOLZAH2C66d5bZ1H+KxFe+tpWOcpCN7suxFCO+DLdupYuzAaEQ
vgutJfbH6a5o1CEdsl6na1DE5V0PMX8bK5VYOCEukxReGp5WossFbnkIRGdZvYIUk64ydM4WqoOc
UJmb2dovQuunbxWI2QooCHT4oAN1mYpsQqYtAqbxAJYJGfRK9VZoUjcomyZIQtY5enAKrupqiH4o
h7/Y+l78KzYtXGslkGyLiAIrqNBCHhkjJGSXfRIRGNWpQZcFs+Xcf8CikI4zT/pz7artRoOogD1s
wi+HUsdjEysCZnY8mfUmbowVgqGI1f/j7DyW3Ea2dvtEiEh4YAoQtEUWq1ROmiBkSvA2YfPp7+I/
OioppOg769NHLRgmMrf59rfiQvu8JgiCtfTmMQZ57VMlMO5GBkHDMsu1sPAxSTbstArzWc7cZuO8
WAlQ1KLOi5PZVsY1z+jur/O8yW2PQfW0LB+sAfqUGIz2khvS3OdJ6h4pCopdR18gqHupcCWGjdjp
c3VSMI1fsOt8bQy33/rp6m1qpvNCCtwK+1yi69W6OUphm5t9znC+vWPv8vDSHUGDGmP9aGT6lAMQ
gZGdFEMaapNWXpG8Y5xT9WiniAnkzRei3Vba3N7Zs+lF0q1GmK+L91VMChIvQrOTLDDKAmwPKbrC
KFuBr8Lq0hqYOh7i0BjTdT+Bl7n2a5O/mYnmTgHmt6UKSe3NyPLbOpRt2hyhSMfQMXz7GJfr+9/X
6p9OD0Z69FvTFW+ejwOUZoWuuDFVchgWc3yM6XbfCa1y30vXSJ5GjYmtf2wUH+05qK/ziTKITueQ
sgphz6/fhmqF7EtiuKNjp94bFunGc7+K3g2SpeyvctDEvUpGy/nktzLGts5PWw1LgyUhf+26Iczh
iwqqThRmwpVE7b8b6WBsw97BuyAf5Gj79f6Y9NObGRba3laWbKN+zdAPxqaRlP/YrP6wSTD97JNz
8x5QDHzYJNhMHSbji/yQGrMrj7qzWC1+x2X8A2p222HUl1ZNZNVL06BSnhosPtF4/svu4k93gT3I
rf/NbXBE/Pq4aV2tWd228cFuTePM2NXwPuM3w3MzsxpblfYmwUUc8prqKZ79bvyPUsgfzmviRGpO
t1FojtAPO7YSaTVDxakOkBJwrUWXwy6Bg2iGvSab6M+/L/c/Xc3GkABZNsNsoK4/PG1RW3VF2Rv/
4ER8gUrsf11Ya1hy5bH6h/7r9xo3USnL3GTumkbBx2pzNRNwdnaaHgrbHM19IxP5Lrw2T3eZwPk0
ELM2uW+qaxrj239+SqTJ2PrcEgo68x8+sTlpoPvgt3XIELbfV1aXZJFgpA6a9kiO+Z8vZnLQ6vjY
ULXUP1Yuphqvi7rvkyOBjRV4ek4fPh1f8TBZnv5+pT8sVQuh8y1Fug0+fqzFurHdlh7HC2zlFg5f
Y8bqanndoON1Qmp00voeww57zvEMqXNWbUDzCC7a3+/i9xiDuBJLHIyF6I6xYj98MbGgY55ro35Q
QBfxyK67/lCKxtqy4kAf4jyInn6Mw4xW9BF8lLVdhjT9hzjnt3dxuwmWlsvw2s2z4MNPTGtunbPU
cvmJF3mVODl/yoaCAyYubeUFjpt4h4rYHI+jheqArGTxj9zrt+XNHXgE2TSE6ePgKPHrp9SPAreo
tGQrNooCz3CQJJjIeEDQ6655mHMJs9RYnX+stt/OK65KxYaAmw4Oow4fXr5B+69daoH7uKJ/xFR6
aV87PMVnmlhftKVzm+DvP/dvO8btgrcPmaKcS2v4Q2POdWl+jhMvmu54iR9O22ty49Vljnf1SL3k
H5e7nS6/5BMm1ShqUmh3cGVgrf/6VrXUaJO6MMxDlwNYCfSxWJ7oM027vz/VHxJnroNGiGvhFEQ7
7Nfr1LNM7CmNtYPye4fpeve+HTx5cVdz2VhGRgRa2mB99PRJF6MeuIOpAtOCivL3+3D+9Ly09yjv
8CGxZd3+//9J4PmO5xRuSXmcHV92kTnjg08VHh6pdMz2ztfotEW2BVR+m8jJfsOA38aZtXfMsFCT
UR3TNJ5tOneu2PplmlpBhn3Oo4me2gpyve5edH0o3lYtb79P+BN7AXAwsZ9VBcWtL4qrB0gvj1JK
PHXAlJd+YBQC/Hq3TOpbWebKhDycmGlYNEZ8X4F6/ELWGadBlxigUtn39G1V4xAe6Fbqf7/Zcc33
RWm386kE79mDNoOEtdiOt+sITCmsgSK/kjXM+B/nnreZZIOvf7II42la7ebdnIsJ5A1VXzwc5kK9
QmPFdttHHgPb0pjhkxhuzr4DSr3/Ns1T87iu6a1s13cvsUiW90mt8LkXRKxdSPSdP/39J/vDzoOf
mH7zvkAKihfGr7/Y0nPg6H7sHCxRNz/izHSiHnZxMBoApxhqTQ7URuvDRKDNVClNlP98eexMGEg2
BIow8fFsk2YK9zxfPRw8yWQ8e0CexGvZJqtdXdp5uTKnxrR/iR6jXLAk/vvVb5/fx8/TokdgmWx4
FFw+fDZrN1rexHAqaa7bhu5i6WHb1smZ0hy8PDj0VDbM9lgIuf7jys4fLs0uxCSN6TKKTK/s1/ee
dy5NHTCAR7W0/etAU4RpZb6Mx37q7G+AVxmz08lcbnS2AQtUkbQ9GBJqOOs2burpovtNU2/8uVJv
k/YQg85AsJcYTg/udKm0cjPjGKZHmCmSoiSi80y0+G5nB/USDydv4tuC4e4y2OSYMqiGAemF1vt+
vPFGZ1oC/qYZXF2D3S4a+37OznoBBRx9CL7/0VyA1EIsk8ts47HNMJ6VzJRmWjLdcoPsQP60sPuA
8YimcAQ/Za9VGHPOQv2RjVGVoQ0g3QsXtNgoFHylU47X/E+ZHjc4lrXOFxwVq4tXafiRJXQyWPy2
QBK8rHnVbyWs2naDA7L/PPA9gyBAXYHHogf8K9DW3M5COPbYqqZel0HR6fsSdBpNmRKHYnR3FLZV
918TALw6//cXvf3i/7P34agglblY7PWuWNtdJYUN+DmZHierr5OdtHrDfKNQb+aRQPy08N4M//3v
C/oP5yniHkRk+BCg9P1osCKaZODhc/8wd7mJk1nfvjeobyC9wpkgHWDx/P2Cf9jwTYfoCWUx87zW
x3BxXVuqlIxfMt9aedcShscnTa3GP76WP5zaeFURjN7KsK7zsShqO30KynJ1QE7F/qYR+nhg8qQL
VWP+y+zstziIJJFmJZksgT5j0R9OsNmnd5e5eXmQUyuPqQFOdlrXfI8jHuigcaDS4o/N9e9v8fcg
9HZVvCMZA3dustQPa4evAjDbFFNBAa40wQaEykhvCd2AWTV1etA0lvA298FB3coNSmwGXP4ebb/3
3C9/v5ffDgT6WTcnEoe4nE3Zu72g/1nG4FjrGIREDPuwbs8YVWAYjxfAmUW8hIRpIsBIvn01aKwE
rhj0w//P5S3CQRbTrQj+6+WhWsSx8tt4P7SJ8zW+JVuQ3WiiGAN8JfwA+0NSyh4DaqOLT4jY9H9Z
SPz2Dd1eAI0OekZIxUgMfr0DkVhi9LXC3VfznO6xf4eBIDBY9rM8WkCK/iNj/uPlUEEjoCIDQT37
6+U8WfV4VoBuTNuVhn9vzn4Gi2Eu3yEujo9ePsl/aCR++5p4QMq6KL0xf8FK4sMrFsAjWI0aIwjV
UoJomUT+5Kd1XYc3cdq/5M9/ej668ASEJvp8jCt+fb5UalM5lFZBCGxObLzYDDxIGptryNdeYoMN
EHH8RzqFg8Tt/PzlaOch6VqhxSAo/l1Ny2SiwGmldPbYR3bBVC8DIomSLHPcjF5zMmwJs1Oj2kgC
GDiLDUKmearcEYQD9B4I3VKuW4EZReN/hrf0WTRUScE9gjudp8vSDpvEdOqATf45YRJTL94avwgy
O91bmoomx8XRRTRvrjXD+R5xMx9/tn7ThT2mG4e8Eo+8gkvWTNEgf3iLPJhSf5Bmjdi0uoN9iWSA
HWD2vtu9+GJbdRpie7FuGQSeA9WzJEXVEj+adlSVxaldqzHAvuzbKJosWkT/ZCVA/6T9oJvZrqrK
n1oKq2CtRyNKSkwCQRLepYV/LNf6gSCXQqYOHASTTApwx6Wq7sAoRHUJ176FpNrINzW4IAptiJDw
ejqvCjXhAuyF5BbURgfo7QYjcVVbnxIb27G1LB41DuZIGXpULy7SueaTUs0DjIAvEu/EoWkOk40D
GdjwIV83tf2Gs+w+zRgZ5MgPVWy9JstydhLxkMXjFZ/0sOhovXh0s/0B6Qo9VIKb+eLA0Jr6/Dmp
2s+m6qPCmDaDX+3LBdsAQt4hyHIrQup9ABGzyVfA73ZqvbL1FaHdmFqAaXmUlW0T3uCyPojQ2RSX
sSjAfyPT3MM7faS42IVr6T5OorHDvmaOs65975IKF0evDDSptu68Or31w/yNw5I+dhbZO92rLS6I
pM5uEnMz84tc0rdRs08iZWhx1FewxJMDtakmJsGrdr4W/fBF97I3SDDXstQ/rf18qRsVH9ZcW1HI
EZjmenbhSIzimTJ036X7hnpUrrRIFqUMxrpmQbfJ0ajBQYvakds2plNnGuVt1gfuiQFLTW+rn4rB
9kh6xgvyyTehOcDlmz3q9zYsbPFTTe5mNebPsQf5AYg5frEPakhgbiYbBk2PXu8fHe49LDvaYwzs
Ihr0W95ZHNXF6kRZo7bO2j+XZvK4JGO2ySCdQfumiI6IoYBWp/DfkKsdUPa9mAWdB6xFoTdAb6KY
37/as9zOC7KnzJoeZ6pe26aex62/YhnlzwZXsTL0D+K2wOAEwXrc9Z0wQtNcL70srvocH1XvlE+V
p74mblUGQ06R2cb4biMSI/LNZQnHFexoPNB2KOOhClSthRLek9ubwLUG5gKxRTksfjqFc9s/pCr1
I7B3Hf/JoGFn2ybcNL8oPKlQjGN3Z9qYeHUqxjPHH8QJpYNz0ZXhBsiBDCJrfI4ZH92uQqi93Q5Q
/iwrDpIGtHe73koRtllub4q1vS/6Plj7fgh7d/0mGgDw48jiZ/+86lX21liArr3haOvVhmIHAbjB
v2AOPi/xHjVREw1glGLhvti56rYoyyS61mkJa8190C1grnMSD9GC8Tl1zOTZtmGaLd7ahvmYfLI0
dwM84JBzx1a3/Cxh43kOAgO06qFVm99bwzhYHSZsM44Rkdea35O8HA7EDEZEjTzdpCabu+9kT1YJ
FLqjvLUrWnEd87jdu7OYQh085oVgKg8RSm7HRn+omvyA0dJP9PkXx4dto+vVj16ZG6QvD7he3CWF
fmK+Fv/vzLYwONEAwqnptKJt0bosasyyDgsQDsFaZGFc5XfN2pxVlQDs7ZwxwMTgkjmlCMrOtYJp
wHB+Fry5WrbQpuX3uoXOGo/5q7TdtwZpSCzNJ5/U+4BLVjg5xj7xmiNEiQ55jIYBCSdBqgNtaXvp
hGAK0HhZAhFdjq9Vzdlhle4Y2UXjnR273WNSHKoEhKfMjsXNkEX35y1Rzams0u/lsG7wpjmY3QQy
qrd+DO60m8WN1p2N9FjhSvveiLNg1WUwgptvMs45NOJdSWFYejmAoR4GwpDkD10601aJz/W6bFDz
R23fXb26+5Yb3l6q6WqaFDxkO361HNp4rtI2TTzBAiEKyKdPPQKxo/RcaiSTA4dOk09Qe5Jd4WVo
rC02IsutedXpqS20hzLODrajQIAKb+PabGqDik+K9o7btcc6T+Sxdq3XeopRv2bAI7GWqUHk5Fg4
1bIPa5Eae/p31wzzUkwh77LEfwUlB3rE3zDGSd9/petWZ1/NCYKUr3fXNIMA0TefPHPdcxzse8e4
mr31amva1RrWCx/lmy+Nz5OrPzVjxfC95971WX9OVP04gF4OXLvcljZUnta4Cjm9jrDnBk0ClmrB
0jlOeue3C/QuxeQg+enWMOadj2QF4l3jRAZmYtvFrR+zSkKMcn+kaMY3tp0wYFzIoJnXx0X6y3ac
5p1XdCfHG05l2nvhOFteqPf6N7WKl9EyLobwu4Dm8gIb0XmjEP2kNUm/mXQ+c4X+kx7aIAPM79kc
kINs/F6nUkrzBdDkip50yNI3u57NQMO7KjSnNUXxScm0qZimpdHmBnnjj6FiyORCnbUyCLZMUnVK
ElNoJ5mNWQB6U6uIk21BiYzSV5V+NvAGo4Hixcd0qe9G16TiPWd6QL8VcaKjP+luCnB0op7ZzwTi
Xm16WytnU6STjHm34f2gnUfmjw6POnK6FVQDNgomZ04PJbBlC5Wto6blwnuhbzJA7PONZQWr5WFs
M3hXvR68rVO1L8y5JZFmWk9GI1+MHkzDeNNudj6Lxeyr18xd7g3ZPkBuAd9aaPe5LEZCaBiwsYkn
hJ4pxjNr2sGMX1Oc0OqBikBubRxr0M99yf/skvQ0CO3ObMXrFDOolhr6XTOP9sYsHbWpZ/6cUxwK
17p0nX3VjfwNhPjZUdoJ8ei9TIZLIuCRJzCj2/bKOTYGUjeeRnzAmWeZImlZ35zV3bKV75wq0YIy
M9iBJms8ybG+t+pka6TY3k92me7KtdnSid7Bxumo2coXp4p/EN2AMxT2185sHu28v3O9/HXUyss0
t/fe2nx2YoPGgf7et/GxyMp3+MBRoUkZlImzd6pq1ybJ1im9c1Hb+F74tBGKvv/MfvRuog8MTH99
QciThZ4+TjBphmMBdDpUuv6iuCna7SUl44rIM+YPIYpM2bznL4nVfVvTjJ+UATVcu3aYzr2PGgRP
Q88XnJ6ht+oYUeFAeyw87xGh7SnWYcT7NUquORUXw5mpClnj59QbWQQ0D6MxXc7JiLt3t6Zvelzp
QAasbZe2NpuPU+Ab6XAY+Qb07nG/EixPMydZuVDurYFjKx2w5kozPsCsfjiI2v66+tmPrpsfh3ok
ne4TZ1Nn+vM0+vbmtmADj555INfECvFxvjN1ja0ct8qNnBz7tWtUsSGk/ByPRRLo1LDnVD6YtvVI
MeXSaZitl637Rdz0Arc+EwrD+dAyMRu1VU7F1GS43lyPaETjIFvdA8XQA/30RxdBxsbp4ySY03wv
FLBHf2bpgncKB83vtpB354itqAZ5i/marcXf0TPzkuLVw22meMF46co414GNfAtN9yJBfWWrcnGT
pAbmsAWcU1f/0WGlt2+zsQuwQDG37Wp6G1tJNGUuLa+iwUkmoeJu0sIPDBnPGAgmW36JKXC68sV2
6ykw12lmTlPiRzSYczBZdRagwbn0TvalsT2Kl/Yn8HQqiO1xh76FMQc2ziHu9QMqotd4mfoLY27N
xusVcYHfnLuUP4S32y0qegKGZAaIXtlDteHRJtIJBghYDXNDYTxB5YPnAnSWv+be0ScNN8dS3w0m
hr4DG7B585fUMuteOTWVz8nRzxTUoTOa/avpNhV8PH/H25PBAGsvqJhAC8t0fJvacY2aEvfNzJmf
a+S2xFkKIx+CH1mIn06tPfQrzOhkatJdag77YgF6h6XOitUMqDDQFU45vVNCdqJFemJbxSlA28o5
dxU+PA5DVv1QNlDfBiy6RrRgMSvatLKHZAQ7VtqaCoQzgPXCBPAgNcfl5yYVaDLwwxmTtADbUZhd
TGetIrmi7qFuS2K2zB4wE9+LX8vO0a90Yawwk2lyXBcv2XvChW/D2OgXs52Fcadx+vhh09CmThYH
4jDeAEGeGO+qcH9kll2AOI/r3RAX5oXak/aaaPB61TyKBx340Vtt9fOuzAvwvwB5o9y7rePBcHem
A0l5zNeJIT7cJjFj0/XzMkNBDSzdm2rGxtPpvvftMSpcNDTYMwHRS4dx/pwOBpzSvBu1UC2aCTIt
K4dzm8aAQdtpepgcaTb3i7MQkJeGMV31yZD3zO4lu1FP3m3+jrAoB/Vc1W5272hT+sm2ZRkmZOFf
zFwjF6SGNAUliXdYxh2MlBYLb6Yf5/2NCL1ttDi7ZmPavCyZXe9WzPx3oAwMXnjiPPYMJWzNGp1R
iTnr0fJiEZqV7hyBQWC51if+NvUZa6Fv/GSvSUEcH7fRZNDJZiAh/WmiNr841Tg96fUN6FGSEBPN
a909/ZMl6uveP4lscfHnNLXljPwNV6KcQHEa/DdbYBfBIPVybEVjRES1/iXObH9D6hY/2TJut2bq
9OCmlVZHRjr0ewPNbGQIJimYsQENU2nwPSuzOnCKJpz1iR2tKSX7Ht7vrkjXMRoleyZGfsgIVv+r
RQZ7cFdw317dM3Y2wU7GV64LZriWexJhh8r5lB8lXpjkecp8VJKh/VI2FNObodva2Pjy3ZvORlrM
xJWj7+3wYcWlj2T7ZWUWbzsSSV/lBIK8RrYeZUs90Wj23Y3FZnfUO6Pd9E3pbsjXmtcUxxFiHYfB
t1prHkD1cjPKoQJhSNc8aKgXrq6bytDppuE0Zp65HXAyvRuXxDr4M0xsHtW5Ihz1mDMVrQqXmhKD
GkZc6wmXyXfysfusaLhvcSjIz5k3lTs0mxBilc5GzkYRR423YB1sTkUoTWSwbS1rwqu8Ho9LTfCC
8iT97Md5cbDdyjog9dO2NJfly4zl7Jds6BSNDsdeItQT1RZE+XoaOyzd0jg/UuPd2Ium4++mCJi6
+IHtDJGZtVGaulPa+ikfqsPso/x2ivme8OCbZ3TPTeG8Qvglni8vXPnVmdXPzh4fcAxRsJO9F011
P0vNO4FPvY0Qk4nIanrF7fd5gX4EcG5+xODvpfb8gdmD5NmanW0zaw8kFj0n47zLKDUbvWYEkg9q
I4AnOBP7b2Zu7Th/Z7LiqdHEi8rzo96318TJzqYcvyN4i+ayu64SBokg4MsHcqxB0p5ql9aMprJ5
NpS2W/DJhcF1pW2zdRxCv6TyozgHjIcLytYlFA0xLoNbfhOXT+WmavU7cpn7Kak/lzBGu6I7OLN2
n/FpiaGi98tfH0C4ZwtitSIXCAwAjgs+AzgY7YxBb8JOAaxlTvRZU0YX9I1+oLh9XJ3qyRmaCG1j
EUz/5xwVn+jPDIQy2T4zu3cXxHTGNHEwc+OdMpZwUPbX3qsvK+prKNMehs11F4p5UQSc0ifOLJoJ
6ng+pF+TeZ5a6jk4vOTlSNY8+oydinPSUxEEGR/a8/JaVi4FdX9+tJZCHZQ0QmFW+y6T701yA2Mb
d/1s08AzmAzU5/mor+7TVKUvrrkQ3Y6UURJIBbZ7FsZ85yYMFEj5VZ/0CpA9oT8A5DRIXOedWvLJ
bOZNppNM2BhfU3PQ2iAu9Memxe1T1597b/jhV+ZhHJczMohtoaxrSjIILTq1Q0vnGWuv9HgzYHb1
PvvuNAPeoE3XbjurfqK1Cg0lH/tDa9F370khw9pyi33Te18yuO284xwahtosY0dyq20nm6pU21yb
hWK3u9L1nRvtTEsCEWruIZV1j71pHbXJ3nMGv1YQi0IEUsGYJJuiN0JnJLewkjg9GnGZcZZQjESU
HSa+O0XFVO0rPBFTxEJDVZ7NoTsaCTMflSaCJdZPLV8GwfocLAtZwaL8t6pbolrMW8/MXvtZPCUw
VNxVEi+oajfbMkqRHAQQOnd1AV+tbxHxjWkNuNOXDwMdf9ccSOlIaIesvtMWx0K505B1FpE/2g+K
qGBsumjkAJFVFw1WksHTzJA8KpNNx5jeqH3d9wj1qkFtsN/NwsZxv3t28YkZ+SdXcxCceZEz66+G
O/4QiziOjOkCYLooBumK7kbuLbcTQsMgxZOR+50/2fn8njNQGOSpdnInr94Uk17TO7WoLAtFccb8
kiT4uCYKn1frrsmMaBrLqynis2zFs8ZWkpf6wxIv4Tp7ZzttvnYih5oJ0nuwV50tC42YY2Hyo93O
pMSrXm/VktXv94wBQs4GKT/67fe+8LZmZtyvsftNj/uoz8CI+ro6e0T4OyRO/qYtfRWoyb9vq/qL
6SWs8QXnWi/vr6uvFCaDU0cBp7gbej72qu8fNKHeqLmdh1Yb2dy76cLQyAPWc+Az+ikNHDH/sDQv
CfvMuhpZ0dNwZYRKziRmlHCZOyZIb9ZvZWq9tRnuA9Y4V0GVFzJMarrLNjvFpcPNb1+syT0MpFfP
174Stka01197T3uF9LsdfWgvTkbAPlBOrDvvbBi1E3S6/c5UJHpt3ao3Ttl/adP+MJu4GihmQk8p
azGk1ofEjqM3LDSX7dAcHUJSvWYFMzffej1vrzC3TVIxke10j8LiQUs2W7M9xSlyCU38LCgYB/bg
3hl9+xPc6jaZ5LMQYtv6+Pf48ykVKXn98FUDkRSnzbXMGI33Bku7Ve4i6v73mZauUcs4dnajAMew
KUCIoe9OjqWl/zRoWAfeqo5teRsgjfdOHH+P20JumlVdMy87T7p2tLt46/VptU1Iqyoa0ASnX33A
zH5N5F34WJm1oTNR6V4VefjyWgzVyb9JbpomMhrvVHdMc+RWe48YhXCrCwGBbekF84VZDO4ae8E0
ZY8tOD6u/GHzZMSkIXMzRKh8HtPbmZVQt7G0w9Tah0qlx8lotrY5RIz3/LBTHNO7eqWAX+3God4s
VLnH/jIk4zWvQBon0zuzWe+paDYVZp+bWU+2rRj3NWiVIrBjObJVf9HsLEIs9j2153mnDPs4Mnmw
SZT9KOhbyLLR8NwR+2F27puhYlZrcJ4aOpihHas7fc3P66IB6hmi3pVs6nb2tpYw1ApBR4Q50J/S
a3fSLE4VuV9OMjI0xSmz2jFwxhkstSopiEs99K3qrDU+eOS2uSvKKtC7mVisHSUAXOpQZaoAj8Wj
PEyLd+eUCuqT10aFKu7TodmrmF0it4zXGBWYEkQnLRaV5dh9mt38rK/xCyX3LdnqtyTvj32f+uy7
5bsls0tBMsU5vaEKA6ZAv8tGTOM1RTUmTzZM8FCAjl9i3BTcxKI9ZeHTvnybDGpOWqsRawy8JHOX
W+a9lcX3wu3vfLs+O4ujP44sy7oYGGR4xXHqzmK8Sp/E3rU/iV57FoUTqGTFZbhAQ03m2tC0Stsi
mhr3te46Kjxlfi9LwBIuvQDf3GDzsM+J/fxujBQo6SXJj8M8vo04frDVP7axFVU+uMipOzC2ugST
sN4sJl3oVSUMFz0zebIVTvckV/GYuQi4O8DG4pYDTtpWGeve78tDnS+PnLaPSPk/2358oIq4nRYS
/ix/HiwgyCkoEdDP8kZA741gKcgIp/I/e0Yg+rvJRZC54G7ycWwJPiBrGqOLIzsz6IgYmU6uOTSE
MDz4h9TwT81jdJoGirHbkKP3QS+mSRv6L6NXe32YqRvERmx/zmqD6kmidJSbf1cD/Kl5DDgEgRYm
AsgnP4gRxsRH9EqGeihZ4qdYLSXBqmA8y/YGZE7Z179f7v/kKh+7xng13kaskL3Z5oenaytpeFUt
ygNjRKMM+UNadoRDwPGbyPFrLFHxHKFZ1ONjVynv2e+UcjfDMs0+I8Kt9WS3neKDzvuZKo0jOQkq
lbfu9u/3+ZvqhkQSgAdeAyjsb//4a0+9auKZHvEa75mEBlDDiHWrnrPYWbx/CFNuf9Fv78N3eBEQ
TRApfFCplUKfqgE85LEqDc/e1U7Mzjaq/H0wvM6i4VsS/ojK1Dd6uSDI+ftj/mGtUa9g7hJ3FwOV
3AfpgFZhIYc7SAk7c+Tb6aRwL54jh3XnVkziRf/1ajigoDkgMmHaEAHKry+1q60KC+m4AzKf5DsF
VPtNtJp2bM24+cfvh+Hcby+WiznYuqNxwdjdvT36/6hsppj1NQsWFyVufTMbQ7Kp68XYlrjzhFU8
Npve7pqNDs03qmlcB2va38RAqQhFhYWaky9fYuHYOyS3EwzcWx1S5Ujp0sI6qq5i9IL/PpBymtHU
zuXJsfsCJ45GCxmkdC5Zrsc7o/dIohC20I73lsjP6uK9RR+Nx9oUHz0cyfZjR0nQ6DRKN3UXn8nt
p4juVr1JqTluJ1FA1bO0+Vq3ixfYqzEcu5Lukg3G/akpmAErYzbxHpeewFpr790clw7yTRZHmAyv
2860imgh+trnIEL2yk3eZIu1emyKNsKjdtkh+PKDrE29B/qbXVB45nJpK4odQ+bLk05v8tgadn5K
RxwtI+UCFaW2T/Mqrc1o8f2vomzlFa9Zkwa0V54k9WmKADP5m4Bv0mk5llfl6JJR02fT0q7boEy0
3o3UFls6z3QNVqMO+7IYtgTTYrvaev24+GSTIEhArNpWfzL9cQypDlkHOfTLk7Tn6dBNSn9WJa0c
/C+HA62x4U24c0bEM2Htmg4OcZXjjJiHl343CWBIKgtdmVAFVlmJZCXrzosumlOT8rp65BoHd1zM
C+e8fRYIPdBEYaf3fSX3vvSzReMoi0XAZCshr4Z8jY6kBXu0GXX3UzfMetAnQtDMnl60hUeys6W9
b3RJlrgOa2Q7cbcfW2/dt/Osgk7U8q7BuyGgC5cQVxTufQHY5yAmO941pKaRmtEt1wUxWlMk/dnK
TaYaPdvbGKs/3cOeQVaSO0+9O5Nygv7dS60d9potx08OitGfw9w7Xyi7TAV9KtN8LUbd+DSt2XX+
f6SdV2/cyJqGfxEBxiJ527lbrSzZsm8IJzFnFsnir9+HPgfYESWoMbszmLmR4RIrfuENbRw8ZGhG
X+lZGiOqoK5GR6XbOu5+eq0fnGSq8fqnpoNRnm/sK8djrwuDLFSPPLWplalDEjS1VRu3pCPhUBy7
Qq+I67WaoisVrX6UWOgMoj2IrnavnNGig2qo0sbh2Kx3obRi8DPK2ttjO5eIU7V1hRiv02Gotmaq
jy/Q74yNozxjC6ar/kZ7xz/jVxgkq9Q3fhh5RQ+cW8r8EhVCHZNpdOFT5B3CR114DmOqAvxvREa7
MjYi1U6GhP7PtvcopUFy7ULdA9gQWT/iBko/cqrRtpDWtTkpd4Xod8wnuNmGWkh31hxSiJF++o3f
jPpxcKS7RzCGygCb/S7qvOlWZm5+Zu/DxlOjuA9Ax9wYYVdvgtiwnyhvx5sqmkrgR8iyycoY1pRD
1OzrC2ez7Nxd3ybf0tIeV+ipA+tB0u9Pofm3paebNwVF6CvaeL8kzsenyapbGnz8Uc+qKWJTNNkq
G689xONbNTebNNLFNtsmxuBeF6MWfy0bF+8rFL13bm8Z5BC6dx8mfX1DF4sQNed2HNX0FZ0D7YcL
aw6XxJL7KsrzR9S/XXa/iNaTQ1pUDoF9wN6KWNKLvGsIoOo2kYXxIpRZvdSuV10lyuctaVryjkj7
VlT27zbpvtVN6d1omd2uceGpmMPc2GngZem1tyxQaCOCjZLhFr9jag2fvzzv6Rs85XgMQOBAdJvm
0eKh0wtK2omPazIAFSozsDSB6wOO6pCz7VGxveZaeMB9qVnFk7stbaRtvfZfWou6Dr+ETzjhoR9q
Y7a7+CVkBq7WI9s60i+l4EkAOP4uuQq547xWMzaff/N7nC2jzdQvh/9A4JtvH0A59n0bAj89TjSW
znlU0jQ3x005ja8lLfStGAfzArL1L0z4bTSD5IiB1iLv/KyStwibUhFWUWSFzrHsaPDfDJFV3Ac1
NgKg1CnrrZTmC3XX6FmUn2EFWF9geQ/RGceZmdEsB3y5lQXeY627tpORFHVevh9JR8wr6M/TObIE
8Du/Uu01OANNbboq8L11XumVepFt1V8hOAIQvRFF9Se0XBryjp6n21hw6ZcyQOoFF4NsHUyhlYP5
MBN/neAME51Lc4SPVYQN1RzCovy+r0rRXmuVW5mc2a56dZPUecE0O9fXPd2Ppx5MCJ7UWHmhUO9w
B21yv27i7QRp312Hbqir5wodje+aKpLikCSR8ECFGWm2oVsIRfzz5X4XSAL+JIzTIchCdAPqvFhu
PR/AChKxZoVfZ6A7bDxVx7q+sicrXvtFEmxikOt/RiCrF3bauyiSGeJQET8aHC+xxPO6gEf6EbXx
QzsiPpmGwj5F3Fg7NWUX0od3e5qRhAHNi7Phcp7mbOYfQV3cuYHoG/pAGSouR9202u2I4fqqcKbg
Npjx09y4lxg0H30en4UdpwULm4Dy7aBExkPSA707lmKSW/YobdpqHPZhYEcXoMrvoeGcH2jeDk53
MzZ+MdRMl5JcQIDvgfvtB5w6btA0ftE9rQRrUHZxvZJeitNpWdEkdR11SZ/jg28lMWNuuShZ0iW9
ASsrvcOmJj2iJoo5mz2M4PU0f8j0A6FPf0kt2vtgPAD58DqgkAtUKBZI6TK2vEinYk7PyUl/l7Fv
ExhprfdQ1vV0cOmt3Yc5IM05o3hCHieQa1G09WtAjWQnY9GMu8I2KA0hfhttDIok6J+3VHapVhTh
fVwq44QVkHX2jKp6QP/HIhKpmy/oBBZfvFwED7U+dg8gGevn3Aymr2aX2Mc0EuMxLJFhWdn0sA5B
HXYbo9PyraNZULfcDnEHm37FzRgF1i+zxXA3HGokrqckT6jJlA71+bw2bouuVD8ip4Uhl0AxICLK
KvlqZqlBSjD13nmC1XKriB1RmYh7f4aN+MAuSougr3Jzt18HblHQKc1LKq6R0ah0Z2Qx+UoEh/o5
zpP2gd9s/E4akTnrvmrSDYI64CRqizBoDAubcDMoz6YtxQ3A4/EpxWFrm2ZlvB/Iba4MI5K870m+
p4XlnoreD0HKwoR9qDyruxJjhSV06CAjIWB6fdXN1otWSa0F57xtmjvaMUN94S57l7txyExcubAX
h/GPpebbE0fsYREbCTqRgXQkBSvXEWulNK+8UGv54D4ROrppEPoB63P03g6UhDq73B6TI7FsejvL
WlDDnuQkdwFKA0A4kqkhOJ0Fti9k3vPf/OalxDMZzR3LpJgyixAtRm7ADgQ6ZQb8aN34F/q8+nRq
RYimeBb12bQVWkEO+PkT8ZfsuxiUwgtSDQa1Bpva7tvPTUcLh0et1KAiatNJINW39XVQNxpP7Abg
Nc2Vqig3YW28tIMV055vwxWBxFNnCQyCNZWthxxTPxHEwRXKB9qaek2zjpriknnh+x1AMQJTNhYf
BQPHWVyEVOKsoPKN5BQ1AStQWOZwb9OSvGQf8v7+4dGC2QuVQUezbyle7aZDqwNHVojJmY371IFn
G6+lFSa/Kjq73z6f/8WaU4eYXVIwGIVoRfKy1IDyaoxZK42PokerniwA7KAv/IzacSFurfyius/i
4/47Ho8E0TxB4NI7tQLKPnq6KE4su5dR7xirfaWVDT0VEbqXFJmXRlp/h/PZCOiAIA/IRnu7u4qK
Vq2ZsLugYlRPFZlRsK1oX3+NOIFUgq3wsehpw3tBmd1S+NJunUGUd4leD79VDTx99/l0X/r8xe9T
mUMYNrofn6qwrOcbFID+rm+A3qyU0Dhp/5fhXLatDkkRptnbz8+zjJkJkSiF+IhBUtS14Q/qJjWN
5ij99flYizjhvyv7v2PN99o/4qAmMCMKioZ2aILIfeyrms5j7p/Jtp29U2E8QjcCbDtShdvco8zw
+ejLbOo/w9ucF9jMf0mDb4fXLXc04gZdaB/Z5nXVttYP4DXUfwZySzsPyo0TSbWuR/+PqoZ6E9NA
XPe8LP+XFabJ4aJEOoscLIqnuVWkPmKk5tEt0mGjuZHaA7NT6yAuzePn37x4Kf6zuQkocb1GftZY
8v/rTvZeZ4zaEY9Oyl6aq91UTlSRXIHfKLPxK0+rePl8zA/uC4qlsLpoOriIOS6eQQIKqosgmo6+
ctxt5wN1bAYTjf+IXlCiRf2F8T7YVVSDbYOwyuLONRfT2Vq1oPde56d2zMJHHbnzO+hr1a3SI7td
RRFxaZH75jEARBSu3bqvigvv8eLan2cZWuhcssXIle29yFkxsmk6mCeg6ImzfiZjZr+WlC+2/35e
2baYAviocfDAv92+AzTogiAnOg2ocO9KI6WNVkdpdxBDggmGP1xSa/7gJkJzBGKt6xJUv7sZNW1I
sgrhbJxgPQplASWsyZjEM85F1oWz+dEMchyYx/nZfFdj8CCzkl/QiaP7BsZb6iqgGNbY+iU1pg8G
QuaDVwX9OE7f0iy79STyft7kH+PUYv4oPWuPGYb31YXFWjJ32ROUa2bPPwNEDnO3uFcdbQRtBf7l
kFguXjlyh5l1+TvvSzhRuE1c2a4lt20J3Uah4nhbOMK4sCuXYsPztqQzg7ip7gjetqVLkIX+XJ+O
ZnpEM86iU6AlqtyPhpBAuBqbCi6VaZ+GazWam8B0tCdX1hLcNY6tt0OU6uC6cciIAfaa3YX1/uB3
I0KeMydI1QSy7qKhRlGpFkVpakfNMCNvFyWjbzxH9tMUOs13f7BmKLkswMDYkzQcGCShPWxQ/kiG
LewYdcIVIvzamSNEo89P2fsbk8YZnu2z4KhJH2nxiyUc3NwoxuFYABemVB41CnqE0d+NttOIrYJk
3W9dxLqCC6H1+4FZrXmr/FWdAJH59nin/tBLk3L4oXR1DS5qIrd+R386CetbCzhNmCC38W+/FdnW
uSiB3gTR5LKzZU5thBW85N6KKv3gBL54rMI2ZbYTd1V2QKniSlYX9LLeVXzoUZrYlgrO+2wzsLiu
4c6N6FvE0dGpEbX6U6SNMTw0iQMDDXegqca8OMvCvZsk9ms8wM+6cDIXNwDll1nkByo7MFLckJYf
7cS0SOq+145djDWjF8Q6TSELIfILG2l5A/xnIP5+gToXdcylCJllxF0fKnQf3A7Q+WaYRPtTJQiu
nWrKjSVqh/ooj26ctgVtuxzp3LJogZQNXh7/2yj3P7+MhY4ATmgO/KHFE2UBLjbczFJHr8Tg/QuC
7xq05HaK6f5FgOJM6BRhsiOKkN/SDpe9bQSnNCKVLNVNm/rYuZr+EIjN5zvwo82AfifVV1bF5S15
u+mHmOahVVv6keyx3eomGKPenX01HLoyBjD8LYpbydb08Uv4fOTF47ZYHQrNb0ceg0ZituXEJ2w7
7XIV2l44U3mH7KubVXgxfj7aIkb572hE0hQ65xO+ONzW6LayyvFvxE0kRS0BnW5lFM02Rs79moe2
p2JDXjW6NbrbcScunLmP9jw73iOHZudz1hcf24HA6ig5wjcBIbCxDTnZK9vO+vqCLPKHAyGAZiOO
TNSwNDword4IukxmJ9saKgGHJTZ/d2JMHz+fzo+HAWyC3N7fZ/bt9/QNt5YddM2xxwwBFJVJSQ0d
UfiaF9ZtEcv+XTdEE7H+IrFH92H++T8ylqE2+pY2e3hq6QddZzkgu9CvYugeufzhmd3959/1fpsI
RqEDgcoETfpliIfuepbqem5SdgcbFAqrhDECDFOUO5UHgJbMGF/MlcL2AQi4aU7ZWTdUPV26Iuf9
8KbiYog5R0Jc0J9ldq3FsQQjhBYCKJVT4teY2IMrrHTAbrFJvzWcESyojd1axhiguVzk3TflhPIr
+vJgm1wHMF9CQvk1THnMV1GsQZns6UpbMIy1mBKn7CcIyEPnPaggHR8QcEQNFqpeBirMGyE91H6E
Wg9Q8xUAiHUzK+p3U3tvlAqVbShb2TcUHib6vmyEG5syxGms4FRswjTMr5IRTDqUIf7ZhKUrruKu
auO1M+LDurZF1Z17TLQu3CaLx5t9IkA+eWQgXK3zhfZ2n1DdRt3MDELiknC60fQgvy70QG1yCZPG
7hq1QTpKuxDgvd+cZFjUZXjDZ0Mpe77i/rE5sduLtNjXwqNvZVG5Qfhl/IvI04p9DVU0W+VkBmrz
+Rb92zdY7A2iWtoYLoUnh4P+dtQ+rtqmrKz8VNoOvVxOgjutIMh6OWSxoJvOoaoV/HWz7r8XuYxi
3hAjuM4hLeUo5NbKWde2KF6rsi6uVS85udC0ynpTRgYnq80o3oUyQWcRv7JykyamuCEqsX9keQGn
0HRz/1UQwz8Qn3kX8HIfvNnzOs7BH2YRIL0Wz2TE3skNLYpPQWjSjYJgdlCZPawc2cuV5uFDWIiw
2amIqnZJvWRjqPhS1/cveO3NDLOUvBJzMwOlJsoVb2cYb4qywcczP7mBZaSbOnaC5oBCsXjyUmru
OzQPIAa080GAuBua38u4wNZbof7U7ZWIVQGdp5UPXeApdErMKphRkNIG/9gjJrRqkeJDt8Abml+C
uOsptnX3ZzDwxNZuE8JTQudz1dq1carFJNSKxMx5dUfRbRrNDWAnZhqHFAS9WFMmqa3NAMzjlINH
/ZoWeXOOPDuDJFGKVwE85GfXzAoVYMAn/eR5qfE7Jjzbp4VrUuuZpP8IdW4IV2YFyhcpMhsQal6L
xLgrFSScbUVWn6w6uPDaahr8+oeuUh+ScxzQjCDSKR6mOk64LZUOCTFz6spb6Ymbw31S9RBtc2d0
sk3ZBOob2hqwqLpxGscD0Ap4A6lWV9oqHGadFOKzWaGkLsx+F2oWVlSGkTg7NLV5Z0rezzVyErp3
Da1K/E6GwQSoXYvhizPV+mvlp151QNlFOEfXrJ3vdcJx3CADy3tfFYX4bdUjhs4IrMDtFL2VZCvP
C6KHz0/nu6gGriuqcZR7BL16tvLbrZNYgWZSgFbHtCrHG6Pq6TRanblvvdG6cBFQ7ucvW+xTIHhc
QLpNdmksmwEgims6rNI7wpE+oYf0GyOVL9HYbbS8fWpkcpUa43Mwqi8h1ZdCgyfqRyBjKfuty977
CcO6XE1WMO6MCJpMFUMMQjXdeHBwst3bgw6XDOQdWLU8ZsYQoJPJcCP14HuFWDJ6Jqo4thG3vB1N
W3+yNVQbQhPueljp68qxEKjATC9GJ/BWWrB1dVR0zEFeZaP54Lfl3srbk5q58Yitf+twNFNESADf
8wdfog5QtdpBGvSlItDOVwWp2RoTUBD8hXcf9aCzpwb3gUnct2JEaJI8ZYzy6Ptke7QiRnEazJ6u
SP5XgURsNVWF+wGMNoCsNViRK1Fi+YWsBn9EO5dCu7HkY9d5e7N3EZaFxLuOyuymLZDbCf2N1MmL
2o6cJdzGM5ZoKIo/fl39qdruNuisK6H5dOmcZstTsa3Mch962m97Qt8lBFZT+0WNeUNw0lCg8fM0
es6r6tbyo7VvyOe+hO8+au0696svPtjylcj8k68nRwN43eTjKBCOqGPr1TArivzpvfpYJaDwRQQ9
yeEU6/qj46kHbfIeifa2jW6v/RELHc0B89Vsijq7A4K99SLtiJcr1q929txO4jHo1TVTd1Pr6jpr
UwRCsq3uAWjSrMeoQYnawYHRSuxrq+gUdBUhVnZkPoWtfiWH4jRl+YvmhogOFn/yrLgiyTlOFLBX
Bm5OrWvxGmd3BY5LmyIf90kBhlvp6S+weLtMJnfcKOe2nK7Rvfjh2snXNCPfD5oXrUPr0AK4NrqP
lSjkWo+in3Fk7owhPCDtXCI0JH4PukStx/wB3xsoZh4ecBC+yy3cY/yug3anfQ0ybDlsBHmg9XwZ
BIImXlPfCxHcNZr1w+0Rxgj1a/rGBTyoCWi2rSE2lEKYRstvm/XGMXHLG5oNa9NL4Dj143UWFBu3
MO/LOoNj5CKbZaf7PtW+RFG0blT2xSzlSQzjzy6kho42krTDmxY/daQzNnrgwo91njzNu26icm3b
CqZXO4BkhMev+p0/yjWaoPveNUlK4gZ9zXHbx8NOdQLdhe6Y88ijCPZC7WabaP6ON2iDAPYWouFu
mqJDkrf3VgbuSvrX7BJ8vuN9J0xQwtlm8gD0590jinaQfn3zEJT9jVZav6JsejY0aK5ZsdX9AJHX
8RbS6FqPIUZhg06W/AI/bDuTECMzBjaDS6vMrwKp/bRMo1jlYYuMhbw22EbISDjrBNSao8nTIMYb
8FqnSlpbHyw6Ppf9d6i4OySNN53V3iF+s3b9YQt47zAgnzH14UtjN08qlGcj0vuVBjxuZY2iReaI
g+Jqp9yHWIkMpsa0uIaD/EmzhRH2DMfjxtWKL72XPdCOO7amj9KHBU8lc+4HTBNUqG+s0rlyE2fL
Lvkz+HQIa3N8TNG9iKfsYMfOMwKX+7aelwOuloZA1NiZN5QLnqcgueuqYZ8E0ZbbZe275cOEt0pQ
Vr9sjYfFN4NvMElA8daHspi+ajZqLyqpYdWUNrDBoEczNw4URSXryhtjSFFNtqpLc2O7YtiaSdyv
Sst5jLQBgoUbbRCZ0rZgjMx10shboJ/fcpH/HKW4HpGI6cr+FNmJt0KENuJqtXd5bR28mMAAHq/h
5Ns8TQ+Np289PjFy+11mVQ8NfJUdrhTNGvzUY+Emt11jPhtjv9GacAePdFUG2aHSvdcQbZ4yb/d9
kQIeScKZ1OmHa71xzjjA/qKGD9mv75/tGOSEFyhOh9hm+dSueo+iighv8qYHdIEOqIPttG/es/bn
umixmPPguBEIzXBf2LVq+l719n1u69EGxtrdEKPKNGba95haVJzVzdqa2q1TGafSoAZJrnlQoYc8
ApDrPm63KOIcjc6+HrDdCI2M2RrOkMs3oE5p4UXXWBkD2q2yq8xoxIp1O1reJNZlEg8rX4sONnjp
1lXJKkBDHrGPI6u4KTvzWE/qKJirDTHFnY52GOlRU1IEHU9mYp5g7FxZUQsuwnvxwurodFGHeItA
+MLe1hbCHuWAUTvKGe6wydtwE1XD0e7MTR2U95bRMM1yXSfeSUiUsooG/frmO8v7mEYaKkWpdyxt
tnAScMdop0jG2QbQ2lUxJd/N3DRXU0bQGPWgETP91cOwEYbpH2fKZmGOfqcEdyiSCIPTv4xYL65a
SGvQq3+lmZWfVcp1roxgp089EsLDTVA5t2mtrmIPoYqewHadyum34Y3NSTpOtBU6+Ewf2RAM2+CY
9au2c06FQsgqC8tTPgXIdImfYqx/UGPdOH14oCDXrHwVHRBPWMkaCBKIMsC6cmjXbT/pu1ZXT1i2
7Ufln2WSfyEih1WYPVWq3tnYjq01GUdXdkpHMuuba7KAL4FnrZq4l4fWLV71THLblA52L9Q8NkPm
3gWqv61jQvEeAqxVtudQf7Wq7PdQ6D+tCtWCnsC5Fu0VaSGJk33oxnKjXGdrDFO7QTD1pkPXdo1I
GY/dNH6X0mL2S3VHNQxeZKYgL+XUjHBJKWy7J9yJvtFRfU5VBHGaV6jC+wsqGaJvxnYUGoQzbnd9
yh8mrb033eGkm+KxziLEOoR3AHh2B0MBWe283ihPuzGhmSWF/afzal604k6Rf/GV264WyL61V2oQ
gODTu6EXR13BKO2gJIbPbe/cell8tDOPTMlvoagVmKFo3trs5M4Mmr1b2A9WrHbw9G+8AbovZ0br
rCdYUeka28/rPO/AwLW3qRHc1pr6moz9Wg/SfZqlX5rauYfEdRfYkNddxS6Ut+CGt6Zwv/m0v8DU
7aFR3Wi5RNhcXDuNvIELvJMT1NMoyl7xdfydDv1Tk6szZINb3D5hoBr47BnhTZlBSmtRiBngto1m
8OT6+V3ewWZIy/OQVZs8D257C5rgANNXnyYO3whHdzwCarqpfZ0wqDsUCe+5/y02q+9Zk1+XjniA
dHob1PmLjvHPKlfhvdemB9Daz+bY7XVJ7hY3ITj14SuKpwqbYe9Zlh7Pkf+16RTg/hzOZYx0yNgg
HSRk8ThJ6zYy5Etcmzs/QPirkdyvWqHtJ6nTPO/wfMI/FQkCBL/CYuu3/XpmfAhe6DwlRsS6UEv1
fY8m8mrU/U0vB2Jk8F9Vnm4SiHjkoutc6L/NRL165sQuiLIH3+/CVY1ZJ8s5nE2jHCnqeH+gIBE4
lLs0NG5sOZ08bJ6xbryKnIpLWGt++Ulsrkdfv9XM8BT2uOyo6GvZsSiAmNdwmV/7Ln0aquHgUvYt
SsjEGTyF3Kb0RQ72aI/VTVl5x1EWXwqopF3S7nPWd45lQyNi27oY/SDH+HkK9V4hlE4ZrDladuCN
fHuJiKgoA5bUm7LTGPboSdUTJPJ1pdzI3iAL0JCVDHl+lbZd2hyJdo3vrWtKY9PhSXZFo2bWpe76
6hYW9/zOJFUnt67fpOG6hV19C9NG/pFh0ObrBio00M9YpT9lkpg3qZHB+4Uv7x4taQ7RStK+r9at
jY4HmF95ypMkv9Vrp3+OcmFfK5hdwaWs7l1ON6eO1G+pQbrwjxYFELfg5UEkzzv6hVfeBwbMjBUA
lPR+sl0dLq09IbtSdJBDPp/1dxVdtFgBzUFTBOIF6HZRVRKdrhLpK6jFTWo9VVBWNZg8VncJ9Puu
UMc4wqa4A1aV/qiYf/6PmlkiQf8Vxpic/E4VZ+LakcYayuTKatW57lxw2/1wySzwLwRhkSl79LsM
PC1oBmGk8XZUTQW5a7UD9Xc7RqDB7pvgGaXynui59rTk2hrb7lxkk7ubMi37gUoFpr8eEeKfcdQH
vMPGGjU+xIKm1ym3AqQTM0SS8lS1j5QeecdkbnlrESLzuBumKknXfYvD/IU1eldvZO5clgjPJLCn
oJ/efgWy01ozmn8RzFn/Ctat+9bz9j169GKvXYWW3YWj+MGm8HXKYLMNALti2R1y4nLM3TSENI4h
uLGFfT4VBzNLiout8rn/slggan4UyCzPFOijLz6NZv2kFYETHOOx97dp0FebwgvNG8uF5uD43R+v
1qJj4xYKwkkCvaUL6wuz+/5j2Y/AZajgzFTVJWwml6RqldIlVh1mgQ19kx7GbFR3n5+z92s4owIM
Q8xtBoO+2ds1nPqpzPvRcI+9wtV2lbSRj4SJ39B3kvC0HlEiMS8Zjn80JurlgO3/ljOdxZmrO0Qh
ix7PHg1mF3me72gZjQT0DsBFiFbd1uj/Hz//zrnQ9XZBQbRRP8VzZJ7LZW2qrSH7aVGbnNTgIrnc
G2KarsFG2uEhR3P3ysGONdrGuBI8pdMU7zxDjRdQ8e/LY8CSKCZTSwYVT7Pq7VTTVErMFOXQk+rc
9G5K6uZauqm6LX0EhD7/2vd7Z24q8jrT3UN1f6mlDX9uchqv1A4W3uIOkWtRDutISp7jzwf64Js4
ioKODEBcIJqLa7pVKU7KkQWkBPWAE8oW/rGRZnYfNE5woWf50VBUFblzCNU5lYvpszKl1YHphcca
rcVVBnFuhf0tVLY0ci+gUd5vULjdjKGD1SEdsBYbtAKjTvKDQO9kl/19Xgd0qaRIE//QqyD6FsoA
Gbd/PZH/HNJdDCnxvuvbPIJIK3PtuzbZ0Z9mqib4xZnWX2Iwf+A97IHYRmcQfIltcb+93Ypm46eJ
nLrsmDtSRtsOP+l0XTSWxHoQCAyCuk6FeEGnZP8LuSJXX3nRpJt7AhuXtDOq/DtElcmY7clstXXd
JIRBLhzWk4svrX3uE2c4IQ+jfhEcO1+Qzwa4grl3Ve8K3E+7MxSQ5FKXcp6ixREHrzq7vOGpDDB5
8VGwG4yx7LTwFAmkgRAwGtZZ0lqIWc+IcLdEFznOLyG8l3BhbjDK6xDeBJAZ5PKXiMoGi8Ji6Pvg
2DlDQDMBG+2SFi2Ca8ClUDupbscxML+ksgu/xK2iCuTJHMKLh/jo7ZQEfYtMkKIYuP18Q80nbzEb
801D2x1aCi4fi9nAH4lA3jTdo480CxJSN3qGsHQZzAAzJDR2U66SPcTr/efDfnDzvBl2Plr/iKey
XuQY4k7UYis7Qzeu92ZjdSzK+gvwqA++z3Fn2B58SKjvyxd6imrLxKsmY8ehSGljs34m1PLu+qDO
EMVFkqWhUrmvI+3X5184T9xiYumDY/zL3erY3tKKrDU8AGieHZ+KuNPvhtqG52KN8tpTgbf5fKgP
7iGG4pXEJnLGeC6uPDHZkOGwMzr5pYr3ZudSD0tLtWWLdefAp5j6+XgffBpGCMQbFjL3OpZ7bxev
KYfcD/MOD0wHOaRW1skhIUtdo6zrX3g4Ptgn8GyYQyqyOJK9MyBVlTeNSToc2kAku3Dqe2gquqb9
/vyLPphBAdjRFrTBQEwudSmIkinfyUAd4s6DPq41Qd0dGoPixr5BFg8T3QA84b+O3Dhu/xh08Sg2
jY8OESq9J1xN05yOh8ruwyZDyPXzj3vfnYZY8o+BlnePQqTRj1vU8gxEDNZjO1ZHHOSj1UQbK8Qp
jKYUzS1nl1MXWA3p0G0KpQcXHssPDuJsSePNO5UEeemLWCDd7nZJZRxk2yPUGGdjOuzaKLd9IE15
iCFF0I75SniEVpOl0Xv+fBY+GB+FE1MAs4aMQr74dtNSh2gbm4oXkBzOeyRdtW0bXCTaGqC515fQ
ZIfoJ31u/cJp+SCk5Gsd0FPOTHJ05y3+j6uOn/mDa8K60kqKErMyA21dNDoiuzjg+51f58oAX25r
4feszLeff/UHG5uXjigSmB5KJEsgkj9qeEO75XgABzs9SVdGL41Z5GgjO/UPaA2XnFI+uBp8/Ak9
fAopAZIzv/1YsjKZtEmMX8UwJlfZ0ADbqOIy+eWUhXmJYf5uSWc8yRyv2zZBrPjrHviPmTWllvJ0
uu5xcvNrCFx+fJPpIpnFfCn5CkgLCula68JGejelb0ddGvNOXa37PnLTp86caK8lVUCs4+AEmAZ4
Z6gu0P71YzmPCKsJzRpBiWNZ5MBch4aZNmBXJOvssSWpbzeWUU3WhZ36/qJgIA+cHznGTBZYZup9
Q8PNMZMUh7okOo6tE+EjbpiHzpmqvdNTzzIbehA65uX3fkllqZY4/X2+Y9/toPl3MAzSdioGHJfF
4zLadUfnNsW/yJ6QbUvb5lUIR33F3Xh4+XyodydzMdT883/sH7LASNDKy46lNaqXri7jO8jdwQpV
umQNI7e5dpDOXrWJKF6CUs9/fj78RxuJuAABFcISIMXm2+EnyPSmlAOaPYM5DShBJMWzA7r0N53M
/jyN8SAubN13r+n8wYgyUCjjKgTe/3bE1G8926mT7KRK1z33rZxwXwjSh8+/66MVnJnjpHm+xyou
vguySxJ0lfSPfe55h1riFgKxNESMl5jk/zfU4oPcJuh99CKpIHeatpNZXB7cru+2EF7sC/vyg7kj
mySppLg5/7t4P8Z4RO0Gf5ljRhWtXmPYMsvOmuHoXzqF8/y8iRzhAoFxBxNIYWmWq3q7SlicyhwI
P1IWo5UiZNuldBcjHiacJzowLVWa2vquzrXpt63Dz1rFXEg/s6ZH24n6J3rugTnm3oVA+v1u5aYl
ipiN7IDJmYtV5YF0/Mmz1bHrpHef9YhaG21iQcwGQVJjKnkhj39/ubN3EAojdAfUyqBvZ6HO3Caq
rM4/SuzH2zPCpjyauYcW8JZnG0xrXHjBfY2KZLPGWMm+sIlhcl5YhsVFhEmH2eSdD32485FtStJY
PvsV4DOUq+iOke3u6RkjDONgCLTqEV05aVru/qIITfc8DSIUhXMVm19TRJ7xbunNao3akLdPm/xX
pg1/9DjBp6E18diJrfSnFRjVj7A06JspTKuTAtl9Py7lNyuAVuFnhXo2JNjHHEjk0cl6hZ1NneK2
kJY0hhx9uBrhTRyNONTWReD+ypti2rrwo3bU7epdkwM7HJuhPWauL3cFQAMEk0tjRXP/VeKPerIM
XOpweAKqgLiW6u7Lwv5dmr11pkfd76aSIyaCEqFJK6hXnp3GV21bSZo88LzoZwfIjVkWzsf4wSBE
VPwPe2fSXDeSZem/khbrhgrz0FZZCwBv5EyR1LCBUSKFeXC4Y/z1/UERWSUxskKdtepFb8JMQT6+
CXC/fu8539GZSvkl6WcWWGCRFHq0IicJaZLSRMj0CRVWDeO7WIcYSKqJaqRQ18Io5BOfchNZSG4a
l9ykYAD/jCIULhbt6ljo2jdPK7W4zKz1xvUS7c4dCdmwFFlWA5alNWS8fBds6sFmUQ1wKTM7tASG
7BhCEYYzlXVU14W4qLp03ieVBivEh1/aCVPGYja/pQ3iMobtGUfgmkZ/4/qojRnFwxwAl92Sy0WC
ELfZANu4KFf3ZnADVcZrC8vFAEF8h0aFQCJdACqlmZcBtp1LoKAJ1EfErsxmxlRdEkve7LKSXCxt
1Z3LhjWM0dxo7It+qOOBh8MgztgIA9h0dsvx1aiATK5iLeJ+bYpT5xqEBvUgSAGQTQdSQufHaVb5
PTjl5cxHX94vosuvKQ7VgZaUC0S4sg9Cq8unxKlAkPo1MDQ2ubBkBhw6OSDesUx1Qo3nNBK5ru2l
2xJfRYQwgpTao5GT+jFixClOhmw8IG3QoBKv+q2mcmc/kusSeX1n3OKzJ1iTyMlDgY0Fh05d3qMM
cQlw8/TroCJ9EWI8Nu1aN0pWUxIPXJKmBr5CTXXIsXTgPVB5q5M1jvNlZfufVt9ihhYk1u1aLvA1
EZQX8UyCJLRlt9s3a+tFuU4+Nm9ryqDVG10seuytEbB951iOprjNdU+/nPpMe9Z6wZdR5yNt66zJ
HAZ2yUbgkrq+nAuh1GPt1UFkIJYJc42oIKww8/2I+POQ2am7qSyC6xqi0s5xKm23KhflnZfmJ2i9
Y+yUMMpyk0MFdO3lgjoVkJq98Z25p6JF19Jjmo7GUetAvtFeHj6maVBzDxFKE9qi+izA8G5p8d2H
JYVPUuWlDZHAFBRg21zYa/sRDQwPtuuGaBkFOdgpyREq+4UgAM/WnShwkdh6PCGNuEoMoUqpwA96
v2LN41SKImzuNs5VXzcj3ANa6ifoW16keV51hMe+nppVH2Ll5xZfdpo8OiseEG+xGUHP/qR/SNK+
u1oWxo5NqdsPfTenR6tcrMegmD/B7FAAQgj0+eiJYQTdpg/Vxwz+wH1WMweVquvieVIeWbIFDF8P
kfaeJRO3XhpMl3LW611vICxD4sBN5FTrszOU3rNcg/lboUtC5cwKaG6ioHvU0gjrEcJVY3bTJZgo
86nxArl3zEzHLEmi1szMMp608UHYDjERcInSkGRtI3KNOQthDSFWKwWSkNr8OBmksq5NYMABN/pz
39CUtKxpPDBizaK0BEKNLoJkAq9o9RfPrbWdYSbeCQSz9WHs5xeqkmK31M0ammOgfZ6YzR/AHotD
gD3yKW219eSapXPr+IV/KzXgcnPR2nv0Bg6hE25Ownni76wM1JIRzN1uIqLgtRAjzH2I1t3e72lb
WQx9TrLo20sbXXJIbAXQll5VMK9UO+3WWfGkuVPG5oz8vG8G8nX69TGrmLmT8/V5GQJrP0GTPnPd
twdC9xL0KwT+SZRucPdwbiyWxluzUsXRGBeCLnT/ljBz5Hcy8XaathGUyc240dqpugXIm+zywSPH
zGXURsTUWn0sMxLQ/uWSD4QIuB7KZmTa30mYPxTtfYlou2hFfgaullx3Sjd38Iq0Ha/Y+x881WYs
Dhh9cfB62xUyMlraHLmCUzOUhEy03E8N06cvAej8Xwx9/lmxwdMwYg4MHOFvJ73F4Oo9WPL03HkW
1F99mQGG+8J7mKUwrwdlDfcmbjs9/OsP889FHV5Kqlk8dAz2iCn+uchKdJsdNpDpmc8AB4aVa/vA
G8w99YMVus5IBMJfP+E/q6LxT24ELeameLB+fsJRmpPTDE1y6up2/cjb3oLzVkGI2l8/z+/14Zsq
OgCzxIEHLyXKjDf1+hZ+WwiJ4UGUFhrFtRr8eIDzdJiKbvqq0Dh/srs1IzgycMTXTnoo9gzU72eu
reDZxewzR1lh5wU7vDXOjAcSH+r8BIObpMCgvKrNaa73yeK0SyhYDj4iyJUvZtUgFBtsl9W8lYCq
e9+tqRsX93rtAnPv6wPrYrPI9H3rmtNGTadxKxjwlexoWlqiWSvRgqyVb31p5ZYV0+jEcPiYe9tF
2KgdA43ogVHqUQ3o81yl6SCJSrK6fb02L7mZF7dCyvlrG7g1CSiJO0Rluuo7hdDnw0xm65lMQfm0
8EouKsfoaINPaM/bbs536Ga3yIne/ZRT6j653dRf6PWyEO+hU74VinyjysU41vQEpJhVR8Jrm7mP
BE7mEe7U/KNSirA5a6ge+qZ1LikSk1tDAi7eeQ6QerhGQQaECZlzhg3r6DTt0h89YwK22tejFfte
oS7trPOe3FRMlxY2zlvNaAl64+OXezpcI/2d1b9IykLuNy7f5dDa5WubqG9qHrwbYlb0C7cW60XZ
t2W0+GJBF10vh4H4jM+5B8un4nDVhg0/3nnf8Ysq5c845QADsdNgnbeyXs+j06u7gVjEw1gk2ACq
cv0sC0y3vfDNy0ah2AcKOa3XhHcY1143e4fteopMCxmMTqLDehg8DE+xO6nhKk2hfScNuZaDk0EI
ZJFFJlsE5fvWmVL9F4e1t+BpPPwsjxzBTZooNrf3m9aGaZWoAZF/ENye9Uc30+DuNNbzCJs/IkTs
G2r3D8Ap+rMeMDbU5k0lOo8DNHzgpmFLKkDUIM844aQw5S/uzTdrwO+vjXkpvQ/GI8xN36wBmmv0
oA0ZhS19WYcpVMRLx6zd418vAW8dZ396nm3N/WGnkJQ06+L7+Qkk4Zqd2h5xBisC6PgNIaw/Leaq
PtQlGSBnpefDqaug7u/TEllvpKRR36EaFUW8dn3vXyOySIMztpylPiamglSrFSn5R8plmlc6YOSi
oKgcJkn8vvfR8ruoH6qKoV2bZ+oXb+3N2fj3d0YxyEoK58h/u4rWiR+kqg7KE+8EkFClxnK4rAyH
aK5Vt/T1ZuLQXIHMK4R4NPOgcuK//mzfbFfbC0BeY4C29ugI6G87klioqpWOZHJcZ9KmlO20V2Mm
yl2zdDJyCGEKs0FV/9oEYXtSNim6V0gWmNu+NQmbSbmsJC9l5yQBS6G83jyOhS33aQUAryxxRqHD
r05w5NpfFAL/5O3qFBy4oB34Gn+y5AdVPyWzW3iIFpq7ZmbxhlxncfubaXqd1zPnc0Mn9PKvP+S3
7djvn/LWA7XR9dC7f9sg7PF51V3V+ND2LOMS1Cjy5pHkMXc1UHzJhHC3pUJgaiV1SGQLpGCuvZe/
fhFbl+OHbXR7DTT0HY/h/0Yx/w7k+OEm8h2xYK+vkmOAL0nE+jyuW2r2iKgv0Ele/MXa8KYg4elM
dmuaMVhEkVy/vbJtCnvNJcP3zGHPu/G6dX7URiJI0VM/+mZW/uKLfdMB/v50CH02R+oGd3k7m8EL
Z3hrz/TbaIleNrBORRqhnUfQl+JY58GyQ2xJakyLw49Izv/BMs3FzODC2IRxKEm2T/+HT5c/jjZ6
rPCJK8d6YiiDUtzV8yrZr2q21VVulrUOQF5rzlXlKnp/bU6GhbGZfVKypqGgV3rxYmWO9lg0eAwo
DAjU/sWX8k92kw2ugz6IV4D2MXhbtQ0dQ0Jnqc6+kydHvRMD+cqEs0xJdlvl5AemUyDjEvxXbK5t
QEFhF8+9N4A4D+huoYNvDrYEvbwxFH/x4v58xXBxMt1iKWRpYLD380e4TFPhF4QinDrNIuJ2UGZ5
HQhD22vjVO/QZJi/KNW/+2h/viXQEXjgDFH8wI0Ktlf0w5eWSF+2BGSn51nYJC6P1lRGfjWl71Fo
k0BGS1JyWJdBecB8b70siNBXlisT6xUZd+k3mZvrJ/yIc3Xexs2fO4hmE7N0pCfHRTrrXT2vaRMS
kZSMO1ETJ+ZXXf60QFtp91ZnsvfMQcLRuBJ+ksTd1v1VWdLedOaIIbYlg3CMCwgHcDk6b/mm83HM
YTLojFdVb6xTrHLE8ZHoy+AuqxDcv/dYV59bdKIPo8aNF7mtJ37FgPzzcsZ1jgQUByWTB9aVNxe7
r0zyBv02PXtk78QpA+k9KcT6Ld2J/DBoQ3vWgkJF1VAWu36FGY/zheDWv17P/rx1IkzymAAbzIEt
iuWfvzzaL8skzBoOtt40y3FuOD0fA5eIwNBICebtq3FOwnKY3Clqs6b6lUz8zysO7i50qfTRsYwz
Jv35+ZU1OvBRWvQoXlf6xIDYdAoLtluQccNMOSTNpoJA2mg41Cbhj0Oc1da4/v4x/NvX+X+nr+Sc
EcMF9eU//p1/f4WOSycIAt/P//yPm+61ea/611d19dz9+/bQ//zVN795lX/tW9l+U29/66cH8ff/
eP74WT3/9I9do3K13A2v/XL/KodKfX8CXun2m/+3P/zb6/e/8rB0r3//7Ws7NPAP7l/TvG1+++NH
p5e//8Yg+IcrYvv7f/zw+rnmcY/kzQ3Py58e8fos1d9/0xzrHTsdfFRGMCZUYtf87W/T6+8/8t99
pzsxl6Ef5IJA+u1vTdurjIdZ+rvvtcH3czQspm0hl4TkfP+Z/W5D1IACcTcNNBXEb/949z99T//1
vf2tGepbzPdK/v23N9cvslT4DJtCacOEIh14c/0uup5bOUdaOvseS27i5rfdpKlDlnrEPOtV/14M
wC94PX9cMj9dMT8+85uy/fdnZpq2JYyw6L3NsmldNdo2raidZpOgFlIgikd9gM7/i7PLm2Lr+/OQ
YWKxM7LZgPP8+Q4xxlYuXZBbMLOKAo+JrZUY9u1qODi2qB/I6tZua1tkDz9cBn980D++PdfddrEf
1vXtG/f5jqhqWaToHbx54sRCnpIV6A1JYXaKQwFG14rEkI9VWFZ6UgCw8yARp8LLz+ncdl9wVst0
Q07a4t7oZCL10OgMRkLQ2028mLb0In+mp052lEvRxKTZLkXThk6qBQobaK2rcy/txYb5aheOGVJY
zVcdGewhBDZWxsnpHqyx987Ef5HmiXFnRxWMladYk54cNN1NL4o094dn6fteuStpb0bgJ7P7gebV
tTAX7UsxWm1oSKF9lFLRO277LH2WgTLeV4r3eA1quU6OthRG3NnKxQPlvyA2cPA5ltP6KKbhfkjH
3ebQS718n2ClIuAtmkbUifQ9M4vMZFudiT3OP3ek6REcZFnnnJSOHUkh1cGbFIHT/ShsP55tTVXH
fPvvoStzCURd1HJ4JN9dgIryhWiDWOua4AlXW5LcmIKBDpZIsv8qIjw/9HMK/XpEWaeFZSbm4tku
lMeBfSzmNFSDSk4DnpC7fNNh0nHABy2qtftc6o34bFa2894cW/e2mIiY17iNLmjW833N/Qqpop4t
fIGFrS7KmYR5SMkbJjjIbi2a3Pg2W4Ps+Mm5rKTpXqqOmUJvKxKhGTlAmh18KcOZaETmYYTa0v9V
+mWxdO1p7pmZECdj4DoaLap3WtbIaoOXlOCn61SrgJp0tXtugrk+Nuakk6+sjZHlKBk7w5JdtwA/
j9bASXYcSnJgbWFZR/zfQyw64lHRjTWXSPaNnSwWXLj2ovv7YBmWC8FxKpZK+JGNnT+UshQHjRzX
B2UxPkqmjtNtkBIAjzyXqVlBl5fBpkbEBR6RA94TM1qJsutCNbXt6zqCs0VUW8y7LDeKIWzGEf/p
7A1pDFChJ/Be1GrqIvz8+RXUE+NGab11lSfjdLFYoxVOnbteB0a23AnciCjNE6eOqpppzq4EkvFs
FRb5zqmRSvYtC8wVkDeuJNU9FlYq77fS4g6xhEksjkHVafUyibluSE5MvYFCKJmOVDnE+nRKyvPY
FcMLkmPtTheBvB2sfr4286r8tsA3vaR35j1Bm2pjV0z1PanPxhgaY+VfbOTkgwUgej9x0soiPr/5
4BvCjksp1Kc6Sd1vycLoK9ZsF1tuudiPbqo1F8nUbj14Mz/lRFZHeCXlxbQWpM2Z0PGMPJuOou9x
vk5DEWdt5x7nzqwuzdEururKRsckOub9GsiDarMPssyn9CTN6qv0zAmDrtkfawbLL6kQ+YXliRnu
gApuaRxz79C9PetpxTVsu3i4kdKSnKPG5NJcTOuaaGszIi99Pc22md2to5tddKz1N8vY6Z/TofMZ
M5TzdessMlxGPS/Dvm/GMwHj9gV5NfJhmXGVpgjr4sGatTTya3gUoWRJhY6QiRtfrsPBbfVx52OO
vur8brpaS+ZV5OA4ig90sS5LrrQLc9rsUlZpn6alaz4slU52Du2V9CYnwZpwV9+vzlICWxoGp/3Q
aQ2iwX7CI70FEV51hayPJQQoSW6qxdpWBkPzTJtcfXGF6xHOPNPCYr3rbXqVWvZB2rZzUY89iX+4
tfaiNdKdy4dC4BDMiFbHRThp2Xo1LS53Rm5k71WXE7Q9Cx/5rEbvt05kfmAG1z94imSmsVitc+J0
1kugJI7qzGZm2+HfnHs1XJMeWN5iMHWeCpb8Wy42k0kz99uyrF28LD7LtMuaReMpOVte2ZwDCZTC
Ax5Ald4GwaXZqnFPtqd7GqjqYt/Xkm+6ghCBsQ0SiIAvSUhI+mBL/71EzH5M8WXHjcmcK0hT+7Yw
K7Vbi9E/13oX7PreqZ5JVyQJiIX7tIjVuBxUt+Sh1gz2g2IQGs8rhHsjSeebqs7JvQxmzIR2MVy2
DTp1kjiMAyZGk1iiFJGJyhYLogYW58VJzAvLWOdDI3B6DjoIEdvi8Cz8xb2phlxnCKi5ySGTxvBh
XNr6lCxTvheuuK10i5iSoNavpnr5Ug56f9IFfWBj7GbOlwbMBpCC2jHN7OmYp6110/ujdjMjPNpn
iMRiT9nujcNo4H1uJvahpP1B2o4+RthsNfa8RP/KGQqIwWTXcVMiCpSgQ1/cSutgE7bTTUDB+Wgb
U39KRdseYHRxh5LHRXaaHhyWirGllhf2JwSt8pLYrTVibNGegL5UO2fJsGI6I3gX2yGPy7TGPf3+
Se07Z3UOWCXUHTleDP+Z4227bA/9oe3s9FFkxTCFfZ2vRjQBADqBVuz5kIu5YXMgSaxniyA8hWvt
XvOwbpbMHD4JJmtHH0vGNWwY/alu5m4EVzNsl8C6RX8hbniU8E3b2MtV8JnDE6h7bijswKNdPeA1
KNu926/EDdVL6+rHAuLWwISxtb9Jpg3TbvZ7p9gFYnbLWKscu96JZSHEOhh00AsFVQDISxIc8Nl6
7spqqVvydcrp9scLTfAPurNJpSca97d62rbndpXmbb2NdyMgcCUIjlEXBMcmqQ98xHFFPLYGeofA
GBsKG52ATJmt/YuqpPOq134Z90YVkD9H5vyDLPsNUZLbN2Uv6NDKFHcYA3xvjDG10gFczFScU5ZB
eCMTQRXEaLsuPB7HaZbIVTP2YKsfMtZ3cFRPXir0JcKJ3t+pIHHOveaa5NuZIn1YMrMi57MZNIgq
C+t5TGFv7L1m8vMoqawW6IdlpXMID5aMt1EgXIkmWy73pjsG1xWlnEWiKSSCnUBl2UcDE7YHhxQp
4kU7u/SjvtGbaVeZWU4sVYLGoV5bZzfYcAfwChf0qOs58bYwuGBWoDKEbcQ8RHcPbSYJeFvbTm/Y
X9ho94Xu11e9rxKAu4pEFeK1O2y2uPWadIfk2P7UUcPULItTAwKQrCCy1IFKdvvVh/im6Z5Yo4Ga
0SV7A+NkOIPEeZBgqGqaKUXqXLh9l+uM271eRW0fVPvFFt0FBWanfbUHWMS7Eb3ccSGdOY2GpZgQ
g1QNIN4cvikZIcDSEXUQNOVmdnGa8oUxWtAiS5kc7RxUevkoKtP9SGORC4JD0Xo5awt4oIDL9GLu
e2Y6lNIX7cKcNyx6QwLwc92D3uVB1NI8maLOlMO5aaUzQ55NgkOerjV0BMLLvJ2uoBHHDHuaeS+J
qr/GpODsFs3QVVT4an5lY18vE6ubltiCd7Vcrb7kunGcyTGOpb6KfgMGsrKMmorAnyKFSqEkedFC
fDlFp9GvWqSUNn6qODAE96x2BVAobh2xd1xCjSPb9enZeG0+si6Y3njWlcaMKmuaayOfzRT9Bjzi
CQ0Uk0Ei/IqwoHR4KiiH0PfQMgJqRJ43vyGSA1bQu8YT9QmRc3400lyQN9gQcS8KtZP0NnjNpJsv
mtbsSV9y3gcsB1q4FKb6AI+1+bKWRnHEnpKGHfKmvdl61QfbyO37FSexGsPe0MTAzGQmaVkPWgIa
xZDmV14PP6GiZ0GhWE1KcSm6pjwDgzee7Az4W+iYaQ6DqnfVJysgLCr1kunDWjnFjVbr4lqb+jwS
TqGuAlnRhBq4A42jO3uK9cQuRuKoiYURlszQXTm98TUBstREJHiIezAifvi/vIUReNIM3s7DlbTv
1OqfuskBR9IIL/7r4+DWjPrxMAi/AnMYLEsQZWiu34KmWxwIOpJjztnpMlOn4VPk0GhEi7T/yLL6
l3ox/22H5aeuzF92bP4f7MVskSv/9o9mx59aMQf6MM/N89/2/XPz9VU+/9iT2R75j5aM8c7d7LhQ
DVx08JZNY+IfLRn7HbbVjQeOawc3ksOR/Y+WjPPO43hnwWBl+BkgaqfN8EdHxnyHUALj6+bNQlUP
SfxfacgAjv3pUsEu5NHSQ4qClZZQYduiZfRjP1gow+RUPzkhAadjeWLboAGz2H5XRIEsR2jxaPRk
ZFbOTKJMLqZPVp+RuTepsiUeZEyQE84URbFaRQuCDqU56jYrTQ/A0QyAlhSJe4KHVL1DiD8d8esJ
G/PK4iPeK12N9W9I3edsQbBCgzdLb3qptfkeJzdu87RTxFEkZpdtWZ7rasTDsmqndurlt8CX9dPY
1Tno1aRTDoGpCWgJfACt2NX1gBfGXnAJH3rOq2VEInQyvx9AwZ8nOco54sPvP9H5gyBkFL57J9rZ
unPTcqyPrN3FS6kt4r7Ug/JTYKTjFFJAiI+pqdgQ5DwWkK+aCQiebpHrWGRiea3NVjex0Lfe16E1
s49qWP17x+KIGNctZ4dLG7SEFeVrsyZM6R2brSMYy8guNZhSwaTVL6wQbv2kp8r1n1hnDCIpOaYB
kTNG62EE6IbGyvMIh9dXZwAcWI+VEcFzyIdwWDSXLHvii3LASSnKvxJwzhQutTXwLWbjbIXw1TVx
VSJd3Zrp5dofhoYYefBmVB82KcYv6O71POK0UyC69RafPk1RWYQ4Jz0JmF2wttf1MFHwoXRl27J0
iz1+6Kq1PudGQgN/Gz5NoapdzTkgTilv0GZKvk7TrVE01kxAozVr1AsWfLO/HMpUS05mbfUf0RX6
zzQQ7Bf2FqiprucuT3ahpR8qfSqYYNXrKGjfFeSmKwMiT+j36+CeV+VU4rGbUPNGHf3HK9sT9mva
iIbaU0hON9B4jUAPR0adj0pa0o6ppxyGZbW1zqGJ3CVj58rLKxwVMDVzXFDWXhL+5d7T58b0q2uu
fsLskVLIzN5cxG7mdnVcedAcH/qWEQ66E2OZ5lB03GzR6AzdR8qkGoB9n85fzDbzqV7GOQd4lC89
ms/ZiMk2Y1vsa9e/I9S21fY0yqttbt+RYj0E7YR4GwDTt14RSnyuZJFlzzSVKa4tI7G8i1rqFMn4
ryD3MeuRBFVUZFLvGzTWIuzlplSumTm7oaMqGh5GlakgHL0mUZGQAu5fWUAcO6xpm3/UGzd7FY3n
oW52vc4I8aE5LVWoNdV8YVZ7BILc3Km1t+e9VQnCzXHmCRC/nr2qGNya7UMtbXySZQqyOmJtDOxv
Wpl2JMkWSnPjoECMcemOWfPs0dDL0A5Z/ftysmzm7WSIcSzUKp8stiGwxdWQtWremQDijVhL9QyM
VGsCt+tpXYbEt6R7w+z0/DhrDcfxwun6OKv08Q4Vc/Kxy1LAW6j7/OsS2HqPVnQYHmVtEyGpkW36
SYnNQBsYOUpc6JDWFz8R7QGedv65mpwZGdOkuIuWZV7i1ep9P8pHAmuMTGrqwmyL5NEuR5Wfpbmu
0OBIq0xjw0V7BWCWXgwPN7kj04ZqcgGsbpGlMCR2VC8lQWV6b9q0pjQH7N9YT74R+2ZJ+C3SQKLp
VtJ1w2zR5HyuEvK8Yn/ir4cWkTZ4B/IRrsP3bev/b+C/beOp/34Dj1oMiV/ynzbu7RF/bNyu+24z
G7Hc4T3ECvTDxu0b72geMkTRYc1625zlPzduw3oHcB6XG5sz2z5Q5f/cuDX7nWmiRgiQDrHdgpJx
/6WdW/e34fB/VXnMeegcw/Rh8k7aCn9zm0X8MMr1Skh8VZCXsSXoYOX1mGceIh8rZxXRg9QK8BAM
GhXqriunwXtP5upkH5EItc61UWos3F463hid+LZCpLO88Vuh5lS7mx1c1+wBs7XEmXTzb/6cHoIi
2xCj1XsOhTf25DsO6vqqmu8xQKcurbxEb05l2jRmGTa5SXzXauidE2oyJS6aUBM1PjSEIa2xWeli
fkIsXZFHlxTGbD6Pfot4AcOBaiOn0JleAkB2glA4XVVdDCvA7zCnadTf99mYSgi0ZoY+uRkT68tI
D6z7NmKMHQ+OhdScZnfpzXvONDS+Pdwv0PP4GJp7WqqrHTVNoe71UhcyqtQWv4oWYHL2uqV5MqxB
X8pd2uplF9L8HM2DQf+gCrOVaI+oFaj1EOtQTMVFL2CU2mUxa2f2vQyCXTa61QljLPTMbOySbpfA
6UsiQt4xIJQ0eTlC1GOj96AWGQvVu6VbzY4Wd6XSc1FNRXFdKLqPTy05NHn6VZd18Nlr+oYj1ej2
Qdhgm7pzhINyop1bwJFa2cjnDjcE/2doG6TPVqZD6e5BePqfU3ripCWZ45R87rsk5+w8S3te9oPE
I/iR7kBeXYneydKTsm3KuWZsaULZ0srrY2Vn0oxJQNb6OPHndv3Qu1Zh7KA4BHSdCRQ0WEE1wSkH
LY1c76uE1uQhMJWOVXfSxaecrj0WU2kZ+MM1nX17r9lNZ24XAEHAgaMQ+7cQcP3brMzHJOqKptee
NNoOwRIiqw2CU7nkOrtIyfsT/lR4iND7AG+GowrtLKqxIqxOGQb5MTWGJD3UjEXm9Af1Mo9nPXfq
S67RhHGE0Ro1lLEiOIxoYtzjADivJ5iinJGjMnjgjKnlZO6gZymUPNJMdLKTyEyaJr09tdYzBs6W
/obpLWpnzkNJRHNurPnOUlmKUpR2YnniNqXBzCAO/WTYjGvpqnBMmaPHTp/2GT/nnBCN5RhkB4fA
MHxwVZ8bCM+DfPqC+cBbP1s60zp4ogx7Tz7vLdvTqa7X41SSXMFFGehp9hj4BfaoNfVGb5dYa/Yh
IFHUeBZ5XwXPiZLF+LDQOJi/JF6W6vsBs8W9lHTgo2UK4Ig3qW74J1KaJ+fCcdrBi0l7RnqBqV7M
ayjphamda1VrdVf6WbX5UQBF3WorAV+XtJP5HeEmQXHQXdEEJuxrncNzB0G6pOHbeGz6yjQWN4aD
OLQ7fZ0D/VQMA9Y3FcrBJ2k+T2ilXsJ6w8FZpnKh6VShvDijWRXT3q60wo7NdhbFhxTF6YUsO48N
1B6rp7RbmBbNCbsr8mJvyE+SbmMV6r7fLxfopXvjmUR0+sKWqcrxlPUGAYLIqIdX3+cGvsyKugHN
21U1Y0gSGfrm6A8QyhnUUjF7h8woFnunM/PBFNTymj+ZJWmQUZ0jXDjrHkGNJ/B4qvo0zzAB4rEW
dX6ROkZCBEiZEv/bNl0Huxcni/gyUCKnD7XqEVWOs+1LEa9T3eBDofkw9Pf12nXyq0eR8aDT++6i
Fdr+BZgXw2It7ByIyowMo7Sz6/SEFFkuscG5YQ2nqp/GHdp7zcMmYvustV2nfSozG2Gb3qP0Jkgi
mUO99lABl44AAE5rizlKglDFsVMYiBXd4JHMjdG8AAxdTbT4kj6PDdxXF0OTZjLsutG/QKnbXCZq
3vokulXvKq8yXjLbXr44M1pqwJrdeGmrbCaQhJTw972dmkzAk/lWBiRyhRmTqtRkEFckkjlt4mrx
OpRWcgWWU+Igszu17Mh2K5OdW4LEfK5G228izq3zGuOCkkmIHwmUpKevQXlcR4bTbtib+gIcOHUL
1IPWACYi7FFXLjv6W924tVur5pgkjvt5qk0zvaydDKz3keuuF9+UyLXlUXIRqDpSzgYpLxAH1nin
fDOJUjO4pey8V4VxMWNGiuh5MuWgMbu25gPDlXvh2WB1R5Y/TOYqLGwGA7NDZ62UtRu6knAp3dby
Y9q64sxBDTz2kBpo4JyPqnFuZecfGqnuitYUIa4oGWpwYeMpWd0tA6UiY0RdabZxWdZgXL3Fmk5+
2tx4rfHUl9l7x1hosi8VHez5Dkv9GK90sPgi5Gs6a8+p697Qf+N5F5hYC5lPyNidUHHGu9Sn3v5A
ywvP//9h7zyW5EaydP0ud482ONyhtoHQIiM1k7mBZVJAS4d++vlium2GZM9U2ezvtookAsLdz/nP
L0oxHNs825dDHJ88uZg7G0MJDKC9Yhsxg1qNFOqBNLInoP6Tl2K/is2NBS24rDf21EVvJnrfwOOd
MEfudnYWuse8LvydsKrooWOJkn5Y1hm+lSP92Cic2NziHKt2Zlx/j+yiDGIDDVPO6kC853wktAzn
eNLVBji34V/28aLvC84x80ZZ9+ruOmP7zUFd3lGd0z9xNjxWSeJsvdy+Y7PvPiht3oxZOEGayuNY
ZM9GEuebkXe9Y8HGyA3iD79iwBsXuJKG1aiRqsJiaN3K32Inb/3o0im7Lsn4052neIuCEVul3D0a
RYyQpfAvzjQ8DJYZr7KqlDuK93lHPAizmrr+yKtMPc7xGL9yxBTHDmvQNQxM+23GKAUn4QoYtezU
XpaVESSi/JzbVq/cuj8vBkAg1O2SnkOEAcYqWBK3ZvapB/MCG5tg7OKuW9g2y6ZKt0NYN4GB6+rG
n70PtErNyimxq7KWFlcSWZzcaEk3nObrRiYVfnc5TZzCj7ZP7nl045m4IpAUTIl7PPXh6harUdQY
5Hr7rs1f28X6rOJmnzZqXFk6vyT2cnSBn/Hj1eeFORCoeptiCVVu07y8z2Lz0EfuN9XpgzaHLSlr
0Qqm33acpm2MiNWK4+IjNbJ2P8bR98ylNigZLu3GSRe7dPbfBgw/+KYFpAt8GiJJbt+Q7jw3YtZu
WkFGeMdNlvgIiPZkR9YpXOqzjrDBrsKWDAvm1VMawcBjD8Uu29h0ONQFXTxkW1wtzL0B/+HoDkzx
Cb4qnJ1AmrLFX9t/VktSPVVxqr9A3h6eGMKYP/wyDp9IFUH8PMnWOQxpdSuAw7k7+nUpspceb+N9
DvF5y5CISAPqnPjky0mdw5kSdWj7/qNnGPjiJl72yB/J773Ow52GLNILzlmIz/Op3lKCez9qqDl7
SZG1L2e/vuuLJXobunC+Q1iDfo2wn5+o7bP7ruy7tTNDNLmjFs3glfSoUVZLO3RBt/T6rYpv7tpV
jqXLZRpqCA5RHs4F29lS6YBgnIUUgBYz4QOySf3ZloMU0K2Yvq89x2A6qtp5eGI6mLDzD507H1iG
aPOGPncSTDSSMj1Kp5/s9yqH2nBOO8G0YdSq+pqAP3HC5mbi7poqL2EYNHNURnXgV8ynAg2111vB
LCTqPde86aqJ8AOwssxj8EEMBQGNY28+9GbfXkr3JnEgYZSToFZHfJfLGZZ46zGhS7vFWfeuDrHj
rgXqqCSnO1ovqmj1ztV9NwRt2/MYVJQ3+bajJPX3E3WNtfL6UHxWhvMl9US5UdYE9f1G2KZLwe3d
QEviIO1lJNgFA13FmiU7vRRTm2EGU9b7VHcQ9puME3jEOLiIcFoD2l0wrJL+geR28qLSVBzZEJ5z
V8WP09Q292U0yxPFsM1GTLxEO5iHqjffSuEgnWyYEycp9miVkq9da7+rvHaulls9FdB032Orbo/U
thzPHTbotg3XVhjGj9uY87qI4aNa3M8RNHNTjBnS3ySJCfAxy6vdFd2pqIdip1myFwpZpA2M7AJ/
zMeXmkE+gC0wKxVG8ZO0i3nLJr4EaZHEW77L/NZJ9OIBcz573yns81LVGo90FOZm9Id8ndA/UToW
3hrvX4ifQIUOubODaRx1REm5Ioqw4IjQxsGZpHmhHNNM2UsXMg+ZYrAAVo3rDmfLDdugaD2RMaev
4mefiT0+leQCTojGIezYH4RmibPnoNoX3fi9IXR2M3tTuksQuuPYi1dEJbtXdgeCPUZvm9+ODAjG
d4Wyv7uNHzAhIebRDoYZElgjksdIyh9iVl9Le3jqBS4GFh4/AaUfDIbB/9qFChCwTlBkVD2RFA1u
52VhfbWkzVlv+GKl2urouOw1GFsAWDn02SjV9kbi3E21vGuN7pX6b4YwjnZ1il7SWu9DjTVX3zkX
w8k+eku/KQzkkKqLa6iss89/7MRwwHZgN4pqXIVirvZkEOVHHkEAK5vDxQIpI8fQ3nrZeDfN2XM5
9N9nE/nwMtYXqq9LO5vdBa4MeFGYQcbP1E+/IlHEgxDMSWleYI0eMmzYsNGF5TVI+GidJ092JHc1
w1n8wO1DG5rPXQSpGS/9laN6+k7CPXatEaJ2VNW3WOCJ0ndJRX5qnwSuQ58YJeyDqZNg55HZSP0j
frQB12E1d9M7URJrsGROS6IPA7NuX5LIAYkFscTyLQ+6qn8Ou2LHnQ4rR5r1DpR1OHSx369atlnG
ZDnI47Rusw7mCScE09FwW6cWG4eR3vkDrEQx4+naDqm/0SWT3LqYX1MYICZZCwyyjXXB1JLnZKU4
kCPv65oH09HmrqowDJjH0trYZvMNbIP4NU8+LOgnxWQ+gxje0xEerVhflQ3pq0yn9Vgm0UPdollM
x7LbWzSvGCUQY2LrhhgmkWf3jUIpr3WbBU5qwZfIi949Y9To8C8lSRCZznyuEgc9oo3Q2uyJVQjz
5IznDP8pNplpG+bdYrtXJhgHCSkoEF6rAnuuOaRN7+TD71LmrHb5nBSHlp6ZCU18CG+zBvQ1r3bj
o4GTRr9igvRYufCvovwyZwXO6kISzxu92mremDdvgHLJ3oEOLhqfonzQL0jJx028GNU6NSGCssD2
7Hv13msTkyiBkBSRdCJqpmRyLEYqVaaKPuRBeEuNCiO21G4sL/UMcJDl4fNQTQQMFSVxJ/W5AJV6
UCgiD/gz1ntG5/O2UnnLPNWvzqZp1AdquWbXiFFx6Lj9KxUrpDDMNwuKQa89tODaOmDsbZPKYk5y
ay9DVgPlFJiLYzkQQjAY2/CzmWtav6wTRGzU84Dkikiwj67Ppn5DcsRi72H7czISTTmYGx865gRt
VSRbH8bfo5HCDEJly/BAGlDDQayeoWWyLpP5J+yScjebUKsiqeYrBI5w2xsDSn8UMQWOC7Xqt5HK
u71bDXpvO13xk1wR+8hUp4F/09B3OaLfxVbP+rOSZS7xN3ASj79Es0YWDDeLOM47GcsY75gCMoZD
xUTQy0LInn30FybUp6zI9EVZRv+GRURb7VKs1HEDcHUh8MP04Tz5iX8CwBn9Sy7y6FDmY8aK8pnl
EA7OFMCBUnY1tWVeFyv07+PYmZPHOp30dEAZL89LogjdtpeyPU5Fa+2aaDLvUkFVs8NyEJWHLFUu
sDIZatCCWWDYj+M+ZQRpSEk3/YxDt9zQWsFEWCqBckPizunZN6cQ17VWhpE+2MYynxNRPDfSWk61
ZUeveUHiQqjS5BoxeXyCCfRQLcNpTrwXq9XtobJuORpOi0wlCZ/jdNnyvummHfkBfcPaNoYDyxQf
e4wexAteKQ9h1NxU6Ekge32vegHt08bNDvd5hQg6q+QGP5xm52j7e57WR0F/MLTGO9M2GBKkcSyM
FjbkYH1pi/RK6GK1QZhJegGo2dopdBlAXiOt4Jak1lkOZx+2NRB8Njnd6Npye3NLgXqBBUCd76Rf
8ew8ZxSSAVgjAris3ztzdXEy/2gQi4HduAeLcJi3bQ6qWIQ+qbl2zJStGuBh4uPESelHCLTDcWN4
9A6pWpi4tUQ/ZZZI4IU11dUurZSBEEjUCs/3hE1P8evQY9ZgdxA9G3xpzmNMykhRmCbhjSoNrGy4
DD69mhHD5MyqwoambOycvDr3Kt57y/AkUbdEUf3QwmQAWzbgGap8HzeIiLrEOFmhfpF1pwKxZNkm
RIy1cQxcdwk1TA5kDBQU0OFhdJgekdRx73fLF0gfDKWm8Bkj7mmlrO7NaI1rmqEzr0FaAq3qcFVi
y5smEMuTvLvryRpxshAB1zRdgWc/q4Hv2Q3v3Lh4SCdrg8BhF83zYz4S81HcvGEKJk6rPiOIq7c+
DcM6ARdHZN8ZH+RbvgskTYc0SSui/uiHq4xME/c8O/Oli8zDEntfnBneq0pedG7tAU3XraUPBLDt
yoWJp2WSC+W1+0VX0JJDYQWuO15mFf+0Ik1MCwFWafOgbfuBbefBNaKXyG1+YrxyrMABIkkBkhX4
gVtZuUsXupPZbX8OmdcFvhxeebdrvyW7avY2VthzLwOsUy99aGaCSHFlYUjYkyAX3w9d9b2uBvTQ
kuWHf8jY7HWFg4rPu8Wrap1WxXqYrDjQdkTF0T5aRkMXCdtykgcLEF+l1f1oqac8gcCkbA37MXPu
x9K4A627uAXMHKGKb5lhvuVOfM3mBj9Mn4PafmHP12td6SbAu6ML6tH7UveEyHhdFFgw5/YRYtyr
oMWjI5mrVRhi/aXDzNp1oXmIBkMFWcwBWwu3ftUdkLuodLuqWwrGpn7hCV6Zsh57KHqdN+3xLjn5
AxVVE07H1Mm3nqpPGQkuSoGfLMJL1kuTxcE0m0y6ZfKlMH2bgVwdbTFXg7gJGgvCuBrt6kPjqElR
+RJ5crek1Wc+t3fAYuco778lc2fzUebPWdoi61KbdqqvaSuvTZ5A9NHTGpBwzfz+TH36njrpQ56G
Qb6AwBTdhwtHbGXaZE7DWr4VcHonRyjwBb0UMcTXLo6/uHXyXGXwjKeyifZx1f6oBnwUbog75Qyq
hiI5eGVeEIfgf046/Owye3ubO0vtf3Cj6cmJprtE82HeKiWcT+OwPxfCDKbCINotV3JjxUa8sa36
ubTAv6ey+lCF7R/7IiHy8lazWCPouEjLhymDlO4nNX/bxrB9WPp7NwQCsazqPhlnXHyI6kHiScBN
/Zw5+lVVo72xqmbZonH87tY4rfQMWoO6tautMqJHEKBvJdlroyEMejf3VnAuJ3Isof3dhsBD/WCD
GEE56/edIP9jtvsHPAT5OqrouRuHN5ZqvE9qf+c11rOX5Icegf+qnYxxG7vL4G3heo1H5J/pZ0SO
xwVhPONiL+sSYp8sL+OVFPLSh7Xe8lgsvJRbYAHGRtRDZhOUTNC+oWMTwUCrTKqUYR9mxviKGnpR
ZweI+YmZzfKoYMNdoKjq21AMwEGFXv9kJL04gGVNZyJk2m9MHIgVHBmPk4hnhsP2Jlz8So5ntG9o
/k/+MomvbavaD6CVz6GZgVbcG/AyxOEmRom+S+MEG1tELUE4J/dtfnN40sazN8hyRzDNtnJhLrgy
2URjjx/z2Lh7mtGrXZO7ovuZwbKJvNYv8PpqknEtMERCWeGi/LFYpSFBUanjA5b7LBMQj2FFS/Cg
MnUUTOOZA/KZut68dZiK3ydSwrWwUQZBCycuJCM1fm6cCUVRecsrxToUVPbRILBmVeXNGou9L3Nx
Y6Fk2buTup8V9XEA19IOZD00eysMvzAHWeeYixQ3m65PbHXf5tgz3mxd7RgmtRtTLXvEJ4/kkH62
jfweuxNmUASBSBe0QA3Zl5l4kKB2YJumDazXOqTUFvZiHuxbIzoZ9OhtwuubBnnAL+jZjQ0HvLB7
Q4l8diPrqgdx1zXWvI4K7eyRcvpBGQm9dm7ZXYSG5/CmNTZTdFqirE+un+wr/BJWVrO8gV9cC7f9
yE142zZWeaKvPhdnNu9EO+zxen0K0b+CJ4DeTzI/xNI5IMk7TrifrOKJGqYITZxDACugzBJMlth1
ss7Qouxcxc8HL7lXc0Uq+4SmG/6M/W5CEaFMddUW6af9A5ZBefYkhs79NDaHPLLiJ/ifydNULsPR
tlj0ljdOV0i1OYhvrawfDh8ybBUvvUbghWThtk5lM830sU8q4vRpaKzoTsBVPGlf0+9p0zLYQLHy
+lG0MTqJET7hp4+6FJGTzwyQrxXRcDPeO3lsA2P31kYWRfQaGYk8dx6ZbrC6+eadYqrhHgvt3Nkg
swfDrdT9zW1sTbReTGoTmlF67XwyWU4pAWhmyc+zJCF0OoH2lMfeBNPYA6Eh/Lt/YPA2AdQvTVez
R0hCQ8sJzGOVm7M4TEkL1NnQQRWTn/5s/YRDHBLkGVZm+ZhDoT7LoXKPspqtve8bxU9rlNFpIEuc
zB/fucV2Q43a5KJUWIMNnsFrir3nzIumQ7aUzcGX8XgUYWNvss43X4zIld2aHVC8SQQAQV63zg2A
Ku86qzJ2oRjGfSgrvROqbU8VCWY7HWGUt5r9Aleyuna2BRl498SkshGndgfzjqfUvxSykq/OrefS
Xs0DHSTNQkl8ASWXndwNY60OqidiafSc5ASAZeKFxURqhdYWg62FsjczdXqwR9GRxdhYKVx1jzM9
cTMdODWk7RBDgMCwvGIMzGhUp2aO5c/CjiprNeedhIjd+dlGdBG1+GLnfvUocj2biOgia9UslGIg
Pi+CmY0XDBHiOTGY8Stz2WxTMHyo12gcQYXQ4H2Hbuys80za79D5IxwQgTTzZJy+pHmDcZ2fmpe0
mDS1rOdRoyj7aqH/vkdHkC7rvK5SZ2OCfm3nfoo2mSbuNYJ+8Di3V8MDJ4lWrqUhaY2+hwsRJpDj
0ULZuBcTCWVhvuCRVILZrbrBQbfEPDJ/tJvGxvyoy0hDMaKh/AGfSnwPtT8ee9kvX80wt1QwlKF+
D0EiXmcS6hhADHKa8XtKvEudSzLKcrwM30WZTe8YQkKBp5zpIJzPuAZsVeG3E3rolLXMD6BpWA2j
QzZZyZoArK7bMaK+a/GO8t1BhhucV4bkfUYKDU7ixEl7H7kxG0LL8Ks5WIRa4g9ZJg7tScxmdYgB
W+YtqzF+8ejTidRTuYRPUXLYbPoq1MZORLPvbN3ewiGP4pkqCuZztsv7fpabWvpdvs59AMCVtkvk
EklbShPSILoxwhqY8K2aya5op3EAj/Y3SdPA7MwKP82UCmFdCLycA4LvKazsXBvvIfAt+W7IQ+OA
YPip3XZWJD0EENp9QCVFA4jTy94XOPPtXbgBcAYanSP3rXsx03dPVN9WnrvWQyHlQoQ0dlTie1Ua
DCph+7PZQi/vp21U9ICpdqToZvmfUDik096QqPDmJ9uHiLM2QnFGrzUSIYckAa8sTjGnrse0yS6a
izNEiPyqCTj4w7bhmV/Gqp+mi87s8qtG4DJxBzj0nZXgp5Hj3dgDuXTkezZTVzFvCf0fVjnbP8ki
I/htASjUJ26gePDiwSgCDV4UpC1UiMDwKuyrXEgj/UrqjrBB2+ywONBhlFUbawRGOvS+2f1QkOvJ
+lzM2VwjFXsJR1gQNjq0p9aHYgeSliXfikn19abu/B5/1byUkEIK358fRUdNbaKzxRUrSahbK1Dv
AD5QP62RosLDMR2DPJdhkPrQmHXRrhamu1B8jca88GX27TryE0CCLvKLYZ1D4aFTzEfC6aHBGtk6
csL+YjPFbs7zzZRvv8BgITSZqPpizUcORG3S9wyBmyrECmGG10dB25km08XQzeI+VZahoo1tJ+3V
6RfXWDtRl9oILSB23LspEvwNXRzHlx3Bst3xIFzmZXAsaX1TY6LGZ6B+Tl2kZB0uSMtBFCCET0y+
k+Fioe+htFkMDJ8KJ+TLZAx3MyizSw920oTtB081XeoVLCmkLKPy2ZOFQ8mAZKuUxXZwDYwmKjg2
/qZMtfEthk0qzzVUHTAQMQAsVVigfp8WNw5XnVPJwLPTeTs2lfcwGFWusAzNnAHCDd6uwS0/Bh/Z
xGfIVJihD70FgugTRCFN6oQ9py9kQ1jewxyN+WdqE1p9GN04bp4LaBBi2zlYj+AUGWHfiAYlCV/J
bZ0KKKo6gVTCvzIxPot7TusplNip1bCDv7rGrRhSBund1OPaEyuz4/9+GQxYvIHpjTFqwThtncDN
4/h1EB6glVGlOrx3Smv5PqJbXtaFFaaaZ5wsb3p2o/QcegNpRKRz+QZzhmY0LzJth29NTK8Wgvlh
u1mUgBuM/esfZtYYFjmWTI+C2bVnEnathKZ6pWRCp4wGiAFRbaXlGDSqyUbSKtFzBrav23wXYT3x
BSb07B87GOak26qhNAKcdy2icTPVUzUtCDVYVrNTrjzcCHUQMhxw+b1Kp4GuJ1xBXcdpMLf3Zhgz
EFkxuYLpUoC7Rl4OPnfTUN2PAN4hASMdGw0ay4qM8SJO7HXs9MNDa/I8Vwyu/M+oNo0LCtnlaW7B
anh+TELgvLtWFEgsU4xVA1h04ziIO6KPh2knCUk5JL3vIvu+VdhojslRnz3JeTVF1WIfawPLwk03
cLjdMRYz77EILac9+kE1Q6MpAXp00kxY0yi9sDJzhJIbc2Qe8LWVHYNrI88TdGz8+tXMJ/ZoDrhd
0Xc6g9ooDrbbnCe2pq1iXYRPcWkxFxKL6l3svxSzXN/GqG+VSYmE2Yv8eV4zjgrjg41CpjuNBjtL
0CwhsbGDn/JnGHqnKmh91JdBAn5TPFhQGs4uZwbR6nOmd+bQ1R+lKEcJ+VtidosBF0GZdpSK5AVZ
JiZ0peqQLc1eSF08t/nEfuIt/kAd2yVfpW2g1aVDLx/y3gcZbwy3ZSq1dEi0+n5g5dI2MzKBNj5D
nK184mzxEiWIuSulzneG6NWLhYgtYtZScqDkA2tvY5A0iViUj2C6hSt7uLVq1in2A1UG86RwsEKe
Bo+afSkFcrexHtQdbBE33GHZ52sQCb3oI2GFo4+dqIxmxumxJoQkoWrH2Xly4aAsTkVrNMao2olH
JwXeLXp8jz30Od6pi5NIHOMKcC5QUJoTBVEczgCk9TbV+6mA5xu4lRbzES7WhGFEPo4ZYFitDFgw
N3FufYvpjvN/cX//V1cMiKq/MEhvWWY3oqpSpo17hJB/mrVTURWk7QINRV1hfZJSTHz0lBk5btJ5
+aApmZe/8cf4XZnEFclqY1H+p2UVZsl/GqMDnMXLbGdy3TXlskVVPuxdipsNQdTTj1/ovPf/JML+
6olxc7z4b3rsPy/lyZvrlPIdFDi3m/+FHisA7AD+uZRyC/PR9cA0ZdMo5jUV4dOWCVM+UvMaTShM
KRstwT+J1f/rw/3dCuR2fUKpEPAQgufZwv3TKZBeLUw62dvElSMwqNLhB3wQcw0v9S1uzQfOtfxv
rvjvD1fa8OyxtLvdtLD+8ABpiylWzTDaa6YE5ZryaFlJ6ikoa0O3++uHK2BG//F01c0JCZcT5Xu2
82e2UYQsbxzAdSlkZhidXGqOmo1ouN3GwDui16BrWUuRNbvIeMD5Vz0GM3/zOf3bB+zdVEsodaSD
donF9Ps7lgNMsLG/5WOLtHmLJy89Lr0S+AnQX1e5b+z/+rZ/V0vxTrkYQi6LJeOR5+T/8U2x8usU
HQTFstfIdGM0CdSwCcTt7wIL/ocLuUK6ZBUg32N1/nEhf2LHg+PLCL01hydS8uK7ScH2/Ovb+U9n
3t/WCD0VmJeFG4+pMCH7g0Lew5bFe0SlJF/bcltWqbXLBEnKY8JZ2gKoBFGLZpIf8TqXUbiB44AW
SKGPdT1s8sN6Kna9iz7hr3/X7z5Bt8f8+8/647WWWcjNDsi5Z3IXX9mq02Dpi4jvyMgCBOrdJUO5
cp+HvvU33/W/LSGPmAGI9QSR4T4q/jTeXUYaxDqu5VpYbX5nmQBnBuTWdRZl3uNf3+S/vWLfwovD
YZOQnIXyT9dkXBosPmliL/JYlmdC6/x72M7u39zQ7Q3++oaxWzJvWSa2UESDws78fYVAi4+RyMQW
YFnYlitQBUGhKdut6g1yIfC93M/N31zzz4f4xzWt253/svOagBQ5kzXBwB5aROsl07VKAdC8NIzX
/7eHSJbHbatzOcGwRiNw4/dLtRJaOx7zKVizoGpCPdPC1p9qd/ybpfLnPbEQEVlwdrkWnC7Ko98v
pE1oL7rp462YUERebEx7HpUzYVVPCpg9/PO2/r8o5//dBKh/JcrRWJ49Jt9+l+Xwd/4ly/Gsf/Ds
bZOCnyw091c9ref+A48LB8sM5xYJyQv8l5pWiH/w5shP4wwmsQjVzH+Jcmxc0Yg/RsWDJAcHTe//
JMn5/TSyyZex7JtFoCR0lCbNvq3FX757FIpoRWY/2xq68s9GtnWGQpzw0Dxj9oMPA9TkOveYYpZe
fE4kJlUgsc/kV0fnYR4vITvxwXKbe8sw5r1M+i+4nZiB49XeOiuQ5XiU6SzWch7NE0yhK2Ix4839
/ssD/x/KJkFSL7/zv/cM7gPNMUc68nGXFFq8PX+/DwdIRcdNZ23q0dzYABUBJCPqXjgI+2m07mkn
1DHCQDjuQu/S1YXaYNKYbkadv6UmPgHdwOgPyvfRLvyjxI4SMo3AzAlvjgBp0M+MyeMpJ9KDOYoJ
TKHtNczSk+8nb0aaiDW+1ptljoZLES/n9Eb85vw/mdGTSMilgdIUrVKnKK9JT+hAM5iB5zKQSfvc
C3qH7rOC57Hz6OBKf/jE+eZnY3ffYklSHVKZ70rbb73TG5sYl0mUNFkNX3e+erl4cGVkXOGFQVzy
qk9VKf1meMOL/eY7hvNhLMY+EYoEaYxqGKhg90P2Ag4DgCIMIIPW+STwVCI4hRVxwffCpP+ZHeSq
S3QenewlaeRN3MOVU3OLKplQSEedQJPaTQFAtmISAg9NrULX2E0aA1cwDPjbI7qXJNkxLs72TbM8
T04ZrVVJy+ENA9yKYuNowAY8CaoV9gTZmnJ4E4XFsvIgWG0HDLEC2cdfmLwlDBThEojJ+bgR9yU6
5XU9MQDDqHbvHXp8zCZ+zsVFl7hpxu5LTDQmlkjZozxbcLQYowHYW/aJacGCoUR0lX54H07A9qKe
qYX8mX41jfL1uPiHqkZJ6uFVhsqWLDIO1qu99OjO5rHbkYnDZLs/A5u+aLc4Z8smdK3h7IyGuZaY
L4x01ZZCSmMWSiF0xTSn7it3NdBCodtIcEjyCPSpVYzvi2jmbXhDZbXgFhRjZ4MGMGAenwdDJx/C
pfqadSG1TO3lFydVe8RT97HoffjtMNFglneB8pu1IJT8kBQhpLaRCDkojcURjLBZ+aUTZGFy1PAt
zgJbUswmiuGKnheFbdGsSnxO7zWEEg3HeZPENS4Tg2y+Yum2RUWYrm2CCdYyBqeyinYLuFuSWbHc
/DKqH6NVvGRgma/dTzuOn/FyvJcVhg0hDCwqn3SbdBVf22xCjC9zD/EzqTRHAVkcdkozLBuzGspj
T4Oxr4gqROYzr6sKM1C7I2UGLeyoN7K1fyLSjk9YV+yI+T17vOX1LI4z8seLrqW+a9uIQBS98Yrm
Go4JJrCzPFdL8lUo/9II5zXR4iWU3btj3eGYEqRDsc5K+ey0sMtAleR8GIcTTl1J0NsOoEiqLrW1
MPSdbEbcsw8c3b4CUn3UykR9UX43TZP8lvoBzRL5peLNsup73esXuiNzVeddyUjkkJcleSYm0zqZ
c2GXp93G4wtQ1B6bdJaBP4xBX3io09zzGK4JI+Eb8B9MQOw2cdi5bFibGWVj4TxMCZk9HAc710oO
oAvnThgorlR1Mv0iZ6eyvhDNAAtG6ke99PB8yvIbRhorxIlDU762iPDG6b1pUcNUVM3Q4Y+VS7xX
idZPFnKVS4v5uZm6gRDVYxXjIrgI2MiswqkMxaGK250593ZgxosbhMVbJFm4UHS/RcV7XI+7Nqzj
ILW+JpBszGgeYbSYeLp05X7x3XuncGActSGqxmY/5eJUEGGrM/XOXOhatA7j6brbhG26M+CAAuIQ
0pOlkNEc/TwZLnhLMGH3Dwe5Chz2n5VzUxSAq9fsGNsqrz9bJz7HFiJ/erfPcQqzFccTyEjZMlpU
n2Y7vjPt/1YV6clFPgKgYokgQ7mzKW2wsZsI34mRi4X9nUzKels1TOoSqb82JtrIpi/CTRQv4SZl
F6pmQ54wXWj2Lej42kGPruro2WJkZxSevyG4i3DT28l4s6E+UFcir/KcDM+ypNtNCDoX1aGVTm7k
FoOAs8Hppj2zwY4/hndglBnRtqrzU1V1C1cchycXGIgtSPvnzMcmJppizlQyXGtYPmKAgEdumbup
67o4oD1DVJjk8TvGBG+dIdqnCnb3yqluTREZdlk6s5veFDnJFGLrU44EqruqerAy0GfE6HLr6Chi
XCeORZpnD5mVHyJQyoNnYiHscjd5UcfXcinuq3liORKqtBe+fOGVPdeeuGcxYT0XLofFnuU9WbP7
ApeBh5r0tnXPzo6AfZDHqLWNjQGU88V1onPTLslRSt3s3A69W2jAoyfOfXWrTp5jv3TXdkK1PDAj
XaOsG68IsPpV5lXZe9SCFBsEZ1+g+SHmVyWKxSgZNkBzMzQDSZvIZBM9ypDv3S5ZTqL33CDNfALV
PcR8Ea0Su6mIPztmgCtVmcMj4QQLdm6620QkDq2XrDKOSUg0jFe0j6VoS1aq8bz4+kADtrzOITEW
S2569LyGt9ZRU+80IT1228FCkQqg2Xb2KA+Y5BTJFS5HdJ8mBLaFhXh0xX+wdybLbWPdln6VP2oO
B/oDDGpwAbATKUqkek8QtmSh73u8UT1HvVh9YDbXlvN3Rt5RVcWNyHBG2imTBIFz9tl7rW+xyo7D
LK38+G22CvkUzZUKn4dioI5XoxT6HiL75iaroBtR0c8rYibCK44pZxhA4UqT0U2IWqlP9Iwsr8z9
EGTPSU9nHfsOxuDCsoqbbM5qpOXE6DFXeiS5y5MmsdNLQIuY/NpdPYS4Lf2YYDCRqU7SnFIgKaFV
7+vqIWdev8sqHu8mh34WR421asdhXSRwIsCmY+nIkhWwpXtpaLnRyiM3qrWS0uxAkAutygKqvNwv
gv22weJgDSoDgEMbgheJ245HUC9XeWeFnqX4d/WUb8PZ3sYZ8XZZCj1EHM2qOZiBjOEh2Yadxl8m
aFHrUYZ/8xr5VLuKZ8qOqXhBKbIeTAuyWqisIXoSJMXCzvhwZ4SEpdgNrffAuDXICK5wUNd20bm5
2o+oqlPmkb742qjdIS7n60BVvlol1aRdvuUQ93DPISZegqsULDbLAHydy/S14x6lK3Ff+Am6t5bo
X+YdZYgL2eRoJyG2TiBPuGYVMWCWV6CNY9ds1etWTx87WrLYG++UBOFJrVKKdC00yVhn2IoIwuka
sQqiYNUp9VEpddJQCAnqe/lrWWnv4G3pfArho3pPd9yj91XYUzpiO6rHHrhivNVpQ481Y6KaMa0W
hRsrbtxcMpjoSsy7ExD00ELIPGjtc6tHdxkidSceIwTpjAWDQUP/be2wQWcuoPE3v2/eEqx4hNMk
MPTy+HpSxJfSLPHgqS2Ji0mi7Kvm84zKeo5vxvwbveITHQqQtEIsOoGDFSdwuGvLCwKM3UvHhqyH
V1GR8sBM4H5WqXWLSXHHltFJWTySO4VAQo6fRsk4Kc2wrafqaWrQlYeA5JQp+CLOlUKXZ0LSv4la
/0vej3ej3O6q+lEt49co5c0k9njPcecGftoNT20bBciP9Wuj6cDTsgUmARbTaAYUiUBB6YKtnUhM
G8ckdMaxJy2xfJKbKFqFBeJu5jOnMr4Br/c4C3vTpbzdvFJaJ4pUxdHiGcsLctAI9a2L1IaBUsC6
kpIbSf6VYyQUy0ksn8omGIhmzB7LmCC+up8gErfTmRbmCXcZjix7jdl9bUhQ/KnIgYM2V1R4kUf/
FtKbzztRTFO7Km17ZYjk3fcb3SW340C7Q3WznWBWi7ku+4KjYlFEIacgMWTHAqioS0wlt5Nu8RuR
CF8nEkB3JdIc1sR7bRrn2yhh18/QnqLqi2eXdMVrKke2tg7a/9gcINmlp6HHra3UFsGSSIf3bc8W
7eOOeWq1PkBfEEfITbTtDJ0YnWQB5s+uDoksdyelSK8XpQ6iUP0Z7IC5mzRj9rqm054Tad7APXwi
9qS8HvK+vS0N7ak4iKTwn9JECa4NmvaINfhPf/CVFdHQa5GFuxBYi9vmzKncbASTKPTxmNk4iI3K
P/m53zH7IdbBTCT7ZM9+43ZJPm3kUs/XtHorr+YMcAqsnF8oh92iiXD7qdM30/RhNUzBIRBqdy0N
OlHXwrNg29/V/TeyrhoE7HBnwu4W6UFzJ/tzfm+f8WG90bJLjlNiSw/Cqu7xSbWgmK2nABjDVa2O
/JLF33KQctthiOJzoC7gVL/Qt0bWxefL7/UhQU3p7IwpBM9I1+O1FrWyZ/v6Fll9edQ5mJMhMB/w
v2/7yX5CLNVuA3/Orq3CuhFzc+p1+7VBEe9U2fBSgtt0+9ncBGCtORLN8ouZMHodg7g7qpS89TSA
ygptH+ymygEV/Va5SEHEqKS7au4H0H3rTKqfi6EyrwcUaC7ZWk9V0nWkw5UcNnAwQZmFQnRYUHpr
pRelVwJXgKVIdaQwGV42DH2fqDG7szEeEYO4E9y5DRoW6MBQUCWMXk7SCu2OitfEG72hq6Zxj7o5
rnrSTBV9RfDdfVyuiiyJ1m2QHUXajreTj8wWMCewYuT13uVHc8Z0Xty9qxXsiKw6I+eLNrKQtJ2s
Yv1gLL++VGuR3vU7vnTSVV957iIE6am5bgjfJKkov0a4AkUoz28nVXJ7JRlPrJ05g8ekWU8pAw5H
zNlIvqrI7rXoMQnGTZ/H2bWfKxSPWY1GsrCaN7jDAsXdhP9HD5t90jMZ5+7JM/nExbA8qaGVQSBh
sk7Mxcnbq9mml0xt16MjcjQADcdal29kRb2xl0KzHQtOUOiLMu6+a6WDE+BUGlLlRkdJWEZlvu18
ctMsMjtWaCQCr4+VZwKB+T9yGAt9bC1i1RBk9JR9zUm1KSpjH0o8ist5NRN48Zreno8tV3EsI//Q
RMENadTKPXxSXiVed5o+X01oGohou00DTEhq3+99HTvtjDYwbOvN5asfphwyklFOnlXVb/kckaMW
JvZmZKrlgTajlMTPv4lYAWZ9MrFtgWdJUOLvfvseNYqBbERnERsDg1RSVSO1oeahEg462GxofqJ1
UIvby29bpt64ySydCHbUUS9xf+Ea7D06r8g5GQZ40RIiVU4+N2XtSGOmgjAQ8RoR7Tv4q9TNZ7Nx
MajjtMvgWc+pfcjy6rWJ9MGTpfvauEdpwUZZ2RxLUtlcaQH5j5f32kA42LVU54amg0+DjOlRHGIt
6tAImuXcbod0jJdSgd5TNYZ3EBvZWCf6UlnYP0paSYlQpc86LICzTKgUbFwfsG7U7sE9dK6Ggu4a
Re5VKM3VpgNYs8Na5N+K5WgwZvkr7UjlABgm32iUzrLf3MAFSHF86vPyfe1EXywILo7UEEweS/Jj
r8A+b3uKdDfw1as8CaznKa1xUxnK/QTgy1VE7SCgRiuYYX1TOlk7isujKdBLZKHsO1kdQ5pelgR6
+PG+9is3aNv0zszeK9+2DpeHXDGMQ61lyQFaGtVi0eA/s58gkmw1qezuELKglzZId0OSZqwZU/fX
4zzKHMnQDNp6W7I6KOYO6Oa3y/s3fKU5SZGBN+S5GDnzEDwHP0zv7gT+4kO3PDvZzFoW5ixLxQjg
fvRD3qdRY0hXODpLo7SHgEMeZ50Q0mzP9wTaSHgrjFWhYgeNNXkdIUo5jOZdUHmomzXiqZg0hTW+
RH/pS6DY/4pP+CqB7uWpRm3fsIRnlAOdvi+kuyQwgpWQm/6q8rtVL/RmO1gpp+3yRIJzt5f96a1t
dflQBisOHpZbpol1lPWi3LQkYLpqE5zbSsbUPJt3pqxn23G5yhbyFylVdo1fvl6uPffZUwOD/ERm
2HI68/FamNGtWg0cPm0IiDhp03GMNn02HQNbeQ91q1jLy22gd5m2laVc5u01YocydWvZVXGdSiTZ
UkSftJkswpxYRTbalarM+Yak2Pboj8m9uvBqimjqvKYs41VUZRsFbA/hqm2wmRXManAKZiTrCTgT
KOocoDmJECDfRbQblnVbD4u9ZRFwkBtt4I1+oLuR3dWuHOOFBR3jn1WE3ak/++A9mtaLCaJPLGrR
dqiyVxSmlnbUQj8+2HKtIFhEElSmrPBaZSD7i2mSVelXC4HvDTle4KZBCpfjMO2rEgt1WmpIHQuD
Dt+ySlBglS/AJPfGZOSEHET2IZ3f01qTD4kRPFdpO2w5e8X7sof7LqaicBGzRW6Y9rmbD0PhIgby
OS3D4fHT5iZAiImxMzhok7wFj1efsLxapTTeXtb1tBWrWk7nDZsMsXnowzaRNrTu5Qu9PDESdXU8
JGcZL/yGqI50o8nxgybTnwzqfA/5I79V2Ic8gLzWwejsQ2DrycomdNeh76rvZmZaRtJwH/TdKW8I
5a5idWvYOfugbxqewtSNFlgiNoMPRVzrpXiX5QHBe5FWe1YWdisjRSmP0rM5DJ2xCltcBDQviUmb
I9laVVYceJenMet69nETFJ0U51t6hOCM4pyRgJJ9tSZgdUraAZtJhvJJFVe4BPHugAC6G74Chw1X
XS7Ce1/7orQG8qMY6ehg6i9iKJurlo3UGUkMA9RosLBzg0fjElLeiXrTB+XXZO6Va5IQMf6mtGJt
+i/LeqTOAmU5Z//frqjUkaU3tkO3upQUEvpJ/FfwPUcrtLgpjObq8kGsNA03PJw3itk3L2E70k+1
1XrFzhR4Q1ooV3Ed0XhhaLCvJBpvEaqQu4r7n9uvKK/GIch3ElfSkUVdHFsprdaxz04haRJuvtna
Z6hWBTARE/bHwPHQN9R3A2rmdUXW5XWB9309Zz3Ua2zN2yToNJcW2SatRXIjsVacpbK+Bori9rU2
HGo0BK7O8R4lp6xuuY34fqLmyU+a8d7e+cuaFejKLSLmHr7jMRQsJjRkboBEiaspmM9aQptqKV5G
3XzhoN7t6flrnlyG/aoYpvrEkrDzA7UjK+U+KDX5kZYZYAoQ9UhqB98B+ji9JsO3uS5wClSlfJub
CllutvSYADNz3CmQizN8F7rvBoHGqVx+DobEi+D+36oxitkeFbVDIOh8ddlElaLaIMgKr6Ov4N3z
49yQYj4R2uBIepVdAemGwt/BfvV1CMwEs8O41qgMLJVWOmvd5xLvhQ9tcUNk10z+9JQi4rGhKVVD
fkRzkSiVcgBa/pbaQiFuBflNFPqWAxjbuTybiPajjcDIkmL3S+tG40tHj2gid/D0OnysIZYn0nUR
KeUJmec98KIA6/og70iIF06ZKLwIYj4csq1W0GunuRwV4T7Xo3rbgnG4FJ5TbDeYGaZFo02dZ0qf
mzY/FvSUvcttnoeBfbCX4lHS43oHYZIJgFQ+xtbM0CXAqhAl8VbCtfEap2zrQlUP9Pj9h6LMiG0O
idwoOLzBjPMmLfGfab7T0U9VTyOpgYTp4ZTTk8po7+/neXwNB1vaRbLNcVgp7BtWVeqNQKVVWynG
nn23RlOfhdvG0GlgWua8i/RWnOIS1pEoTHSFT71dtye/SN5Iq6uvGwX6wKXEQD6oPRgVL0YD4PbS
Q22lfIf1t8ekm9ucjxWx6YCvCjwMrgrWaiX8/JzZw0EC4LBGwXaj9Jyj/Sp4uizNbQWVPNGC7BDQ
+INB3wR8k6sKa/G1pKIlzpZkUGimN3qlj7fjmA2bSsqnVUaUpIrj7Jp5Qk9fPAaTNykF+IKYpCC6
uyWi7Ud7aO6CIbgNaGruo9jg5Jes9A49/KVUSmxrk+p2cN2u9eVe0T8zezuMzWwTRIGssAyBfNkM
Q2ZRlrdZn1ylGEtvh4S5F0o7DuZ6uin0abxtI5zijcHkJUPwv8lUOWIjLTe0la+zuX1LzFlgyOUo
NBQk/CLmOeaZNrhFxNG1yfec9LR1ig9e7xt/A0Y3cQZ/3yV1tjZ0uvvGgOcqIKXIIRi7oWEZYpIf
Hk25RO8lbHWFKrxYD2jst40oaJoYq2DapJVSHy7FO0Fvxnq0VrgdoCUbE2hEP9vXTahxKmzetWJW
t50uzpFeV7sqjyZPj4x+MwIQyP3a3wsVGEfUWesl3dltteahkWhnsHwwBl1qNKKHQ48ppU+7wQw2
lxqeIZ5MB6XsZhyubber47B3DSldmb1iPGqcl70Rt8W2Mz7TzTEeimU2US9SR7UX1a7nMLRJlSDd
WRR73WKNsUmhvYZ0Bp5geQiARt9x2td2SjWc9GI6SaldvgwGx3gUjA6GNXUbxVGxYq8Pt12MdYPT
06XEDVsasv101DCLuYWK0e2yaBVgw/a5y22jmXjnfz3uVn8MzoKiqSDOg91AcCeKHw4RPw6758A2
gblagoxsYzuOynhbMzYwzOiEHR4121KLQi24SZC3e9mAuCxfNuR+KWIu7xGsV79WsbZsRuZXdCO1
K3PeT+CBzgNjqcvb/UfCkPsi45+PaXboEv8zAe/fEtn/L+SsG0vW4r+XhNx9yf/lfKnbBdf6v//X
95j1yw/+gWtVP/2JWAd2/Cdk3VQ/QbggRl0Bz6KhyUDr8IcsRHwiJ01WIbPrQkUg8qcqRBGfoLIj
NQfzSpKaJRv/RBZy0SB9L6ewTFOmB2gAahUmgzHkJ9/LQvw2wNKfDIAvYbTRHWBiNKKup2vwoFX5
Rg7UTdWKb3bs35sR7kN6ahK5N4S5Iwd2os44+x4p2/LtEKvCy6nC8gl4Vty1jy2DBzctghuDcVes
qFeQkGY4zO+xrKUesM9kNVbmIw/evsJE6bCJfAtt4ggmmRWxlsWV2SPv/uf36L+9AX+4Tf9fiwTg
bvjVrbpr0i/Nv+67+pV/Tf9yv0SvRfP9HXv5+d/vWKF8oi9skvkKY0DVQQn/edMK9ZNuqaYqq5pN
Tp+lqH/etKryyTb5v21UQyYM4SU04I9kAGROSH9VxquWaZmGqv2Tu/ZHCaZBHIQwKNfpoHP7Cln+
IMGcpIks4XYO1uqQtI9TptMdJ0cNT5DOwLeN3vs6Lh/hqqLk+vPh/gv50Y86u99f1zb5fCqZuIiT
fnxY5gmqfinJwZorp3p9o9XneDGa4R3p+r9Z+5cH7/sHc/mMLCKg02BtmUL7oNfiUjIv6qdgnVpM
pawsCmAaq7P360/EN/LTq9iC1YmeN6GpH9Psmwb9OYUyn8gShCA02bAWvpJsm9jIr4ZwzA5S4a9U
fVM3Q7b79Wv/qP68XE0w1cYCybFZfJYb6fulxxi6YLaglq5HZGsrETLxkubrQu6iNdlmyqou9eK3
p//fyt7/4gtcLqaKiJbBCR/7x5fUDOiihZwG5CvDQ/dzmRrKYuJhVEZ48+tP9xdX1kTVZ/E4LB9u
WcG//3S2Ta9vkCQG3w3SG9Uf6eLPebTzGd/saQh/NhJ5D7Yk3aataf/N5/ygnf7t2jKkQ8Wr6Cob
iPbjq2PQSnhtxu4l5lo3LMWMqqMCrcVpcJsNhJqBtBGOlU8dARgzs6O2lzwF/Z82J8+2gXM2BFH8
N9fkry4/emKaaNzXqmZ+EMTOihEC/dAkSBipvTYrJukkv5ROEHXV+teX/6+ugMDPwc6qU+Eu6skf
rr9ScchOdYhxPfSmfdH7xtewsNLPeV8ZD8jyes9eUN5yTM8nOUhVJiNDw4yFtalaz307nxLFh1bw
67d10cZ/eKxtQmu5MSjsWEY/LCFNhw/N0I1gPQ/MadE+IToZZQR9HhQJpYAknVr3aTApRxIXmPqV
wxTC2QG3aBfacDUsw5eOaJ/MmSAqsYuaM5HGeVkd1E5dT7kmfK/NiI2sLf0QBdLXLBk1FyqpQK6D
7WrXQ8d5MuWMme6vP5ry8/NsMdREx0rlgtr5o/8gEeQWKQbfbh0Sq2LA5wBPEGf0WQt5OZkXofw+
4jdxrEkaR0/TAQC79sTEtRtzjs813Z7rjNEviJa+tJ+yrDERdga4jjE3TcXq1+/3p9KHmsdgCaDC
tgyNOurDVwEhA3+RYWIcSHJjn2NVzN0iz2luG3W2j8NCOTdpuBwRVbLlQi1OPfgL1lUezGJyokru
HuFxE9IYTzA8HaVieC10rcXmO6ptgMOkQbU34FiHvASN3B1Vpl0O2TF3ZTEPt/wN4an2A/LFJCx7
+wgWxS0klfTMpMIN0nwd0GxrPR/h46aCeH5FgLBxjkyQ567S0Gb89QX5ecdZQujZmgVHYP79YT3W
eqOHtaej3YJH/ZCWk7zJLTwz/5VXsdjRbKoHW/6gVS8Be/gS+JEVxM3GWyauxHX+nUPl5wKBjyL4
DIpOhW0s5cv3iy99SHQ1xuCvlMFsPSOexXOtQngKAuDa5FQsqr4BCUydq3+zqV38Az8+4DDPWLU4
sTF6Z5X78aVrvO9SGGv2KqmRPji5EQpGNDOHeHXCxovBs/+MzxsGPGbqeUsuXGm4XawyjxgtUR7A
609vmF4P1ZA1HLr9sYWFnNb3vhpL+z4U2v0sBcxLzTwPz+hEs1czlfQbrbTjW9jv/ubX39dfXEoM
INQzCpgJhdLtx88DVtSeOJzbq97QSLoJpwTNb4Kjii4ExIWHAWjKI5NR8Tdb2M/7p60ohiULTVY0
Aqs/XMex1KDklbK9wqvcrwl1sO9Kozo3SctqLsYOJqh+xGMLg04ak795cfXnnYpX52kyZUvWhP5x
905mXZd0ubZXRVJ2m5bZrevTCUNOUwrUJFV/k0oZfJcJQacUF2yn4PrXyMJQwan+tKKn+5gIH5Vi
iGlZV8nywQWYb8miMVc2XDG60xy6Srn8FmhG6XQZ2BYS9qBzwLj+9Tf4wQ63FANUOzio8KAJ8rrs
D49cQOOgD3tYO1WgivOcaMLxdTvahyD88egOteoyPrR3CGpAsYBn3I1ZXdz6dRM8/hfeisaZQVBF
8wX99K3mqUYMRsHdVCc1u29Xf+kxTTsm9LudNSvSjQhn2akQpDpVA/49gXamaHV7/ps3sixmHx5T
DjAWvRUD9wX14I+3tc23iew45I1UNQJTdTfPhrzDvhEdKMfgFxCx4hL5e5gaCR522YANjxm9l+jL
/+Zm+4s7nXAFvibTNCn45Q/7UKjRWZOo4lZVU2gPhIla8PaiYd8oOVwAPRAbEShfbBgEe0k01f7X
V+IvVn2Nb4SFkmULaeKH5xsVaCti2qer0YajBmeEDMmMTu/lVf5Ra+j/z2O3YvyyQ3RNdyjKP3iG
Lj/zR3NI/oTLkYd/Kdbx4i5NoN9D+EwOzRym6d3hAKINtNTLf/SH9KULhBdGk1W20sXh+vtJW9E/
afay6/Gka5ZKFtA/OWl/vDswHsn28s5QUvLX2h/ujjyZFT0P7NwzcHF4EXsuow5kr7++B62Pmwwv
o3AMpCJW8BXSkPrxaUwb9N4wzHMvzFFHQJ0R/jae8hFwJdnO95xa9B0tbrEeB232wqAbnsy50b/h
kPe/lJKgFT31uYcE0M7Aa6rVk6JJm7wui9uSJv95KMh3k8vymRmY74iBmWqnDraHvSb/XHWNfF/Q
rP7WlHAQA1GRu61xQBg5K+zJ2QlvGvzSaC+MEO0VLEu8Dg2bT13wd2VAGsB5WcqbmXXGM/6v+nbq
ceE788gsoYROT0eNeAdnjrT2LpZyBFFEB71PrCmVUxGRZiDW0+VHRQUpNscZKvgB9M0JQQQ5XVqJ
FVsddc7CKosn7XHDgsPb9jDstL6xdswmJ0q2YH5GuhaRNJIW1yBP+s8+EDSaasOI7NMOxbqDlwGo
vG3CXWEn6lsKzG9DrhFmH/m29Aflwcyb8k2L5vZRkwpkMxqNva1QUVmPc8nsKy05RfRjXO3MeomB
WJCyzxYNPARdIyThkKyc1/9eONpp9/Y//wc70p+9p58SPP+DfOyg+0Kjjvby1+7tyw+duj8dh6wQ
S2sIgxlDPrK+ljrmPxcPamD8axo1zLLT8Wj/sXiITzgU0WzRW2YbI+XkP1cP8xM9ZU3lgaQnLJb4
sD9SRn/vjzUf/vt7ysFP8wtkYeyw9HiWRg/Nvw+VR6eWOWGd9eQR+C1wIXTM9SdrKlwBeOgrJava
OUaPemKQle46n60M7cSw4OgSKt1dHwXlGfHAsA0tUb2ZlhGAua4sG3kr/KKvieqnG8BKpE0K4v2O
313x3z/N9+/+pwMiqjhKUAz8vHOWpo8GdDJPECwUxkDIhzF9GUZNvUtMA9MFriU8MbZdP1JYqeAF
yeAmy5I466hbT/IAyJurou94gsl9kegFIBLRuVQw0pJli1dWeWFb12SZGA8kAEX3oC4S1CQxxhss
U0sUPfAzsuzrzokzKX+eAy+XbzgT1qEj59Z0MuM4PPhqnuwwtaVk+2X6GIHTTapNE8mcqX99LT7W
w5dLQWlC4YZXFQv8jwu00ul9lprF6OmKAS2oDSFBjzKGwFI2/6Yc+thGWF6Krg0FJ4dQm5v7x5fC
K6MrLV0LjIJTvUrzUr5qJF9yVbvHGdP4YhN0+em/V5nfVhnxy2Vmlf7rjpSKL29F/f0Cs/zQH55m
8Yl+N18GMjMiB5Xlm/99hbFlhgSLofi3gODLZOuPFUb/BJZI5g+Wsxu/Urn8UZ9onxaVAwFpMosD
dcU/WWAAH3ysUOgf20xJue9UcCqWtfz5d75mEj7HSZtNYx33/j02C3JhULY3T4D9jnipIncyasJl
hXpsR3/X+/ox6wM0JJFQAJqVThLDr82zFA8JkagyfGI7Se1NM0BICgeZJ7ZqnD4mGywNgzUh4vlG
1CExmAtvKa0pJ+oZxYQdEQBqCmkVRyrungXkhAzAjBceqfFGD2qJ/BbHUfIjF3/KvWT5L7n5NsOF
QofYaKQ7iPvlI+CsfIV3hL8gdzOiDvsiubIUWrck6miOkgh8XxrFRa69l92x7tcdbqbLn6lV8DAO
Yhf5pUbsDHSIBI1PZww22FTSBrsh9lKAhVkz926VjjaNQ/6meEkJY3jSp/a9NZLRE2tY7dqa9zh0
VyrhD8vbGluUTolicE6iP9nD9DfVhS4y7bTcQhGYfI2JQOaQWw7YAss3nI+fkcbbsDHQ7CrLcS5p
JiqKYRWHxuhCKPoadrkbzDgyGlshYqqeArfKPptmHTu1CL9miGgcX4tv0LHdZ1x8iOuM3o351c9H
2Ge926Fx7L1Wr++rMngyByCscECRWWTxZ4hN75ffqezoVSpeqkUHXGjyc8W9kgX9OZjVq6nyC/Qn
rNTIYvBbpUfKSLjq4dHohLaWYgRWLeWOXrctOcfmhMgC53woP2fYMbc68QVGfhwFZVnY4UCqCWxo
Ek5yNsTOsvbf6AwegiZPVrKMWrd45QYGYJjp99bcPSsZ8EQyvoCoDQ/IiCxivl4qqx7djLOfo9nD
VyosZwBS65AgUjtq5ntlCi+SPIlzkA6yu27VtD5aXDsHN9YumrZKZUFXJD1Jk1TQoOA0IXbNe19A
SwTnKuP7U8mSRyhynDIuGBnO2Pj2YNAoZvEQuhFg5IGtajAIpfGL5somTsCRm/Jrutz3CaM/ojh0
a10UnYkx48xWJPZMjr3M1jGHoejERok1OCQVmEQV7JVJYO8Uet5RXL7LsVI5TIVrfCz6S28QGYcy
9SVVCL3JcqRkcUrwAPoL/bZotDt5ynd1SVoTkrJ4Rer0rSGjnpkwsPF9KG5X24caU4ob4rBxKvy6
tH1PhF0gEOYRdc3hCajKExSvlNDFBNnSWyyhjwyllZ1vicl6o3WSe4U+79AlvoxLGDJzgF1EYoyQ
kmyn6P4Zb/Ar8r01qcXcwhFIXuHzjWflDoAdtpt6VS36KjmNi13ZuoESDtfCf8FweaIQC+9MZZjw
MGP0MoegPPC91/iNkFbjvtS5+4kKWWKU+7nK9hgmd1FU6Fe+jxSuNrAAZT6uwjwlMbkf73NWorGU
nxVA01vLomrw++xtiIZ+ITtY+w7WOQKy4GHgXFF3oe5lOohMmrvw7UmF0wj1wHlJ9kNB4rWj0bay
B0CkYUz0cD9lpF1gxcU5cJUhBsI5y4yCL8RAOAhquoRqKYx9GWjjuurvzJ6DldwPT03ifxbktHTx
TaSlGNokFt22yBeXRPGSJ9d2PH6ejPTFngIwq4EnR2NLyg+IQikbvGFkFBQu0LzBv8cpsx6xdNj2
eg7n2plQIjQGHRlwCUHRe4bEIoYCVVnbXejKPbgzi7gzuuKWU1WATfVIN6hMxq1m1WfdAhir9T6u
tVAz+DnsKhrqtkGarZXl44nTx+qUk1bptegzdTV7AxcH7Fip7lsL/LWObitssLHqfv6A5QVlvNWe
rIgIPoPwKWELr9CyftcF39DdkHuervUpXdqlx0aNEPaqZE2DaXOUTKKPyXQzSedd2WjkwpBioFu1
Eyjt7OgifzRD1T+YEUGESRW9NLmBNNDIkaYxZG7LjnQTDnuOnUYngroyjzByqPR2320xsRZuN2Xh
LVFXviNPOJ8RE3NzskOtpW9FNm7kL/gJ4OomkoOwhJvIgueH4IJlgUCWSlcNr6Pd5AZOlI2PQtaD
qwH1tFIs/5/aoew1ldvQiFoP06SOpDm4BbqI6J0guwri/Gxa76JHra2nVg5dAyd4aBHHgRYLG9jN
pE93VZW/mvjiVbVypLbc0jc2r6ww91dJ5HsgYOejzkx4MWo2x9liRqXYyQ36+smlPOnWzKcPAaZX
Ly6DfVhO+ZoZXk0uJp+ouEqHt1I9t4OEO4I2+sEK4x2K0+muaOxnsnBRb9NJ2CyY1qSL1DNpdT6U
gAqr+WQW5wR/G/JXCygpdm3CHKjkH0ylCghDwwZXapobBRiQzRZjSmo0u97I0kd79FeW4Qo2NELf
qzs9Kkj9khkxQNBq9lOXfLZtI9/Wcv1eB2WxM9nUjQyRfDPPMCtIcVLJXN1WS2xUYq1wouRr36pe
wO/tbQw7vnxnEOgltQoTeX3cNggQnK6zNr3BRmnSsLyvzejYEA0xZfE14byWY2bhS4sJbTWrxQbS
snLVhdGuKaWTGjUbwtDeSpnoi0uRQOS8NBJdMOL7XRUM/x1A8I0T3fcrMhcMT6+s4JhDLmrlAWgq
k65hnFxIFqveV6A8VKS0QPiVPD28nXLrBhHs0UAm5Pb4uFf+qN2lOrLvxjYOLQ+yN3bBbjK6w2Lk
wOUdfk7CAbMAaQ9xZG/tsl7Pqr2aipDzTZhvUhX7MC0RLAKF/grpUNmQPymXR0gbZ9WsSrZjkzyZ
uCV8JXMLgn69et1ljbSOogyZdTN7WBf3gdk/JeRieLViP8+1hiPgXDcVm/AYeUT9XOeQH5xgaAbP
z237gbhI0AJsxdbYeIggIWL2+wpBpatcWXI9Y52mHUT4PMEGPrMkiTHlWkhq5fUq7hmBH8srggwq
efaitjS1UkKePOwuAGtqP99OXZVsRqNZjVBQ0rYQ77m8NZuQZI2hqW4H05cBSIvGi/CrejhGYccu
Jjs8Szi8HixpGPeZzPraFtdDHA47RZDq1WprtbPeYqIMHezFgABI/Zrug1y3XZw4+6iX3+UIRSYr
k2PksX/l56Fxk43KsYvnHQ/amXyz97jon5hvvMzgoJGCnMdhwAPdM+Qhz+5tNpStRHHm+TUlh1F/
g/exH7u6WXfpWIA3BqF+IZpSxvYdQ21g1sBf9Oms9jpxywpTMDan/8PdmSy3rmRZ9osQhtYBTEkQ
bEVSEtVOYGodfd9/fS7crKiMeJn1zHJagwyztCfpkmjcj5+z99qI4D9dp2dlN0i5qMwecnnFbCd6
GVJZUXEQGR2UzkNN/PZY8/0bPzHxYknFIIku/arVW+2CfdaHb4QL9tohLZMqCH2rqj3ak0VmUHaL
M3Pb62BXAX0BTEkbQG1athvMJ5mP7RoyPGkeeC/Q0etEQEB16SJCZrF/QJJ3/bKdwbnpP27y3DN3
Gm2vFLrAQ8STn5gYz03+IDLMdby4wGUGqZVwmx7HX3rORPVMFOhq5qdXTDtfukvZRW+2QiKYkTqP
8xh/EpwIE8Teuem5lNPFdrVoH75boj6D9rl0mX2Gw+rsYyd5qp10n9J3QPQLu1t2JgRxPrwMfu2g
fajVdleUlFZFEwDJB3B+ANZ7Z3eiP6MbHVaSrfqgtcxzY60/aSFOAzmjGki75JBU4gM1QUaMJtwG
kd732cDA0XDLrWotrjZRvrpXcg+Dg3SAV1j5OPEnFFw9zXPZhOJuNAjiDEShbpPwrZEEdRhmr7CO
68lB6eujCLv73tZ9QKiON3KP11FDhVVG9h7r0y0wOQWEOKHXDecOt6Gq4h0j+rC/G4LB79Np17nZ
MZs4z/GixWtzwCScbe3lrKBjpl07xvRlSkF9zhJjhZyykP9Ss0v1U5Mhty3jZSAYhlIDzWxCb52t
UW5I4CX33Fb6daYYtypQHMiqJDwRJrUmfBeqqrXIjPV8axbt2WSgxxpfrLIYC5G5FH888I1ntgx2
jcH266HF5QcadROJgwrG2NO75LMIQH/gK7mAYHXZaKORL0YEpEkWag1QlsvE6soXRyTZUG9QOqkt
bH+3Alux0L3Vyj1Spf4454ZySJEms+PqYwyf//xsRn7h6s+V6Kt2XGk57rXoE7/v21AMxzKMPqXk
WCdKtnCcVSkwHXyV/E6fKtwHfjYTFqiRCcCMqDCRymQ8q8qIJUtTD9VgfZVEFOT2fF9rwQE+qnGI
tHVL33c9K+l01FoyBhlfqBuhJZ8Wvtp1PvXdJuyJKGsHczp2cA7C5UiAjL99IObs3Ktg3gPVTMjb
UK7pCOI9LTGhK91dnSX6umlgDzpyfjJzx7mnuXXKXG6CioOVsLwPUwFuNCuL9641nogjW7kQCdQk
ne66vN1UfcGfanPN66hsVal8cV6A8zOln3/Om0BBiE5iI3P13/973cXkPA9hR1iUFu6mVlX3tskz
03d1u6m1fFHNh48lvcyymoZDM1WnErEI51BgUR2uZusQwcwhSZz0dQThk1PfQbcJ89Y9WWl9Zwwc
3eOcDDwZBMQZTTp+cFvHWch7MsEF8dMKfbvVk104DcZ0LoaEMwbhi9tZSInH27OJDeAtka9EegQH
W5ysmb5YX0w9SX7zActfuCpVB38FF0dO93jpOozdzG/2hikWexQJa/q4CdP4M2rwK9fhQ0rLonDd
m5RMDfTme4i/tXYQhOLxqvW6frEG+72A8bvi8NZgxzmFLeORgqM7+3bPCJdHB50OCPpBxWhGenaE
MDNWWi8qItKzuNSELoDs5vl21K5aMTyv1w33gsCDMTnJxOQn7U3hhBdKtJsR8FbIULmlnD5ou5zn
nM6DORAJXQPGp/gW/E/snPW4k+v2Oe8+Ao2uqIsh3woyUk6V2GCvCm5Wt+zcywoRa/x/uu4yHLF8
rhm0e5oWMZGY5E/WwYjqiNdB1VlHuib9tBux1+HKo/GJ9xG2C3qdJR9q4mtQAhkZYMXley3X2uFn
s1B8KcTgEd3tbpOR7omDbX2dOuFXOBb7LkAuRA73ixqTzzOYEAVmrV+HtoXrbp9O8UtK4bI8nMtz
iUmdk5Nsr7Azcpn7y4JIHMFZwpGsimj20QvlK51ToCXpHVnYN1fLnwokkdwZ75iqJp8qBc5/fhwM
oRxDllWJ9k7Zw0hfiiRWWBoWODYJK/WYJZnYAY3VaHMKwzHMXV0WhJqAABBEWZ3HuF9Ysrss/fzj
x5LNvHMqztw5ARJF6Mw7RbIWlhNpf4X959ooBkudbr5WzLPWfxynf26HuXzmPLqZnfFROXys5UZU
jbhpg7JeIE0VUSTrQkuNVU+CT2vbr39aZnHGn/tzfaelYzYP5hItl/hZ251Ha3yIUwmrKCPi3gSQ
/+JWyYcx1/dpNKYeKrx5lzqj9OBy2xtrwF08mLAJCOsqNmqCv0hVmn4zK9PJHnmIxVjPfuMqt2zi
WVsWyD8L9ygrSrL+S9g0g+pxiZb3l9v/ZwsYRQuFTVp4TBZqG4D7leM0V8rRnaljsJ0WOLcSDMnB
bDgYFThdVwVQFw9grdyxnDfsy/Qll9cEzYhvFdADIQYsK6uHXaZiqUVM1DdePbo3CPYfZdk8JYuV
9e87/Qa93n9XRphINE0b8iIzG1q4y3//l4aqqO2mlIFp+bjPVv0UQzEjrhvFTwIjwqXvl7dfEQ+c
OdpncP1405amYVoGt+WTKTn8u0S+LovAcm9NN/122kMxHca8ulaxta94CKOOp7JUNks7kxFCvx54
8/FfnWNDf9CD1d9/pf8msFi+EVIiHWUikzL3L8MLwAiu26J885eecDZk1O90xqzos7W1LUEbryKh
mTjo9v7v/90/TOt/E5nwD+vwNtHL6sA/jL+MMvQcXxSHIC5lXfkFIQ3Me85LG7iN0QW34myyLC+r
SDm7Z23Z8jvShLI5+rTAVrWl+8bQ+3NSjyJqnkPYhJ2e/ZhLcdPxNocyIve08Do+OOPEz6VmmCo2
GUx5f/9F/tskzOKL2JoJv1QsI72/yomNGN52OEWWTwIfnVo++bL+wYG/b5SNcOLPsq8vPPP7KuL1
taHurSrqDiI7aexRepisDhEfq6GtaxO+EhfnZYlPWIE7g97vsshN2tdssWciEF7ZE79g/LMQMk1W
06WOaQzncQL7vly+5V4CXPr8803/VzqV7U9x/sh+mr81Mf1/5nNapCX/72n05qv764ho+YV/mkWs
f2goHd0FMIsrA2XXf42ItH84zJF5+JkCIUhZ/tM/R0T/MBkDqa6LAcmBlbs8U/9nRKRY/1A1fus/
NWImuMP/Ffr2L6//ovNHVsWD6yLLXKaK/76glfbU1i0SeA+sR3BAOEHysVO100c/ce7gDGLG+zgN
G3PlJlLouJsi5flfLtf/MEpeVph/XQgWKLvDCmPaWDpYW/+yArlpyeM61nwERsde26rOQ0hz5Ujm
OI177VeVJDNqilPt/v7fhSH8l29v2RZtOTSwiFEFozrrL8t5Cy0TpmAnNyS+jXvLwEq+IuUqcdnC
uvxxntKZ8VTlsBDGsVfYpXWpEZsk7LEFjjB4c7Aui3Tub2qErXZdDXVRr4zCzZ+JjpmmdV8GzUtT
6/FGKCWLfVcxbAo74o5X6EqJd1qm4MEKKRN1RFwbxqdoJfngZhp8Rc0MgMdo9QensuenmKi7Y15Q
4JBPV7D/0was6WjK4SWRGdTAzm5ewIxo/oDQkZYKrp8vpRyCkFM7x6mVWaFLX7dtHVLtDzLsV5ZG
OKatlPmj45YDTuLKSL/NsUxAkEltPkp8qDvYQcEZqob2acJH3UyNEX84pUNkR2xNDy2dv+MENw+K
b1W7D5NhJk9kduToKWHslabQ9n0UjS9FlZgn8lWKC92xEhxtKDfCqJzfamLYBjQrp8jMuc60ePLg
AqSgeA1Jn+bII5UTKvQC5IsW+0AN8JebbgE9oAkBo2eNThE72+19G425ubM7Dh7EmdiDP/Ovq0xB
QudRFqO6zcoATSduE/W7So1aPZpWSY9JV1NfumF6H+hNfSYxt/sk9DU7mVCx9mWe2XcMO2i+QGl8
oolDs6W0G5rzRmh5fP/I8ETpFOG9MujNmi1Wy9u9HeIEXnfsCGVyl3e1NntqEjb5cE5bLRjfEmMm
kGxlTYSuBic9MMSHsIU0XnVpgWzdpHZrq34WucGwz40Q5h7Vo/IdFipJKohqO80zAE5+uVpXvquK
qtBXbYyBZjTl6U/bzdVH3QvyY2sIv+eiHqNn/N0j8zWHjL40aU2eQ7d3d4hLbQ9kqPRbWNHHIC3U
DdDZZEfyuUo0rqFTOZfKYbbYwVI5y02I4v+AgQe4AOnIN8wszYcWMhksG6U+2BrYIgtUKAQugx6C
pfeHgPive7fHxtBXdv0adLp2DElnRHOuNJRzM4Iugy4Bjbwv01LEtB9RCb5bTtPAL6tKUln60WIJ
GgwoeZHL1+yixH7rdA7R0u6d42jL4iAqxSFIUEaJpwil9yERkj6cOA0KuLH1ownnPLEaOrfPEqtO
lDkEDiLu5sjN3tlQC6h5Qn43bjs9NjHyERq6LRWbMxTVPuuG0pvHufXtiONZEBZir9ZZdyMjCLsC
DBquKmlPWUIAeVwRMlWjoj/lusNIMqy7+dYNbvk5KtIB42ibJH5PCB8TTuHGRCdc8oCrZIGSkN1M
8EXRMO5oL8R+MunZA6hRI1p1JUOYVrHNJ2KDjFfafs6pSpzyk7FqwNi7ZYqzUqPSPs51rd36hh9Y
0qeLWycdbZvZonsyBPAeuwY4QpS5+lD0avMAEMSi7Ua+L5nBFOXWXFG+/gm8Sk1nfDS50aesr0DW
NDPnCKHxABMZla1U0beP5dQ2l1QH7WWH0XyIwpzMkPJPpNYS3gpoqA6V977W00u//Ouih13REW3i
DbqGdlw28BSikcMAUt+XIYnlG/Pw/i5X1Mla5cyYN/rQDYe5EhkZ3DbZaZVhDT0tcEPAC6qyHbe2
B7NNppBGEJ+PIzlbd0kCVUnr8vQ4MLyl+SODsl81KlhyDrsBQ43EremOWKP6Zs2GcQrJmzuFmWLd
0iCW+6FQ8u+6q9kSkYXNp4IbsxDT4ucgyTtP5mRSeUkQgqCwyyr/TK1s4F4HBb2uuR44lozmSY1U
61QYEVMDqF7WZ2/O0W2AobcZx6a8g0jfXGuzBaHSJ6DJ+nyGpsWLcGSeKU+cv/qnOEtLP280Ya0q
fZ4OihkFMWaoKL2pKT/KPpQbW9fMxIsZy6tuJjCN5TJ/Y37+2NmD6ushifLRsEBJG1YLKOmZ3u6i
2jLBZ3E0xHdG6qJTSyaEjQvwaqW1neHbKX6vBMR1hS8ptC9BViL6IH1HWaWAwY3d5DgDDV1iud4d
vQoetbGJPru5sKqVllraoSyd4ZnhDKQKTFd0Kfq2JYESX9tZNE4P5iO37S+LUeKV0xKJcw54cmOb
EV1FI2Pqay8OGpSt3JhHWKvmNYBsclZEF96nTkAOHuFLFpzAQAB/N3ljq9BpjGNbKsqWPMT+Lgyh
VGUSYPRssc8PucMBFKavHxAVt9bSwWX2SDjMHfnsjLq6pDgTB2hD0UvCB8Mx+gOtSwRq7lhuRkv0
P26udY+TRsRJDwV5HZJRtbGX0DK7GoprHWBB6eNC3ss2azZC6smlymTyHCl1vHfDSt2KnKcog3OL
GqaBSOi02a1Xx2kjpnzy5p48T3KwW5hAxE59zLAMVsMgutpLcN99Oi1DlroichbsCRnGqxwSzyqt
B20zEu82Nsopt9IPkREyIGKgDfnVVDlLcgqlhcNE7KE3VSB2zmZwkWiAsIrzY0h/I12kHWxCyXsz
gRXTdM+0NHazcV1FB7W7K4vLbOrrvH0AC6eWzzoKn145oUBRsbWbJ7e5jvqzmt5odTbjlfRRrDpJ
BYDUF5GXd8dcHkqoZUFGb12hv/tWIvZrfqpynYKipL8fdFczPSj5wzLdgdhmaa2nWDqTHeCT4rOI
P5bzW/jZZTNIiXHfVbRChbohC9BLibjBINZYv128zRjr5WwkiA8NxI8JbSGTCuIyGO26MsQWzAr5
KQTMjbscoPSyzWPOt5tNzsp0HhoDhBrMrSrehEZ6r9oTOKv4GKnnRL4nAWGF9cywlCxU3Chme5nh
3bYB2ZEIduJDI0EE5egdiDfXtY1D6EBlaGsUqi9mXXN9X/X0KSX+OBUqDsXd4DJcsrgj5OMkrO7I
uif00MGgfM0BYc2l9hMyj2Mz/dHN2OOZW3UTGG79fkDalNxYvntKOP6cszFA/9iK9ewqdOUGsIOt
do1EsdJTyWP3WobCT0B+GG19NzKu6iZa6DDuhpKcNrIZUVK04Z06JI/0N4nTm9HUdOtazV6mYFrr
WnqaFPWY1Ywwm/RhIXC3Q3Mfuyov4HBhBTkSQs4ej58Hc19FO5Ns8FMJ+D/J3rOouWVZ/QJicdWb
jAyAa83BM4NcFqOR0PZ5QjH1C6ztDLeUh5VFlaGvqp515An4ch5Tt9u6cYrUDBYt0CHLrDcT0bw6
dnNMbX6ZfcaEr2bPCEoAMEV+3gHSIpFdfHcJqNRi01gU8e2wB/3yYzIRVi9hEXv25PLyCsC09aEL
RjIiVARsKLUg6wUWAZ6KPMsihf+yzA/IqC5IJutbX4vHe2PwAx726KCx04Kk3Udy2os4hAcpYWvz
NhpRdZ1IgYtz5azOx0zpvVnJ/JxOdmFZYMoIjIC9eGeyNaXS2JhN8hVWmd8prS/jmBY4OvjUAV7H
MKel0+xeYdZsA7g1jYbITHu1YfDn7lYledwahecU1gpsI+GpKsGL1dqs7fPcqSsDBYiwWBs7INDl
h8vhIzHitTqig9cFcM1LoUpyL/srH3mlVC9R/G2r32OEymEmy1JW/uCMCPfTa88ukY7Ddma8P7sl
9roeVeFE0HZ4IWRxBPZsbqOxvMsYD+gSZOzYIHZKVgaxbVFKh3lYyo0nNaBon4O1LGxPBR0tCKod
lEewqwjFVOjPNP8oOJv8RgG1ckThDcUOovDOVrcpOXsQ1ndFMIOsnLdg4lYRUPkYKwYufS7yIQl/
ZgLD3WKXwEcLf7voGb4XmM1Vx93Uj2UMJ0muzeQ1m56b9MkYAjACSJ9YI9+i1vQLWimcHvOVqT64
coCwndF2VTveJLqhiuojOQbwod9aO/PhRECkP5IrwgCLSxxUm6xYYoOhmy5LiJqujAqG0j1kWQYV
6Tojh0zW94t+r30eIxt3mbsh44oxXU4nPIXkr+0qWLUZ2c9EAa+D1PQHCn9OG5ump4kNu+ZuypLa
J4ZWYzlzfPC0lPX5qmqu4PBQliOR1n6kvAg78oDp46WDI8lRi/JyPaW/WUnUiHqs1RfNuXcx7Vk0
vplcxPm3o56C7oOYBMEMXR6VCpCks7XjzBdYz0AbBjosAgQFar8LNbRy6sbVX51so2BZW8IF4kLz
R/tKDbvrstfe2DAgC8bnHGSilhPm8F4V+5wxDvgmOE+0PV/zUVklKESG+MJQL3F3kkWCg3liHeO4
OSMfcOLoAso3Fje9nU6VCg/0rRAYO0ISKB+nxcWKcwXmIARBnm9mz2MDjc8GI9vwUAftZkCxVLMo
F7TeVHRfZQ2AMELep5MNh7dNOLUXcvDpegSqbzlCWFfh/2CZ6RkSNXlO0+Io2sibRuDKbbcG57xq
K7DmRLQGEaDNm0wfbO0hVemN/DQxieicACwuz7gIoGYwVe7ZVp4VYnOFVh9D7TbkYNyQsFfh92D8
UK2sU+JdCzImiBLQyPvMJa783zo72Qg464JZTVWuSvfWWdERo/jKNl5T0jn0zo/dO9VQDiZVD15+
lO8Dwx/dz2Y4UxJqcDHvTISKgBcnM9wIO3w0u94vQYbqChN7+UXg8ugyMaHBMKa3tPvp4mGjRdFj
Fp1GXluwt2unyVHnNYce9ezYfFWSJM5h2ii1CrJgWDfjd1gOHL8+5ppFPjyZ+llFzTVMX6ScyKBb
FYjrAFtC+03XnfoxcxwrWSIK1WYI666taN6Y1lNaWwgjnHXmJtAH0TSiXVaca1Uhc9A0H2TvNqfw
zYTL1EQnMse8Zs3BYM9Phn2gQWzmXosh3jj2z4hBS3tVB+eQsiYW+n4EtFwsyFLnN6oJfCie2vLV
dH6G4LOAQcxhHD2x5aXzHc2wanSeeu09JGmGBKeBfKJgNoBhQS/OblbxYsDHErB8LVIDkAvjhnS9
kqMFpg4v4FwxfHfit7Uuc4PoLPgYMx4XaO36bxm80qshbrea1ll233U8iLa86Om0sWHIKShBlMEg
x8E5hBGQu8/aII2pI5bJdtYamI5ONdcacoWBK8qSQzMdyUiFTFMGp3r8lbSle+UWYh2JqLJM5dss
3oP4Ievv0T8vopkVNc7OAeZozoqnarOf19+juYtDbVvN4DCNnVK9VYwC4/Gpbedty8lFNBSvndhC
Ou9TjnfYp0ziayhEM+tLtd/N6DSPhJcgvB1dot81aiU+Trjuxjs91zcUUKREv9nWlwNaunNdL2AB
0VmWolAAX3tI52elgTXcxWRZ19SjYyMGuEl4WyhY0DbSWpPVQ6zS/6lJhlmOYBUno0pcM4VIOYEk
TY7eLG9pg/PNUc/QutHFEaJsFJ6mK08GHopISzd68WY3P3Va3adptZqRQ8ZKvZ8pWzJ3Lxwuqhn6
Up7C+qExThl9rbT9LEkQzsxhF8cPLnpOG6UmrL6XMX2XUKvz+dHq9Evvtl7F4LOlzRGjlikYlSIC
2aT6vCEvayXs+JCnr8D472BUMMR97qqLG2m+Cj25VLF2f+eV8RIW9StseuRKW3iw67lhcthkd7Ha
eQV0vfARyRjE4c0woY4/SCoMgHWI1CjdsaCz6QD1hJofHyEC3snoEUg/l9xm7u5+WcFI5gUQZFQx
A1EV2b0CSs0q5n0YQyTcmzKgq8fwXVeR8sXnvi38wtLOVVpcSdtZ18J+GmJzpTWCwS/Kyq6h2Cf7
qQZ1DsUfDqfn5IGPOQB2X+cNU3tPNe9LnTUefHM6mRu3dFacbN4ZVPoRVnevV6NnkQRfWvWSOWdw
bqug/RqR9+Xf9hxsBwcxnR4tYRP2u5bso2L4wGZ4KIZ5S2NxVc7ibgIDGc/aEUIzVX4UbDvIf7QI
dooQpxwl26CyZ6a2V0W98PR2PtCbOpAZsXflNUeqRZryybAwFUbFOSVOh2qcqtu55UWzTUW8wzJ8
MFDhIt7bDxmx7+7kIzDeqdrJbnr+8xKz2a8MZcDNiBMiRKRmzl7KVtnUnxXDwpC3Wxp3DueXXj3X
M/cIZYemgPllim6zmpZ5c6iaZIP3YeVq884KUw9cNBkLPmo65qOUwgloxeyBknMs3ENq2pvOXOzZ
sG/YkrtqTYCDDxteghirvMHFgzB3b235LRQOK26Bwt1q0dyRYOm1GK3JDBXwe83dHPMq6ldF+2ra
bTPDfIlzJF+Vn0+CNRfCBswcICCgZ521uTCQMzC0hr2t0G27tKLqApQyB4N65BAm+g0c6i2D+s2k
sSN3HdDW6ZxZpRegyQtdfk8X+9bsPZxeJxoWL6acrxV50+tQA909jc+T9oOszV0zEXY9t+zuEHCe
6WWSGP6OpnqVZWwhvXPpW/ndFcMW/f9Dj46J957Kt/PL+EUwYFzLIb6RE7osh81H1qAUMCblZ+ZI
6XKDgtp+6jMOjpqEm2vlLMcTueayCG9EBtX2czwRF9ZeIi3eDrCK9eArq9UnXcN9lWYFSgGTFAbq
yA8M/tYFAS/3srLHXTLNv7EibpYSQlR9w9G+qcVXyiFRn/R0XdV426ZUPWVY6dPCvi/TkUC4BNi+
sQeFZC1nrdJFtNfvg5GvUbeLsgSo5YRegMbm1m2Q0UU2nao05hwPvRLZ3pzpb1ZufA6QcTsT7XHT
th6lzDULrYOrJepO0d5xmxHQEx3HGRGsGH0Vz/Zm0Ln+4XxNiExKpVgX0l1NESNvrTwEffwqyujN
bCnaUCbPLkLwxEKZw06ooVYHWURkSAKpINo1nfEdtYgvI4n2H2VoVCN+moc7q1RQTc7fEWWT1bqH
vCm+4wKRbfIu7JGHSOwqqXp5HZzRoN/VTKeG4Urqzn2sVLvKOI0sePVxRL0X8nbnkwmmK1uj1ju3
8tPpso1efXemfhJ2v9YLpGMOoQyWs1OHj9EC302tOLNws6nch9TRtnIx8+pQkJsyxs6KRua+kt13
FpS7iSOSPtbHOIjuokqgJw8PzuSc3LFAcWW05SEvOuqPvovWdYGoKh0QPgyRT8HiB7yZSaX2yFlK
xOnWgdSTeD0ps1/b2gVDoSSbh/NvERrh1nYI9IqZWPN5davfkCp/dBg4+IoUr6SE7NqWrtBqtCP6
OXnY8lBn+SegJ+3RwHRDv8M8VEk/EHVUV5VXtpI8nqG+GESEfCOQQqQduh961sbneSrS747G2S52
TJTvGbMLkbTfhaWw5Yb1fSPaPXoYY52MUTk86Tn5iFaJHqTMDJOOJquBakzdFvy3wq+H4VMHF5GX
uv8ZLYK4OPRbxQkjjnE247h4JIXYvXaJ4rzpSVls1ZnYIERm9kcV6M+dqHy7zC7BpPpLsAqSpYDS
tZ+UPWJa4g7TngAGenvNWsWtRkoGnCZSkR5RLhuXxrbio1Y64FLd6qpH47SS8SLqzYvH0ESJzOtS
efYcnWsZvNEw4+U2VQDSZGYRo0ByT+8i3qi6eK04ElNqQn+mTdRxY0x2Qa8H/Jqh28FamDkqgnwz
mMQtajiHwlwgSJ84Mk4EuSEDGw+WMVwS4RybqDPh3GjzZ+kuDSeZHIDrPIue4IdElg0zKqd/JCLC
ABNDZaLjSFgHFdGHTcxWO5BQENEzKfW0OUVpOm27OKKnUYwn4XSPxli/59n8jV1NEELU7hISL2Rc
XCJbeEXcVvcmCXh04sJh7c5qguwT90Ip4v2EltWr5nh67YnEJuwkXDCxi54b2/OmFzEnPrckFydl
80k4aPhaanqO0RUod8ZdIGY/1mpxHMaas94kypWa9g8w4u4Sds56CB4zU7wA5j1nU7gZoY7XJOKB
R3dwlrGXVo3NCmXgzXeDxVSv7kqO8hBHfno1iWkwMmKpZ47/qpieOkWHsD7pLcp4jth1c+xFxNKl
bezOPpdOeVURK22mErFm7BAg4Sgt+wNQl+1AwKCXtPV3glOFS1n3Xhln322lPjl2UG9QLJHFwtXP
Ymmj2DJJfXTRZOXFyQ35YTdKbb+U0b0dOncpS1Gk0oppE3k0baYLZMsZXpfHw7FrxIL+idVHp47R
nTuENqh1DzVlysqLIjDFtJwyPWQrJKjlRUEXenl0EkbCtM4bMqemDaMLjZTsCr3HnLDyM82bZqR6
+gRwt8LDg7xbizynzOnqoXGGwVCt1B65kdHN+caipW+nnATHNP4eBz0vdgTgmc+WS6LHUGJdvi9g
WVfrquij9zrHEkiRYRI4iZzLmXxDZGQKhELSgtZ6wSktM+OfWh0tmhphWj0C0zXzk1aOxs4cNPce
VSHhQnYpWWuItRycD7fklECl5Up7k3a5oD1Mh//S1HPn5ZIJOLLg/G3xa4HuRhVXzGXh6zSrCdms
yZChbOEU5M1sgXS5WuLvcGzx/vbCiI5OvOx6y+AwfsdZgpXOZSy2G53lTD1gH/cspFl4NoCn9h2V
EhOxY2KmHSVZ9Vyn5WHCwVPlyaNm1QPPu2iPZeLyIgTJI3rcX5GbnjZhfkzEfq7GzZiwqUV5fjbr
/MTB9qwk4zURHejt6qMcyqslmUOMxZF5GlrZLtwwUN5Gxehzm3/RKt/Ic1gaA/LVSUfUajXGFBdo
EEbA/k3y/XslfelVuTysvqU3G1P9JnrgW1jhkaQTHFky3Le2VFahqme+mqBuZ6l1PUE/u1jA7yJL
JKthfiib9IqbghOMsSEFgSipwdcwZDjTr2Zlu0TRrklscATDrylF+4yRfjj12DV2oBG+4tb6IHDm
RS8lGwhhdW6tHxkfrcyFjRc1b21ifoxtdxib5JwrXfeRxFF6ldgsiYi1e53jA06OnHNSUo+vlm7X
9aaxHf4auX8TT3fr7GI6xgdlwdkNemGtx8k6GtPkR3Oe0v5nahYV2uOE6m1djvlXAQQB6QF/VNjz
OsWQ5TuyuzACq1YjwLezyzJ1rrLFrOmQ7PYY036gZxy7ygFGz91c1bvRTH6dmLR0V0FZH0QnNW7E
I32QwteqTuBjWkxVEO5QNNpXaBAdDos6vShDDX6vnLa1o7/bbeUtWUEOhwub8RFyNGqnkE/ZqZ+u
PYTo/rI3yqpr7NjTSk+0aW9Xzrk1x209/cQ1vaSiM7yhLk957Z7Noj9jz9zDTxUeduDew8zqEXXL
ahCc3YHnup3sx0qJL80Q+qNevjvEpF8zLbaSfUg0KKfD5gOrC5Lcpi1Dn0Dhx7LVniW2mdU0y94r
gppA47LpVg3RHssvze9GPDXknUd0LeOwe8mTchd2Q7FPLQJvgyyADB/j4Krxkyk9EU9FxoUgIsTX
BXJ6h9Y0AyGxJG3Fb2rU0FQnvrExj4YbgmLQkxoy/jA/G5nefddGifMmLLsNB/p94Rh3QQBeXOiq
J3t7F7QmI+/0aaDwycb5OPwHR+ex3SgSheEn4hxy2AoQyrIlOW44Dm1yDgU8/XzMrmfG47YlUXXv
H9VnZXgOAdI0Sb4JykgI7vCtNn0Ccdw1ln2Xm2FFp8tI3pULomWiE2lj5bzAu8BdPa7TP5TO1sCY
e4/Jz6EHYO2sIytiM1WrqwG+2re5T2m3vVPFOLiEyyLdyCivmKUvuxysl8yOnkejvNUJljZHn7aD
EsLUDFtzUnyC3f0R9bCVcdmJ4dpL1ScrJedvsY9hh8uJltEK1g6/nQn6OaR7fCjPevnC0YhxBkHf
iF4Fe6CzR9u6c/RS3oxJdm3r5pig39Mnc+9MdsDE+VwCM8756IliOiUy1TusUAJVuGTSMJmAoaTt
FRsLwFX12k3Jlk4CZMjHvIW96NXbENdHVNbMmnV4ROGLVajfyt1y6iadI3bamSM1obbxMYTjpqhP
RgGw0EhukeqeoYye6kAyJcuGmF9KcwiDrQLJ/JTt7J3TeJuacEXyhIrxhQTHiw7JXb4QOkcJNkOw
vaX4YDOnM5qaXcn+bFAdoIgvW/5IHT9Z3vL2o1cf8MYUXIT5weGuFjM2RHoFm93AXKxToNjSNd7T
GNjpuHIp9kkh5trvqkTti+aqKT0cmNesehk56grnn24aAXUnGwdrpy32okMJw4aartCH8znW6haz
pksOvG1dLP000IAx3BR1L8F7cmiIHJeC7TnaEQ7LAa+L2/fG/miX5zHCVzqCf421P8fvpPz1Rhto
DBnI2TZ284v1nsf1uZJfsPrzwaDfNjUOetUeJF7rthsYj+40KNlrLUGacKntMxpvjfZLdx6GKGmD
AR7KDFeJeVgL5tW887MYn//d0F5kjY0Ooy/wTH43yPsezg3ls8OMgenJdBRarhPcYdvV2UYlhyvp
CgmdJIVqBDHpPFH3LqFuq28RvftD9ibUa1+Jba4dRgo8WpsdJ30PMwmJ+2/OOKDB98vduU52Emj8
2pFXUc0+r2685cuRnyBoAmlii95HAHJ2fDDh/PS/ytk7QOjd+Gd1AUrC3apxVnhVMnnbME/mbgYS
UsiyJ0Tp10A59iWNSGpqM8+O9lnu2qKhEAxIC8yMCYs3txK/1YTyzP6I0+/RZKSHEaYwqciPEdID
leg3OgSj8Q4YTZU4UDdkmy5AQwd04ELxEpRHVjGAy3S+BQ/W85uAJmyKhvSnj3biWXUkrwbn1RLQ
ItC3kW1wXRTKnIg7Po7Zpzrah4RwgmieCIwFx6aNe9Z2tIQkBhFQuyaFnob9xX4vskdnvmrZJUcv
Zr7ac1AufMQYYzC7DDovHaUnjtjoGLa7IflrgPR7Hvc+Rib8Xs7fC4cI1Z1ELQdaehicoDK/Esk8
EDrDY7BTxOCp2kusHwcMfH1Ms/HwRHfjFmwY+JRiOFxf03yNNfIo2oBS+tosXo3mzNCzVQjvLTEM
4W4EZ06ZlbdZp3EMKJtG6qkv+qYvyZ0XFWxRcwuz3eb5OZyz/WC/2o72hBgCly1CAjc19YNjfFDy
rNXKs0xFHG329aJeunH0FawMlfojV4VrkeWYymnQW66Gl1lD+6YihPTKfjoTKonvZ+ZQLXMg62oc
z3KjHvpl9GNzhWO7vcaEjv7xzEbjzbHY5QJCeeLoaJbqOOr9Ab+L2Bdtc6chA382oo9qfcgpB40/
GZycWdsTpezasJVqFpAs6qrWTyqaHVCjNDMSYpLIQtwFAiQnVjrfSW3yFgFA1ulk65jMXHD6xEA8
FXTc5hyiohyCmq7DIZ59HmV/WctsUKd0BvWr9vcKfSvEqnCKt905IobElnei+gKQPOj2QeUky5iR
VOMppxGKuLFe/rKmT0WUd80iG8JQt+2q/6KKQk+srRJih2CEV4oPhw8nMjM3T0YvdvpAsWeP0mpC
Ciyua8stcj6Z+YvRvTnO9FRzLPDiYDMml3xIvbXHr4Nf6Gp4CJ0GetHCLs4uSYZEdsL/5MbTMH+3
XeatlfNx1+2URIPShiCcuktMRVgVtOKJShviCWyMaCVejNxmg7pXGBIzDtkWfFuZHJT5vJ2i3AJX
4PXExUGFe62e1J595FXIzxllQmyj9BXtsw5po67xY/it9tWlaEzI0y0El6L80w07Kfswl9MEc1be
eRKLftxXRcR79zZkr71Zb51OcqPk3EMlhcDdDZZi53uUvp31+YaTrt6k0qYwdvCW9FlAfE/GizX5
+oxBSUufuuZTwekTO2j25WOjBRNAeE/lljwtXmfd9GjYNOU2bvcNupsyJ80jAsL8FMpbQ6JIyikb
chLMTwuWKkf6lDHYCuURS78aPnZkcR1NSQsKpXmbj+aO9GQXc54XUThVV8OBbFiCxzEXN55s/RrR
nuUQmj9ooNMrKNAe1Z/WBC21NYZziZOt3NwaEG9jwluyT9u3Mrd8aYKPbn9DyrNa4FvD6j0UOSxk
m0ralilAOF3yUA2Z8gABRhUYY9QuuGp4CcLzmOP3h3utWcgVM9uPA12eiQZmpuO6lNHEfDQwDKZk
UC11VPihQuNmxrDukLx/ZYxKotip3VuWPYfKJe4BsfpvW36TANkItnkinnorFVG4K0yyMliyK7l7
x+X3FDJwTlHo5owHiNByN6lUnjRrR7ro3bSFAmm7RU3vDlV2K+N0O0MB2bkUiJkkjFDyMo1T/t6W
xNu+xl2xadttOT6NyaFQSEptPrrlxdJuufHa41WTf/X4rKynbv855RM+sZ/UKhAIfZhNiXrFS1WU
OqRUm6w33NAiO9FLO4agkwpO/hdRot4p4mAWKa/n1Vnu3CRuO1zqRt2QcP/QIhwfJlKDvkTgsEet
4I4WKWxPZusnvBedij5cbXaFY0BYXLL0qdJ/Fo2WsMIlPQrWpyDTTHMj2QQT4WaufCNtN5OteutM
UWNp1Ui51gWH+m8pv479U4G/ZLiO0k+RIeD7pxP/ULfX0bJ9Yg0X/VzVN3u5CXhekGAdAgrc3U1/
2O5c0553AJpsVJxMNGYbHD29tygKPPOzSQUde77BI3PUcXk79fhElYPX2TJKvAuDgpKeciuwlW2Z
Ny5trnV2mMznkTZDMlJYZ7ZD9mvVL418UAUoYejSoPpazJ+5NGxV9Rngw4TFI6S1bFNvoJyrDH+l
5kw/z6aLD10o3ev2WA3O2v5GhhOW7WxLYOOm56rqjHynETQ8D1+dSip80r8t8AeFdjJqpDvOtdUm
l7A8L25IrgSU6NKKI+8YJkVQFogTJb9bmw3NnqQXdidHDpY+wlBP0xXdu+GS+Kr5WGVCStApaHOx
IhQMsjn9EkL2ZhC0IgajHLtDjDTRMJ7s9DyZv11HvKMl4fYr/GJQ2RBbRoRfR522E/ok8leQ4jLd
3hvQ84EmT2B3jMTra6ihvbvp2qtuAVGZW9W+IO3nGEgaSGHiYlDjEGwU9DKr8lviRPs0Gd21PQrS
oqwPwLBupF9xm3tcOuwhjKDNoWVopQPRHQUPcpcxqD/MCGNsTvhQfcmSS8OINpqk+0STqxuBlmA8
JoooElyWPUEZEJPOfpAOkfpGWEtjk5Pfb1r50zE6b1BfGrar5ZM5vEUUab9wwqYsmeb0O1Am4ES7
ODr0A62DhAxYe6Q56D1dFWlPu3xYWU9UJpaOas3O2Bb2WYVgj0bmaTWD4p42UbMz08a1kDrzaO/0
egI0ukvEmKihV8l0idTvA/HvRP5fzVZ9z6rzItPMoWjboXEORmJuZdXv20+p4cQVxtEY+S4SOkgj
JKlwntB+o06G2hvxSZVoOlo6I3EFbGO128US40U+fKXFRHU7nZ6lXOHWTjK/0GW/B2M1UB2aYElE
je5lW/w2IcqOOaVXKxbPOTXiYqHlb6HX0iuTlPwgvfoQpa4yk9KEaQED+6ljUKzgdC8G+R0b9ud9
085h6OltwVSRND+EftPQOy23ooiRNMR/qa5cJrOsntG8SbultE+hld/MAvikoLl7QhAwqWtvd06/
t1zcllI6z6XJtUW0a6Zo+2Qxd47ZugadtgnPQFwVXrc4r2J2TqCudsf5lqCywnlpw21JsR1AL3BE
4RAWFeLJqThISBQhyiAHRUCMmkcB5aHs7Y1cHPMch3ujUPJZKjj1Y+ef1XZB5xTbMO/PLfUzbddc
kirfAULtO54TApzeDNu8GWs0alc8OQqjGd140Mn+bKCwISFBFKzw0aRxwS8125Y2e4NhPYqEc1Ll
VUf1gsbK+ad11aGXqY+vl88+EzdllIgnQmK22Lj8E7eHVrZ5CjV+Aaf2SL3AFRwUJdf0tc8+jAJF
Z+2mvA/hQIcyk3CW0rkwarB/+z7eztNhFrlXLFEgYtPTK/1LTilxDxO/N4862QXJusvj64UEYcrD
8kmpLidMm+5SsrPsMfQA+HJ1m8sYfEC+F9j6zQRDsxoRuscCGr6abhsiv6sQ50L/x80IQUMnaqXi
eWg5/WEp7U9k8COqPG6tuTeg9926fmox21SURvM3HtkFJOJwY2rgaWJuOJGrg7KQsPaJyFGeL+hR
DPvLIHgo+uuaQyFeSTyah0tnnClrreKzWPZoNZvsUQNxzoFDckDcNUEOwoS8oh2uef8ekjPSr0TT
FhSsLw8xFS3iVnJ8Rbdh3KkhUSBeVVzN8Cz/FujU5mehbhEUCnOX2KeuO8YIaCxO/JSOao/zpTOe
aUJw+dHsecPIQ+gXWVybZT6hC4HZW8wD4EJYbKP8OWF8bY5dtp/Hmyy+m+aCK5h5kKXQ+clx1yP4
NzN6JZffWkFnnN1G7ZmPLLSpqj6sgU5VIDuezL7yVMWrP/lXdRYM/TqKZunnJF5K7SDH6I2DjA3Y
bFqUbnyoGfQfrUN/6qc2eFQgI2SVxrs2fGnFzxBflopvwKLT+0tK1I/izX/CeCjOyzISUMCAynk/
qKBRexPVk+P8qfquqnaldmdFLwqWqG1hGT6pQ0700amXuvjXdoBoHyXxZ6NMvqeOqGZfhl8Dotz0
F99Hrt8JMchDX04Qi4onynRMwrWcL60kKYn0icodaTmkl8A1KlKrpj87IZmoRBRAsYhGrDLaOk27
6ay2SqNCdipMj75KRg4CHYG+Bd3cXLoJSmqSgoz8rBioXE9h6nWviLGcCWXBV0X7QN9tzH4HcqJW
FxzRi7Q3cv5f9quJG3iTZvB4/dEZFJc6IzS87KQZBB2yj/KXFUrItae0O1KkKFeVm7eFCTK/x+AG
gsWM6MU1u+LTslynvwgi8MbiM9VW4fKzTUm6fG7EJqt/40TiwNp19i+/lpo+SylhgHuz2jvNp9Zd
BvkiE32S81elflc/WfU5kXTc75+gNHb/jhOjQicmAVSfSbFw4Ayw88UcBWUHKHBEeTAuNpI8IoZ8
gBlpuJrlMxcGfAxCXc223MY5hwzg/6AxjhqU61D6ayzhIjsAzo8mhjhlrrCXvV4chpQjU/0Eh8AN
sVg7ZCTLekvXz4biKSq0wa4xrxJwsBYeCqvaSM5LZ35o4AatcZjwMdBMJN8IDrJbhDqEpLGViJNa
vEccfbNNbNg2FMdF/lyMx9JfU1QcgHLZri+CHGkmboRNn59z555riDSY5vhnMJJUPWcpQEzrWYgb
0YMMO6cD7VNolN0Z+hY6Vs5PSnZgyrHCU4Egr0pPIciMTSacF09BGf7VcKM1CnikqI75M9rIw1nR
w49qLoI2at0+dwnLwLLopf17VX8QnYQS/KSM35LQkdmcMhRNxvhRKMSebC3sc+tRg7d+/sM3H5fn
Et5Y+01ZU6Z6X8nUeLe+Zm/x1YQENwF+umrzLM/3eOajnVQuDk8w6n889hMN8+2vzmAet48JdWif
j1gBjhnwcvKRQP0CD3T5Z2P5cJLluqz6xkkuAexeK7vGtYAfCVwnczYa6jyVrAmU2as7hnZSc8Jh
sNPDHYIO8hpb1PyARW3yXo9XYkLEOSXeJbxamblp62NiBmhvMy6Pqr1nmp9C0VJqWpyRt1XCX4WC
7VbRUMNc6u6M3cvLMpVlZNeLPyJjNs15ZPnMMBnaHdXL8w9dDNw2lVfQe9pGs0tRstozmZCtCHiW
+3FHMJThAb8YWEpkOkljnkuuhDcnPcC1GOOp0HkuzcDQn9iFddyrS2AjHRFI04x9ZfCKKOdY2ZFt
YLFJW8ZbvKbZ1DsjRWqMxln0T9n8HSIr6ggDwq+/FROhH83kxcUaIlQhQKyeOlt4TWE8t7Z4WwDI
arqDiK32W3REYw9wPa4JrkbGF1uImTWCCPWr2cd0khnazs6bg0VEvZgGPyLAQmvLw+yAgeGt+cGD
c8yN+uwUsWcMR2wrgkhLuGTEC9QV+6hWEBORoRTtOtB/HSq+4jOnNbvclPaZY4WbYSn8rhi2cRQ+
OpRT1IdRCFJ6Co2809DuCtzAMgkcTce8Ck1OaijwPVF0g7KBFn9VNeNfWKibdD7FhquipXEQdw2p
cs/TmMbsaM3PB81Nhdfn3I9UWafOQQXYrw0AiMjc9kYJM/Jm2aGXcP5lnN62mZ0tSxwgHrdlqQRl
Ntzm9COU3xF8XVOQFiLBkU3XjCzdrozlswloreR7TQgECWDv1U1egxNtODEiqkPhMsuik3+XwyBa
DpLMOUz0fpJcImqlSs32ow76hAK+0F20f6yBWVccE87PgufcNHIvkj/l4neRbd8AXJzR4U7Sg6RN
ai8XxH7LseVpGiwkoWkWyNSECDP9joss0OtjJP8sDI9ErHPfyF6dhE9mIZGPayC3tNCwHoTC0aeS
AGv9G9P6pQWNmRdzz+Djq73saeJDbRUC/LatJJAwwoOS9TkmBblT9oZcv12tI+mRYZXIT7sbqfjB
xLqjuMZ1ZGBHp8k9SUWdFzU9OwxCLke91bp9s6f6rbO7w2TQTjTI5y5aSLFMXK08iQ5tnq5RPZQQ
ChosmQgMooewKG/nunCnxtg2OErlprx0WvZvgkOiT+/QCzmo2E0l5UaxwTahu6h5TupboaCnnyuo
nfIax4OXISpazK/YHqiR/9Q785SVlDljOMBkHjTljIlh2RdsIw4xTKNDemC2Dq0y/SsL8W5OMKGp
yDLtmIuWxSfHyqucMnJ9EjoZcUJvBt3wq2Y1iAD8KUiF2f1xDgbwf+6yhHSqsZmRSPEtEU2oG0XA
F1wz47WLjd3QwRj2wkeXgSI0JlaM6Vs8+HRZ9T9EhiYINVGVPAEkACO3dYabrf4oVYg6gNXaicP9
HPMAGcoGgpgBL3IRfYf4f5OtrukbCD1s88QO5oMrMz1PFraJWFG/Y0TrTYODo7U2cwnDBUxZYquA
0+6dR2i5kfUoec/R1QcYE495XD6bGfkyrMNlgx2UHjja7F1VfFBzP8v7pa79vCHIDKbBcrazHblS
yIRWMw2kl1mq0TJZATlgu0ggAdRe9PY40y/MgaezE2Y6eIIMfTGlwGswMBkcCHGp2wjOCIdwl8o7
WYZhBdCp7Xe9CZ/oRSO5USDfBZBVKMceYIVIngtXqbxD86EDC4pLa4zkV6My3XwAMBi/pOZW5a/W
0G7VsDqkiu5pHZ/8uvVVo/GbNUBU1z7K0rqrDpyX4JSLrC8zYdeumPQjHcwxCwRHc4a0Ph4LXzRR
kMlJkEvxWdegSlKW56yJX2tZP6xrqpmfNfWhLaDPXB06WTN2OL4a8wetFx7la8CC13FM0OifSpHu
h5F8gjXQgJqcnYYK34rNiTBc4Zu8lWlWeyNDbD8owaK+2An/zTSMR1azDIA6EBZN8payQ0EO0AGU
XeF7oIbxSVTau6wDRCDOCaZ+3OWkoQiMD3QFYH38VOf4UHMoWkwQwPhMsNHOimUaSYw1qcvTSucc
p8nWTgj7VTreULHDe81E7JzzCtZCoDJC+pGKdua/zfAa2d4cFH/m7yIXEEQc9s40wSF61xznrV70
YAvxx5JZqNisu2JaO1PiDLeciS8YN9ME7DcNWNMVt6zqZ2GEKHUkNND8BGHGThZ/6Ln8HonwhaAQ
lxDFvaNET4vNrr/Q3h7p3bUj9jOHvrAhx6KmOLe1eVI4frqEmcNAOMm7OsfRWZLTvQA5MsPlrGj9
PQZzxM0TqMQxyWEcqLFyHaow6FCz6Z26TyPCu5f4ONYwnzEzRUfujM0jVvxQcLwRsc0v256Tsr2E
Fmm0RJjLNg8YeWgiYlgYiCV2NkgCd4YC/WdH2xrqblqTD3Wd4PSnFLNkVcznOW0Pphm/0Phzak3M
tZ2gf4InJCatboCvlPC1ZMup4EYthl3bc1kmN21ugrAlWRlDvDEHCzTv3PJ8CfIJsXOFYg6sMfa4
356MMgz0vj8ZuNum8iNaYkD7gsGmIBgM9YUTeyO0SAlfY6bzhS8/9Xr2UGyVIB1rUzkGt4G8VeLJ
7xZctGUGyBkdrPLSkiwUm+G2rJVDsnRskzryUF3ALfRJutcz61siQkwI5stq7B+6MgRLI930BjyF
hvR31eDgmIk0cg09UQI150/gYIgUagINu3n8qftm9CS9ZmLWyr8hG9dGtAFgXkcHYds1mh7kzlap
J/+0aqwPgInKwSkN6S5ns/LcWetFZ0ACWAmzgAZoVqFEVa2zJkmLL42wnVIyf5UaOhoW91r76eTV
oyobr3mWXxO5RULsREysEkSjGFgCK7yWuURafV1qkjcM7Qf1xJdhdkZgQYYOp/5xqhntKxG8pIvL
ZGlKFIHGOfa0GYJLIj01kOLMOvSQRjTm6G45gtGaC8IYVWIw79PRht0Kv42p+elsc6elBBoyQbXx
cJhbx9xEnf2WptkFSM+Ne+zIVvIR5UoQQ5R3pvSwQ9De0FIyvxfpjVogaCAslFaXn4QWWOFr39d+
WP5qDRx/58kY6TVCtEep9ST68WzuygnJgNEwXszpWVgLToX4c/34zhMm9WqNupy8hjTCKUViUzp+
kf4bJ9UrpnbnzA+1bp6UbHjumq/YemQKkXAtGgjMjJaZ3Kku3NAiS772wWgOM+F6kvmnqDsZdSy5
xbrxWdBtOVbDQ0XeqxiPTpkZbv14+ksWDmCcvH0dqOnIszrFDQl7zIfLQogMM+pTlrS7uhZ+QTwp
89/8h/odSOZL2Mm9UM66fihkNJ5MchUizkXrj8sIYZynPpUVxJHcHQeLcOJH+Fhm28KR9za0aJTb
l6p9Dkd/bt6lWMfwgYg7P+Zqj1GE3j7ZTeZDhj4h5CzakujsSpaGcvDXKejhe8g8DFm0l9KVW2xu
oxJfoY7O6hSetL57m6YjUe8YC/JA/z9us3El4xomHI/8Wob+HluNP3VtYMmA8aV46AwGQ+LAPnDf
gm/QrXvGSIW19bme0i+V4yPH5zNlMP+MZtjxn+kBZWtFVNsYmxnT2DLdTWYspM449WArIfSCznxH
nOpN49qj+mlF21l9icwvuzkaaupmrbSRQYvC/HUpFziPvbIwebENh2Hlxb31KuVtkJp4nkE1BwsE
hLT4uOdoG028qK2GgPEeCSKTO3U3ldAtYfgY8PxbnNdFLh0NB2Qa80sdRVtZlKeF1NMEc0w7op7i
BJsX6VqwQCj4tsejxLQcq/dceg/1t3F1Bj0niwoaDBKSuHmBadri58DKvx7YylQzA/N2NV+zKN9b
hBEUNkIUf2RV/AGYfYw6qP1aLgNbymYeA/M+GcLvMVYRS/TVZ9Pf5PQ4xLQ9S5TPN3kKUV1vi7kF
NqvDt3k0vzPu+s2g9X+C7c3KKbOxSi3z65Ucpzb0LVZ5Wy/9oJL2MVMYClWtdPKZGGNWke46o6No
W+ngLFB4Em7ZkWnQllHiY73DTrxZxaZlcVqy4txX+l0ClJicNZam2IqxOfdlRR1Jd0pDyiwY7Wfp
Q3LQD2dQeU9C/pdzOo/jvwwHe7G86qD8g3U2MuO5N6j4VSVefoDQTawnrFTZuaMtQOliMKUfFXWR
EEx0ZpzDPbfFQwN7LG385OO0lzEN8fQRnwrfw/AyMvgP4DwpcOZcTQeLFcWJVC5YpEHVmoS7MZMn
y5iuZd/eS02DvwTbtUnsN4lcGPrUaxTj1FbA6AxJM3ADH1u9HQ6Ikw7R6KCuKrdNj0yBZzQR6ZHG
0XfSlN4j+GwamrFV12RMWEciPwKBLcCKiXxJoyBkuG0qnnTkXVUa89TsBCtOVchBVFBGB8BQqQCA
dSaITIrAdaUHvub3yQTUVBd4L6S0I7kWy3tlpW+V0zyHLb9SYw6vjcUtAssQw8bZDzS1lzpZVxT6
H7ah0aRBx666rpoXQ3WwqDvZz7QU70OoMpwtj8nJ3G4xhTd0WeXO2aCdFR2nkyjam9nbr4ukXYTV
RLuBbCK/y8QH9oZVkbO1y/JfVHbAzwuYo8SYm4fI0WIB20BY0VUhzitQGtAlbaq/s8HpN2PLEq8s
2U12prdC6LfJXMMLWi2Q2jYYisxf+z4u9VQ8hT1G2FhzXgdFdp6s0nzRs+InS4FFikx0sMpQ/Rrp
a64iXiqQb044Oqh8Af4+fKek8/Yd5rE+t3ZoJ3Ecx4dQx7OHPj+16DeBpneWFzSuJ4pjkXmsdZ18
4udjxS+DrLtox5tOfHAEiQbiKpOwrMBvdP0OOzipKwuHm5SDNlSuM1QfXV9eovxLALD2c3qYqBTg
WCzSdAa/D4PExhELa9JIZkt2bLxLpgLRkxG0OqChnRUYIoj1UDp3RvvNsrdxIOccNdrXdeY3ahIo
tXPsWvlWgpXVsXgPHVJVna9sJKAs7LG/Vvu2hHIHm9LUiW/B2MKf24lAKhH+Le38k8jBvBTnEq/J
yJamNZwX11rleSTfEaJQA+7FXKH8ZLlyTgmB37RDshu7XyTLTc6hXGSesNotPX+wKOh9JXFVCjIA
YvphbN05Ld0jJ0KjQSvcNilR+OFr1iW7JNaJxiTgg89JX66xGTYbjXyMcfyWyA7IpsF8Fbs5wQSU
hgAVRMdRvirw6qIGeB/WIGWAQB5TeCQUiRNXSBG3/sCRXEQx9AbOTeCgolJh5ZNNKWd8tiHuSavq
tEdBuHWk/Kvk3INYD/TipzGGoAr7z5YQ/QE6vD/nMEPTStWErwQVs84rfgEXpPLnHlTU0J7rNKJM
BM1iO+Gpjq+ZNWwpDYQIQK5VIgakebWrkH0mTB1xz6j1U6DuQD3v9XGLCoY3vJbPQP3NGO5G3EEV
5lFVI+4+xfFOg0VOPK+kbRO0QCmfM0UxngSUlCIhCeelr2l+Kgv5AIRwowb12pIeZGDiyuoZFaCx
56rPajNavbFQq2u6OoRVIa6Qnwgo+cni/mrIZxVOZwmdfw4I6tqcpPG8pqTw9H36lOJuzqp3wd07
qUd9KK6RDPutqcc5mbDnqjDigMVG78/Fg1Y7qSN+ZOppyoHGRbpkD9YhVm3PnsOdAewHa0AL/HEC
O0oBDKbZcmdbZ8QBgsvJ0QO7cBjymYlP42Afrf5Pmf7FbDCV4Dottwuy+6Ii+SCOuLZhKcrR7aX0
JGswzXSyR61ywDL0piaMebqF6ZitJM/oGHJubQI3ElnYlRuIHXshC90CO5zaZi+m3y7+DAkyq/Tx
3vHxk/vuHmnKtuHrTfVSUWsS5jwS3fgWr98Op1+K1cQqCJ5f2Doi5To5VNmVaEKH2s2orLSd3h8d
WAkj87tQ2SmEj9moSiKKPjQMzJZEz5ADDilluxDPggls7yjCHwdwS7hQSVW2M3oIPRT31nbIdEgQ
Ir1Z0VeMeFIaaGKGUpXdJYOcRmTV8mKq6wKGZS3LyWrio2qT0NcJ3ikCMgxb9S1Q85aXJWfYl7QF
c0K4hR3m5WU6j28d5VdaB/4Qz25PJETXbENSqlT534RYQZEUX7Fquid61FHY9JBmLELlCICNhBdZ
kpsF8dG0F0eK+FHnIF/EQWDWMaFkSrOFxDhhe/yO2u5E5Q3uGM1PjHzf2PE7Tr7IVVEML7bD4pJA
9wnge4M1wtfC15yh1pDrXU+UVkT/VtgproaiJwbfmMhwWDIJqAxzT2T/Sbr8r5eKi2moD4I9L7JI
bmROvUgYFjWgK8qLXNJgX6SkJMd18Po2dOdZ38vST43bFj8PGwhcZKtPJwP5COlVJE8lnqgHVOTp
vG1isIgIcDhNjeeFVBbc7qTKdMwsGBdI/umEH+nTzQTMjyHoizHbC3lVpJvnfF7T05zmkWi8Ngae
XzjKMDPJlOoP2SyfjdUh+7JKKjU0hfZbMUwYFD/7EiWXZBE/vwvxgYv6b7DvrXjA86Kio9WJd7Yn
UidRTqCH0aqQAHGtEy+sdkJ9WrW25DVH6YBn+MOpKpcybNZ2gPWr7DhA9zHonMJcxX3MOpErOibQ
V/6vfvym3Du2E9cB2RuVD8WW0AixZSKXi4ctDgckkifJWUvnPom58BoVBXKVbdMiOQvSBKb0tRob
ZAqM07ZNAN9/nJ3XctxI1nWfCBFIJOwtyzuaoucNQjSC9zbx9N+C+o8Ykeqgov+5mYlWj1AFFDJP
nrP32jSD0Cab/ETBj6f3oXvjdCyGSA8R3lRorDx6wuPIzA3Bjp0PW4TEJX3QyGULOeiAE1heqCV0
4rBsUgls+zFNfzSAh3mCKKiC9uzzElbQNKhM1Fs4rFWHiDPQ7zHXnqfqLUexblUEA2gYdpONUjFj
95RvN2003hJ3nWTnyOXdLKFou+GqrKNrI/tBO0WmOz2gqC7Sg8YBTdkgx12FOm9v4GnVP6Lsp8/N
kTMbIuH3SZNpkoyWnewwAAPnGLoyxZ3l+xd9eG7tbeh/5P0zTpeJg70wL1lo8ukhZmjUrPvsWTj0
LrKLtr2z64eqWvnR2RrO2DT65hxPF62Gy7e+x4/lgbWO0Uiw0/WcSbOfVbFh4h25WydHvUMnira1
KkmceyD7l9WW+mPW5f+YGlaAbecc6TKVebwCkTWjk8R00g1zPdb3wPQCOOvos3ufwwQNcRYdnZ0M
R0GJdK9urlzTWuikYpkWDv3gzk5vSVsz/MtoloS8Whjms3tS2i56O1g63b10lpLno+gSYateZBwd
EnMDNfsioBSR+qpCUOrZdxluUhOxK/Oo5ahd44/ZJlRGQsWbmr9Ntegunlkut1nyFNRMEwEmlP0j
FZ0dY2igku8u7XIhGZo03TkZX0z15qtdL5F7b1V074WokNt1hhA5U+fZmRVqu9g/pZj+h1PCGjhu
swlr+4Uf7KBQTR5H3nMSHeTwA5iGVGfpPRa8kOXRZfHNtHMKfVO/cunAedB3o52OhCNgAAoHK10O
Ew0FeO1N+RJ13tFGGhijjZM0OVxto6PhhgHAIAkIHib+eG3bN1WBipWtbGJI38xiLI2gsi3priDA
dpW1GeHPpMzZFfVvcakrAEkgb2yUgw+tJxAuYr0joystz07wgSWqRgyd8IYjX2PZ0jk4Y3zlV7TX
5iUc5WR7K/qzjwcW/xGgNTrvgH52zHeA6ZAYmzz63Qp9jTO9mcOpMg8TQjCjpOciF3mw9mOypjra
PnR2yOyYdfTgnxQCVwfqrb7tOGG7g7lTamsZD5Y4qvI2TS9NfINxxolgrbIPxPle9JAN12V9Gbgu
UJG9VFS7VPkwG6dz576McjM5FCnGLqv2uSzW2rgvEMd5T46aOakw1fqzpEvSvXf9T9Rha0mj2EV9
l+Es5VGhpZyFESRQG/GtbKylrJr7vjZXdugcR5otcpD7WV7C76HIpqfatq5ykBhMqR9raS0gPrzA
ecX8kByUO1Ne2usxAm7k8/qcoQYiS10aBt534GYI/xkOYxFbaJrGW3+sZLBUEcv4kwpxyXSUgDcT
DcIAIV3d3qT04CaTKT6vXZEcpnyuU26kN2A1vR6TO43KOZozxDjjh1nMK3ohSRSh79eHAGLFKhgG
aGZHjQlSPj215WsvMB3FtwV+x6R+DvsfjbaLmJ1ZFYNCa8bSXE39k0ZoQiPAT5Qng1oM8ir653Gl
E9bUFMe+eM8RA3mTvazDRy+tON0/9tOFMsrLIuf3aOHRdq8xCTlMrfUE7sMxZ3MOp+2YDouU56Xs
B5IhxhCzdLaLx7tWPtmddkMy4kWGEqIzX/KJ3Z3XLTFIVaQs1RI4U3uJHtX8sIdn6ZtLemQwrhJk
3Me8/REE3Fy8XVHfnAwbVJp26kbmP1tJ6EgZgZi9jgKB0ouesHsVInZNPJON7ikw2E4ig2MAJywN
b5pOE8JqbyuzXJkMhA33qmiRUUTqIOfOcsqG/ta30yKnQRCWGysaF43/7LovdbyJklsJC5q8PCxw
5wpVcM6ToGm2DBKULzQ7tAPmbc6aHNFQNznevVTklMl9xywymw/hlDWm316YFTEWRvfEJHPZBBg3
uJdF4S2UeSMRxmTYjIxC7Y0EKSMGBif9qLNyF1b+MR2bfWJcatpPnYQ+ho82pxNRrGluOH7AP/Hw
NO1zVKrDzGtmyq8rsuANVnuFpf+x8tZ+Gaxq53ok5Cxs1+64SyXKp3jNaBC1/33gPRHhtcxK1nC+
KXj0hTH2dNq8dTjj8nK0tEb7HEtnISJWw2FY2Bjx25KiBRZDw0paI5pObRL+oqvS7Q491Tswq80U
U7uY3UGVBfM0yB3UWCM5s6K8BX11CNqNdHnqNTJzD584bi08e16qIHfJHaiowwjgTwvbFRMW1tpZ
8o2yAk/pqm2T6wlRrYp+EOkGJowekLsIsUF52k2AFdMyqtNIC6nsbkrwffQXpWaRxmqv4GfmZJ7G
aN3KyFsluL00pr4VKuVhOjArWHYucTyUPRn9zYkl28QlIBiV2LPNxltb1k+KPshSFX7O9NYPwbFD
0onjPXEGW2GEx7BL11Joe1faKyKzluYMoqrEEuP1FmMsU70JfjfqMUJSVGesm1o7gY5aVUgQws5f
+oS51Gg6zfBKiAi9L6KnTj/q7VNOs0CP7yOx01KGt2QBu/RTGut1wKZnNtVKS06Fww2TeKahXTEZ
FwSRFlg8B/6mwYk3RVUcOiLLB2W8V9VwBZYbzSGlcjTeZMqFKIN9za94PKm2cmS5aGAfBsNVyk/L
DLQdldE+gnXCcrX1hUvO5BEq71YFO4y3zAUEpMd2YWrqxgBz2xL5WPPgqoxTmh4kxcq3nY3tU895
r0YyfkwxrSzUO2nBjC+SDsinCS1RlPvaWSQjYxVpG8iAfZ9SLiij3ZAzegikpx20LsLYXioamklQ
P6ec/A514fqXvSNzcpuKmFwc03+AC9e/6kXlQE/VnZAxAG9xqceCxBLNvCLAIqXiMnkwpEBjaPYK
5impohugQiI4zbxc16l6F6ycd3kPIoAw9xPUo3fXmSC3uuauT/ila30DAymcZ/txTLyi0LQsWUSa
R5BEF6GhI2uKsa+G14vCmqIiq5WFLBdlTzuhTo+jekDITBSQm+vZpu1mBFcex6wSQ12cHCEjhm2h
v+jkmCL696O9aquWShnMj62zi3q4HdYyi4D1xTM/2sibel0aRkDmIXNMP6o0f3are8vQCcyNiV/x
WevMHLHKaNGDGePqHGlE5VbpZUmS5D6ESYKdtSqvoZ4fhB5uvRDdUWBj3kh+OjHL2rpxW3tRZkb/
6mYtAFiN6JhLtyx7BgF52mxlxHQLKTZubDLjAiA5HBgAi06JT7fFtxD1y2DLLCEDPdU26jx6atxg
g8zOVdN1hwKL7ZWWiXnSVrLlx02lX1I7YbIAMkIuCQkbFv2YfV2l0UnYCmADHuMcwjL3Ko/dYAkb
qbytcskzsogJSnLfuuEbw/1LYEthIfPmMWtvDtf+OM6bYYHiEseHlV6ovmB4GXeT/UZT1ekvHNek
jdxDozbpEiQdU6yeeSAb/BjtY02HMFsERXAXW/Rf+Vkwa/wHnFZKTpuVWz7icAmXZWB324IT2qaO
PP0yMB0EosrMzqHWukwzmtJj6e+tkww1DXJkT8eV7CW2ws5vAbO2XtOCunGDsEdUGzqPJb1FkvTc
LN7xGII73S+psZoww49YeLD+PL1x2rXSPa1fBV5GW7RwTPtohgY+pz5PNrU0veuEpu/++1QH63Oa
hGfZtiSFztANncEuh4vPgRZFMFR4oXLSJFpBr7LIgCDW0lgVBYDc7y8l5niI35IruBZdd1snwsbj
ObBVfb6W06rB7ZAUYF3Mh7XZN82qs4V7COmAbDtlNZvY6n/2sS52WUnEMygCYo29ZKQX0gzTX5J8
jC9BGvPHcRzdMCzDJSGELejzxzEnTOihmQqEuBXbYN9ae2PuWmUxva6STDZg0mxZQ3geBV2uznZ+
Yn1+xjFXXMT2cOel6YGZGOpof7BZW5Bhah6dZk82L1GUvPnNCMcpo2bBR+jfhC4D15AQQ3GhG2h2
tEz/iEXanf9yl/V//V4GX0i3ddu2vS+32SRJa4g04QDSLCCFeUwdsnfVGIcJzMgS4BBncu09NvSD
k1sXwsMzQ4lHe/jCV/D6jJcAwBGR8XSDmc+jdTdHxDD9WcMA5BfhOurv2u6xkP56gMkc9dhRgVfY
7VvsHWwPnQjAAHQ6BZmr45EYLtq169JxVnV1cM0THD9EIC+1ytYwWQ5azbzGRDGGUstmUF4++OO2
MOhklYTichqwaKH3ncdMEE7IuGcMcx8wDMsj1zxEvlVsHJWUK93NPtRAz3xuV49ud9db4VtQVPN4
flkUz2Ed4NJhIbA5ZeaUeHgiYre7SmjkCJwo9ZCy2WOmdxiZkRZ3kiWWDoC9xwnKvBN2mxg/aAqu
P01mfsC4dJvhWM0ngiS23wm0oX9CO2ocHjtsiUM8YmEOc1LXipM9IlwOXQRUCPei1rip9PSDEmY7
xtrmLw//X14xVxim6zj8otkPvzx7lVZ6ONZEVCAXqtd9ZHQUHWra0iWzjwr88zJwRhPaR9M9RqlK
1yxU5X4ovPCHEUdO9rd3bF4+vrzyLh/HcgzbsnXDFp/fsTzIjLrLyMOOsRfjcxoZkJFWUx+JSx7u
RIQpr0ht75TkTnzqjPk8kIBlZVnQlrlrDAszc5C54QZfN4nArqps4lQUqttW+fGVqXR8AkabKI48
ykJ/pErksFaPi7hkgf7/WME+fZ359v+WZyYLI62TaM4LGBIXulg+wB1k18TQt4rc6oaNFJjAcE4c
oCjSZZM3TVT3ObOt7x80a/S/3VmbSB7WL8tgL/r8UZieuZ0L6JQXhW4Y+eqk+wpSE+AnsXDlp5Zj
XIT20400wKPlU9E0b6TD3voyvq+TXFuFmn9VUHdfFBY9wYGzeVn6N8DOZuWbzmFMokPW7I3IzbsQ
AH6qu+mqazJOzcVmStEPyp5mbGqcjYGJnD4Bn9bPHtYe3hRV3bGJolGcMQ4nwbyxqpcTvmms7LyE
AjN2u4B4fJG5hxJmJYzRhWNW0GD2oZQb32IQiK2hFO05rj6kc5Vy7o7jbdmigfDofabXtbNG7R/T
6rDam8l+JMaBFgGTKmU/FfQDnWAHiOTouzXLVbRVFmNzoZ2wloIJBMrLMWNO0ISvvPCYdXs0wPMY
kM6srLVxbatuyc2/JqKOBkiAwY8irLfsfdJNC330CaaBhS7by8hrWGmGkwERS6dRk07RoxaoJ4Ms
Pj8Z1kXDBCULt0nRnqO+3qlgbuH6/ht/EZ9dYIXr0rOJQ2tN+UmcoCdeh9Y6Nml47Prk1muRr+um
eUaVsJpGaL6AzTgSWwSOB2Zwq6nkwZ4OWrxtvURb+Pn0M2y1l8R6F8MuzB49+mBNpo4zWGdqj21H
yqrL94GVKzlM1CixIqPe2np8bSXViyfpipL0qSxOvH5zrP1dMT5w2LG4l/Iey9tlHiccqSI8v0p7
MPxVrD3EmXU5GA5DA/ux9GEvof0OmTi3TxOOkLk9b4HC60ukpdVknS3aDHFqbeu434xmvBUs8I3f
bKMMKMe4zGz4+xoxBN1DDbgCFbEKRqAi6R1x9qhoIIsAktAIVYfSA0OoQczhlzY9D9q3mJ789EeS
uxcRPY7J32vdTVifJuenkd75ItyYHH7tIWMntLc2buGAqUNAYw5B0M6MzMshqp5y2S0qTm22fel4
TPAmQkUupuCnFTWrVudDa/dWNy5rEAlwNmc7HjIQidUfkujEOkeH2GEakCofC2qwK2qc242Gv+xR
6ObGb97j7Il7BlIC9pR4yVFDG/SFaOqdrSq/6ZQ4pcDpw/lEi944wCfe2XcWMmRSI5hRXRTMCME1
bgLvnGEPgc5GU18/xMJajbNpAO6AJ/wjCbsXJgedUdgEoSLYsuzrZm6Maqee/l/nPJPfHnXRGurI
iqjWZvAuAHosRUe+uCEXUwcPKKAYT9Pmo5ieM+aHXXBXq1PDWoOU4aKmcJ9bNINlPbNW00a8tCzG
Qjk1FOMN36T5iW7StYPb2RM7wCxLvenSTtyFZMgyOD8y6uYwJcY2pRUNDG4c3yeRPAYcaKLAYvGA
OZsllxLquBsOK1/xQxrliqCZLabfs69zEkAUs1JoEXAHWZsKnbXtZ0+apS59Bi4xXPq+owmqouWo
kKpX9J6o/HAmQfXXjPLDjJutGUPXjnpwcwrkfeohRWnctWF2l3Fof+RTf5wPJbE6EZy5tdoQo0B5
Hwv0+Bk9/AFB7sjEpsGHpJIPmNK4fAOE0VBdhyHgV1taL0MZY52zyRzh2cYCCEvHlMDpbn2E3ahW
xzsVgbGiaWCZzkMPWklQOrhTdgAqGy7zAQ9WYjNUTivvL1ubof+5Vbs6IWqeYaDeN6kfP28otH5i
E6ahAz4Azbg9wUlLdnpo3dqOexDKgSRlbYlsemvTEN+xerCDGy8FzgZw7sLSxCXl3NIMZhxGvy3d
4F0aFr1UBpt54VwPXQswyj2XEbdcMVA2TbV1SfS7kLVDe7x6bUDKJU1xGrH3Bh1ALdMB+mSumjI6
ekG5yrV5OJax8JEZGuLKD7pNiBIWkhjZstNVBJ2ox4AoNQQMgtkIK/ldiI+yHvjveqBZhdMq4GWu
m3NbqPuhf2o7+lqZb7/mUM6HutpNdrRlXm7To8P3N43RW4jhjzsBNCXkoJJu4UI9yCim4MVplV4z
atoY0zxAda7zsr3KWiLSP+Bm7hM33pGIQ+k17LqGN9akzBUqWTs2Lvc4tWm4mhAzLntjvGUM99g0
NDUnbxMrhWQJAFYLusux45XeJO/EYoWLvu/qBW/PhgryMoucLWjkJShZMCe8oRjOfBo6Tf3hAypM
OZIbnI57vEqQRGNGYgYSZ0cHldcgUmdsTY5bm6+T6iGsnFcfuKskoMlGGklIAndlWwrtxRTxFvH+
XVhNOChwMjMbh4x4rOdcslfHDJ7nNVwPToV2SsF1+y2BHYkNezBd2Xj60Hiv7SS5BVPgxuuOxJLM
BpfHnYCNMIRvurshY2iLLv9IeNsFAYoLrXic4uSN1XvH0KDQqgOFvc90x2/0rZFHNxqtl9LpVzhM
wavzmn4oTMmDSXuSpmLt3AsxbifC2khjw5BkMyl4ypgiy5yTSXkftIRmoWdNiECz6dbx6nkshJ2j
diNbM6I/prJG+URyxQHC2MZr02WS0XbTnr4v4v584xyiQgyBKEc6Lqfvz2/cpBUT4nySHGu846ti
wnzbBV12+/1VCNP8WoJ7BscBw3Wl5N3+UihmuT85Rc+RwG8Z5fuDB8mFFh/HTw6mwGK3//1ynmnQ
q3MoTv84fcZt33RWQ0NB0+LsZqjSDh8UsK6alMNF0RXdXyrhPxsYjvf79b7k4iZOZuexxvUSiXSY
ohj0W2gY9BPKv5X//3Ynf7/UlztZpEOHH42jLYd6eYpV2xKDQtxJ7xbZScSMN7+/lb9Oa19OT799
N8hbn38gtsZErBeOsyzNpr6O8xxtqzStFqxbb+CYH4Czg6GXPxNNb8a9mwaQYDw7JXLx+0/izlf6
3yexMZYIjEauaRjCJGbPmJ/CbwcfMiW1wXYTMksmhuR2tNJKRGbAKQJUKY69twx/C4p2x5zkimz4
64LjPNOPa9W8RmHF1KO9Gqtm3XFyFyVgChZP6fjLGj9c64sN8YC4Gi4xAa+TfO+TWW1n2LuiBXEk
wNiYPPr20S1H1NXxcgqnx6Y3117EEN3SDp7WrDShsDi+x9FNoXGojQxui9p55Evo0rtUkA0yCsIJ
QzY2i1Uksf/32kUMaDGUPwkiWvitd2jB1fOIF6El1hzqY2IMjQobs0wiKvsWTcK6jqDnxcTUVUe7
ZgocZfuk7o4OtCN7NHGzicfIAK1hwbXQSzwNzl/eZjaqT4/Com31eZ/+8iukB1Ekk5jTsAYgbCI/
FkXcMEAZNkPPia3AeFk3NLulcRvlxh6fAvozRX7ZFf35XBFyz9D/qSz1ywwdrZ0zIVHwsz0tfGpR
VSOsW+XNANqrAoWqr5xm+mlydI/KH2N623H+CsEepuIHERYIrAghIShKxIgCsjcbRmiFnajwgk0k
73KdLAhEI/1QFgu0GFst7JcBGnkTNgMWl31UpztOiwttas52Ya8qPhtRhgddoMg2i7dQnxM4Q/WQ
lP4PCQ8wzNMeWQjtcqsOr2QxvSNYYSaoI56JzdbinuC1LyaXHABdMRxXHDPcAyadBJbFzwxbi5pi
dtho05p4ix1nA2t7L7JipzM6HyqxMdObGJw15NYVTZzVxERq7DMGo/D5wONBfu0gJ1oCLD4JXDSC
8h43To9aIO/XFo3gBuimXxVXtGcWWZEc6zRbRqW2Kgvj7AdMOOP02LMWglfB809SWgH0z4A2YdRJ
CICfY2nRLDQqGxIOt3XiUBR0K92aZ7nYzLGEPwxSXNu+/xLUb/l4L4OPOYOuVsENr8qV1cKV4l/g
iz3TIIBpk2Zg4rvnDmVd2sFDtAN00JZ2/n6NmH93/1sifv0uDalLeuiOyyL0q778bYkIKzdAAOeC
PY278gq8N4p6a/aXBaZOzKmR3ohKEuARjw2CqbL8SyN7Lk+/Xt7TkTIBChQwT780snUx47kzkpnJ
9J1QZXL0z9DqEAsxG1yzV4re5C9bz68N+n/X/LUqGo4+d9scU0oCGvhMv31lU9DUSib2HnP0n3KH
oU4TN++q63aBN668tF47sltJ0IVNm62zJoSND2IMPyaJcSfqaWijaFDoz7VjeUtG1cOIrfz7x/Jl
E/n1IU1XurZwTBrv9q9Q598+pOzoAqogY/+vZEO1a8qR/E9l7HVHr95tGXgba8QjZNWuhZmfSqRJ
y+T++0/x+en88SG+ljoqpNMnJPUj7YViwwVmNbH7Dm13AHvk47Qzlt9f8XN/7J8resKxCctmz9bd
L3VBpvm03griatMIVFTlWv0LExWOvGTyXkzMBfflRCJHP1nDX8q6L3OOX5em/KH2IXScm/hHEzaJ
CmvK+LKaLqIP01Jin1l5TCPC7N8g77iIZrLq0A10g+rBSA+OwSik6sv6bpKBffr+RnzeL359Gken
zhQ25Z+n/xqD/Pb8U4eBpGxjJIBdhiem5HS84w1G4Vnn7hj+5bb/eTVpuZbNeMe0mC0585//drW+
qH1Vxc2cTp70RwkJbl3qMHMHwlX/UpSIP67Fc7UMCbGW3BdH6F9OrF1bjUOSci18c/0VKYUGzLMx
vKok0Xd6NVWbPqYxOwjBBLng1x24knQeqx3Rq3sCzUAb2VfJrCnCfGguvr/vBMv/viJx4+dqCRK2
4wjPcfifn29FSpwIzELLoK8yGOQgIXjjCyXroax8gs5qhoo+GnnMt7Gx8YMuhhelMehcWU1WPOnM
joNT7eB9IcHzbFhYzcYaSQjM1+8/6J+fk2XbMU1+Gpbuiq89ejeKwEx0/Fwn5ULcMcBuCcBc+17z
qo3deiYy8ZKjmsRK+fj9pcXnI9B8j7g2SzYmIGaCiIw/36Mxdd2+T1i1Szftt5oTvXpwkRcyIxJo
KHxIgCW8G+xNl5k50HCyaM1UgQYZBaUSHC7IEmlK7uH3H+vPhX3+WJ5AnO0YOv/5MrYYLWlFTh+z
XAUcArumMdd06ybCGWsJ9QuaF1zEcSGLVp47w5D0RmS05uz7EYY6IYNTaq8dS0P6GyUZDcXA2E+T
0W2SISWlgLPscNtk7fRf33RTeiAmdM82JC+792XJ86csmFyUE7R5XQJ/0Y/scn223mJL/8vW9+dz
4+ciec8dxzZMaXy5QWVYjx0qEAz22P/PMHPtfZv50fP3z+FzScGvw2KEKfgiOmu4kGI+kP22mLSa
2Q+uxxdKOjVc04iVCHYxOwSetzP7WntN8qp/7RoGAm096Q/fX/2PPYtFXLfZ3M1f83HP+Hz1wUii
bsSXu6ylI3bG0PRL3QKZWUV1se8ELSqEoH+rKf54GeevLIVgNeMRCuvL+pn1/VSxLzvLwk60Ld/d
vW6CtNnrRR4fo3qCBxSIYluUmvxPBdT/u9m/XfnLzVbDHDETjvT/7MH+mGrRHguzqGgIKRQUhPxg
fE/d8C/lifkvd5kvzNtvsIJ7rvvlOCMn1x2c1EN+XCMGR67YNoi7qCVt9Ildne+itHePQelCIJjA
ZkzMCY6lmbrXzPfJ7GaO8VJoVvbYM0082FUkfpTO2KOcjWueHKAy3W2yVVxO2XMhGsJxMOdh1OgY
7vS4zYyBMlWfw3w43coK3j0BLaOYVenhNld1s28VnRKrg/mCF8O4S3WcPh1n08xMYD/bUHlcm8np
gI33Wjc8ons0y4+3JCmiVkujcevggVjPo8MPBjc4rLG4QQr4/sc6P51PpeiXH+uXF1KD+h+4NaVo
YKGE1MggyxRs1qTmPKRrmOr/0+VIjNFNg02DtZGIVdv9crkuQS5hdiUeI93CMhDRHb1omxSfsSYZ
TpW9jNffX/FrVfXHJb+8jkXnEI4wxN5ShP70ms2d3TB0XmHuNrexmbgXRGHkC6NpzU08wpVLBNNu
dKA8Ga2v77//NF9+tf98GIuDuOVJz3G9L9+/Guo6tFTuAhssA3TU1FfrOI7rxwra+8kowvpcNq3z
l+Lq3++BY82eTZZEx/jysvTlxNDBc+nFC4tzfRWjWI1rhSNcRhFn6gTTiFYhiIYOa+6VrRP20IZB
+ATKKsDk1BbiL1XOv90INvD53UVwIOT8578t0eZYmaqPkGeSGjmcclgv99aQDgfJ3HnBqzyeMYWZ
5+/v/pdF8tfdNykxqTE58YmvtwESWePXJey33AjJN6jiF6QDwyPU2XIZSddfpU5HYAWLyOH7C3/Z
9v65MLUmfXtOUuxNn7+tlhDW29BJWuZm2RzsWkeH4OfEanx/Gc6en1/nfy5ETebSsBW82l+28oI0
z67qdH/ZacCamBPruBK7OVpZ63aqiLY54UUJscDiqkRKrFq89WhhyfTRXLAI1VscpoReQzPOUfm2
pwQBk0R7IbRXRCCwXXZufaVjEEugApeht+qK+a1lLm+/DykOnsvYTxYuvRmBikFSZnlQDemr/uB3
9yAV82ak9cyLEO39tOi4q2Ntnob4gxieldsAp/AHXK9YcbRzZR0ma0TFMbSLDATZGCJppGWVK5Iq
8kNFmnYYrl1FxvajRFtVg6fUYIBH8lrCtAQv6SDKLGin1D29qeTsGz2iwo6zJP8Yk8OihftqYBRs
AEp4NCdzzAi5u3I52YK8wv4iMJMH6kjx3frHUtMODoCLrEmO5kQCzIRGseewEH0k7Z2JwK+a5VEM
cNa82mlyo2unMXyMCGefLHS9sxza4A985t/lVUrsUFcfKNQhMZhAcLyN4+GiFW+j9jSHemihxDGp
3SH6XJrtm0M0JCbGVQrAvsMiMCPFI6PfhClguJRmMmN1PFIoBd6nxjgTOnmtPCTvNeDrYet39qKV
AfKJ8JDhW0P+uyQn6pcpNG/uHfFSte9lb697m9+LcZvj6CNaAq74fYN2dCosmmxPkh+PGNEbgre0
QA+6xo3tRqusueW8tgiby8K7d711Wl3H4j30JlggJxdIWrjvDDK9gIUQJQCfYDg16rJxfmo0zKQO
8m4b6U+dXq0c70XlPzNDYWEzlwFTGc0VJCXZQJnCVaZiKIDcxeLBq7CB5AEs1R9SmpseMi+xB8ve
wubBUJlg01WFpxDTiIf3hrf90paYa83kRjUQdRBMA/uLNz2i2eIGQsnCrV4skocA1izRg51m6mj9
Us+SbXcz9ivNJvfmVq/IlsOJAFMeCtWlct6AAQ6cc4hx9LWtbgpkEOFJ1OW6YRjEIHbJQQFjHIS6
blOn984EqK1vL5yowm2MppXS9ISYdd9NpBapn/kIYarMrzrzSdW32iQXw2ithB6fbLPfN86zFQDs
zLd9MDOZUMbg2wd+VJSPHfKbFo+qXYpFMOuzUJzQue4BZuCdN8p20TjpqYuMDa7nNbvwrDH/y/Lz
L2u6JTkLCo456Gi/niOioO+dJoIq3M5sMlE3+bWuV/ZDz9gdcr9ngt6mAFCr71c9U/zbhc1fW6ow
DPqjX4rfeDRC04R/A4+mWFBTLGoBp/CmUsiVBXl6OZaRgTVlfEo7D1PJNXCeixHIJMEjC7vW1jHh
IUiOsrBd5A0GtDaJb/RC3JilbFagkw5uTc+nc39BZvyFbGnNGu8d+MmIMPfOvLQNjPzxnRG9xpgf
fEaDo7NH7LQcxhuray7iRgfPgiVizjx5qFSO3KMkOAchk06ymmNemCgLdcx/eCtly/8/Yo0Iav3G
MJttrPiX07LctGjerbkZLkOiAu/7algn0L8DY2XjGGE/wad+odekW7wO4UcjSEaUj+Z4PdR3gfYc
IGRMWRzdTRfcFmDXcufKa54TeaLLtixA1YMg8F0sNwxjHXy7BGTstPmFmzkR3rgbm58EWG6bEHxx
NR0dq7rLXD62qt/qLD5lOfY8MovNoQYmhhVZOs0zUkcygH4AutvphXUYm/CYUI4Rn6AfipAfrXOb
ELCFpvCsJ9lFj5KnGQm0CcQqGg2wW6CDW0wPSfGczEw0r9v7RYubolsK4pdNEseNwt1MTcu42tob
rXtfd+I579Ndix/Ikc2iZw9UPTJw+1zaDTHJMcKQR6d0FxHh3FPxotTMvHm0jXff9XmFdh45sXGO
6HvYaMUPq3lIq+bQjQBqLYLMwBIqUrbthKE5zlvVRNe1jkiqrxYhdMcqMsjpOWftuBtMUHXtuhfY
9qZ9TUi43JJwdxHmbGuFOjCxWojgSSEBJop2kwqS8cScI92uIwwxaXJnIS4NS2zTkDbcvj4wT0Op
MBCV1m1wPI+6Asq2xQDl8i8M5hzjFi8j50onbKx1fkVWuR5S49Ymt3ZX2B8DqqKJfaZ9dNSr4OHq
9X1MJrca9ghbV56A9LsJMcu6Akda9lb2pNnj0pjIQiDtfVWpdw/lYgEM3Jl+OJV9rQkcyJillHXF
59asQwYTH9MXNGjNfFTJ0VNvJFcnalPqvGNQ8H0TdjQ2W482+60s0wsZ3kAVX6QxciiIpEMGhAFc
7v+Rdh7LjWPZFv0iRODCY0oPelKUoSYIWXjv8fW9UJOXpazIHLxBRw+quygS5h6z99oZVFkTLCSZ
llONUfnfg8vj0XHFb6ac7CMYDfMuWBAUQqYsYbmAcdJ1JW6q9hVIx9G6jgRE2BNgjxgdDN84NqVq
BwTR95waU1VULvTg3oT4xaYQCbLTT5QuMsUnPk+N7NP8O9e+B12cgk5Fr22caq1be9KyZ+w3xM4o
YTuk0Mnljy7krCiid6x9C4GU127Tl4Ds6JEirCRXia5QnaykxSKzK2DT9W2Mw7UZBuh9z22hvgzS
PnJ3pXzLxVpyiSyt97557wcAG+XcMN4Qg8+TKfW7+1DMLfDEYtgVyLvsC5u7IruURkxY+8rk3z4C
coTwMfAaIZtx1pT63AgLKCog6mJrZriQ2V/Mft3E42rQAJmP1zHzFpYVA/a8D1q5qCu40Tj0fQOS
T+2irQB+C/qwGiYXb4X+Ty9IDO9XafUgfQ1mBaBxIRKwbcH7CACux5+MQp+nbrpZ6uAF06fPrJVy
orgM+TGktITpptUId3uyG57hnm7ccLxI9rgPTWj3i7JOZw1+qI5fdDbY5Toh0cb/S3f4Hx2B/uvJ
8WN4IUWjodcJ4iVUhaTIiCn2rHajpUaU35pzY1rVytlCV9ma//nUms6kXxrvqVJHjGWalmHowtLV
HzugoZRAExVT4IKRih0haGSTSWgltTKSnf/fR01Nwy+91hBJ2WB1sb0YRFPMtcxsruG0o5TDuvnL
R/3n7/nLt5oaoV8+SmEGNBCrai9sAPJCqomWG+XDqMZvNS81hgzI5MNwfPvzFzSt//w16XjU6Udl
9PqzwRqskO22T8paqDuNCyK6VfdGv4ikJ3pfjLCzUL0ojRNSNUsaYGtUiJKakzbGIYx/O4b3SEkF
IroQGwYGTkWtOaoYkQpu6WdJeZIVx81xzA5zu3T8oNoowLTTEhfjuywQFwzvNkmYsGpEmqwJIyHH
AfbiFMLlzkrPBpuNE4qzU9qqiePhV1P3PWQTkgX19JiBtsbjX/Hfbeu0CJpSKss6lVce/ybyXWe5
+i7VR62KFzVVulmqeJO6mV6dMGys1ODdBZ+mAteJFGYZuG5ZPC6DRt7Gg1NTVCqwNFMDKqy8mni8
+WTGwrs3MUGLKTtHb+adr634XsDO+jNHShu/ly7cxD5dtCVeiOY84GgghQJy5sUa9mpL3uyI/ZH/
UTyRrkGEhDxIWb4TmEWnLPje35poZDsiqLoK5sCEeXThw858dAOWCr/NXqSugwSD+C9Vv+JZm2vj
AwLsEgtE4t3z3l4WxUNhnirI70H3bQDozGhNVPfVSnK0y4jPfe0x1MxrBpWmM9RNo1rbPj0AVfLV
8QgImnnbe6iQgsMSL83snRyGqITnHn3VrGFZEh8UxNb9RerNTd48WXDaPJ31vLyBhJ401tIU0ClM
py0OVLRzK9eJsUEk7FPYj8BhF56xk3TCcZBV0LJZ42Kw6VemBmiCJHvnFPZp1jz6KYe8ofHiHAhB
wvsPxzFXgotfvEaU4rF5zKSdiDaN/6rhzDczFdLOa0WwiyYLp9LNq59e82EAyZHiI3CdvDrlefnI
FZk0qzHd66Wz6x0NWMkvbhFdXhtnF/4HaWXI5Owvhs5oQKCL+EvSLUEqk68l82Xxv1ERNP11ijbM
nwV4gFGDaVsDD2I+VnMisg6le7KvoQKAazjZOHyqXlpaxmMdPXfqkpyuEABJXmxxFYAy74ulR7XW
ZD05WFKkI3yAW95zjQ1/18go7ivPMcivNzrYOmqxpCv5RlRGMN41NtYaQLe+hLgjxEqTAMjEd8V0
NDpO+mcMFIKVF/z5eNB5knlewhNzVe63WaI+UA/L3rcVrXSqebUlsLm62uN9BO0h2LGDFLfkhSw7
KdEYqv6pap9kczrsg4EmOlB1Z/imZwHkHOFllFnui11VC401TYjWgiROr9EPWQ3wgUhpNjijsati
BCZowbvSQVsZkJkqV6iGC5IOLGJRvLXNuE12eac8t7XP+48nhvlL+lnr1DvephyWnruWofr4IamM
GWOUM6onQBPRLI0QYttTRjKYkPzWFw9J3M575d4k5DFiKRiEeyrBoKagqXXuVh2ICkQ9D7WvHr2N
8lkjB8VVQbM2lBhgiFZV90bV2FYn0VozQQdC1B085Iw6LK1uJuxLWv0MCr5Afi+RyUHkIEHrpnvq
qusUDSsYyqiELCC1AUWz6hpgnoGBoFReK/l7aUWEKQnoBCDQXO6rlkjF5B5FZ8Um/yQyKVHrjY/i
Vi9RNcPyBaRGAJqckJ+g7qlru5ZNnnI30w8oFeTYAQtH77LwCNwtwItPynF8mmW3gj3vKdEUmosd
4Y3RGqOjHRIKyDTBvJUBB/mPKhWgJOZ+AiZz7dXHARN/ZsISk98G8S6oU+3mEAX7NN2K/jKmeMkU
blyxjaV4UybF3dAwyI6a4/f9i1sMq0iYj0FfHmNxm0hmgLiWMN+Bb5C5NeCi1qCZAAlQPHC8SjnX
7O9K4UdqC/Z3qzw66pORT3DjYp9xZWsRkcvF1/Hko2pgPi9vPhBFoIBmvE67nWJA/RiJqVj50n3w
zJmZRTQz8TJsPocQZTEz9C1kO7Ibem9XkAxekyRkrf10TSgvDEiDtCInkRzNO0rjYw6pJNCuBCa5
+CuqYqQbVB2/AeMxyKTe79Eyl1AvBsM/xAqQioBU59xbG9497OMN9WzVzAheZBCIIZjI3ZWueNsi
V5bkf49wegztMacP9VPHwihS0Y6m3WEkJ8OLN2ZHaomYG/mxGRMWJdBXYZkXLWk8qH4VK0Dq+5EQ
VRDYPYAFHLqQLAlal/0dudt0DiYvK0hqDD9ERxOMuqwOTy5jFAlbt+J9tG2NNuwlnFD+GOsM96ZN
2I34w/KVjQbCJSblLxQ0FCNpf9BwIloQ9ng8s1ev2pDRPs+MDzfJ57pyMXWShLpy1SN+GTV7nQ4K
j63GMTT3bOjJGaca4C8RcroSQC2bq4L0z2zrNdcKN6hM357XX0Xx6BNpXPhfimdvrLGEE3AXyTOY
SEn+7vJzZ5zr6AWAT9c0JPAwXqL0hwLjTZwvyMtYB+kG5q179H1H1Prc67Ycca7/SQXXVg9mdUNQ
CnzjEHC9NBktsJ2vTfWDlPBZIhTG3Fs0JMFECWUKFEfPLdoi3yUniDvAKMvHgZ15Wjy37aPK7z2q
NixrHHFYa71vzcIs+Q0MOonffER1I/bORnDQhY8eTWuNQYtTxGTOEuHUHJqO/vXi4zNxq2uWqbc+
RnCfkH821e+kfLBx4/B9E5htKOmXsXsWrTvDEwJd71hxRUDPggUjT26qNfY+IeZKgKEyQBcJV6FV
A4fYxg2MzJkkx045xT3kU7L3soc1idcXf8Ky7glYTSD502aGGoKlLJlF8q6i/mHgoPVi64fDfDRu
Njj4CfisDgx+8dAs9aRnpvacyA2I+nKaf3BDdMss3xpMZCMNizcrMTt9YhcI/BpC2XBtGpkFyr7R
P+yQhDtGKgCvRfQOgq+qWp6p3TjcDDqkqj7KMVr2rN5hbwfUb8EYgWQuAqeIpHe3DXhXd29d1n4q
3T61IHRonyUMj5G4EDwdlncuxSHgQOgHB+oEvV06s/ySDErTeu9wszKMWY6ff66t/2t3pGuILGRF
Y0LH6u7fJT2rIJ5Mi00NqlAYgTKiVyKhw2Wfp/FS0op0qXVFuGvNnt90VGCWVz1pCqoNLz1u67/s
ff/Z3f/sm3TkOyw5UItr5o8Ow+s9ESchoR3ECpjYJ7R2VeILAfrUje9lHEhL9lzIxpuOvrbEAyKs
C7uN5DPJQ0GobEi6i0TCqyYRbNP4pvuXaeTvnQg6QgXhHH+dQDn3oxPxAckEBRdk0QSyDbt7HEHW
JfI8Rkjzl3nrf36UhniRZaqm/7bzH7BOZU0bkhgJv5znEoTbPK0rSpO6lJ//fBv82BPTrvK1DMSA
iNPIGLB//OwtraqNxNtirRIZa5f02VlXi/dQVnUn8NuPP3/af36zXz5t+ue/tJGsDDF39I21aCuG
XK1qV9Tcab52Q1X/2w01XZB/31B8M1tFc2bqCGF+biJNwxtLq8ylRWtAh1o1RcrqrJSSJsJiKPwr
y7rsYg6quzdkySIBhdGQnMTeu20Gyl+GAj91TdPPrLES0A1VR0eEsOnfX9xty9YKcr54mbvWJitC
nnu6RyaGEyirHkVNhikxCIU+yNcohZ3UYrujcqXW5SmMVjYwjk1uatHTn6/IdH3//Sth7eK5Eybi
Evv3X8nDql5IxHhKmVU++JQzvO1rc/nnT1Gm/eRvH4MwwDaZieBQ+LEW7nldW3Y04srA0YOxWNfX
sTZK85h+/oCWHg9QUhg7ufCgZPMAgA2UlXWNQHvdsD+epQRmLFpsAaT2WQzz8ypeilKClVrB+okr
ucYFK2oHOl2279VSeiq0UfxlqPT7s6LxCsDFImxkceDW/n0RW7cpIOOwxR/KLlqHMpW6zgqUeteO
N1moGn/5vOmm+PGjcVFUBUWBiYJL+3HTNGEPYUV1zYViJ16IVjuM7xpemnkb06MR2k59kDJz3YWh
Vp78FqvLny/bf5wRfOP/+wv0H2eEEQRYsxQyGDl20yXkS23u1VHE+Ya5AUAIOSW9bIuTCGXGj4VV
qUuhF2xTSLLHsY2B8C9/0X9dAo56HVWUqeqM2v59CXh55IhpOLQM/hawqCY3yWRSZI+QxoDboOT8
5SL8voPSUJTaGCFVg/3Xz08MXMNH1ovdsetk9pkDQm6IlywQQ4FFvh6l+kuv/iqD+q/vyVkIHQUs
im7+1GCKqPXl2kQHmWQ04XKNAQXrexR7ZKiTG/OXX/Ufz9fPO82ymFai3ECD+XPMBqXZ0kOvshcj
vvvRVWcGPVVBL627aMO1mW8Ujm5071IMHsDSndKlBOzr7eiNJ07uFzE5hoNma9fNqkjphXGf67Rt
XXLxLOtmyelKc0f6ieau9w8CL3AQQrfUV5VCCrrGGoApk0beLtO+RZPjXWZsXcC6Qqq+4leatSYg
cnw/Aumu0UvM2oF5t5upTO2MdZU92KWyMuuH2jRBJRPfqeRLncFNFl9Me2F12amNbzUwHSCv3MwA
u8W1aM4wHLeyu6mmSHFWcb596sH9YuAI6Z3DFusCdO/43KQ7kckoae5tdw7ARvdZjq3aWhh546ju
TtbGRUAoMyyTQ5M5vrET5MvO4iaj8VTmvczQgQgZobCLpP242sSStGq7z1D///mJ/f11DiAH+bMl
0HvaLKb//Xxo5L9GuZZJCy+wiJuya4mU4Lx7/fOniN9f53wMCr1Jkchb/aeHwJeGRo5dKhQrlJBg
KEMN5ItcCj9S8X/hYYRoW2kvplQE33HvhzekUBivlSqvNpAVseGoNVCVv/xV/6iD/30bAy6yeVw4
ZTVIWtOf/Ut5gS+2s616itruqRxFSzsnIdnolN6JUFoAbgubhBRxuMtZXeOSKXeUs/s2NpYGMxEX
rbXmoQpoGPOYJZPVVjvGOkwXJUXP1oRytWg7RB2ppzEqihe6p2+thLBOgu5GMoqSDwGsfNQboqc+
DANwhquTlo7b247aD2MU86AO1phg1oaPHz8pV52ckVKE4ZRtvyDAQVJvoYzaQzmWaFc6eFFVwwyB
2JXAqx26VrtTkN8AojcKksJukV7MKxrgVtA/MVsAcRaWL5C8l0AFlxHp33JCjoxPJgkKjYrc5tQ2
1qlyaEvcntGzPLVSePX8Klj1ycsEANL6ah4VgEOmFFmdBOl4ZuYIa8IPDQclIpmFEOFOIgbOIOpT
7c+B7aMGGVZias1tQHa0HXOY5zMYigviJYD/khjeumtLk1aBJS0b90tlQNknbA07Pt+CaNyT65fB
vCbZrOa+6llx5uWr5vc81f4icHtHGnc6ShdFJ9O0PmEDEEu5AonF+diZaOlLll4KnPpkSmbREY3b
Ib7BMio2octEQFWXHqlKfZB8yqDYFXMvo1KRx/Ip4ySn6yRzivyIKTxTBQTsoX+BNHAsh5rVXJ1c
0qI/KWLgEkVTeHMC0NIy29uIHCd4SzEX6wyubC3ZV7jcMqxcWFn4muY5ka2HOq7f4gYhTxosyjZc
Qtn0G7DUXGMFL3mdNEe5PtZd7dgGejlqVnTtQfoCm26hNMQnJPlK8FOplrIKB7GI4UmQnwBjggBl
cY1LrHTT1IPLBM5Jx64NYu4vXcnvRxI2LgVPgIoC2zD+KfF+fbiglHsMQCbQIbK6XFeDT4OIee6G
MjnqhaH+7SXz2wcitFYUjACGBh9Ktn6st9oWIn+nolCqpLirFpJf6AclD+XzBGS4q6WrWRgAkspG
cyB5q9RSe2ZYQ6BsgzhqKZrkBAKH3Vl3QiaRygk9Lji+mM3/ZTmmwEX7rVSbXohIAJE8yuDMftS3
QMmHBJGyu5Anlmgwrkb/MS5JAuaWZ3wtRWy4Gyce01tjNMncMBnZa/pdYf5ads026PZElmehNrNq
QKmGenJdTp/8Kx5fEXUCiVYXukzukUaWcaCgNOT0RPhCDtmgPQiULXFERRghYGbd1ObkFXknsgHh
23SVzVYYGzB4WDN7DniwyiLfZbLGlN+FbUj8BQMUCZWIprz4fkwoasht+B0xzh48FLxmePLJhk14
sKnE7Zh1n3vtAus8ykTFRityX3kzMfREeZdNVsVoUaALcCNgaXq3hzpdZPWSeJy5KXYNOAErfmyK
pZrxYJFvpvW08C8J96vIr6p2S8F/GLqP4s1pBSN3SLUBmpBqabGcGHVC2R6wXNfFPUXToZrXWCGM
3njrohqYw3OsvBUd5IECjL3KvoFdmvpoVDAtDX5jcbW7j1BzLH3RZFCC7VULZcWrXmLvEkwpPckU
VgbNrQayeHPZngTFrc4/A/hsuZqstAhkz0svmG5qn0P+qvQyqKWWsCvi93iq+YrgzOLsI6uYC3bA
ulkItrvY3Bc1gRhmttSyjRxuTUQ03gTESbWln064bvIN1nL9XoNIKBtKZ6KDZfaHHdH2+oUJiMje
1PpV0o4FeSVBJ5GN8OVm48JEr8NY2GQ6DaZvhv+Eada6MUgbhSaBERAe8WXsuuMoT9GT8J+gxjaw
0bUpTF22NqH9XoFP5c3EkBG1I3tAW3oUhvLYIAmyQLJkiklaGltMnSSdYY4MZt5rNzz28xE4byTz
DkNnAwnxMIrvIkgO5G6wvsF3zz1FishBqckl1sAnoUYWfrRTRyCagmO2APEOqEUCNIr19yb6ZNPp
FW7pfUYEO/35DNm43DLOBH/sKU8VhaOJIEipD80klXkj8B0usZZyaGSkiz9mMmExRsjIfDvQgACn
i2z+OUcYf5rvI6yzsTVBPCjYwkrrMXk3W/ZiESB3xJsQ0I1ornbfar/39I+g36bZRbgcSA5W97nu
j0ucWapPlDMsc0DdWYkVxUSPahCFmuxlzjgkOlridFUw1xDu9HW4tKWPtH4RPNfIyrAW8Fk0D+23
3KsLVkv/bFzQlsRovYx3G4evepaoE60BNzcrBYtl2iB9SmLdKGQAXKMK2hFGeP0yiNU4boz8KRIn
xBAz1UA/uJOm101x6+VnExVk6x31Ad1bPJ5c79OllFH1igwsVGtudVa5kSUVpavLFpeNINglB14p
j+Vn7pKI08mON1497W2QIFMFL7HLr9Bz76lkrwj1PKhQU8g9l18H71aJ6jk36rPJkDtXxq0Xvoo8
d3J/i1yOUEtbEKXZNt++wAlslRNfTIt2ihsd2oxighr6ixs4RhMmsabN4DYnykEhrmPU1KtlvvgQ
W7QacdpmLC6o3rlWjsj2dUCG8cZubkO29qKDGNN5VO2NrJunEqQWj+IduEiA46/mJTPn8O0QvZEy
rb3D2a1jeV1mZOUo+z5am82mBD5mIlMjVpgbqNbe5frD8zsyPDYdmTYJCKmQ/33Uvo0hP2LZkuKB
ujTgrcfmYZf3Dxqrp0x66JUMm/dHHFwDQfaGdzBZRwlH+Oc6AynYnjBlkaBA9IZCkWTM4NXN7WBR
lZ9lRxymB7/iYEUfQ7S1xTGLjwKeNZvt1l4XVULVMG2BozktxUKyDna7jX1UtpeM6GS7Ozb4SVrS
qIV7UIKN3X31/bY0HTV607K3aDiYBGMx0c3JcNCeR24ygxxNchHY5PuDth48ZAPdMwvEJr3WsTYl
G+tLveKFhQauDhVYvO9TVmQXPvqwaY2INsrcqNJLB/HJp3AUfKMoAyKtkbWTLmsszjlkTHi/W4TA
LQJzbSiAQ7/iA2cPDuDfW4TwbklXMznZLuEkh2s5h4Jxqcc7m8JvGMheYO2QoO8zen/JyVN7eD3R
MAzFImwbRv5nzfroWJYGkFwVVAL9ElsIZNsM8R9yqhYG9N0L7oH0LbGdC5PnwT6lxVnnXVo+Btwr
01MKc01UbDXYX89imSS/j9Z2Kvuojogr4VGbGSjCYWaRRSn3+zD4ZpZfCCcr4FsWPKVQaqjBhmNC
2GIwTG9HxGnrIfQXieq4obtsFX6cRn+DPjyLgi8V4j65BFDulBQEkgq4goCB3tuowxfa7t1Yp5fQ
I3ZehN2T4OYTQMISVDEc5ChDYqNaeuVG+MBrAe+zWxjzjRF1gOXqvcKreBJGVB4LyclzrkR7V1qU
CboKVv3+ZxM/JmDQ/E83d7nK56BHta8/offZpUX8FJGYYE/ZVi1JC8azNzyExWPKoLC+RNHrgHdb
8UZQgP4s0t0VstURLgYDnHkOQq9kfSbk12QY1yxGOIiVJS6rZa3w78re8oQcy1he5rzE6N7BSBBf
jYknkLIc1eIUVRC8IPVFXM+stCMIlVFbCbFdbwj7hWYU+N1exNUurhy53ZCaqtoXt/uUitERZTgv
B+toJFP0mQevvjpFfspXvfYtGAZGE3L/EVtHJXirfW6z5jbqfIfwrZXfKj9fFQ0ZEqSoqIZ/HUW2
rAuEP8JGgHvVrdfOJ/9a5lKjFr4Kfd5Iq0g5hzkqu0WGbO5YkprMDqda8ehL9hoAeakzQjhXqBdM
guqhbL9F+U215lKOYmhBmpipoBsmWGxAVkmUq1hCaehIM373i6fK/BykeQD9Wp9Hyo4H3JOOhcur
ZuGJFVHKEPL2Qc2efR9yV+bjpkPFCdhbj1FKvMjGXkE9674BhEujPWBhHiEfRIVVPTcYNYHymVfA
ELg80PvP0Nir2T0g0FcGGIGw76xS/ZjvQ/oQRyedUGg21dWqkp4CrPs1oZOzLDkr2s0Qd6DYPBoU
guyX3Wg9dX6jAi1/bxUbzXJkYNBJv4y1u88zIt9A43dk5UIczK6B+V4OToU4AwKBkqwG5CnqlvRM
LzAnQ0iGPiRbhj5ZA2ROx2A3oO+/xEixSvMyID7CNE2LrCwKEg3hk8Gnj2b5oC+66kktF0Xg5ERe
msqxc5/VZu0WRwQManeO0LaO54ruOCFAQZ535MMbX4p6j2N23TOS2lz9iztbZUGmsmrmVVbTiinp
wjCeVSMhkfIBfyFWRKUC13GQLOLGMQSdiNDNbnwkorWcV3EHzAPNrfUg59zfOvvKhV0stXQlklWt
H6z+Zttg3Q+QznGSIJke6yMyLpcSYfIaIAwbN5G/7jRM7c+NsqENTFm/d+jAvv1g6TZvNNKzEs2a
Zd/ZiqB/uNfu1kt2ekVQHICTTRCu4RjykqhARNaH8mzmBx6kId9X1AjlVlL4hIVfUfrsomrL3FeV
7sbo8IKWnsMIdbD06XZLfTy65as83NnyGyjb1T3iYKN/YMvs6sc22piIsaNthbRjvFQya+d3hOYU
Cv1rNz4I9aYG2ymNOd3l8etISh7WpK+GOynzDyQuAYQux4to72h2BsthcZy3lyrcWkKCgz+vNIfI
5rBeuThS/Jdosvk4A5WMqgOqWUfFEjnQCGrz2Wsfs7ie2/JOqXrCc55gF3NMdkSgELepQ9I85jUq
nf04cSWRKq0s9gvsZBA4c6W67dAtONl9cg5UA+XKi23tY3evqQ7+78Kix9cJSljUkZ8stGikPY+A
xtT2Mw94h4ov8nasM4xm7fEMGLycklVPRB60GH9viBeTGAZE7mwSrJtXPFjBiu25LDb5QEjRUkIf
km5l5dKmM6wtRKPOBmVtcvSOyzqfNY/aNBdaDgH0y2ijKNQCEY6DGn/TJenamZ0ticEzXWVuEW/D
WyUmoKOfR5SAbX5EPkgwXpvsXOY2rFIGsPXzoXTCdKZbR5SMAydhAjdFTI3cs0VcILklff8gj2sE
crlCfTBL8KUwjgpsfttHNyuWOv1VtqDcM4jXi+uLkq4DHSvR3oP6LG1TIlf5TSqNwQHX901if1Hb
77X6FKZzu9ohPcrse5/9kwmhxAgK1n7D5XIm26LW7oXbwEwmap1kvycTbG1Le0YK3IklfKGFSLFM
hESztt/xLmeYPJW3snRBbWEZh7x4zNKDSlscH13McHb0iVeXh3cZws3LpwaEhMJjIZ0p+n0wHe7a
jo+gBEKeIelG/ksNK1p07GO9fWgtQzxIdfeMhQKrE/TnFdoKP4XQujIaguHMUcJ6WEnLQn9uiSQc
lrq/RN/haTz/jKXnUyMOyVzqdqi5aeeT0kl4fLm0of8lFw8MCKvkSSkxwk3aw6q+GOikI2J4lzwB
lBYdU1WD/3BzFPXWaoAkLsDU+1R/0H9wkhC1vSHjQrVR+qxhm+rWknrJTTaF+6x73EpLiIo54QTI
wOW9J9YqSSw5ClN0bTOlXfofpXrM5IEJ07yJPst7R6eLq/eMYbA3USNhcd711gaHSMkgAm1MvO2q
ZV8+pfGnTT4DjUZPLMDKt7ec4wzx5uQKG8NFAyBMWPjwggJQWPM0eEH9JaXMNjey6gT2Y08Co7LX
uzeSrAwsqgLhD/ZDRou8sJLo0NGwosgxlJthU/cTLrIlXKCVXoW214NHLXvg5EiCTcgX4uwoqY/f
1ZGMMBKsmk0unargpBcXxiAMF4Zh1eOiolYr5yVFkdnM/eYhwDVtGdsQaUs1T8yDWW5z82DZDLHN
XZq86NFKcIKRwiqoe9e1tbGIuGzkU9mvKcq0aKtzjI9IEVHfVvE80wjnPWvGRx3y5j5bCrlq6NjQ
WmlI85Y93MIgeS/tpw535LhOEhhoK1d7afsHDJxKfxliEuw2Ftks6FYEcTD1rExfGWRU3RbSMBdf
K45ShO65+8hgg1J79+9xso+Hu0jf8uAzGF6pxHHPZdPNi/dxW8b4SJovnEm5tnFlR1Qng/+frq+G
cqsVz92wkJX3hBljiPGsesIghzolM5zQ2qFKnMIH3c0IzMa0mbut0IdiBysZHbc2pcur691N+vPx
RRcPLplMgudlE8QF8hGKvXcXyxptB5gyicBM6CJOL72qFnPeFX+Rnb9Uxq41ribyOP8Da+aUyKDO
/XpdiqOprDp+HuDLMiYDWuytzj9tjqO6UPo1rUj5Xvrk7601MMRICh+G8UQ+LrHhDdYGAsfk7qHW
r4m5IiUNlxmBJis7e2sRktvOkBxt/RUPNcVPbR5L8ZIZB6U6yiPTC8yZ3o1bPSWEgLdMitMrTa+J
vpJ7+JqIekFZQRRgxf+kMjRCiYfe9BW/ge8fO30h4mzBVptRyHrSn9kJKYdCc4C/SzCmU5RvWUlD
itIxX4/ce2Bwh3ZuuKgVT5287fgQE+Y8Kzm7u+PaTPrHyF5p7ZOn71LzvZEf1X5nZm9dHUHF6Jgw
o4dat/1JYwYuB4+Z8c37gLJdbVemQszR8NDQr5vyyTAoLV7kttjqPVBdMSAaPQHl7fpHRdor9kJS
6rn07HVUJI4nHqv6PfEefCp/xX0qkge4JrryVGvzsV/prNtsZTao9wp5bqKrRHFyY1ZH3v4kfDAa
cvPHqvkKhwfJ2CBw8rRNPe46qHAcCVV3JU7Q7nZaeOjHl5G4okxbNQr54hjdcoO4n02tU02QaFVx
L+ERACy+VtptIa6tcs/C9ZiKhReiEl+5dLop80jy11njcEUK3WnxfTI+qgjxgGRhmZ+87r10VzHy
h13a1F9xeMVAiKWBjUZTH9wRF9AmNxxFXoex49a7vn8cozORijHxd3l49PIPbdwkpMg2/nvTfwtW
PXIxz8U+L270HwwlqhrdN640zgLdAVgaW3s12CXg0TCTKusEliGO2OJgQ8/NXbrrk6wDJJx3+rEG
a0GiZ77v4gt20ZqtSmmyXWQGiLCuvFp4p8JVl2HCW/QR8SsMexnerKQgmufZqQ62PkksrAPZEUgI
vLiv6FOqdYCW3+Uvxjx+aA3wT9jxZPKEt2Zz9FROIChEGyPAbn2L+zNfySRqkbFhWb2E+meQcIQs
4EKLdmeJe+VdOoYiA0I8Gv24WWXFJUlW4Bdnff4dIkI2pbWHwbgrtiNJceGdvoFGeMR75e+q7Gw1
Z8/bZqiqZdpnbWG1i4IBb/qUqcU0HVqYxDi1xBppEZQuUnmeC25+1JnGrrTwSJwo6kNogOZmrOD6
kjVMB0oFlGzlHKbs0q9xbQ6bviGXkOyt10InCGOblDebexFF//Rr1Uj4EeXICpfu0DTPndc/jGhi
YRqqDIIpgeIED9PT5HtnYKjeamPLkTmlV0OPrBFpU9txi56sfO0Ha1bKXAxPdtRqpxsbSf8aMbVx
u3szL94S0ZcOOwMhLqaIdMdyqkx5g74j05WqGeOZiV3aVwNabAqepZ2gYEUNpF/UmFK52+PQr71z
Tlq1wI668UlWtlZ+udGyXa06qc+7hBuyy6cN2swqMZmAC8CREFkHvKxaQb0TPyJhjloUzsZ3kGWU
p3QNG0naa1oxBxapWIdSbAina7uVnJ4Y0OQclA1vplTdsRUvK/Uesr6UkQC4eAByDvNHYoOTbOOp
IMxHGuZT4F389pzoW5DSoBdfaomXNHACxqBW5yCLZ1uHepZ4kqNV7Yl37nHa4awkXLall8rPLjVo
uwibbWwSiof+HUwyMaO9OvP0hyaqwdaiMl9OsbHMYbrwf9Sdx3bcWJqtXyVXji+q4U2vrhqQ4S0Z
tOLkLEqi4HFgDuxr3Ue4L9YforIqU8ruUvfwDlLJYESAYYBj/n/vbz9kqIp7Kq2lf9RzduofXcvj
PvnsYwv1VLQtA0p4U+n7XDBsMNkAdQxRvhVQ02s4/0H0TTeexHSy9de0N9DB4pPwo0VIy1/G0dII
W6JkH9r4wWg9Zk42LMlHW8HuDuUpa7tTRIkCmtqaU2JKARWTuOxVC9M4Wum9qL55hI6MT6N1rsOL
RMFCbEH1zGmt++9hu3PmLTxwDnbF4WfFZjd0GeHakpU3jR6NaUu8hM2dbl4G59Uy71sV3pbUVwq2
flrDYDmdSR7p21URv4XU4AT2E6t7EjBq+/hVVccEwal6SA1k5d+Ud1HFsaAAaPbvg/tB0eQ6ySE5
JGedWUaQzqMjuKqXunwM62PWfK2Cd4YHGH4rQ1CnZJT1wydqR9bEHyvgux0b65HQhynZx+NHmXzW
jENSk4dVstXxYOA4TPiUhEB0swDFL2V8sMiAg7jwzG8J4NiMaEYaDkQ659Eb+V7L1D4bqFKiNt8M
zofsxHvV4NJiXpTjVnejUyptsPK73qTUmjGH6GGDIYSVTBzk3dNgGYA4+64JPkXjyA4oN3CF6ar9
7Mb0YBc1AquDEYWgcUzA7ZEbE4kLJaijQBvGT47fEtAMf3/vGKFeEj0zWfUyTrTxzlImO6SkAZYd
Wcabcggm0ens+sFE1sLElT4Ze7vE3DC+NayV52ZeIQTXXDp++JM+bBpP85GRe2fRigcPgi9idm8k
rK3u1yidgHwb0aNp9uSRBsMC4D21Q1JpzVgZtyl9LrrrBKObGPK6dh+g343br1LoDw3jSZSygfEI
hf0gbuY2VyYa7xoaiM++nvlN1LvG6HbAQW/6vnqxcNfgkbz9PyRoYuX2kAMZDnhXUpGdZXc/Ne8B
BKqf6WqvsUrfiTbgUCKtcq4qtxkv8L1oo+gkXvs+tpaOVOG9nuHfDWPZbOPBTc5xW/SLLpHgvAdK
wiJgtWfZNSliMmvNdVu09NvGiO06Us9+UaWWvQkGX75OcevspamSZ8+MihcnzmD2S5nhvLN1bP5j
j4WJjpxrXEryY251Wx/2g9Wri5az/ZVt4ZS4uxS1Xa1lf595wKja1O72ZdlOe19W5VMUyfaYtQqd
VOnUd4oQtg9I9JNYYMtjWveLin2dlesbX1NkzEFnKO+btgyoyGXFVzHW+U8kMH8Sq6FNpItGyJML
TYFe/fefpVUEVmcn+BsbIfILEP4ZMTuOF8ct7bsAB89RGzTt6090N7MK8PtvcCYQkTPvQ12cv8vv
/yry0ipWSMuWKo/EiUBw7YssoJsuc9Q6lPCjmhWnRmkc/CYKL1N8sULHOP3rV/FntQCpN7ptIUfy
0LP/CKnQckc1suQ0Ml2hHeuRYkmitAtYqug8VtL4ibz4v/5znq/PqkDLdH6QGpVl5THmTsbSVoRq
iSze9W48LF0dPGFnaD+RdV3Fyj98xKZu+HDgHFQRlvuDEDPzCK9zE/b+QT90b5WqZ8eO4dWvji/J
W+wb2la5HEQPO0ZjkeQNCmM7sYhdy1KmMLdFEtRfnKDgCsPZhLPG7WjTFFUZ34b0QlYW0J9L7Y6k
3RhtpM6jhVe0rnPceR11ARc/NW1CoWOTyuPPU+2Fq4iADOolqAUw+RXLxmlnIKLPEbwsaQvcoLkF
42Fi/O1V8EzXQ6U/ES5eRSc/fi4uohREzIBVoYR8f+o1rhthIQvdZTzlKNEUeO7ZLDhaX3s/bO6N
HnzkTTWiHKhzh807vQymmYa+ZdCM7FTJOhL4OsPh1u1MYP9GmlWf7W7eWshEzsskrWG+QFWW7UJp
5PdGaZUpi/nINskyhib2E6KU8b1s3QfxxH+Og3scayIivh8E+Z5fJmYwAm5zwcsgc/Ksp4GXswli
CQ4gt/wny1PZsoJXfWsFJfcSeXRXWbVz/68vqB80639/JR5WdqRUpm6jt/3+sy300cs7G7lzHbdU
ypq4GFZyohFRxNAyhoglObDulJ7STO8tunBbOxrUdNi+VJY6NI+ypVVH8eYnavrvr73fXhhyaN1C
NI7L/ocXZoQG+aBVR/1bxO2TSwIbRTOZGOQbS9pPSgu8n4yr1vdS7OufRLXG2OJ4huv/iUuaabHR
2HkRsHdFJm9GMSZNMWgH6YZoD4QTnBElK5KGJCu3GC7Y7QRs/tBVwrxPK1R1BbKjtVcpD0spfjdH
DuNKS8D1BLpPuaipx3VnWxWx9jiso5QZ19X8/lxEJhnSvt3sm77DZhelCNyUp7GjpMPKRUug5OzS
MvtJe+wLu3orAaEeZFN9NHDfqHjMX8tIgghnd/aTMRCt53cjv0+SvAcRaA5cQG3pIlb+/hRJlNfj
mTHd5dDVMYtgm1Vi1fin0nKKpVeQblMlQbyUY1qHt31GkHbeIuiyGpwzN0Oe4KPMDCtrYFnRyzFS
32IRTEzn01Q25fPousNX4Sj90HqWtvKGnupryQR0qvKKPQPmDQrMgQeULM7qsxo9a2+ozqQQQTiK
r4OwjahEr8h5709MYe0nNncBmkPZ7PyQnY+dJsam0ljB5amZsg8hksSbMqpr2kQ50tUJPJ+fskhH
vd72I0v0MG/UsjJr7S3M+2JZhnVwDFIJ36Gl39XpQ7Oth858NbRcbMcubZ7sIUyfvWJIn4LSEyvT
i0tkfkJk8uSFXUZ4RJhsPZmJXaQbqbEJAnjKS8+pB52hW/iIRkbhkUY4jnduVSlOAhZKG2X7dbWK
exgqgnf+0ttReyxVCxepCP3poHoH7Y6p+RQpYqVOmU7aeRx7DH+GBwFxnQ4gjqamtWwkhphVt/Y4
hcdMRPR56mlmz3eJ81oPX6zIrLcZIkxnpNrA3jzbj7XJtqgv0Ev5jVmbtwJG/nM7BtgIdc9MlkVl
UIrOzVkNKgcc40MLL5crZaxoiMtIP8ku0Onc5dmy9wV1MwRDALQafSB0PbRwg1GLCaeEMneV7qvE
YrGWxeNKwXaD1pz2G0Ax7bYyI/9SZ/DSZIgn2vEHZ9f4I3wgFfTsNMK5q8RcRzKQ5y8xIuZfy6zV
34SZEKaseWRfZzLpARVEztobBvyrrOMJ0UnnmNhyUu1Za2LiVvsQpMpY1HQYO4j3Nzgw3GeH7M+n
MMv0OaB5NBU7FkMqvAi2/2KScuzdJlNkVGutCcRLnsQkMAzS+8lo+KcZg4vQ1XHNcfkFDuTUH2aM
uB07wt+oHul06Tu8rd7Ih6UlTkkQZ69gPQqUVO7omN96W9jPpWt7xU1IONpGeqJ/+NfTxo8j5fxq
fDjngc1IaRrmDysVMOd1mdagA9LQlI9dkjMROIxCNubccdoxzVTnGrfBue9bioJNJujg/euXYH2v
xpyHJV+3Hdd0DKwMvqX/qMZMNCcOcQMuC+Ev8fjutJh5QYNTl/U5OAr9fkqHdTq2tJ69tQymxQQH
SnhEsV+11HIZxDQ0MqgQdDnKBGYQ+cCw/eljAIlz3X2JXDGnM+DrBBBTiOjkySUKfqYmeijJWYpu
r+/p374M/x5+yLu/r2mav/0Ht7/IcqzjMFI/3PzbMf5Sy0Z+U/8xP+2fD/v+SX87lx/Fg6o/PtTx
vfzxkd89keP/9vcX7+r9uxvLQsVqvG8/6vHy0bSZuv4RXun8yP/pnb98XI/yOJYff/31C1smNR+N
zVvx6293bb/+9Vdz/nr+7Y/H/+3O03vO8x7ei19u67hR/+//fn7Pfhl/OcUf3UfzpyN8vDfqr79q
rvkXdpJsgFiY+67D2uXXX/qPf9wFfd3A7QjEmcWix2lTyFpFf/3V8P5iM69ff2v4HhuYhr3d3+/A
UGBArTUMm50VM9w/Xul339nv3+EvRZsTZ4Mfk7f2/XzpYMxwMdmxWjWQNJvmj5dqUsajEfuhjtZJ
wf6T6EmtwtJHTK8hApIhzdaRTzq2I2MDkYwjCS/1uwh5qN7OsBeLNWDaxvFTlJF+18pMW+iDkT7H
DE3oaiWqIxNjBX1gc6IT2ttBje7LUBmGHt0tEQxU5H/odv1hGwgy//C9/PZu//juruuu3xfj13eH
1ZIPFv61CcP5h8sO13UYFP0wLcqiEq+V9Jxzm8RU6Eu9/pqhjI5IlUFdjtHa2GqsKB4CP6eBotei
+GyX/rvsFbaE//2F8//bJTH7s/77K2LdvquP/D17/+M1MD/lt0vA9//C+QU6m8hX1qyMxP+8BALz
L6bJGhZLrA+lWHe/uwQwNbqckzrgXl2fl8D/uAisv0C45fF8xTbnCRFE/5uLwNOt75aNDip5j00b
+/R53iKH7IeCQdrnaWdNRbq2qwE6a2lUFGPVxor6ixZ8ywXZmmB+7U2uSfAQpIc2frbVkuKJ4CB/
KyqHslZLx6o+xW+FBv9OBehbs9MgyIcb84OW5p8hgj/42rz7a+NPHepX/4UCqXmDyI7VnkJyANM2
hYYrPRUuNYHLpCXiL9LJI4wU84Y3WDvp0qGwe38xDXuRPmOZ/8hy4ziaYhW19hLodLyQA+zQLqM1
WXWozmbcChhAasH2UxjKTRZywCBGlVvbUFOsDudrIR+ZjumoPCRtgOysbZCpc12ROjV9Lcpho4VP
BNd/kXRRSVjsF/qaOiObdo1kICUuPqiMG1g1MJjy7IVa5x51O+yHsl+jvHVumHk/jzG9lQb90BCQ
iWhTAyrn9Z4O28WuEHRfw7wtdPChJSloI+jyLW1fDfSD3RYklrIW8PE2lW9/1YoGuIsL46JOnMsI
BcAzqk+x7F5EQkupCoAljPq2baxTUETO2S7QTBgxy6FYzEIz/ZvuOPswRt+kejTmJ4QfE7xMYA9G
639tLRbFkOeGJOpRXMljoaN3ytxh39bPRo/AQE8Nir18AFUCL0b4IRaEDnREOVnVXeWg8Ul8LEy2
980w8cl60J9a5Lz4RuTGUKzaS5eM5raiWenrn2RbdjduY2uL1pxlwpmPfLRBS6VKqqNGgAtH80H2
6kVHXtDBHS2NHt8A4ThaUkQns5RqQQoNSCuC4Cnqm34hBSJ+8LbHITPR8DbVq3rsfHfuYQSvmR1N
bES6F1ZBe62ZcCrDTu7yRls5KDf7kHDu7DZJ1NatZxFbNZQrDD+XWC9PwB5xua/74quNoQkUzdBD
cwcCM8kowsEULEWJiyyJg01fAafFkTF5CK8zBPNu1x/IId9GomsWdeAcUhv7EquVh9aJsVvmYJkS
oz4NhX+2ojsEK0YjKSc3Z5Zvu8Z2lhJwSoXnw7Em5Gh+hqo/j06hTrDWtKqeHYHcXmo2BqbQRIE2
TO1tbbMr9zg7dYo9wCK+5rVaN3V0EW2yVZUwdsBI1pEd18vKSD7pgoJ4hQa8BmBVufHpwXFjmBuz
OaH11z5xRDedPWyEMoqdXWqrltK2j7XAVHtRq09hHh87mlq3ekJ7vMo3JEDwVEM7YzSjIabUNnH7
W7eB7pUmMzbWgu7J4ovMreQSK/ROHCpHOxPHmzKpP4loilB92kfsRsYaYyMZpuX0koPqpIGoE2eL
Yt5UGzc0ulupl5fcQN3h1n57a9VNcl8boY8/m2jPPnb2dYJhwhVOSJuvy1a9lqA6bkLiw3o3uRm0
vOek47ryieJEUegRU4mIy3ZggXg+YfPHVHXvxiQfyGHaerhohZd/yegEuU5XbthK7vzB+tpl+Hcy
Nh5jGrW3vkUvO4jbpdkG9GOZ+4vUjrdGB6DNRiIIPWPo1iFb2zIS0J3VWJ1ZQ69jM0K/N6etNjVC
eBbua78dzxQ4noVLU9TkYlu4SSkWgTDocgTtsmr6VThGFwJ+ofG22uwLtnc1PFfoRWzLxzw8SErS
S4z7sGLscQs5kxTkTNEFCdKPcfC/MA5hdgiJICMvkDVMaiCWHSMsyA04QycdFkMWIV7W2qVtT8Uy
R8XtT1BQQ4DKNwUovJi32Ep/OqJ5OqqGBB2HSLpTBDLEcO3+vowB3IG27rYt89EmHUvE5EKwo6Sk
rxjOW1sMn7oaQm0Zhtoda3trPZYxykw/fGiTYDpm2LDZMbkXDK3Oc5xODLpa+aH6YUW9lbOCAslN
31bfakek+3oGxHU0BsGpvAoZjHuZbthBZLfaYDZHLYSbVjCu33rKtfY9LLLHapZKY1fNtcn+KDzj
NLiFe2bJhDspwl3jgAJ/YZ40bwZLTyEaAdIcW7FwDQvCf+uY6JlR+vluu5pKtz7wOdOXbOpF0aL4
dvORPlKTx5fQIqxakgrrJE696fR6XFF3RtBnOSNaYrSLzZA9NvEQfAw9cTcmEN3eLy9pVJsLQYgb
rWnHOxIRxGAAPZFg9viQm/mhntJsV/rFY1x+i3z8HBJo1DR0dP91KFR6Yu47LnUti8iALYPlWJD+
GI/3U1eiYXAZWjHtwd/u125e7QbSwW4GnBW9huFIPxZ4PSyhQCCayRxfOOM8YfK1nDWy5jOqVIWF
yXDOcR48hCibndrMl2FrUZNAPHcWSbGLtPxeG7tL05n2Ik/glEVWSCC4jw4zFeWuTJ0H9gzNfpjo
o5cJKdlWYVr7EWvlhmr4cIAgcuMIES0S0qqfU8ZNOh76S+UCHja8cHwLyDdWhnyj/4bGllrQrRgR
5pnQwJ9MHzj0UFntomzNNxsc0wWT54MyFD6FrH+3ZngCbqX4NDXBuBlDStCZ5c/+Mn98yPzwGQDl
Xcd1fnQqy99k6Sz5gigZgmBqIqZ1bdLEji5ZvIqm8AQ16lDScTomigAib0w2wZjQEi8knfYgGNfM
WeBRNa9GcoQEsMMwTodmWlSRWHcysraVzJ8Hi2jGLOIM0dzhU931LNfaiXGxPGPLCU9mgP7NdZr3
iODVvR/DcfSNWF9JBPhRFaaPVgAqIWy65pQpFO5YArqtCq3pJjABAnsSV6/WWl+0uBzuWIjxJqLi
zvXG0zDF30idevEgIm1jv15pnd8dLZXsKWd6i04349ca9xD90ULd2JaDkF5Eyb2p0Fc6wzS8FyNB
4Hqn9bTc0/BgMKswzjsX6O/qqGe9c9fGz6oZ+5Xbz6issk4PUcOEk9VhjFA+fuTaabYhwSmbMKne
WDXaB7Y4Frgv42uQJdswTf2dogEJSnINK8npmGD5rFGe2jElIU2svTE6Fbb+HpfRCXaRjuYzfcxq
d9UYODr0ILmjo4elQ0THGrjIEirKzouphI05LCMHrXns7oPUWJdBxHniL8JoWDt1+aQ79bm0zB3l
02IFfW9ZBM4qCV9ZkyCYLlhTDbxu0IwoX7Xb0a0+y8peeq64LTMXWRNUAPxlAO7EFLA08s+Da57j
yAdjaH/ODa4azSytpT5L6jr4zmbpIH6oUI0oM8drVD+0onmkHbhJCTJIOmODz0Pd6uOJzQVgBPZ1
g1dDbk64Khr4qZOUn7IiQYVFnxSxjP4Yt/Kjd0BmK6sC79DhKanG9mBSuSRkWTxPtYtQWuSHQRVq
HUePBHj0CMj4J5BGiGFftRmXWIJU5vdfXn8kLrsXVG946B9+/Puz6onXaFrm+k/3/Ph4KSgj3ZgW
ZIvJ/3q99++/KnP13YH/8Nvro+ox8bYGgy7WpIaiEf8kQdTsrjevP00AF//wux8eEkcEY0Cw5Sm/
P+/6mOsRJtJNYM/9d4f9H93dG7JapQ2sMxbn+a6jvbNLJ8l4q+Yfr7d/v+f6O8SE5J0I6Gy+l0I1
rtCn//O515+uv2szO9jmKLrpqIDvCwq1DJzky/WI13+k2ZEJdP3RzXsew5BMUy4bkJTbgs4mXvCv
VV1WSxoCxU51odz5ThvChjPfwj4st904/fYS2/lVXA8lAvelqzrQliMXn+yNfBfkQ767/kQBkJ9E
iH9GWgIHlWXsrv/YRRDjQQFUPf+pvBYCinmL2WL+o5rs+FDmOzQqyaQQwALQh7rcRU0xrx28EhG4
E8TlLqxcubv+dL3fhLOaAXfjl9fbXuv0m9Zn2p0f/IdDXG//4Ti/3y+badg2SUbghdsxO7V2uWvJ
Tt4leGzMKSzWRGMBEk3nD0D5RgQ2tYR+MlboBiGI5bsauRKg0fnbvN6+/lRrIcbyKYPNMj/m+o9d
obmwGOUho8xfhw1zlxQRRIT5aHZYIhfXz+D6Tzx/Gr/fvH5M9E3NDOdDW6czxpgP7vrP9b7fb16f
ZMflb/eW0zwzXG9f77k+MDFGoLDGSbhkpIQRwT3a4N7mOOSCGtNr7qMzxjKe9JSOFC7PND/2lTjb
xnscGJti6g6Vy1dEecn0/HXYjBv2khuY+QTe0kDCaVUwv47FkQn8BOyKIcC4GG2zqQuyuhxzX8TP
XqovUj1Ye5rclfDkwam8kxqhmfs6Hje069YuiUJRrRCh1itlyzWF8HWt9ytsW1W6qgu2GmW3ZBg8
13Y1a5rC4hsW0VVuh1uq8Au0MAuBJbsM/XUXZvMXuR4jyDmpsfJYzxWA67OA3u+4yHiz9jKrx9uc
wHnkZNqwRgYjwmXUhndjob2iUPkEru6+g2Kqh6uYLS+F64PVeiAKmzUFBhKJ0Vzb+V4G5X7jJshX
k+ZOtSwErXqd6vbWyyHWG+xgChSPNvLPZt9b+GxFs6OEtJG2f3CbYeMqE5Y7QTb5+NgK+1MfR4ep
frcgvadhdDDM9MSEdp7jKR1n2HeNvXMRECSljYyzXxaefWhHtTHI5UTizEJ1WLUqRdQ8bwlOHRkK
9E0pZ170XltpSEJBu11gMj91ubz36RSVEfDKGWap4u6BdfAxxaIyvwF7eFbpUrrZZtKDQzt4W5n3
H2lmPLiW9VQH+rmI9TsTMwz5yTcJqIAkUhcK1vvCsr4OYbjVm3CfpS3/L86lTyctbm9dhdjZM+5a
gI4y2g6qAubLORk7fE2ksqDqX1o5FnpzWvnHobN2jsoOmaa2mWauS6+6FVW46dp+ISy181T5HLbD
Xk7J0tXJ/jHitenj8x7w9KOUS8yNjQNN4eSuguFemOUp1aed4Wc74mCOAd5SVLB7/wXCzVqyCihc
b6c5L1ExrhINM4cvjqhgVkr39lZjPaRug7iyXIMrgYJDJoWwjqP1pOHPin1zr0L9rkonKrQogmeb
kjKXKjZWxXsU97CgnWWtg97AKEd7BOQSFCMwNiN5IdpmssWudbyD4xfH2spgWppbXC/H1Edz5T2O
9ngWGAnd0FtbKeWGJn5ts+gF0aenM9QoEhZa29ynMDxLWR8q8Hy+96nQLAIVZ6K3XWGecgnW6KkF
EBsmvH3nNBvPnuWS3jZtn+3hszniFWkwhMfhOhrMVVQy+JACFYJWAApQVUgkCxJ44viLjK1TVzDd
+e5Wiae0JrOk97kMWGoO496Zq3sgZnuLCoW913vvkrTtMnW77ZSEb4PZnRyOQPlgx5EhWGVAFghU
H/qDoArI4uU2jYg4aPxdaicnbybuJOF9V+mrEqp1WW87G0EviT+Ogca1Vs966cO68y5Tae+SEHel
tHfKqwFaRg8t6IepL1hrbdAMLN2S0aoI14xQbErbO9IXT2nRv3vRt0kZ+4SECIN+NjGCfLRId6ki
TQhu2+7TnJxuQkQ2gB2UyuQI+nNsm58yc9josU7G0oThhaKeIS+ZLp6qaLyXifMS5MWnBIkxIHwc
l+OL3qVrypYwemhIw1moPdyBRbjJUMy1AyXHcCl8ddZA8KcwLzzxBdXBs5+rJ/YNG6MU6zT2d4Vx
gI+4pb1Ba3o8dl54EcrZNtRC7PpQgMu2+nRVZNY2daZdUDK6J/Zjqqk7M2dNCuVC8BHrxVPJ5iCl
AhM4053GRyxNziTNuPOwOQsj3BSluxi53jJADVkeHGNN3ZNNukRAdWNZyYIWyKkZ3LPbeReWr3fC
8J9RNj3aPu7QsNjISW1CzdgIDVV8qj06ZMnIKj9WWF5sM1pMwHBDpW3TnLAuS18JgUvAKtLjSITM
xdOjjVTRTmrDXRV1FEYNFB/hJS5wIxfmZsriRYuyPhcUJB1a5DFxDXAfp+GUcJ7Fhn9qRXxMevzH
vrPuYVJIJz72fbIfbfesacWTFSVUxTMbA8dewk0uEL1GF6t6jvtq0bhs9HBC6nq2ss1wg85go5Mb
UljBIRs+ASzYAGWrgLGVpr8WHbJ6U19dT3ErfR7j6JyVJBPAIic1i1Nya8qWUaZZul2yyMiBmfTx
aHAWiA7lbTItnOaT8KPHeMKL6EBpotEK5uYiwbdYUl/3jrtwtGarHkji2CQFWI+JcVNqt3kIUXAp
c7Xvm4e87fdw8C5VZB9derAyUJtUjrclxAnlNLvZ5z10uJkgh6dpvLPRXiRKvDqB/dUO01c38nai
Kbb6MOznVOsatj+1sssUy6eEimLq2yvdr44Fxj8TOcGj7qxj5MpBf+9/9uqnPj1XYgWa18HeWh6m
EJChequClUcsTMFlhBScJpplnovg4mC9aAzjLFv3kgbyvmqyx3gItxLgnFDmwkhOJLIEVrkJbXg6
yVxx7aKn0pcvsiQYKMdSDHDCAQHt+NreHJOjz3gyzro8ysJHGzqyLLwlCod1DzbHwe0A14Iq87SK
HMmZjPExNpe8Ys8u3/ypOIcVYuwsXhcpJURtZbrDVrCaEGtHyUPsYLrfFp67rBB4tBWIlPYCpJNp
iSUmjhLXwg9nXxB13E5+syhlSkSRvbbJayKOfBlpxQz/xWnlblydzoKzqGwqlxGjvgJ7Iu6y1FlD
qkCyu5UdFB8c+2GeQWOAy+d/JMHZVg5CCn1nE7nn1/6iKm/NcliK7HUcBBZ9HStUvUbdjOlx2FOY
HvORAXi67d3dIAqmAHNbtOOxrO1d1ZefGlG9s2vO7N2Aa9SJ9RucAqJB2zyP4eNyZEYTgVq5XbiL
CBUcK6b4SntnN7mMvXtSwjHwNtu2hHKM9SYbNpmBC5ksD8HSTUAkk3itqwz2PmQdHKf5GG7biMGu
RT9jlpDjCSwsPvthsQA8vsypnqNHWFhWCs60xr/eLwJfAAKb7syVBaaixAjb6HuPHo10xLYoeKGC
jXMoVyFmP6+5I8t6P0iaD+PwpU2mi6vJ7WQ8J2m9GyNjnbbjY+xOB9enMEsd003wJCf6PtJw8qFx
MCD2ZiFcpclb0f5dUgGjzHwSk32w1UuhyoNnhYxHGGOA52S5dWuzRRqpcgtt2EqmxhqkJpOQhw+o
qKhi1wLvvUMXBxe8OvfwVA1brrRo3NDFgEoJ7QbNk+niftYYvtOHIQcbqQlEbMUxq1h8Q9yh4PTU
2jVa9gLuPfmIkqs/epqkOiP1eR306MEXHvXOaEV3b0H88k3ZvoHWR1zYLxUbnop5EbaaJsbdjOAB
pEs4CytlRg70srCcjKca7rcOVdCbSv6w2MhXg1AYPG9gXry1a32jmrewSJaCwrEnAugSqXI1hcOB
A9JKCXc6QQ0MpWmRMn326yanJVjDk6HT0GFgxZU0gP3o0RSpgZ6Z66yiyLylhLPkLFtMhGY2wbTM
SaMFOQ494i6jlp+nmGhc3I148ggd3qd+v2pTzA9Kw0dELE1JwrDhsJSH+G7DmwvxKDMZQYWMm26t
hcT+KXj/xbS0kmFRAg2zPPeQDPHeVLSrinXXExuomlWn6yt98li9Rg/D0K/qnjmKyCyvT9YxOA3E
D3faU5awR/ENkIU6Zet23Tp0oCzW+IjtQfOSp0UwpbUg0klJ7UZ13XqydOJHUHoN1aLljRf4HHqI
ASahbRA2rcFaev7eabCzafoyxdqEFHJNL6yLnCXj8Y5K5Wqgv2Zj8nN5gaRa7oyekAEfeCghC8Fs
rDBWjWUcYntazW8btCyNB7nNdLXLP+I+X4nmLAKYsqYFbmJdoiS3vXqD6P8hMqLXGTkmSv1c+Swb
WNwShQ2kyL0tIaJVI/TUjrV6M6wGQy0zp+F9ZCtjfBw8rGPQR+OmvsEYsoRmeWghXomaN9F5C40m
Y+tlyxF0gh0cR5RfNutFg/FZ2NPZ00mZTOu1BdtLjM06cx7DYvgsxPSctsFOr+uXMr9r5+2Rbj1k
LOBbRV07IOVOH889WRaDS1LGYJ+lnZzD2L1zSTkqKg3kFRdQkhwl4lBnKBcI6Rnamz1i4TetSrbu
TUX9vDbgxThYgoYEP6S1puN8M4gOaA6LqMhdp/08jLkLKvybxNePmhtQ0yAeQ2OVRCSyzQiIhHSR
WHj6xmjFGoXE1r1Ry2VXxUenpOOLwXk0MFIa7lJW3boJmjVboAg6dmfW69JWm7JJdzAR10NgkpRE
2G4YrsMsXPvmwMbFvVAL2JD+w6wGwZyh2YrGR7uyV4RordosW7W6Q9LYLMl8E561TnF0pC4JOhkt
AazVDL+FdmwnmxivN9+0tj0T1tTaK0VcU4yXsMY025nWxs6QAhSYHEsqqPWwnL+8HJ+ZxALr4F0r
sVQFHNmbyzsdvL05xFC7C0tza8MiSskLKv+TuTNbjhvJ0vSrzAugDHAH4MAtYwGDuyRSKeoGplQq
se87nr4/sGq6GWB0xCivpq1NpS3l8P34Of/S6XvU1j2DSN8ffB+DQJI/aV3FmxKFTQRDJQkoClLF
TZRnsQ4php++/RAuP8ttbICdGmWssUiAgc1Zxt9/+yOgCEv5wdfmnZ3BkYsiuKGdCRsFxlkkvGlQ
3lv6Y5UN+Z/fO5VFifrwR4Mm6U5zELJMKNZv/bHBN71JvtfoQRws9E/+J7VSkZffJAEHpdWTSjKm
ElkPvAkbtCx6rVPevzNsZtOQlnlL3bhdeB8XBRpt/53zefv9HkTn3lY53hiFhhhZOVJWgqU6Zezr
unF4bGTDtwCwFeZHJQYYfWy/BLgIuFrVfwsL1zlgw91DzuyzT9Jqv2aFr5HYISSSpd78EZe3hG3+
3Two56rTouq28BEsy+y+/hZlGgszyNXN2y9DikdJaBtfq27M7psQiTryVvW3MHadrVWh4PL219oA
jSq0B8wSItEYdt2+1h95WBuP89C+ItrpbLXUSA7QQGPEEhMOC6pQ3xTU6al2DiGvwUeQktGLJoOt
Kq0ZhRNR7LCVUwc0VaFv87aopYb4XpMSr9jRFuSlf+jBIAOA96O7Mu5BA3dYzeZ5+pQG5Z9RPlC/
mV02RTaEnszMkSvuwbJA1JNtTDyDLAUmdbgP08NPxkKxHiy5q0kRCNvYJ+OoPcup/SWGqbkPjUJs
MyuDC+r7r6mCPBvX8VfQwfp1kRrz7Zj1CD0asMJ9nqstukSt8O860yROhdVp028OPosEZ2iQGk1+
JtPXHjBW4FKrujMWSMqi2VIFdxMs4cbro0MP+Hrwct47S6Z00xewximePjoOWAQE/iwK3PtpuLPy
lNRVgOsjHjwkP8rFjkXj6sFEM3KFF5S5NxTiy2xPe13pN67eUr+k3xCl9WJ+SsqcVNl0mOr7HkRG
Wse3M8zgfIHlxPPO7NoDDLJ9C/ogt6j6IVK+HFdlVd2k8afUR3QRcRAzHQ5dmm/TnrXganugdQgR
dAdDA//szhvo4Du9vm5wC5lFgwg+4Qpg7JHnWp7vUur/wYycoJJoXITXGpmbCETxrNdYK/sbkrWk
AqfrrG889cvmNU5tBfnGrz77G2bSk2OiGTAXO4UMsk/xtoC2b0fTNq8RPkN/NtSiwwhqvSux/Q2+
m+14LQElL8yA68Rw4VdQCc72DdqOySb/Drivxekr/i7lE0kO6zXzXxPK89D2oXtP3Kr6wa7kpptu
A8TMQJxsBwGVrXwxxG0p730X8VhwsdNupB4LQRx1YDMjyYbMEpKLz+hfx+FzbT/xLQxDk7yM7jdR
P3MhVgQsA0k0VJum7ku7WFQZ3+JoQbBYOydA285W+3YqrvzpLyqsmxSrKWH+4GfGC7F0CuRfQ5Th
RVg3oL9xQfjDYl/dREV4Xc7N7aQ7dwhKb2WBEFxnY+C6LeERINxIpI4p69jiG2X+OToTEhXt3zyo
EL11jDtU9F/Sh0E6d5apeUn5OIwxgO/2GzES+RVSjNB9GtAVjf/SGo8ld0yLzomqnyZgQS1mn2b2
vcTDNb22FiGC4lvBYC5hPqapDKrcK03wCjQzNqTctPCi2xhGBtUrkGa1ohX0W3daCnM97j4lxkyF
Vd7b2bcAE2sO/ydTfdeJVYoebaWGlwHqRlCJOl6hEiucPFLPziQOWVDfOhDkHRtDzRwOeaiu+xiI
WYghVUFW1jEPi6WvPmUEcPIe1CVcW8mDO91BxPPSWf8UCJRUmtvCdL15Uchg+XdVcnAz94+4Nki6
jrfR2N6HxXRdb4TTbm2MDF3sBBVSRxC9onLLMZOY1zEhH0ZTIeo/aKJTH5l5XUdXzfyl7/4shTdD
Xq6/9hymsP/Z2obwUomWujMgMvR3qD+D9gjwmy0flPbgoyM4Zw+pjUjBVfQT9cLhS7ko4OxMrM4R
sJa3CAoh/I4mXeS8OvFrn/yK2R8NBOsS90VpWY8o721zpDEjXhxTSmpmcJNDT/w9Gf3zRIwet+km
7V5kP9xEDRtX92Gu9/u+FVRJULIPUGiZ7zuBlJON+g0yJpq/b6LIW1INmml9y3JtBxsEhIb90Jfd
znq1qiujnjnDACZp6EDZ9wEKpP6AnpkqHt2o+nEzmPoLdLzvoDGpjzYPpZofZKLfFaZ+S7Ym57bo
u/pLjciQHDSP58f9iN9INRLbYfxUJxarOX7owDL04BGo++NIhGNlVO4753Ma33ewSIumfzKpxPfq
pZxQjZTuc2e3wZbDcSGTup8dOTQ3SvUjR5il/0BhyG6c7NrUuolHnhi2KSy4u6wjtZzZs0kkoNKf
rrrLnCj60y2dgUuDvzDg6JmNhYnItx1uOYZJtqb37myLn4ZG6DK4Gsa5YY2dUxHbgBZU+M1J3Ju3
v2FXwHFq1yy/FCN7xSn1cDOYqYL5AxhLiaC8SXuldi1VOp7ocPv7xlfPlSP0B+lOX+whekiFtD+7
dQOzEpQ35fmyei1a+DSQGJ9Jlqf3ga5z7vSyek3SDk3IHILn3IgAJ3bd6ydVvoYtklo24lsqdX7m
URp8DlpL+0Ti1t5l+aGYQlDYuZZ+qeM8/RI1t/oYVp/ffsfSZbsbAYXv3v4s7VGwKtPgSedG8Q1V
3SDw6N7nIuVZsPyMh5p739gaMg2a9YMK1J8dYTlC+HOMdk7+9qMOZOm2mVTkxU707GiAwK78OkEu
b/nh7WeBljxIq3KvOw0UNbd5/3c9BVQnY1ve2AZSRWaJFEQhi19lThJu0jXgplLclcsPbz+bCh8J
1QA1GwvrP97+OAY2bQ0js67BhkTuPeuCzILZTzcEuRxlc4vSruPjmVim2UhlgGJBM06fVRcgN0Xh
H3vloX7O/aDnokHoaPnV228RAB76eKwf4/i2jMvmeZQKp+IonA5vvxSa4e6zEcHdt1+WUfv8+8ju
5yLj/9cshyN2xP8ba8L7VSx8g2b9T/3/SJgAtP2/o8PvfjT/5+pH+CP7ccyR4D/6Dz5ciX9BDRem
Y7m2gRmRDkvhPxQJR/+XdBfSjgQ4JhzMbv6bIiHUv9h1ru2AZVv+m+WP/oMPF/q/XGTPwZq7ylEW
bjW/gw8HnQ5PdgqKfGGD4Owi2FkSkjOOSQsnY/nzdzrzVj00E1mR0nPDvthYcgAsV9vl/t2gnCAr
HDPl/28rUBMdCaxdiBVXQWSF20+uKL20ERit6mhCJ5qJaFmvo/2Q1xkpyuACt/dkz+DlLyz1hSa/
wOLf9QzI7jyTxC9xvOY+mOqG7JJOvHe+Z8YxHX/pmjBNA88rC6K4bTkrBpbtFmHkqKrwZg0FM9MQ
42s0ovEy68X0tbHC8SEg63Yzx+Zfo7Pke+DcXejpyjjo399gmQIaM14ksAZW3zAUs9t1bo8+6KyZ
6Fk3ZGi1uOg2qd9bX52odT5NgzDRVo0oEFdVtVOdPu6QcYQ4rlVquDAoH4ce3ybDFAuh2sYhZMU4
6F3NguyneGiQ0ztoqWZeaS42peeHfvlXjpbuYqUmdUPnf7hbjJX7ihbpuQ4+JSWAIsGA60xK/Rx5
D9zr6gsd+rB+2Z62kgbbET4TjLfjtWRaCyFAz0MPVnJ1m43t+EcrBYKHTpG/UAXR/jKCGj7C73ZQ
sCEtSXtAIY21JYNfoYzfF27gTZGpHnmJyU+q7dT3CCfwfxPejvhu79lEH8ZSuQ4jKBlSps4R0FHe
b5ZAqL4ykNRYCL7OTYj85C51pvi2TUlNn+/Vh8Xx1hS8Rc4u+OTWanH4pZtgejLA08RkD2lC87YB
Fvl4vpE19UunEf51w9ZZf+zRVSMx4cIg47IkZ46nQt2OiHbi4P2Y1S6iOlTTf/eAg5UtOAMsmDKG
stYHXMQR79oToIHCGZ6AsN3xCiD5iQVSNmo/rTEvr8538MQoMng0Cb3HYdpWW56H7jDnNsJXmWNj
zj3F/jaX4SWrqtOtuCRNbRP+9dqpSnW5yGypSg9RCxdt4a7ZGRhx/f6KgOzvusaiJAKLYrW7FCZv
lkrRKxrqyt9N8fDnaKjmQiNvx8HRcUELnBOKO5iDmp8fL3G/Ba3GqqQvpqTShbboRhgzuo5UfTJj
su8cP06uK4ENhUhx2KpEHuyKAdPu3585drNhLQtFt9Xq2BJ5n1rCZ+YGWPfUfl25n3H+urAgjRM7
2oVHtiwNk6tBrpqJqsR2GoPuur5bbp0WvnQc9jtKZV+mrH8O0SK5iqREThUl/6iCg2R8HwNAI0GN
jnVhkCR0g/rCV51aT4rDzCYd6egw4o7nwMQvy7co6HmT7J41X2h7s5ouBRunGkEmgYOaVavDrztu
RFIgsfWaRsqSoo2moUOMDWpwYT2dGt9FqcLEmwctcnvVlaZxkiKGPOT5ID2uAfhGzwmn2s3YqPgC
59zhg9cr18Fri0SjjgSJverQxGTwnO1KgOLUsvzcyXZQaHEoF4igQ70CJ59Rha31qbzQyY+bxtF1
g1WKLxCiJPZC4n1/L/h24MdLHtezh6Z/jTsLM6aGh0nZNeVWIk1y25HF+NWwgu/hGaY3qQkaCA5O
dGHlLMN5NAaObsBxxUZoUWrR12GWpsPGbQt3UcCv/tZ1hBWB26c7vyUhRYU+ubBJP1z4ji5Qd7Lp
PucSZcvjfpOaDpqMOpIXm1mcIBVYBQIZ/ACJLx9d1YQk+oRCrDm9/ObhQLsu8YxuO6bkJFzdW61l
D3U8kA0deFPcMx9kpd3AunA7ftghhPw6yRFQBygZcDUd905zm3QQakLweUKxPdMJAKu4fz3fFePE
lNGKgslq88rBxuq4lUFAoJzgbXi1n/4MygjMu40reRRpG9dA7T/p86dQal9ypF5jwwZH69tIUAd7
IUkcGnmJYx8CivBXLl2eH/bu0n/UpCDGwtgRrjz+Ml79sQM7IPeyIRs2XW/hHZRAc8jAyO/Oj8KH
vbtqapmKd68Q0EV94VQzC0mMHQADmEdzKd0rqDUILpKNuk4E+8kEinRhCZ+c5IWS7Fq2IdCqOG45
6Gcx6N2Qe04NFi63EbeDO2P9bhyy9M81YCoT+vAWXV0ziSwR3tWWBdt0aFpni4vD7H89P4inuiIU
txlsadtArum4K7pmVZE+aku9her23GGRVAyDcWHATk3V8jjlpNW5NY3VnrdlHSgf+Qkv4+7c+46Z
fEMC0tpOzVDcxzHYmCFoe5S3NTP/B6NoEw4gRcW+1OXyae9WCeTciGrJmHnYU0VfzRT1ZEAY1vWF
YfzwVmWyMB7FMM3EF1lfL4kCqmwIRiZDk1WbXyrHmQ7ulHZU4TPtdiqrfuO004CUYhh6rabSB9U4
codXMMJS4IxfOS8nXK4yxPpSNFDKbezMzjbMbfdFdea3zEynT4lG9Mvjvvds0XA2J1V1cOOhRcuJ
ZKTUOlx09bHbaprVfZLK7JEuqcn/pj12GR2+nb5et1CotWgnWxniukZavm0JRaBg+V6WjslDMeXl
zfmxOXVYER7quEUj8mWZqyU2N/6kWw4qu2JxRs7TfHhgZCC8BZG5qUGW/Tjf3onFxmImO8E7ZRFx
WbUnRkAewo4zD8SL5lkSFXvKvdJDBq2DjJvDY+sVV0wOx+l8yyc2k0mkzbFM3R+NjNWx3LHCS61r
Uk+rTPwRCjQqAEf8Rwjif31QLv/K6r5+34pavU/c1En7oehTD43iGtgiYuIz+IytTOr4i822onJI
TTto8BQoSqSbz3fyxHQio8ZFunRR0MvjDZWMALr9xqKT3LHXI0HndRwYxZURig4UTt3+9jHPRWIv
J+BydHyIk1C9ccI4xuigH5H/GzgtXx0HyJjb2eyBIjQfpxr9nVCyys/39GOkggUtZ5bEB5Fs4qIx
8f7oGGSg94WN6DLKTcAK8cRJ4VB80uYCDn3f6A8KfdfzTb7p/B1PLm2S4SH5SAAs1o/PLiiAfvtN
6aHRVwVbM8pNsC8hbhSF7i78bvx7gUG1EfXrtNVAiqFDggZJFat9baAJXunViDxqmv3JO9ZFWCEv
OvmFdAeq0gLf9Yj6W6PdTWGuiafOsAKxn6ImqD6ToQ+fz/dmpfb49mQnfURkTaAiucVWa8WQ1RBE
gQ+zRMEg/0xObPgFY74cbse0kr8EO4QHVK1VzacRMPE9rxir2QyTj051FozuH2M6Yy6mRq4Fe6rt
1xqdV0UV1tR+DHFKXciYprHGycupLaRl0MjcKKjin/VEU9Gm7DpeXSIATb0Zhx7zaeHEzdccdAAW
YkGBJWUc32WJi7uiDwUSE3CJ1Stvta2oNNt5lZg+40JXDOH3xMnqX+eH52OsZHBj8IYkhtO5oVbH
BTpiST7rUelZruXfNoRlVxAY5FdJbvPCujqxlF0pSdZIclEEwKuJQABCZhrsKE8jU+ODF0RQ0rny
ZU6pti6vROO4F87Cj9lbR2Avb/OyIo3BI3l151d61IROHeWebpndAX4cjml6MW7Z7cENEL2YIQf8
PGalTxqpFvFjo8B6nR/ij/1ePmLJ5y8puA9iqtnYFIlo/Mzr3eWZkbrYAnRoax6MMZhhqavAuNV9
Z/7rfLOnOk+oQ9KfXQxh0FwdHbbth8FsmZnXIlQHmqvQH9ge2ha8X7xFRbR9QK/Z+e63OL6oosn3
cRXP3j/5CF6XvHYkvV9nHouGmBHdRsrrEi+aqp3jTyOSDLuox6kitqwSVx8UU7VEphsEMDUMcIR9
YRmYHy4rTGb/5xvk6rJC0U9X/iQzr4q6H0GbO58tEwHm8z39eCMeN7KKlF0tRIYxJPjSclk+p1JF
hwCpwJ0aAL3BrU9wl0XT4hau1IBWYqIujPSpTlKnsN/SlGyxVSfbhlx9LwC59y76I01vYrwnMnkp
xjwxlAZVEPttQtX6agjhAHdlTSSrfBPfWCMTTzW0/As75lRfhAk9SZJIIi+xOpQ6Oyxi12iYMKeA
H5/m0yfNx7Hg/Ix9zKE5gurOfzezDmIAtzW16VSE5XFWwpYdwPs2EwAO4Wr3rRXlG5BwVGp9sh8g
zWaeCmPyyzFTuZtRLHxAqDq5DqYuAZHbxhdCnI8HMx+HuJQuLUX2w13t3jAcZNUBVAMAXKYvUlb5
3VwlmGogwXx+HD4GU7RE1UNZFvp+xiJ+9T7EQPMmSDozzTzYoMbGqXO04ZUb4jpff29Vfum1d745
Tqjj5jTB1RbVBc3her+RhbS3dg0R2pYO3oG+pl2Y5pPtUa4yUZxbzKSXgX73+GoAD1ZRjwcQjrLB
SyYLAwnJ0Ia6pFrS64V/Ial2ur1lIM0laDSXxf2uPYAAthNgYO35eafdpUOgdsmEDqfrNJMnfCz6
fnv6JIp6NEac6FKkOG4vz/FIH1C4AEuMkjsgjXDnWMWP2QD/pWawfOebE8tBdhwdCkkkLHRo/STb
rdVBpwWFSPxCA1Np6Ug/xcnfLQ6IQdvuiwBXCz1CZAjtGSNK7mKtukG1aquyYlsbQDELJGwopG6T
Lt5HNvjBogSyXgCXRF0X48sLU//xFSaWcJ0719BJlevLn7+bCqOpWjnYMgELnaMXAnx14/uwDYbv
cwCJ0JnwO401jOrPD9HJZm0uXZ0cNemM1QipIDDC1rUh+un14EkFlsVBsn6jN/F9gBTNTQCwhkwZ
XqPnG16W1npqCN0hIJBnYD+vzgwA4nOuFYh1TUNngU/Ew6MpwvZC9z5IE6IYYNIxPAbYUUpfSxNq
Sp8HUMSJ1ya5s0mp0e1VHjaPY+uq66Geo5t2aOcfXYfogGt0+oPej+7BSuvFJLd3HtAXti70fFnk
q56bfAn5HdKr0NFX2bDGrXM/m2NchwsLh5gcuLqpRxDvU2THzw/yyaY4TsB8cCxb6xdZlfYOqWp6
n7QmHDE95i0ftNmhTdw/zrd0Yjo5tCgQE8E6JnHc8fJdBH9NpwFFXVV+tsW5B4Z84sS/P3SEfZz9
S2IKvN3qPG70yZyyEp+nrGflOL3hfnGkE72g8XTpLXaiQ8sBZS6zZJHvWzVVyDyP2sqiQ2kbvXSa
7177ZZMdzg/biQki/wFoYKlpUlpcDVunFdkYYVbhhVk/c8GE6BJNciFVx+aFq/ODBilbwSUKWs4W
7tAP+dGsQZa9612AaKYxPLswLjfQZgrPKnGpqZMMMQS91q/nHFaIXaGENmt2fpAUQW+lE/p4I5om
QA2n+kuqAGikhiMLOLV+m481pio9ukmo41HGS7X41saiBPMiv39MZuhFFmqEm2aq0wsph1OzhOqo
A6cExIBlr/ZSp9tJ1cz0aaRgg/BdiemzBVD6/Cwts3C8Y0ksI5KJxKkJYmj9OjEyv4nSvoy8opr7
fWGV9q7HG8YbzbjwbBscKY4z+oXL6+PSWDK/rEFwNAQE61K0nEIQeilmUqSNkn2kXGuHMNOfqLz3
z+e7d+L1xXuHCO7fGAVWx/HmHbUYOzclgZjXheYNHZxZQ4Kb7YpK4hkvIkzUqvbRGkiHDoMrNnZQ
59vzH/FxJqWB9g52A/yIz8Xy5+/uv55XXUUWJoKtrgmM5FJMtUaruDCTK2+DJcNCMyYZfMvg4UG6
6riZrtPAfLhu6KWg4Lj9IXwD9tT9rTbjqhegY3edTogLoJmZI6BYB4+Tm38P/NKCltLj5MYivpXT
XHnnu/8ROMWHUcMl62BRW1DrGNoos5n6kFjmACKlFqE1WY1Bc21lM4Z6eT4+5KJvYRr2eNKIGbOz
soCiWeOT7jcwIM9/zqnFx5pzOPk40T8Uri17HMyqsEOkVGzrFXN2fd+zbrbhmFgX/Fs+RiDMOp2n
6ECoRoPHM2I1XMqytRJPZ3mTlG3wdEBQ5grgYHVl56ZEZBJPbXIfl5KHp9Y9zxZhkioF3sTyO25a
dMiJTLKCyhq72m4ckaCwmSVSLlgutHN5Z07avW8Bl53AXcNSlvWX3x5nnjOOjvcHKR/G4fgL1NB1
HU4PCQF4haYIBYdrWSBPXjuGdWGDnTjEBBcNIERB5YpL57gpGcUhiqYyhgcvmhsttJ2brEdBjW9L
do2FflLXFr+Np1luaSAmJogB9K/X1SRl5ziBJzQ6CcRUa82AOzZSdzk/iieiPCl4eVo6/+dwDayi
WAlrOZ9xAvYonz/MY+w8Om2sQWUp8f7TfYPIXYdnYzco63QR4TSw5oq/yHVLCSk7GKVRfj3/TSd2
EMAPk8oGtxJgzNXNDgEmtZ1xxpIyRbbCMSu8g1HEJzNtXqgXnTg5MXwixsOfREoOr+OJNROjLe0U
JR8JQn6+sjPUkpTZNeGFUV4WyOoWxHaFChE2FC7lsFVEROSlzUaJeLMjJ6zKTRtv5qj5FQv9keMq
vdDaqeVKeXB5tQE/4Ml43Ku2FnpoAYPyeDP6+7kxCZAjTNUnM6v2oQrSbY/e2IXr4dSkgbFgukxJ
mOmstmOcum41jO7CBSwiyKN2sLddQlnZo5V8fn0Yp849HgCodIPEle4aUqm7kREOyOCC1jW+hK2N
DXH7IBx551sCS3IFB6c6NBg/x7jCSzRLYCFAMW0enAjD2IBk+4C1oz++qLK/vvBt4sRUowdOPksI
9BjVahyUSrSJGC/2UlKAmwTM58YeS/wQjQiP7yyx4CbU5cNsieJAF4Nd5889wlmdDRIIK4p/9DkL
UAu8FjnV1V6qGkKhpGYvxf2EYbduG9Aa6x8QQJInvEiQIHAttKFA3G4Sux1vJnwu9kHe1V6YUFM8
/zXLdlpvA5zNFiSspYOAWsbuXaCSW2rELJCzJqY6dKBc7eLxoyP5hOLYoczQyp1DFOkKEfbX01z+
gzhpQVBQB+G6IExaNQ+DBhOVnqlxh5JXu1FBegR/5v2DTvJY4NBmq3OIH3fSLyDO9NpEKxRJNiGZ
x6+6M+FZnEjrKmXLbyan16/iwcwemsKUF8b41JHGi93SYSpQiXBX6w/8qsggzcaeE+D71+QNRS68
PS9EHid3uyKyXtJfnJ6rg1PJLqgG2GtAHRCSjuSoY7EUwvtsXff5/Hie7JCzwMZ4TQoye8fjCQFn
7txkuQ00w/FCd4qugi79bbA7E4XJBO1QJzPkGipWJW4MHAyBgjxwK3zpOvfK1kTxD+4bTAYIm3jr
A+xcrY1qlKlIbSbH7IwZWrGO+yiqlb/9Ml7qbzzxXV7GEqjh8YiVo4WaHeVIjwPBBKhUYtic5Bho
lpfKiifuNVoC8EtJgl2lL8vk3Ya2+toMY5O1PtnYJ/VaYmJFhd2ALJJ4GydlcWHZnVgLcGYk760F
8QZT4ri9zBr1ItHp2QhRZwt1QMEunqLtb684WmHnc3U6hrs+pngJwxwkFPKyrs5QHcFaKui5Qf5B
K5xCAHjI6RLlHfdFEWoN6TJ2uT1Vt9in4qQDXPFC6uLERgUkh8ckL0POhHVulPtnFjLsYq+LjWBv
ttm0HQI0RyyFBNn5Dp0IO5ZsOLDOpQhIPHXcIQ0afVXoVuRlFmmm0nV+dRLnY6eOn/S67G6KxjEv
nLWn1gP3OkCoBRwn10nqOpTwWtGB8lSbaegtoRYRRnZ4IVPydmau7i3QwYQaBOML0nD5jHfLvIfS
N2gtxJF44ty7otCQVRtHRc1wjWhW+NhpWYH+jFBJvQed11qbmYgbiioqCVh/h/58qzTdRHN7lEW0
5RJM/sC2oHpOZvcvy59nJCpb66tBjU2/0lUbmai31ciYGRMghKuqVL1501mlsK4iuKJfAn3oNEQH
hn7wxsmOCcqVgSGrycPrpwLwuk8iFw6YHphufsNZVhloI9auuev7rP9m10gFbOC1Dq1XWX2nriIQ
ILg6GL3tpQUQ5o1fF+IVHWMU97vCzA6Z0QsKjdL6mY1wW69kRq4/V0X2WFfIoecCI45m7KIZEwNp
PaHPjiQtdIP0e9m6Yvm+CS1MvMkaGORWjxukk9nf0lLXP7dY+qBm37b1H9gHNH/OM7XbjZ+h6rlx
wrL5YeM7xX+Zd7ioWUgH6qnVXbmlBcPdFb39KpNYfq55r1igrYYEqn+PNjqMcwUzfVJ28anOZvu6
y4wy3jZzZ9wxZh1KiWUcvFSJUx0mcrBP8HbrXTeFeOQVs7ivBqPb69aU4SKpIh2SpsAHry4Nko3K
ruY/ZDM6ZPx9Dafb8xvpRHi75OVcyliI6fG6Pl5uuj7oQ2Oxqssqn9wrsMqc3UsVRkMGYi99/OSQ
O0u8IXNezrd8aguT2dEllXzC+DcTmncLPe8z9Eup23kRkqd7LZDOZy2fxr3KJvzeeFf8iaXJJTfj
U5cIrBHieBKNRC6rQx1P4t6PSvCBMHixTx9dVPCgUntFPP6kdKNfODNOnIhkIt+Mb8nuG2uST+13
ysjthjdfif27m1j4d5TRXzM8nd8/EGmJ8gHZzwWaseqYXgSW5gecvYwZGSmkoPtJK/DEAAFTJVp2
SGP97/MTeCoXdtTmMsPvZtARc435Ki9a26mzZz/lftEdzO4r0CGbaHGxMai772QTh1ioBPZtLcpm
F8xANoMeYY7zn3NyrCWojKWGiLnS6kpoWza7qrkNsEtzd6YVltuunKz9rAp5YdMsg7k6o00SJVAn
ocoQ+aw6ztkV4BidE5HiqnANnh3X6jhGBa8ym53ekAc+37VT6dCjBleB9oBixShAGntqBhAWxEiI
mQEO7lFUhxvbSapdlYGfUyQDN+Uo+yuKadqhwENpL0ocadpUuTvYZhdCpBNvLHK0BIBkQhFnXocV
gwVfJzFSph1OxLavW3Qisvy7SEfkl1yV7drGRBUXw+lrgX7Thc31ZlW4ngbJTUyyjwewsX7+AvIZ
8WrFt5XgDLefsdihXbQZkuqutbtfM3qK5hTt7aT+itrtAfTDHeHWhtWx1drydTSKb0r4h9TOUAvr
N2PaPYsOBd3zc3cibKA4RSkdbOkbWPh4k/QwioJqKUoMNkY0CBYsclbF8PsBHjZ4jANUKQgvi6ve
+62YAKXXcy0gLT+h7dFhnOQlWLVc6MsJcs9C0WXJAwJmbtd1MD2VEKIjw9/XGvDjoXKznZ20yXU2
j/6BwqO6c7W4/FzkyKLrNRpzwq51L2uiC0fPxw1IHg00Ke8NS0AKXcWzg98h1eCjrzmHorhLrKa4
rrD98XjAFT+qSl7y8LzU3ups0TsR1DqIgj0+HdPWjEH0jHMS7JDktTalqKsLfsYncESkfxeAGZKl
LrSTVQeFlsbglJS7j2txSGQntSvNrF2skwqJ6fU01TvkVyekv0zU8htEs0MT+44ONeVHp/L7m8jF
CmCbN10FwvYS/uUN5Hi886iBkKMWSALzedbqSY6qhGijynH3jWomRKf0DUgnNOpza1uEykAd1PnM
i9QkTz9o4H8wfCk7emBSNv1sT2Ak/ea2VPmXqb4EjTwxVWRzwZAsLxCyn6tPU2U1GT7n0V614d0w
SzVd1Zr+KfHd8cWxgvT6/Pb+cAQSvZCWMHChdHHKW5fug7aKw7CaI88MctTINd3BKznuEYzN5WaM
A0q2frOLEuN1xK32wj203DNH07A0DsKWPC9VCRIWx7t+HlHe78Mm8qBDL7bqwZM95F+NJMmuyq78
2zL7p/O9Pdkg1SaCJxjLIJGOG4y02amGsucw65GNTpO8/WJjurt1UYXamZWFNqDTXuLhfjhBwRKD
e+GkZ5DJaq96OQAfyH1cfvFFmpEPr+FYyD6/xM78sG6WVrjHLN54pAzXPDo3GZWL90LkVYFRHgIL
ZbgZN6Rd2KDrNACjvnBifwi8l/ZILRA9kCgEdXE8lPkolJGGFUNpqYdqEYInDeDc+3YO+H3o1KbH
0eUpwFb8woo9OZzvGl4NZ9UH9dgpQuA4Q/Qhm4N+jwHdJSTkieHkdF44Q7bDiK5fy6NtNr2IJuqk
Rd552pygOTZjJmnr03ifWBdZZR+vJq69haPEZlzKoesbUAsCTcR+FXp+KcS13aXycxlgEVkGrNTG
icpDO3V4OfRg0o0AISqsAkMsXGLt+fweESdmFmQ7BrIL/Zbs0aoAE4AHqxGK50tC/HWoBMUboTW/
eBgC2udkvyJNe3CrETcgucFXIt5OxRRvFMWOK/fN8c2pd0CTzO2Q6Dvf1rd5PIW7KXIOSYSL3Kjr
n4Ymfmoz91ECfFq83Oor8gkodCOe1LRtc2GtnlgyRz1aPRLLMa7wNAxC4rzpZ27hKxWB/TmcH7dT
K2apeBLKUWBm6I43RNWVva8whvdQuMSv28obBKZR7Sq6fitM6xKp6ePrhQWDNIUN64cHMICb4/ZG
lWnx3CrMCfrqLxWlYhtPpnxKYOtuM9/6bMkpQVW9DBGss1tSS366n2yl3fby93kMy7csgClScxxx
HwCXEltNSNKB55Yy3mkSz0lNb+aNL3CwU6lt7p10vvRkPLFOl5wtdO0FM6PWKC0eEUFmtMwqLg2f
8iAWz27QZV8MapTPRmiijdyRzrvCtca/MNVv797VxUXTPMIJ4Mjpr+m05PVmY4qi0BtUgQDijMeq
71eAB1LqaIrUSIumX56O30bVcU75n1KlDtKufvLc/Kuy/A3Gez3Z0v5vO0woKaWQu7X+B3nq64B4
ZdvU3T1w6hipmuqHsopm12XYHAVID59ftCd2xsID4maiK/RneZS+ewJ3XWFbk8sYQuJq965q1d41
4Lj/g1Z4QDBPFHV54x+3QhaUh17gB6jjVP2WFS2QvZ6cC7v8xOUOBl/xesB0ZUFpHbfSJUmiJQPi
MVTj5w2UTn0bYtGCRCtda+ccdxByKheWwn9xdl69bhttu/5D7wDs5ZSUuLSKe41PCMeJ2Ya989d/
F71PLIoQtxMgQQAnGHHqU+6yO4GrPg6QLQqeNzVjBUfAAeHzh9Zwf9Sdqp7NKMkPiiO3mSKBNKec
/jtVY0q4m3C6bEIjdWh5QpJPqzdGbaleqy7KOSqw9SkiXZ5IsLMzqCPxSVR159eNVM5AxpIPYGJG
fxwmg0qeYb4Zls440b9RiWEbe3lOK9RTp6znn0IeqmDtzg7dVEpHLt11dfNWp2mShJ1QWJLeHT1L
Qx3GGuKf/2F3UYljBHYSxLbrda+yMmycmkEUC/luPc3Ns9UU1enPRyFKBuMN9IO/N9e7bnfZSBeC
hV4g+Raz3SCtSVRwf5TbxImVXlv1xP4wG2kUXX9M3meuEWJU+OBGSvq5HhcDoXLK5taCjWlCnn6i
jlCh/QSYEoOjd0hgoLurg+DKgN1exmnGcTpDeSorivog8rrFEqwpHWyINeSjaPHrz3+7LXK7BwQp
UG6haDY0vptG46s4NAckp11Kg8XEDsDLq43eq/XaQjdqo3ybZGRVtHbb1EuGtsLAsTAAmQsJFgo5
ERkHKdqiCJXSOIM56kjj08Gcrkuzua0pDCtMzgqDRiHlek6RhLTyCNJxwBPYfweEg9cq3BVfyZca
hzl+WJvzJALERv/VkjCVeitIkRw8Wtz1mN78kDU2QJSHjtlNvrMgUdxnHarFyMMhyo7lJx5qeErl
RmCmev6mqMbcj93wJ9Wi/GdoRARHyzC9q8xSfXd/VnaOpoM+kEkFgtI5Icv1pERuOzatUwoshOb6
hKSS6sV4KB988u0o9Ovod1pUyGElb4uabamCQl/YMRauQJ7SpQ0S/dmR8MPtzc8oFm00Ln7S2Bux
MmW2skJdwoDMWjs11TxfknAYcHNNpouWq6OvFNp0cCH8v+W6Xk6Gdckj6eYC1DA3U9gms96YEw0H
2SMflKgvlZ5XP5aRAvdZMTLMPEBxIk7rlg1KyXkr35uhjQouGqgTngfY5jxHla28B580vwNeI4gd
lDdW6q4es0b2bSoBEJ1dIInJg75o+cc41rUfDu0OFanOpDR8bdLnb71U8+lUGw4+vkPW5cbj1Ewi
WZ24S+wrwwzurNSX9GPazDKEmJVgBJzkcRjBUgZqdWrx0JxOiVlGGDQMpnB9R2hNekktGb0a5i55
afI+/GvCK+ZkTW71PYn6WXpZCh/N00AWvhv6yvikjlP+s+i04u+0iurEWyIFt5t+RmcUNmhCOiOS
vzPO/uodW1untlAYKqRCO7HLLeSUhT1WYCMsOMLLkMU/UqfmBJRZm3wXo6viES6m5Avu8/1na5kh
Czs95YJy4VJpdPbAQxprmFZoXT/6FSjAH5Oh9m+spHDBq5lWc5kBLL7LiaVNL1c18aI2RhKe9Xg0
LnGv0zLUhCK/xcIZvxSV0b6ThrpgH6607xzaIH5s5i9ZnwsktJxeKVA3ragTFfgrW0NtPnO72B8l
Zb13EJjDc06VC2P0YvVnpgvpXjqR0q1Ewt0Vp8ZpK+VvLDewqjZGN1kdadzJ9HMYAHhrLHP0TcVv
EFsMVe2xBouz+aExK2H4/5NdisZMrdHoSuwYompluO9EZhWvB6UwP6E9WCC8ao/h26l2O2Rp7SLy
CicDX6rmq2UjtYHokyMt8W7EKf7z/Xvlpo0BImRl9dLMQSOFR3lzrzSuPYVZGuIPUpX4EOHI1Jfo
NtutdXCv742EVBGhHg1iyqjr3fPba0QQVGtNlFPMRVfiuWrjn12f1VgEtslBlLw/EgrBJvkGYf/m
7S9T7MOHKWYkspigjvLmealC02978fX+7N1ihan9oT+F8Av35QoOvP6ozKkcR7Apg2r1V4n1Jf8o
bJqt3Af6hcdj5iltabaCxTzF0QCJLMNd4OBHrGHZ5mLjR/ADIMFYnM3N946VPnHrhMjrRtaCeZGV
e+bkTkFpFJ+0uX+G39l4VuhgfhG23wv8P7y8d8vnRnT/IuifivG568K/Esd6tmLd+tlXS3RpUwyr
7v/QnXWh5gWCi6Sbypex2WtTbS+GUrLXOoGxSxM7/8g2789AeMM/zi1YFli3SBigsqhvA3AnCkEF
6TIMQtMqT0Nu0p3qcbiqignfrkbqk2fQjP/zfUcBeBVtWmWlKJJeb4YoTEY0Tdcquh0pX4cOwfhI
QxSe/9b6D1MJDwRSFQcX8uTmLbPVznDjgqHcDLOsPsliD9AGWtz4hx981e4eB5627m9YCLxW15/l
mlk/InTgBkMzglQowS+cCSvbc7to7llq5vA48uCehakOp9qpisea6OFgk+/tcdRSTJpA1J4JDq9/
hIUAxqzaBi4JejK9kdbwlitNxxDJQDXXbimduAoWexPJlDQPq7XrdG5PGEQE+GXkqyvJ7Hp0U8nj
VEiq/B3s13NRNJimxbXzJAZENLNkjD7NZdqctczUDhZ6/a7bkQHom7Se7JsY3onQm2gQFA96QMHn
GSEa2jHukfDS3snEpZmQzCRbhWpz/X1jnfVKUkxuUIgwObWpFcJ9FC/At+yDHu7u95A0AQFZNR1u
YOkEP7XMNDdAeL1+TaOrZPcmR+Apa2/WgCqbPDRo4m558SYIBJdAg1EKhIOGRm8DXZ3kK6VKG5Ta
kyNizN7u1FYdZx3s3noHXM/fgCzLVHHnBqKI6zfujCpIVHXVuSyHnJtm0E5Dp+cYJYgRKql2lOnt
bU9uVPID+rFkoZvDMVZqCPaH4dtJKj9aK0yfdTtPAohD+bvZNRqol41xErb18f6NfjTw5vlD+5e4
qmZg9BCVQDMi+UVLbeH1GjIScVpiF6DH8u8sDw/QpjspBAAXaGEQ1MkStgeys6alAVzDAtPyQ/Og
wSpOl3hbdtjZzF1cfkB16cf9j9X2dhWNfx6utf3Fs3K9yr1lpjgCtW4wmfLv2bLy82TzQzDf1MPe
HwpDC+w0Kp4ahFm9SOBlGnYmV/Sct6DKxEybx/5iiqZ+25qd9VpbMHLJ2R0BeFrrUhu4Uw1DjavL
bGuPmB7oAOMQ0AQ5V/C/6v2Ppsij9/c/anfnAmlE1JQ+1I2mXIthNV5mTCQtqBSHb0SoHnUxZ4+9
Yg6nJZxxBOnD7FnUmvRzUpvH++P/ej02Fxx1aFaD7i6dxV9YlN/CwrhZbBIsXpeubLpX+DjIV8mE
43JjG7m/6EX5ih+Svzid7Xpt54ZeHdfjW0HqdipUvLmtzMbWqZ8w1m3j4nlQALF1izM+a2JRvBER
ohBttgu6Q2gaLrn1KpFqdIbsr3wynWHy2qrF6w5tu7MStfFJ0QBLTAzuW4umPqOsV/q5unrET5jU
Z/0Zw2mKhwgf0Z43cJWAXKQ1pq/0ZFsHU3N7iSH2h37VSicAd7Ievt9mRullLZSGDWR2+fCqcgb3
rCSxfhAq7Rxh8Bv0T5C7Bsu01TSKczMJNQdrU4Ik+xzlEzp2lZrS+MTGL5mxcNfyDh8gajUHxYZf
5cTt0pN8UIbllob5vvnAMlGHcTB5VYFA5o9VrNfDMxUrrfcda1KwdMqq+Zs0U/Wxitj9WpwhVSUn
+wxBBv+wZOyNv4qk6T90FbLyePQI5cVR4rJAN7htEdVN1OQxXuzxj8kewPWpv4Ojxkqdrs56Ufy2
MtmcOWjGM2dNmGJCuPof2dpUAYety9OiGf0Jtf8WVT4TX1GrjQ4mbue1JuMAsAHVAybw9h6K8Dmd
5qYkIMuBBs9aaHhd1WJUpIYH9/t6o21XCCwRvgjcNivk/vpDk9axUQbjQ9VkwEzeQVYsUiLlYAv+
CoxvhtGopJKDonO1DZynJE/ydmmcIMGpEufaNnEaD6DohLgqIZn02663Mq+1aSZ7cxhqXzOM52MQ
sH37cTFmFdvYYiZrnqfs1Ot152K+FDV/wxDVvkKbGRuv7d3voqGa4dVDMr+ZYXX+CEF0NSdjml4t
IQTglU6Vll7hUnehMhNpP6SSJC2qrzKRl0RIXJckpVSyq3LuMq+b3OTD/SO/06la6QaIJTDZuL5v
uRqla4s0tKUbjJ11qoX7bUpB4Ck4ghaRecGJ93ko5Ws3pOISGe/zUfk7G5ZX1Zw/RU31rq/H81gl
vqkUHwa6A1Wn+xnOo0ItzxqamMKF0hyxPXudu713G09DzONgNXeeZkqIK3YCxhwZ2HbPSOzOQOY7
AakXaMyecnJe9YbfGuaL6nbdyV4Bk/fnbecVY8zVFkBba3xbWYapRzUc43sn6NzvUmJLhRpr/lhU
wImdAfHgRsksL66b7KxHAMHvD77T2l0lX6GZ0mfgGtzqAclQDe0KZaIgpY3s2Wn9rIbtg0ibj0qE
qXasYvjVyw+Fq76PLfHTgBOhJe2ROuzuvNt0nMhTQHNtH1IVbeAoqzsHI1v3tTrGa/184S0rkujs
hnWH2+W/9z9873YAxr2mJURiaHBf3w4jlp2w81jpSh31k5s7tl/GXBH3R7kVc+S25QZC9R5WJNfu
ZkOViYLuRM/z00XzN7iGTlDkDTh9YL8nLcsTr8rooVf0YbDMK5oL2NXed9XY/OSEGNUuiY3FH2a6
D8uy9ntxWsT+3IlfZqTlnlFt0wM8ztPLZMXyNTraf97nXH8+x4GsBzL8Vue+XXRRtBXGt/WgZc90
BrUApmCL9Riuqe6SileRENPBIdxdGp4GiJro3MAlv14a6tELOhKLE1AlSakm1pjdl7V58BDtHTs0
SmwTgQLAN9u8w1qaqtExPguk6uAxVWkWJcrRDeqlTD+ZZtK+JEviPufFgCWerOXB8Oszu302QPSD
wYFPjTrE5iMhC9SuFAzfZGtbXlpoNQz4yFC8d+MnaBg/7+/E3UldgWEO8nEmO/96Uk2whhPlYycQ
etO+9G0B29gV3cFXHYzyq7n8W3AhqgQI2DA5gRMbKq+dbVw6FAdO/+FbkFb4JZlJMrPO7W+jUCiZ
qWm07Eq1R8e9V+1T5KAu8R9GAe2CEAvR5Q2AV5qZnhv9wDZM4oi71/pQoNB2cP/u7ULUCeCAQZVy
bjjhmlN0CJpy8U1xob2RzpK8XlxiIjE76QVDZsQMphZqel1qZxc82sE37gXQiCjRsaStRBi72RXA
GOJqqCUzmWvFxUx7leCD+xAW2nhJSe3Ond6b/qTY80G0sLf/16AMwi/IU6Lo6zU0pAM+Q+E+RHz0
RGn9h7S15QKVxV/GRRxsy73n5ffBNhsm07Taot3NZb9E8dsGwetTbWVf1ab54OBJGNvLEWTxVr9h
JcKvoCk4d79wktffVzd90mc974scRfE1b8qp9irEhM91C7k85s3F5A+ByGIWn2Orc59GBOROk+6s
3en+n1q144O13jmb9IG5c+jFot68fYoaVzi9oBQfRKgzXYrCGJ7+P+Lhnam+GkW7/u5lwEsxWm+A
eULPCuVfI0Czy6Kf1bZvs2hO0Kj7D5E+WkkO4TclFfMGDmeWYhTuerfp5TISNC6zb6059v37YAes
CPZrNSKjbA0Py94cFly9s9IwepsXI7YRi0qbJcOavUduvXacb53lpl8NPZuwjXVmZfESxRSZbybp
ZD6Z6bA4Hh5CVYTdTxH+7AfKwp6LM7dzArZno4enjN3btra0v4yK8MDTGxeic7/MNQUZSuar65mb
R77e809PZPXa4LPd/D1RRfRed2X77f4H31Jp2MNAGFYVDt7Im/qthUy0WoKYpKijDe/M3o0JTfL6
NOFVf24j1fncpN0c2GFX+UA4smckxozvtP2GN6oZyqc4E8JfehAO93/YzqUJy3CFjYJPAga47sHf
7n8ULA2su9DQiBerwZgbGPXQhaQR1H38PMvpWelCDQZT/+IozfDp/ug7dybEVoqVKyNPuanm25Nm
inRcKyiuNr6a+z5/qkXdf3ZljJrAgDyCTSEnUNrQOqA67JxgSulrnklMRrl2892ZolII6mGMUw/p
/1HTqffXbXVATd4Z5Rfa8FdRCyTCph7spjIdrMWxA3XGd9FznUpvPdOo8oMw7/amQH0UTONKi/pV
RLleRUXajY4NrB2ErStPisji9zFG375pTPbDRKrg5W6Yvb+/eDuDro0CEDHAN5Qb+VO2VVVlKg4U
Rqi1tbc47vy2dNUvoaU1L2W1FD8ae7IObt5f0MbrYG/tbAJ9WVUSKbVvbo6i0KcK+APQ1J6w5hQq
Ge52odPptrfYlIJet9VQfVSaMYn8qjXLj0nY6h1Rb9jrQZ5b7V9drHUmDNhCf+7iFuPgBXnp9lRF
1uicY1zpK3+ZW+x2W93MFSoAofo+rOByebJNptR3ZZlqL04z1zXKM30aeXHfKO2p7Sf9ew+iqgOY
VMCMUJqw/MctsvG7TTn3a2KXHQxjVCVLrzHSZjh1S7s8NlBo6iBtF5KXQhkd6RsZCgqeKsTCzS+V
9y6NDcVD471znpwizPJLaJa16yfAi1+GpJPQEyyRQ3gX5uJRFcL3GMDHMvhmHZXyBDyxAqmaT1Z2
Ig2U76bM7pPzPCdfMlO01VkJw0n6NjSSr3M4GO8mJ6krjybpJJ+REJucU1GeRnto1UDqlpKfLDx9
EUYd8ukVvz59GZq8MfxsLjIwsr2igxfs0+Jgv+3EAVRBYT/SNWK7kQZe73LcNxLKabEdIFccPVEs
bt/PJsULJ1J15DKRFKzVKnzduEBkpslyXyOrUQWlRf+1dWi8G3b15/kVzrhcn8S0gP/0LZgh7p0w
clrdCqQbyoue1f1DM7b1QVnjNsBjlLUoy8dT2dhCZFvdbTtOuBVAfrL8VqmaszsAXFbsPjxpyXCU
FByNt7kcK2nECWZeVoAFnLw0BL0nFD1O2JJM5JDlkQ7p7S2JuCC5MY1AGBsATq/XNZGiEYuYrWDS
q+Zh6mgfy0qMBzfH7VvDKKANNBLwtYSgX4/StJaOVH9rBVaoZSc9bKd3gx7pIAYF4+Fs+2IDlvCX
ZDqi8a3x9+bKAo7BkNyRsFW3ZU0ZVW4u58oKwJkLf5YtWmeGrB+TzB4OtLZ3ppLPA4nChLJXtpCX
JDUX28xGMzAXt3nkegkfB1tTkoP3ZueLVmEc7A8AHlD/3mwQSix5VCSlGchYRM9ZkmoX/NLdoKzt
8uCh3hlqtTiDYw6yhfG062Uz+hipgiKGUJ2IEoG0pfajsXVPVbkcVc52h1rly1a3MeXG1iFu46Rt
RtcICjMpAzGibxqN2vigcikebMadtxN6JQ5KPJ8mdiybkgVNwKaLF8MIMDOG0ZqFKPvFkflaWZLs
i9qoCjp8YNjuP9g7jRamkVOAAAHt0hvBX0UlmMZkWEeklHJFPSJgNlW8odI2ngaZNYgcDsb7kYp3
6urJh0wH9YjbRxJMi+uilmWqTwtKFCdLGl0QOZkMFoQ+aHdkEfqX4af7P3dnjn7VFEmy8H8D8Hq9
8mSWIcnBYgQiNxwuH+6GwDcA0V2aPIwv9wfbufJciqV0zdflgBtyPRj9RddBFskIMLfWn4k6zQcx
i+HB0TG2mEU+/jG3Yj03WJ5RsaBkvD2oo6xGjjAA4nABZdqo8IlzJ08OvmpnR/+ihIGuX2/XbU3C
Toe0rmTCKNZsvLdcOZ8juXTIuPN63J/AnZuH6gdUcHphAO23aG1MdmShpzZF1LlR34RuG0H/T47S
lR1KhUa4A2aEmBNP2e11UOf2ZKLHqQU05MSTcJ3wfZtFFQpg6IlkXmKI8uzU1fSIR9b0b142c1BM
xvTYIMzwBpFP89m16OyaSV0uSLZI6dfEsHh6JLHX2/HS+osqrLemjOeDTOt2guA8Uf3ltkTUE3TG
9Q7r9LrsrMrR0DmhJyGr8IfjNEctwd1BqEjC6kJDim7d9SBqveQ9CrlagOn0ALqvbL9ZUV18vL/W
O4wCMibkUxBdAi2Kbuj1MGIkgkwny0bmQXRPs2zKIJvj/N+xzJKn+CWG4aj2g08R30bypCe7TKY4
QORn/CvHW4hQ03bfpxZyIQ7I2YBn2bm0Va493v+dt4f6+mduptzIoyxFnoCOwaKG1IX72F+6DrYC
0BikipMjj8Hb48Z49O3WajsCa1ulZD1ZavCGto0HVFb7dU8gWGFt6IFj0A920w7xlLEsZBcgm4Bt
3BIBcGlxgZ7hD51EauaT2TcntSxVX9TpFIRFRWMBbeZHpSrbEzo/82nIDOFbRV0c3DE7W85AMJlO
tENchU/E9V4wXJJzeDV2gOfUcBlDhMP1mS7q/aXcQR/yvRAf6J5AS7qR6o+KRbYh3XiaNBG5C5Sw
SxTGvVc7NYm1WSG7MmujL7GYeq4Abz+OlKMP9tPepxKjQrCFl0rZapOAlGlMxguEIYgj28AdMC59
XemNg0/dHWXFR4PGsG5zCqVy1HI1+gmSbrRP4TzOlxSP+vP9CV2P6HVQSjpBtwbtHv5CfPd62ZS+
meAqaStx0Aa76KjTRV3sf8fYpt6iqfDKxix/0ogBDkKfvUOChvXaAltzmq3GNsKhXShrg0lcKvu5
a83w3IYSL2u1OBpq7/yDaCL0psxIaXyzXgjm66ICLhqM/VSchpQGoKomKba/HY+6aRzlTbsrZ6FW
TQuYwvD2/KvIGLdiGu3A0ubyUesT6ckhdg5Ch92v4n5ffePpNmzJn4M64wQuJopKhe349IQqKjBJ
cUny8ZM+1fLt/Y3yC459s1PWviVVujUK39yiGe08JYwdK5i7skDju3d920ymU4yevx9FeuW1kE0u
iH9al5HwIOj6EVHysYnfJMboXOoeZXQBN4KkBAuPyoRCagyN8Ic2Vz10vIdXPTYjL3FPZjl3uCio
oVW9ONYwnvplhVCO0fxok9D4gK2U0nORNb1UTYgBL64CejtOnlU6HqM4Vjnh9pOaD9qsp8/lhMDA
/yq16aKkaRBSzGFRVmJpn5Cl6qGljM6X+5O1tzYrAX/1ukdFz9yksnrd69W8UIgTjdQCKbMwoGQB
WgYqBJ1eXT2A0e6dYm7E1TySvhOF4etTXKl1LM2EOnrrarXXdLn+2exM9U0NIMmviRBwUEWrzwUS
dXCMd/b6iqkFbEoGiAX1ZldMUekarZ1wSw1m/dJPCEqrsm0PHpfbHIALgrqpg9UpJMat1Gue66gu
y4i9HkWmr2vFiCg/AGixALyxBe6jjSKag0/buaGuBt18Gm/PlFnwuINBdljqSbO6JHr5MplTe3CU
dycRFgQhITEbFlnXyydgZnR1i9mkaxbTQ+FWgr5LeoRK/lUY25xgkDirqChqUOtw18MktHtigMm8
nUAqzyVIXT90exI3OYeBFunR46IPysWhjAxqPpmeNOCfsMwqeckntJNJ9bqTqnTGo5LqqOvkgzx1
IvkHxrb2CuiCCt/ALC9qp1ZPXTb8tUj4XK4KfGkI8/7NhFrEi+hCy+9U4HBRGhaQi5b44f7Z2yHh
khMAH7TQ5VqJMOu6/tbL6IbCTbo8twM9imctUPVKVH4kdOdvWdHN85JSsWgNZRGCF8k4v6nyxWi8
0KzbZ2c0qvZUo7Z/seYSqBXiRvXXrFOmo1re3uai20K/d+1omttiUFzHUWVUFDGzpkejSBGFP5aj
9tQJ8wieuNN0YkK4jig+kQpQOryekDKXfWbHlhUIy7RfuXZcBW1YZi8GhLNgcsPqmyjlz9SZOg8m
XPyUOESHfdHYXi2V5rkvrB8SZsNBFLU7A7/9qk3kEYsmiUxV2uQDWX2qXe0DnZP00pbgYO7viJ1s
ERrr2hQHFkJBbFunolDP3A4MZcSWN5pxUGE2u7j2N9Vd3sQC6KCikhMY8PXi9K3eT5dBi1+NK1C7
z5K3cyUeLbX4XJqdP+vK69YW/rhg9X7wM/euAeJniPA86dzj65//tnGpcthLK6m3OkKEtDz7cX52
zWg4d0lHHR63nCDX2uoS4cvgVUs5XrDcqk/EdfI8T/p4Fqibn7N8Ti9CSuO126fLizVaAM95gM+p
tahf/gcNQgWCbuIYXuEtjLDweAbQY3iwlY6wfztQuJU/TGy51lRWDYTrL5qXeo7szLCCVY7tx1y1
pYcMz3BKFaN4pNvQ+UIftAeh5cvb2C2AJboJ2Xuem9jME5Ten+DdgwAyj64Ryit44WwuQIxBpzlN
XSuIV4BL2+SIHWmR8WCGRu6lckHv1BEJLE6k7BRp/dsMxQDRW4I1DSWyho3SBw200YOHZn1Itvfy
Co8E2g1hhEfgepZcAYBI8rwHbRy+EDQVH6wsqj90A1qulaL8ayV2dcmh2Ab6gpjh/UnZ23RogdOa
RM5rbUxfD66NQ5ZaaWgF5DrzSU0gMBAmuQd7eycgorIPPJlpR4Bhi1Hu1XBsqd7SJCyxLTXDfnwp
ZvnJgCRxTjv3z0FT4ON1mFl4+JBg/NqXv52klSfRJ41tBX0c2udw0pNTrSEkfH/qdjpRDIN4jUEx
9Rcy5Xru8jbWVTHSkCmyrPeQJpI+NeMvi1a7p5l//zbOKHM0jfmkRyWyu84rR6Cm0E+f7/+Q29mF
5IMiIb1Q8huSuevf0WitakVy1IJpln+RbWm+KSAfR7iagxgruoP9entzMxyaAKznWrfeGkIipLwq
lhdaYCxC9B4wrN4bZB4/a1Zp/HEn43qszWNOAtXQg82oZIXK9FLI7GdYlUflxN35wxfFJo4lwHTX
8PO37SLLMDMbCyTmPMMPdXpXOetzVZ7tpiOpsuej1H5vAnnyOW1USqAJb8bDK3ReAcJqMNlV55XI
2r0h8CvOralO5/tbY28o0EMKm2LV59xmiYWSo+CAXhbQikI59wnYGKVzMIayw+xgqL1ZpFAB8oAG
GwC/zTWGIizkbeT+yXcM441eVtVTE9bVOQIL+BxWRX2wDdddfX1tYi5AVg9jBJQf+IPNqi3LnMVJ
yactCjWtkbrUOcGOkpywy8+hUucnobrKaZLu0Qm4vTQZWmNMWLArfGSzgADME62NpBrgwN08lFiQ
wRNQ1IMJ3R+FqwWRMHLIbUN0wYm+Vp1ExWZUNfyup0SC1sCR+9LeDqGJR/IGOZ7e7bqsv23+qm8q
wAQs2yqKDsVqXjAWrGa/Nurm4IP2dggWCiRwpDr0njbTlhsofpVNrQZK2kovjSbr1MS9doqoDXjd
EE8HedVO/AEemCcVljnjUeS6/rbaTWn7F6ESJGPi+HkjshfhIC5kKJHpZQjTn3N2UezpSEODZgi1
i1IryyNIjNpvCvsIu3471fwcQnGwr2vQv8XyFkqpDvxYbNJap/NtpU6CkQcsACvx8f6xv53p65E2
ZyNsSZahHygBKZt1nkunByWZYXMVK/kZotX3+8Pd7lSQPxz8VaEFxfFtj65FxSDPCz5s1dd4cOtw
PEu1qA9YnjvTp5q8PBQMSWgIl65X02kLAC+lu6BJ1xaPiSmjoACH+kjmedQj3fkgwKboOBGVYVqx
zSFboKOdVppLsJiINCNr3PtgctKH+9O2s0qMQqPMofvLjtjk/U6omL1taUtgtnFNUV6+CrPwtTq0
FptjPsJM3X4TVTfQAFAnYMYDuLuevqoPmTJ90oJe0+sAORKJ9E0rPt3/pl/BxvW1TDkScjoRJUtE
3/F6GLeo84i0UQn6vg11f1Sm8NtSaKZ+qkc0irxBtGF2GmW4EM9ilP2cghWugqgp4/6J/2SMzoMZ
ZcabSTbVe1om0Ze8FRl6QNwVJ8Ci0bs0nYvxMSyW6jPeDpbAec9N5neK2/wEFVp9wgUqVb2w6pcv
laMXFabOhvnKrIXsTtGgLMLT01HKN7Ezkj/lalqroJgE2ylrwC5PdvlJkaPaYw23FvGmtcdyuj9N
O4tB7ksVFSyICdN+c0AV/K0L3RqUYGrz7qGZEoXkNI7/uj/KTsbDM7XWIddO43rDXy9GTDwPmw7B
9nAS9HqTMX5dFEuDNCEiDumLWc0i9eo2d1uE3KnvetA07NlPU818iMrQeJ9YSvWxW7LwIiJgVQcH
YL3wr/cKtWRatDgcU05jMq5/noWSqj7pcg7ccU5xHcZLOW5ag5JeknoxsKoXIujmj6eeMenuUwGD
5goA4npQjBRpWro0dhtTGS4ammUn3SmGg0+7XWA+B3aIBtRo5TpsYnIiPEOMKWe769MRudcFiXpj
sg6Qpbc3CKMQitDe+CVluXngMnzAtZkCVmAmavGk4xPdA0+E6zfNWfGziWP7YPJ26Fer+fgqCsi1
uDI5rmevlo0+1LNGP93oyYmjwsy+lHShmycptKX2WiHrl3ZSouJZZA3k21gf8dWIlLkUXqoLxzp3
i9F9r6p4eMGnKg4fjHCuP7mUcmO/qQQUrQrummeZtSs8V2voz3YhPMjTUKvpUXFsb5n4itXSiS42
qJjrz1HN2nZqpVuCqOySZwuIlp9YufMfNsPvo2wmLashnesNlib1UvenvJ7LwNVhn90/7bfvI0vD
4kDwQiSbJ/L6W0YnGwU6WWy5rKi9skl0z8iKxY+4bA5S371pWyH7lHVo+gLhvx5KwL0zoiVh3zXu
+MqoBS65qntUuNsdZQWYAS1E12ZbF4+AgdrJ7MwBaQe1OTMfT0IPj4L5dfI3l9DKV4NpvOIYlG2z
plGaHIqgMZP96fHnxRy6B2Bt8qFE6sbPXWTV7i/T7hFa/VgoRKK8fQPHGRdLNj2tuyAHI/0sO20o
fTVZvkR6iBo2m9GbqqrwJ2EWX0NO1RscpasHG2id1/aWdgnTMXqfd0uF7xC4ZTEoiJslJRCYES0R
o6kVuuPpP0anxJ84ycUf3znraeH6JI4gB9qWKa22snulNqagMdQxSGEjPPea1D+G5qTh9tlbB8Hl
Ts9/7fwQuiCoQhy/7VuABZBtvM6XJurwPMea9iWJ2/Bp0pRP1qSnATIckFRQ9LsQ3Oeo01ZHamU7
OIuVS7yGt2tTFxHR6w1fz2FqKVM3gm0sqq8gfCTkIzpjb8sqan4KQfmDfvKYF2e9Hud3hWo3NsZT
9vfCGPMjkYbbg04Wxa0Pwxhpegqs1z9mkok5gFJbNbzpt+mN3b+Yaq2d8llqf3xzgSyheLCSiIE4
b2uTdhpjsiMZahjG6BuuPv2pBelxENnvTS+fgdIQjRtqxVtMN1ZFrjVYckTPSfuIVk3oy4FO5ryg
izLJl6UznyZ7NHyhDY9ml/5NYn+EmdpJFgnBSV8oLBOSAQG8nlVtNu1BzvEYjBkqQaZaGtjUadEb
aei1RxWtpNzu6sFU9LnfjXP7FKaYK5RJ1Pl5MhgHt8Tt3cevwdyBKJoM4SalyiqKDIMwhyBPLP19
hfTqaezL6ICQtLOTUHbnbqUIRV6+NZBQawckfcsoCLrUKONH7YduAbTvKUJvD77ol6T39UXLJzk2
24gu1PrYXk/wMsuekF7t6DVOOPRYVeyDbXFw7Rid/yPvvJbkRrI0/SptdQ8OtFibngsAoVJE6qS4
gSXJJKQDDjj0G+1z7IvtB3ZNTTHZ05y62os1K6uqtMyIQEC4n/OfX6xzPDe2toaOxr5zaMeKnG2j
Ir88ckYNzbpKJruPA3RTlwyvkhdHdbkg47fqq5N0E0scvaAHPiv61oK3mqudozyM9q1W5i+QAMfg
kOYOH5ARw7CGypJGGWZEMhdhA8+9DsH5ayOEXirbyFZNcrR6Rto48pjmGcX7epV7yrvX7ZkUY73t
axUn3qKnIX6/WR3h1z7sDBMPvchInGAOi0Yfs7AbTXW1FLKKCqxVRGSSlJ7Fdc0Bxa5WCmLuGoLY
jotYGLIR0mPufOJzGrjASNOipCDOI1RZZ89x5TvDeGUFQjGJsDI8/DJ4ZlO0eRn/6w3qJ4Iw9R1U
VFZb8DXk/G87RV3Wmo3XF3IUmFY7k43wY5aMeNvQV54R8RIp0Gf+XZU41SdfK9OT3Uzetc2cNcQu
mulTjp22hNxx2QnPXMKi1IPnjjXxCAG1uGIWWfzFemQ74gAi3Ebr31xr3szqOyk15N5Du5/s2ouy
dfWoH6f1FwXW9yXgz3cwH7OZGzC25atulrg/3sHThF0AN1i7NybdJP2x6Ks9IpUsD3FKrPFLMryK
VL0p77OYHrZZohLDx6hGjhqaQgxk+pnQY6NlgiYfppk9V3i1WMRo9S15dEfJwEyGoBIyDR300U2I
65VEkDc2REfVrjgVo87KR8iY+1dbRb4bvADOHxvtP7HfqaCJZSO1/b7J3OzsLW1+ZVVZcGf2bncy
NEB3pyeRj9CKrrlHibrcF16zIf8LzJLCLqQZraqx7tbA/pWD+tu1cDs09gYgEor0bYL742mvl8LR
HUmk90yiNGJeK9uXTfqrnIm3eDKfwtyCT4Edv/WG21H8CQj1Wp30GKYL+2zpqjNO7uoa5dcYDXnt
XMukdq/xfi13GWa2v3rgtj73zX2F1ABmC0gllOa3sUGJMHG+IxZlXzniWbgN94alT3XYlfrwMJMo
dU4U0l9bJR9l6eKIXM7TL7bgtzuBwxbPkJwm/ztt+yf0HizKnDxr3I+r1UR556qLtsu0A/YZv/Kn
+6cftU2r2Aegx74tuPEg1fLex+hsLf1XVS7WaWny966Qv2Lz/1Q5bl8KEzH2c8SNmyT/x0uKP3cj
pCfGfZuQ1qpnbrDzytJ6cJcu3bUl9iwzPnlxMlXdY6nX6862/jIjnmOgt6Ro3ASmaFvf7HpuqtuG
MQbDfvXhD1i56KO17X+1AP6Tc7p1sL4NBMtXfsuQQvATIPxMBuzY6xI2oEoiOrfhUgBC/GIf/2cf
hbLI4byikmFH//GkZkp3lde4AyyKSo8NXP4ummZpL2a6kn+9Eb19IrdTh7aU5wIEhRbtTdG9OtY8
ZSlD98zTayg8zFoG3ymPnUXYrLVa6p4A034PceVXGYs/ZYxtH43tEnAzipOfn0gklFY3yW7Yp/ky
kC9mGSEhYtgJBGkXGtlaNyHbfvtgT+snw+rmgzvATBuMTl4uWSCPiQn0wuPm7C1LlMTh2etjm9TF
L3qxf3YtUEIAJQLPIZ17c4OPjDCSDOfqvT5BS3CxhT90qRx3MF6dX1z2t4swtImNKUxRwBKBXvrN
8kiXsQwkh7f7oJcku9srVp1TMh//9SX/qUjkYxzwOZ1RJdXiT3KftkzLZMwbuTe6tnXiclHLZ0vn
LgjTxfMvZrJ4kHb0gXOuZqXw/7JdOLCF5UxBSL6wbMLSUk6+l7VrxlUGMIUxue3tcliyhMoYBK4e
kkan7CuMxXqVed02oXIcxe5NesMFgyLtekps/RVRsIYmp8rSTxbzGvb4qh2A6XXic8MlmBRcoqLL
VVS5tf91FKX+6thD/yRtK03jYlRjvRuIvcBUcHT8s0+sMZ5kTjZ/zLXMoZeXdvGMdJMMO9Mdx2wf
JM5mWlAbw50zGkS2pla52fVgiK9nYn0UZQJ1iT4MiM8SEfHF69NkWvm+sFvTCzWMk9Io0HK/R+Qg
1a2doH75i4UWlweZ/FYjfNcxvoX/Kr+vnE45cu+IjGV1IQ1aFXb9i095iwtvnwIozGZIscXd8OZe
w0BlQcEm5B7uaheLwEyomcnxmzom2dLTkhiG46/2/+9i/z/vwjBUaPs2vMmm8eKZ+nFhU02FDA4H
lU1LYY+hxLdziWs71+zYGtfgxmkrkqrLbiogDXOT2pHvdvoXx8uMnb8u6C9yd0k+YQu0TrvFzZdz
O5SNc7CbXmV728SANukSt2R+RWOzm7GyX05u0OX3C4JUQo8z1Mq7vO0TM6yJXNglQZaK0AJcmCOt
sGZSiehczZhpro90XfQpatzU7Ye9N6V5iamEoWMQb7UEkhI1Nq+7dhqkiGtN1E+TtBI3VK0HqLTw
3NqbIn3RyfDiw+zhUePhd3Czx1Q4Yjk2+l9c0+/F8Q+nN4AvsiV5fZ8/MfD58fTWba8LTaoSuIaL
WmgF81UxDOttvspSRBaB96Gpd1bNQfijf9uKEty4ViTgrBWeVSd9HZtXa1hzyHDgauEgeGIjO9eL
Nipa4q950NaKHnFV/a6Q5IbsMIvq30N8C84Dm3Ae0goHUzzVSyNu//XC9RN8wHLlQSfY2E3bUOGt
hQbTCqsvhy7f96QuI8UZ7WGNbUtrb5Ml0OBS+hmxUtIPkOhXaMS6eJxlgIsqJwVSkFs8T0FW/aOq
+7cv8/9KX5vbf5xe9R//zs9fGrlAmcz6Nz/+x3X+pWtU863/9+1lf/zZjy/6jxv5Wj/03etrf/0i
3/7lDy/k/X///Pilf/nhh10NFXG5G1675f6VJqT//iEc6faX/9Nf/u31+7s8LvL17799aQb8mni3
NG/q337/1enr33/7Xsz925/f//dfnl8ErzsMy0sN0PiP9/rjBa8vqv/7b6Dg7+zNhwqQB+7tJpL+
7W/T6/dfuca7jTZm4HvDIBtjC1rJGq/Z7O+/+e9AutltHa4OHSC3829/Qwe6/cp4xwsYYm1Fw+Yy
Tf31n4f2w0X6r4v2N2CiWxJjevX339jweBb+9KzA/kT/vsXdIOKDXvbWWYiZkk8oyphF2TyijgB3
8uoIJM6WUTe79I4kpq2fRgwwnlaZIdOp/aDA6XFtkVZMcz8+TPmMPxKLkvVJZX5+q5tEgeKWW2uP
S7laX6kXAjNW+BO3eiLvpyot8LBEtkICkdbOl5Y0avZca0zvmQOaXqTVa3k3DD22jQi/2ziYO+d5
LvMugYtaI6b0NzFr5NmLjd6lNHBcVYSIPEypHsjQTIr0g9KH/pxneW7FakoAgvQ+5RtBRVIfULgk
U0xuqWh3Ju5YL509pHetJAkGYw2rfAXqJKmta1Jr5RtCm94VEwYeWqfUS6dnOFcsHUFBoeMq3z5o
de1dkrLhpLEwGVfEshI04Z298Z6Q2fpG7E5G+rFX6XA99ikczwTnEhtdgVju8GjEhNzNJnUhdB/M
U4hRu8Gyw672yuvx+oDiV4+YBQ1QD0hPwByZgIEZk9q0EM5Jrrp5TFPXk+eJLn8NU2f2PhpIntLI
9giCi+nnguykTbUjEJyOBTMufsCWKB9zoinaTmUHipzgKF2vdE7W5DyUzZjca4WdDodJWYMfyqo3
7jWRpVXMFAsAhuNL46n3nIHSwVuf0g67uNDVM/+kuyJh/ua1VM6ZliwLebiZWUScQ1mTZacFn91u
trJIuk7/2UDkgFlKaUgGpLpwHpw+X/IQm9vxcSorbwwNWy2kXAxtEhL37kfm4Fzkdbnu0FMmS9gM
gbwexeQ4cdVP3Mez5hnfqKc0ESYLydnh0BpKcbarpMTbleDmELkAsX990bkLfj+jJaNm0fSbgtHM
V0s1zSt8WP3b3Kyk7HRQiw9JbaI66vVkFJGciDPdlWUF9GbaWv99ypZ/ztypn8LOXJcVCyk1fhpn
6O5e3WRptAxO2lJd2euxcl1BOrAzXa864Ts7XdUIkyB8UEqRM999KiY0UaE7qchszBFPWrvs7V1L
/Xrh9D2Z3h7OfCuhOZlp70Qrujp0zUZ2nxctqc7JGlTDbs08dRry1ONEQpe0dwuxKM7BM8dqDXUX
k/TYVM6lUVgiISxQykdbF5Yf1XnWo6Q13baOIE/XFN9pKdZD0xXjXQeXuzhBfQ9w6KoryyD9Z/U/
y3o1XOwlcsMMg9Fo3POsmcMQ5sU63RgGGuRQT4fqa2/4CpQOTcCVdL/nYOjzrB8MVy75rrcg1kVQ
IJBULWMjv0EmzF5xpUk+5KpZX7SGS0+6qOt+rCtGQlGv2/IjXhBSC5u0wI9EnxZdC/XCEbAM1o27
tiTZ/Oibo1MQlW6OZxIuQc/S1Rg+OXNhvUzlZm6YFVnRh/iLlzf1umov3oDwNJ6Z437t5ex4YerO
6jHIDL8/WSx/5JNipPNQ5NV0xz1mqXBRZqlH3ZpRhFfa7LaRzy4so9ly82eIN3kd9Tge+mHX6ma6
R/Mt0l3dmHK47G0ZGBeDLqf5PNr4gIQIMP08SuZx6C8AZzgdcONatm4HQU00kKrK0KlaO/exabOS
1MpetljZEdVdsMglg2jm2LaN4XLSKXLOjlS5t+topHOCAEpvuS5oc+0bQ6T6Z8oiUw9RQib+gTLR
BVXLdQy4Hbef55vWwXfl2FpSL68aOqE6Xlzp3A6VtvR3zar0Fey6zkmCWiCD3tuGlpkXXbY0+oXW
5nNy0Q1Q/5NwzSHtmqFNoe3OVJJ1zqi9M0DNcZvUn7x1crt4WRfcxmrbm/QoSzXubyKs6uFs+unS
PYPz99VrWZVzFm79ArMbrivhdji3LYcyHSSrxFLZ7/1M+LeKe1Exzef1MeNW43OKx9xnwXNfhF0i
JXQ8K5+AE3zRP6IZVGtc2W1NeEqrvHlPqI47x2rJsjP5R9MFVLD1Q04254Axe1Bcr8DDxiHxx7EJ
i8XXiD6ZGvkl7dP1i6PKjhFqWXyS7exdZpmLORUP9BdDTtkaTT1RWyGLjtcRebt6X71pGp4sJ20w
W8pH4BqrJlotHMYELF7qhU+qtkp8FZql7b+3xpnsHLfTqGb7VfTzru07tcNDfSVeq2XJGaYVm/bE
bVhtMEi2VqJeVyTaY6DPKA5st2C0kA8PmC/by3FS0nlupqmaItzIlidTVtx7Y1mlKcV7Sl9iTVOd
hXmPzgspI8G+ZKz7nMC2W9P2wsjTuQzdNSmzvUEIsghLCE1TNCTt8Ky7s20RkGKT2+4YAySbavUN
ktsnq3jKvUn5jBOCtg17QMKe7YLsJADfpLxaA8H3YT12CXZJUUrYeWN+Ymwu87BhQcFZuSqrcV+I
wMFrwBHfvDRA4IUdk+zwO7aKj3XTzM+4NjhDKBPd/dz7sn+0wH3ZQQHCRViZ2JZFy9yrL16jBaex
D9RXH9P526DdRKGTPZp13DkqEDuZOdXdUudFMx/YbSE3X9ZCJs8DKcxLpNK+pUfrteAbma3Lt1FP
g28g6Tqrk7DPubX5VomyU/CuNXGUydJcKzH3H2gzKgK+oak+5sppy3BdCr0NB8IJT3luSO/oa6Pl
RHXid1dVb2E42OW11e8AqAhqM9aqPybYGjILIvLNijJi3WqQIkv/6k7zusSzzGzGPY6XdLFVpNVJ
ZzKF13hhmo++NdiPNVblwd5ciqYgZK5I9EhLcbY05sJ/BJ6uXdIay84KPYY06M4noX/Qa3f8EOh1
b+1SF3eskJ7JykNoFesZQiU8NgUX75S7uY/MR1bFeQC0G89CFJMRO4VIn9hR9PJUBKXx7HktAnpr
Vtg1KBee7qwh+YuXzDfxbPWGxdqbc11pW+6N+9Rbta4OK5XTh87Lqhk1UlY+roUubwt3M18bdbKE
wzktqysW9eylD+zxK86h6Veq2eVzNRTNJ38tV1ahfrt0uCeYHKXHpaadnj3QNikVjzlq7dvcS7In
Uk18FMcD5Vg4MYLTCb4vy0e6cniFRI65HwGq1suacV+7d6wpCC6k1xtu2E1Jb5xUDsbPnpQaz60Y
m9s0oBk8NrKav0LBzlSMiE5i2T1MWdzZkKIx7sd9iHzF1jtB5hrNsDcK42Ja1wLmGOk4F2udipU5
gWWNDOuUl0bcwyWbpjnqVjhsGeC+NbI2rgQ87FZw+HSfyrln6NjMuNVricB2pKFIjIleUO8zdFxj
pJJhLEPoBaUXEnUh5tDKc604BolCvK5ht+fFdbcG90tN4FwI73p6tIs2e99YAT08PT/TmqY2s/e1
tkyvTDqrNIbhSClUGw7y7bLR8svSFtnd0CqtRWA9eY9CFgZjpyohZrvzsa8zdEk+eIALnEnI7Myr
fZkF5xXrbYsIUHQvFkFqVq151rHQrNWImmGqL/ANaLNodBbnVLau/YQHjWSB7RbeoHFUcjNaJscw
1QnWbeNipCZTzckqo2DImKp+b85/b0N/6LD+6G//f2mDaV3/+zb42NRfh+5F/dgI85LfG2Hfegfa
tXHGfP7jMkP9oxH2g3doYZifbIGKdMgbnvN7I2x47zDrZGIFlEMnCmvqvxph890m8NpMrVwiz8DP
/0ojbGyTvT/1wVteE4wfRnLb8W2e+j9iRgDSQ5WVSFdn/C82UU5oO7Vz2evFnaVBFK2oCgZC6sMN
6azb98nU8jimWMiMs9btjCSN11rg+Gjk9386j7/fUX/u0X/yrgU3wIoEs3P0BRBV34qGYANMZm+P
6WGdjORjlSAz4Jkr0zqSllUe5KRgOXgOPgYMKfTqSs54QDKVzrOTnmjLw5qTsdtag3rUslE5oWqU
HdtkMxzxz19vzb43riaZZvltwZADdwVipMdobYT5OXcLvY+HJkleN0F5tysyvLBCyOPGlWbb3elf
f9WfhyEQ8DY0FodYAA4gkx+vAvwDiy5zZkPQNfcRAgw8KNSbGSbazPTdfMgfckNbT3ABtEOnDflH
QdglayGbxhCK2suvtd4sbvLEMQ5+EvhfEUcYEQvj7hdH+tM8BPzTYUTPXbP95ye+s9+y5AZEuxfT
Ot8WwhNPRE9Ta3NbYFs13Yxw+Z/mjFibtRvtmzWQ/qlY4YmUTZ8OUTKY86lPmvzSXZdp/4ujezvm
hQZLECHDDWLjNhfAN+cRVwq38ufC2bOj9Q9N30IC8XUf2XwljiIvx2d9KW/wBEwuFJTxK0dNxi/0
dIgu3z5SaM4oMxnzchwbs+vHi1krHBug3Vt7T7ladV3PeHdcpMKXu8IuP6SFLeMFSnakqqKL8ZgG
5d6QWS99WkE34xIex2XZruZO0Rdcac5w0NuJgmFkIKTItLxH6Uk12mjL0W3guLq1Y95auTMdyHPN
I1l8WlRnRF1DQnbjkK2iZF0+k7WL8NYbD8gY7ajTpkdYCPK6nUQZ2ou5jiENS/4ImTjTQjc1R5Ji
G++lcFIji0mQq/aJZjpNxCCljt1kyJ6E3lYHvdOvcrPEKHoa7XUf1DY2sdaSjqemC0qNmVKvR4Vy
/PeoI9ARFAkZKQLGaw7nQhLWNeq7wCgePa+k/dAA7cJSs7+gqYb5YpTtMW+TPMRu3qVsSKkUu3UG
RVdtRfRK5aB3ltkkXuEHGlFrlE6UV5zfqQc082RBzO8YtPmzjudzmGA8e1xn0X4K3M4+a3hFEjBM
K9WTuLWTSUd4kTM3R81u1QvtR1SIvL7yfQag7TKKi6E06X2oR9heq+4kVHOe61LEam6dq7ofi0Pj
Vu69Qb0Xk1YsmVCM2SFbjPoKBDJ7Dfqq3NqWEbKHfLCcvopFN34AY+n2PtjcQR+W9QP8FrkTjRvc
VG3Qxfk04pi2qiD41E/JR9+fbtdFH9toHBzrsZnKNPL98TGfZlnFFMPBYzFp/rcUfmp2OWuBe2Y8
OkeBMjCaYN6yG7VV1OFScu4XbHbPqZmpKtI6Uzy4ixzjpTbcA41vfpjn/mER0DVKDxDKUHRXEKOr
PkyDgazlIogR6DG7XbZYr0o02g5tOSwzs8GCzJiNE5Lk/NVQC74oel3tIKF9pC+jJWom2oRAe9Uy
NUUCS5Nbx2o+YdFdR27DSV5Lfdq5pCIemMZ/ofPetckcnOZq6m6SBfSsRYFL0rIT4WeiRc1oRhT1
485h7Ler3L7drQX0MeZKX4Sazctx1e6yttj4VBi6Kz+2O3c4VaC08GokrthD0n8tK+eWRKf1MLXZ
WRAmsM+q3H/VVu+LNvZ0iFNah0bCwLnIscMZsLY46GZOXhvE9pAhMS4HpjIvZ9rYb1a3qDNrjR4g
BMnMj9Pap7RxmDgbSTMe87XK+6hZO4O8Wkx3OuZuO00Gr2zVimEpjEfuyelGgiTvyyLvH/F+g7PS
tPZtazm7elmNHa7XYyw7RzRhzqT1yiFvh6ykOtd37BrzJ0HA5GfQXhtOU+Z+0Bg7fpI1viIkFOZX
iVA6sdtVKaYwT4Ps6Kj1vjGD9QwKJA6VY7k32FTgKbC8TxUjVNY750pJIz3iUpPsNdnYz521qocs
Sy7WpFovGiGSu3L21qteTFbUkMJqrGMeFWAlqLQNsziWQaExQCt8BPASPdK3kmf0k6m7mg8kY4qb
Kp3TI6RNPFT6CeP4pYC7MlWxQWbZoe8sAulUMcv3Q11Yp0JMPG6VfTFUy/BNd9bp3Nhdt3PWDqpJ
k1RLAZBVFreBwgsWtsyHQi5XXTJ5p4zhcexvZBS8BNuLDK+VnSit8nJBCnX219R9n8NdrKN2muvL
JvExwrbzjyooMEfSsntN+u3ZTtPquI7VkG1Q2oXhtXbs+VPwONUrJomcrHtl9k2sm0rtXZcpAdEY
SRCExpxJ+Gv5TQryvm+8/H0DGzyPDW1UMhbjsN4VNunhfTpqgEi10R2KtXUPjdd3F7ql8pgYihr6
M2oK+HoN3vopVtaw5e7aXAnQapGdhNEWH6bCyJ/0sta/yXSdrgNTfC7BCS8hB8iTnWjO41xUVVyn
gXkypuJb4LYP5EVNoREMH9bvFRVGKvU+E6K9TpeiPpW164WNJb3r1oOdVndjclO44k6s/XNh4w+F
EICA9iZDLTMbu6kb5lNF3iBJf/LC7aarwlU33uJYu2mxzjIPjFBTjRMx6OhOnhRDPNutcSzz1btE
AnGRjPpdPVRAq/4kwwa8eQ67rtfuRqf0w5KBML00bE+9y7M9jOHPNUhxDH2d7a51qyPijDQaRvm+
w6T7xWhb+ZSbRbXL7QGLK2vs4nKwnUMOTAxCbheXDGvnyLIz6+iWQcoDioXCHIzZCR9A787u/SyG
GIpVSFVDLBADuIrf2TeDKEAsW5v7m51vPGr1uKULuM7TEtQPsFO9r7OpXXd9/jQUxhzhdnvb0rPu
urIqvi22GK5r2xXX5JHlR392yNMj/RbZx5w7r7XKKwCfYTq3Y5vGnYTfVIuF/B2GSLdzEUi1I7lA
NLHZ6umKvksW3kmNCVBVkfYsX4iNzAEL73n0r0a4cBtmVCsf3/GxBmrw0XWH7bgg8YYeohmHfpwb
ndEJYID1sORel6VhnlR1cljbNosnLa/N0BkIyw0rxwiqwyAt8YVGWa+u27GYvEtXWK0ZGX69qq/C
8goZgxcAJoCmeM0RE6bOPshZ9OWDrD1xZcCyYX0KUBOOjEj6c+9ZjXtM6ZyXLY5eT086NkHu3pxg
Dt0N9dLChs1nvpv0lIXdjGFcG/aUfhu6JcijIMumB5NO2D5zmw80MJ08KDJrrjA0n8/epkkJTeL2
GOUPiTVRgBXjFb4mpiBTcFHvbaMynoZOlgd7HKuzrH0W3cXRYi8XwYte9tax8xprR8A3rJJsXBVA
diqzclc7A/oqMDFCwEo3j6whs3ekYlRmOKp0YcRoeZBkDDGDIujjbMWd2azNjvAKyE9r400Q4Pu+
eMLapdJuifRhdjK46e2QQUIgcknsWGX0yxUL+GtYxsZVNTXJRy/vaFV60ytlPHpjs+yA/lmbgq5Q
1+ksGRsSe5FcaEJPLkoTPmbsAmafYPJMD9ZotxdMMPBkMvXRCzMmG0dGhMtnzgB1GhkOJGbg2n/f
tE1ykeUjtdkqJqqn2cBdtx4/S2XmhH9oRhd1SZ7fmmZivW+kbn2i1rZ2/Mn6WWNstku8tCYyUGu8
VwR1mUdypLIfPDE9dBja0nfVz6IlYjYJ8vc55y1KMER3zeJcas57tWY+VkIgQRunJ4JVORMEre7H
drSumnrpsUj2NrConcK+1ssC8k9b3yessgX5QKsvaWKNBheDZEwio2W4R9b02OEsgn436hunuBBZ
j/mZ7Q0koUqMfEMnSbL+aKDi166zpFfmHXpD0Oo178qvU2APoU55+bUjPvpS98chrg1TnDppVh+w
3YkaV2nhTG5ClDuufITrq4V5BZgsx4D13dODG6Kt8xN1qxcVi5zWsFiXYQ6Nbh4PrtU6elhI4k/D
dV1qOzTN+mWaJvXZh6//IbMr92R7rboCiF++VkXxcS5HddEAkbZh1kDxx3A7++TmKC7stSvTWF97
86VIKnFazDa97nG4OObJ+JS2nfNkKSRu05Beq3qWH6BWZsd6plqIXTk0L1qf4epqE8/9VPssa5Fi
jNtvhNYC3MvNZpiDZlV8FVLc6pVWnHl+xbWczaKIBg4/DSW4RqwZeM4xz3OobVz/G0QTNxZTfzHK
8SDKUr/QZz0rdgEz0+uSEnmXOW1/0xpCwDyxnQrmxwLdK6krhtb42sqvOfTmUAo7bpQF+GyBcIel
X0+fgkroMdzjO4zpN4ZY6Y8x4bvJ+9K2Qb212u8Pjs1D482DuFkaeayBzHHrZkslNQeMr6gSRoqj
FmHcQzYumcdz4Gtxa6VGZJBSFELNf63GYb4pVXFi32WVQ9DyLYf9ihOjN/rBcXDt3ovRL7gimjex
CxzStNhV1RQYkbeU7SElTF6dpC3VNef8W63nSx0Fi3Mkc0SPakvbdZrdhL6ooklZDLedoL8LdHE3
9XkVl6X/Pm3bbT7VUkxa3Uuq0onIH54vZ5TJI9kTd2VRGtez8Oon31xbsrKdcvmQ5jyVYRUwsxja
QOzdqpo/s6Ksh1GR77lMeki/yOdVhowKOAhh4NKjqsHPTikLcJxk1F+xlfoAR3ZZcPNbDoUXPvJB
kIEhUe1EObOO52pinum0lJwU3+NV04jsSElXXtod/MO2n6dH1Finau6vOqOtHhbEcUClYtkl0qWZ
KxjIPWHMhSnmzAQ7RDzluGFla9ZDD1Pi/SRIpgzxSRAkmXZmd5nZC4t8y2oeLIZzngvbjNJqtnbK
tNKP7DhZHAA4HzrA4n2Tj3psN673og/ds6xc74z1ZvGZeB51KaYAH6+2zChZ1Smtigeb1KCPSTa2
Dl5WRXoKOqv40lMrv89mhnW5O6XMgzTtktRu40qKcXoZVtXdkI6kYmhhbLgcWZmdiE6y7J2C3xCR
5Gd+0acUZYuxSH8vOtcbI53N4GRXnnG1EaBjIhubS7IAitfv8MlfAnEfG8E/b+lJP9Ca/md0p8Nr
sxGF1Nu32o7mzxDy70f3/5TptHkp//cQ7/X/+d9z/qX5AeHdXvGfCK/7DpUmlDTkKsjrwAP/QHjh
Vr+D0wdVzsVtaEtM/QPhtcx3noGHj4/uFvdfbMn+C+G13znQ9sFkYTtB3/e8v4LwOm8wMfQciABc
YGaeFdNEVvojHIWa3MjrOmuvYeozv5rseNSr/p4I7/6+VFYI7/g28+z52kYK/I9/uX/8n2WRA+H0
6ebHNx6W8kx4U/4l09wlQucx3KwQ7S4CK21hGunV82QnT2nV7Moej6eQcsC8xsoou+xNsngm0fUP
vlNPFDQOczoCxkUF/GNtn5bIrjuuVQsAO5TnqlT2a1HNp7FeYJPk6gJD7UvdA4WNncXLDoM3ZeAQ
q7rB4oHsmRm6Qb79iPfXL3Do77y3/0vYeXUnjqVr+BfttZTDLUgoAAbjUHbdaFVUzlm//jzQfaZ7
+pw1c0PZLhsbIW19+41/x8gl3kHeIGBybNhAtOod8Pubb4VoGyDyoZlOEHzbSPBY3V4q0SWEGVKD
Pih9eW6jhuJi1Wx3qjSU1yjPN9i/lLDcOGNDw9YkDw1Y2/5g/URQ/j2RkgrZolJeMfNMITw3hH7C
KoGo1YG2bvcIEeXTY4/SmFl1XLXJpABEKu48s/qFZBuxHxAMDF1dfIj0Mq9m81kp9MW3m9W57NaA
G/VS9uhgsphCFfmZ+9fsF4MOn5wk7XFos+bUY44DXRr8kYaw01am63VN1OUKxFs50aJsrkJBTLbW
iGfVPH+Oh3XxLIRSYaI21RnV0OrSQHqMR0U6C6qdnWrs5tvjo7RR51u1elMZEZ/cGsr7UGgoUJXY
/oFoyzXtwoyh3EoX+dAcRsIy93Cn+sWUysOWCRjGHh9/PG3HLDfL18fDPMoB66x9qbUROd1k9h4I
YUOPeQZg36Tr1ymOg6x9E1Fj/dKIlanJ/kghF7vdqMzyb+LNr3DGwzfwBeR6EGPvU8rctxjL7Pxt
mfh/GIz/e+mh6IVYAUG4czX/58RR4H0GeS7kk7o1tERCIQzcYdXkZTKG7DJsYKr38IpdRCrjUdSR
9F1dBHL3uBxD21h0BLjT9CozZVynTPEen8E1tehepsWJkwqwSJos4w0v76eM5B6UpmBTqBUTN8C6
TNvj5LZpZvyaGihZAQRD1MhFQgK3x3yhvhEPMwVqxAAyQf2/Za01BXOrkzM7uDNA3JSkIdoDsqFR
yZnHVG9+zPjHzP0meAoKiGt2EBXz+bpJp8gq5ZNsvv/ng/hwWPyNocLdR7/0PcCV/RsRU/9sTpXr
VdYEgpZjhGHhuHbrpzYPqB8wGFiiz38i7Vl3loWGjtEKbVo8mLtcsxHQ60rzhZEFa2iUrscis+ov
QycCpd0jj5ou8EfGywa55Ax9bR50rb6k6LulfTskx5LQ46fB0l50Wa0DhgyYsugTBAGcKm3XJ9Vo
lhBNEcI42TcsPXrCNbZdHg8JEqITFn/fnEy+lI/Gf/FwPPzn/3ZM8IcQwPvw+lIJ8E+HEII1hjl+
1zEtflZ0apyBxqd90Wub01o4GbsBAhwPq/4y11PqLpPcYdzUhSuzzfQ4K9U32nW/EAVTXnln1x3y
ueZcbIr6xTBdyhx+DrZFj3lf1Gfqh+IFSnqqz9Y4a8GmGNtbYeBQsCe9D+W6bK81WTf70siNH6v9
acZt8V03ROaIPo090UkAlBIpFkW92Gh96vU7Y9puaePyKxpyxe26eQpVvbafhYCHm3t9+U5g6Zsq
/lu4ysML9o8DB5NokJRKiIeCwf/fl/Jqq4VRZetwlLW6uCyRwkUGwlEBZQ/y97WgjbpXhXDqdkle
uhw+kCWlROkh+hup83i+tDr22qUbbsiKv8x2XiHI6NqnNU+hHczZfitTzdpZK8j2phvoHQu19rU2
13bWQmlyTtHNK/kkySHB13sikylxdeI0D8Ui5W4bDzVKgGE52WxZoqXLTvn9TZkQoyaAgW/GCpER
az27aW2NnVExou//+Xp7VJf8+yHCQWA/6gpAhEH0//0QkTJWTX01t0fDqvJDM1jzDRUms3omvihz
UQfIMRVHmY151y5l6ZB53u/zbYx+pCFVDvnPbhmbfdRJ6dWIk4b1I14OaB/fDKX3rE4lKqXT8jpc
uctte2SM0uE/vwLz7sn62yuQEJBzbZP9BKuKouSfr4CKcU1pVL35835Nyr1+q+SZAt0o0nhDpOas
JEBlQ60pZ3SQ6eJhvGXLm5rSbRScpCiRSs+MSvn2+Jr5fenT4TZA2inZVl2kNmZNV8yz2cndM7bO
+ooMnJv7aiXf7CkvA2UylLdcZ+ulZXWLtybDU14O+munSR+puhaMDXbqJpqwr6QuWOBrz9H9oavS
bc8+kCcjesTeFel+SPPyx0YwLTRmdpvUVDpCkmhuMU/ZVcrRyU2tsVyXZesCZc2RPSGA/jJmBaaH
NVV8ANv9rKoSBvFtN+pp+l1oiAQ3PS5PuLD9XIqncyHqNRDZ8Cu+Tyb2fTJ5fFRb069agaKo5+a/
NI79s/AA2QMr+135QDbi3VHD4Pz3uYr9e8Eg0pRHS2LuKwfTRavV3gbMum8oel2B2OZW6EhCNXt4
KmzrNd/m9Sv9UbFTjOrqdAbLTpct23MrERogF9P2TYtNGhOHrnq2q6IAzzMbZ2vzvTxWOxtE8klB
MwVjWV3/emBkIbwQ8Zmb0BXFe+monSSe/hgozf5N7u0osNekddiuDV5uRuoTwQgCj1ZJoELbaE/x
ML7959P40bD5t9OYmkMw/3uCGQIQ0vj+mSreAihZsaYsYTXPsr+IpX9WCdDxCqUA9zXsfc/ijiLO
0Pe6LuZzP6qNQ8NmF5B2vu4GsKR3xGr4uetseBVVVDm10C1nm/vykuuZXxeZ+lNRjJesaNdvqOMZ
zspE+qC60sQRUQweibszGg/Wwy7TPja0aQd+UxksTV0+y3bqjYp5IilEfauIT77eP1MSiXcPc8Uf
CiN2g/+/ZeOf7iZiHTWN+BCNJQlrE//8+9kioB5Ve+3b0BDUyHpcKPHTqoEZCf0GB0z15JoQL5Hk
+aG2ZmtHQEz9tG3db7wosNNSoe6J5e+8EYfNrUBicSv7nEkAYsgCE6yB6n+W26rArCY/wOAsazeK
9W0qtOq/LFD/lHvcXwoRfry9mFxI6XhYNP+2oRCE0/XYsJoQDZz8THzGLKnb51J1F7UfU6/D+PEC
sCKO1BYku7zFhZHH1Cg3y1yN+81SmgAtOWqA0jzDf+imM1ZMuv/5/JOB0O87m7+fguxpMfFga6RJ
i4Hl8UL+9of2abNEtQCRoxoZGEd1Mt1+mw2ir5arssp+MpzH+sVK8RGmMmi47HRbtY/Sjlys4mlS
jDBZl7CV8WxJtRMPzTkzY1+1yCbdhpdObVzQ/hnSlB89DYr8ROsJqjgML/34lVaZt0si999yrb0o
cRQkyoCQ2zqXMne+4aR0285od8bn3IxunRtPhYLHpI0PWWV9DJrMwpl6WxlDZUReEu2UITpVLRxB
e9G57XdCDXN0No0paAAiGX2aw8R8U3HKrUgINnl6BT7lzC852He/X5P67MR2m7E54PeXAoVErqpu
3mEJyX/Z2WdmfZbrG1HYJkCaeiyigEYLNErUQCwvZr7Pfqz5rjQcqSRtYGXVvhTXmhcLjpxKr53+
e7bmXcKgTmRbzDSQ9M+duCzau7A92fY6+7skXiKyBUfrqE5hNqA9SHzGvRwTiOYTagnHYuqeNdc7
tPQQGvZBtQan35OB4mcLb1bCpoqAymUTX6Y2DyQtc6RcAnPkN/THRJn9cpOeDan1mrRw9Vq9Iat+
nXT1LK+ld2cQbC0g38/HtO0S1jHtGE38FO2DZPbPPSSwsvXsU7WgTs1XDenCtCGGbygdLwD9oEGb
6dgnw143v8ZCXBOlOpjlRxOp50LePDsbn2MQ3CYDDzNZ0sfCepGWXTMtvq7CR+TqXpfIkreE8oQc
9JAixo0ok2vontXrD7vGgBAU2rKL5a+MIdSPJzuhXOlV3Mk4PZv42nfvZPpRcNnvBi3eYUvYWen8
Ea85FtNLkSU+aoBTco3i+D3e1BP6MI2wmPk3BoyQeN/vKdqWGJ2viG0Xt+4ecnDE+aPVFCNLm2N0
EcPbeKT11zfjY/Tex19AbHcqAUvam95cFuqCs4PypsFua99KkTipGu/F+nNcQa0NOkpiLNaZ7uZp
sa/lj7FKwUReJrXdP+LGhQsYXmqvQ/eZL28ZBqb4a29cp+F1Uh3rfY5xUA3cmZ4xQVOQFg5YNXU3
sSnx6/ZD8qQox7h9gwZw1Kh0ZnsgdebYFto+s4MtOoxpaHIwC4aW6NP4rONQU6+F/Mn9oit39dcp
3/e1N/eHgQi8Qrb35AQx39YJWPJ6/1uicnAGk+QhkQZqUbFWxE6abM6dRRrT0pn0btdJlCF3/c4Y
+qtIFbR87xLBrOaY761fijp4Sy75ub4eMkXsH4NVZBM8dE/tSP180EP+5SWOzlRVbjJmDodhVWqv
0uhcZDjuN74rdRUVHB5zsV6MAUMt2qDEyyfNGxj4iU0NVE7/PAKuyp7rtg2rdvJoH95nBm00/bQ3
WpAlewT3llxzsh0RC8zJ2dHMJHx/Z6aNoM+aJ/zkVyMyghY+MemmUz8o4RQTNzpoL/FSe1SBUtLS
OnPJvbuQ9vdLOxaVI7L47ijabTOGv8Mo62yJXCsPCnFBMYz9Lm72TR3WCXYUbxvhXYMMJThgfHxq
cA4mocJVsZ0S++tMnlaxviv5D7qqQ/zK0PKNi9vV01XhTJp2x/DOy9o6iKxh55hw1nIy3YaL7oja
m4PdZe+lCTHSy1H0iWnOS+VacYiW7M/aOvwqlkW8st2QDywzxQx7r7QlO6TEeC5TCYw9RxdED6Bn
l1N+2JpLZkUE2BXMK7MotKCdUMmjy/hOZk9xTWUYR3uZgxYVPrJ1cgCbSYsCGXM9TE0ZqlKn3Zp8
xU8dScGCFiCApqldNUsk39wSMEw7fStMbby0ph0gHvXkSWo/SosktT7Kcq+r7TxoOsQ+qpg+gaJk
MLsLeW/jQVt7+AhLePT6ecpkdx/g60Vgy6ntdEXXf0jGpO9WRBRnDFnKe6FjR7x/G+Z1M1zF3Y13
/zReSolksh6UZUC/MpkLN5j1mCnJ8GWuOuVUkl22Jyb6XV0QSNRLSwGyUiBkUrTpQ2P3M/ez8bZY
23auZ02GFJHmj9mmBxxuug7A9J4WSV5ufR8f1mTonG2cloOaclb0cPh/PKjZZB2WMjs/vk77CAIE
KY4TTqxeMT1r1ZmH+sWTVgQfk9aEWZytXJ06btZ/PVOHXAVRFUesz79G0iq5lohkByM5HepjJrlG
nH+rleXP3/n4wcfD42t/ffr4s/76GsweUY9c4INW1wWcsgSaXFL8HotIbK5aWFUY6/fNYEmm8Y5a
yxrDTqfeb5OV5Tz+K73//+MhqUr+kseHWDH4/ro35v0yjrgsLbUCQSyEp6TqkyEqrx0JaRwHty4i
t9bQCnXPBk9eJnM4GQK4j+Z3HSOZvBAcsLD7iN0tGlBfLu5Ei7vRce3HwxPxD9xYeycjXX9U1n1V
q1RszAFulEAonxDwTiafCRn3RiE/lXgto1HfWaM3rooXJV8z+pCiQaPiqjgosnTQqb7VkvW1btVg
LnkLiETbuoaF075h+QvrPvHaKvHIiWJtVhxpJf6+z8Nau2O0HRFrit+3zAK9d1+uaoI38Nc5pQwd
3sAdp/lZIb+j146FlZxWJT1MaubWmcEi2B/EoHmmyLyeYqkY/L3KtrMEKkxorMN20iWZCrFDTrcs
nk4aN7ZK93BiemUmeyJCrtHY7gr5ngdxY3xt9AFaLEUb0DrNRC5bhk9sE0HdCu6rmAxT40oExwVP
1GU1YOSo/Wb2vaz2GE5DG5aiOiOjfZm27lvLtqvrvhQj96loe4/N7btevI3m4DGdn8y+9yaLv0OR
qRMaznXaXFMkfDESTESog1k83ryR8gXBwjeVii8ycaK/2s2IMOkUG9uVienndVoQ7ui9A1fgEnd6
KAfFXSfFlePIRSS/bxqxjyYScKwt5NpHoDWgJMk/7Gx9qSskAFXvSZJHh7Rn29yRYRzm8oBNTxpC
k2s2XzQPbZmXkomfj+rJ7BR0hLEnLViVhhCoIEiLJjRZ0PQciajVMkxaB9FX4Yx4sWau0G2vqNCA
CskdbET35QmXqNur2LaVz7olV4XYdPAXRxs7B5/1jtoZd5wmbyQAOF5DUamOrghnXS3HkgK7HkMl
TjwjmjyzlEiXUUO9Zm3+mGUyIAzkNrzDsVR7gmsBi+pBmrMXOiqDWeISGnoSj2CsR09Z0oPI8qO5
WidZFAczgapoWBrk2gMU3N1f9kgkRmW9S0wYcg17P1Yu/jvu9TKUROoYg9hN92kVfhRj7NFQlyNa
CEwz5ACaFE6PV/QZhwpt6WCzPjB/61QLKghn00TZR5RUN+z5ZprkZbazdiwO0cRpTWhZ1Hm4011z
mzl6eWDkSAYjT2J+sVuJAqT1ZC8ts6Z0a5X02LX1aYI0N3CEK6nt1Qz3TKiB9pUoYd/YmvMWr7uW
hRIZ/Bs7o8Aoh2MkyYfRSl3WaXebpXBbloOhPDdrF87NgvJmctrxKzEW5MvWGEfviTPm0yolL+wo
PqR6uKB5fCvrPWDKxYhQWGsdV3v9VifdPbTYl7T6HE/8yVDS5vxSt6k/qsiti9IrBcp/2DLiknxF
qxnh5cM6gOUPLKs6wS3RPpvM/bRtcE7PQmKZ6vWgvN9jE8mriyLUO2XfjrM7rXloqaQODM1JH76I
TTtl81OvlIc736Nt5qGMOddUncHHCuUxC7dpZegxkPFqPjd7b83WExDha6ttHhnx4VS/G0sVTNl2
i7flR0GenT2mx9Jur7xDk1kexogQykoNGj0KVCgk3s1j0pnPXeJG3pzLV6rNPQX1sMz7qKn5OVWQ
g2zIleXMxXzID3+/z/mK0vgg846ijV6UCx+fpEyeTMv6G9viICxWGNKZyEd0S7nwSgakkmjVpnI7
qw8KlsDMfAbYc+VWfGvtyLe34miIKFA0FJoF1z/FlgRcBmvR76XDMOJqL9D1ojFdCMluv0GbfLad
Ftbjeh4jJaD9h3tJWBgb0uWNyBnkMOvREjMrYu+ZnUQfV4St60PlBClJbOhNGpGzA2FPYT2rl2q9
JJv+a55ftCq7slvdoci6rYkepFawGKrXb9dWy0/NKgWdNh+omnFM6bvUGf7aL4ENA0PhkwuA4FJI
6bV17kpW7whrYm26GWZ8yasxLJs5gGfG4zzedLPBN3cisN9N/BS7XKGBA2I32QjPmZmJD502IY6K
vbjkBAbutLTmaxche8aSUFH9azRst+nWmWuni9TdJEjmlUqPQAhXRchpRsO5tReoqYataluc7SU5
DZIUYs09kQu/14AyoSm+IN96yxf1JdEYViK18bUZfPVpZfDQwBuMTPhtmb0yDz5rrXbLNcgUdKC1
fYPzvuhSsSvRr0ehRSYXjs7hqxSrLo2mxuzaAgnaYckvVvdmf4/m54xtqKx7XfYaKce68CypP0vU
piPPO0lp/SbM8tYjb6GqHA5tO7IgB6lkhdpQfhSy+XMy409t4cYqZWHSJVTw1Kf7/W9px/CONRRE
UTb24JsGf0yinWXdvFXjfFz6l4aVA4VlXLlNLfY4WPfICdmL6H6PhqQPakN3NrF62jYE+lzcKEUC
15iDMTFdYSWvRv8pZxsp1GuAmBgR5AoCMhxStDmbObiRPoV6MwQIowhq2OtJTwZAeiE87R175BMc
yEFM8EKK5XXRFi7lc9xP9E1+4mI8yRt+h6jwdSX2ZakgB85w86LwW4ZNU30vXruNe7ueO5ZyrIr7
6JKVuziu3zbNuCxzdmz09LwQ2lRaupfPuT9F6TmTrad79ABWjSeZTQ4FCTRO+AyTzpRw+yxASCqF
smXrKa3iGxRs0CXTrRHLtRmS0JIS37xt0Z4ApbOIzGTXqtJBashssOOwkhjY1pQzz/aatjwbOalV
uXil0e9M0yAJn4NvxZWvW9VujqJXIVvviq1e4eJuA/UAaZs/aWoGgGzsprRyMzE8l6V9LtXE39Qh
rBsDbVrsW1nmFUK+Nvf9MmUbkb5dC2XwW3N9iuXqbY021FTbSUX+K4armWmvaABOhc4MV6iBNrML
arnAAKqs/kD6cjCb8W2c13Nq1SeST4OtO1mTES7C8uRa9qWofbPLgeyEHwW6rRhrSxn3F9lwpmX2
Smk5FlXs49U/tpwF8yKRgKTv5Snnvr9+UbfIz/FmRGX12WT6FyIJnpF5vvVyfestZq/7SplK55I9
I2EFn6yU7zZTnd5GTilyslraI77XT3zt1zgeAwzaPlt9pe7DvK2fpUE+Wsnvopq/YRd/2prx2le1
l2JwubuIkPa7TeuTqOlM8ehjJ3gZITPaWgvzmKzjRgvl1ryhk+FZuvfBrJ9wtrtw8bsiCwaNQmMy
1ccsfrZKi0i64qkTdtin8jPSVXIhdDer1xO06q6QqltcJV+rxAwNRv37KY7V+GthTEE+4gqfzdvY
asdFDXBthMa2HA17PhZFcbVM49izKVyWN4lb41i1h4pnACX8gb84bFqwCCXaC6KpR2pYubxsmpRU
MzqkSncaMyWAlyzG90YxA0uLb7Pe+2NkHkGQ+zk9cQtgSkd0CpqKRUiojm1+dpZ6GNbmBCMVTppy
HNcCdH6oMULtpiL5MvXph0ZephmbHkGSO1i9S2O+EkV8NMf0XFtK0KvFCSruPOnmSdKiMLKFH63e
Sia9uYj9aKFtlL1JNVycOy6h5Z75Y6mpWptVdzCN/ZRlSMy3yxhL14zLOOYq3VT0Eeo5TqDFowon
RuMVRh/AK76MknmMqS3VreicC4VYv/UQG19QxYVNsnj2wBb/C2nNx2hpPVpVz4pVhIW0hUJpnjp7
ecbKv2OPd6848dGEHu11eVItVu3MSyWG1g30I92OsKbvguttHukcaGOuK0ZAQeavGAJjKGAV5DA/
VfN6MHXDB8OpCnT+bpnqB3kmpH5ouWqSgL0vwTdXc5j3bTpyWxnPBCNdypxTuI+PaP+DWlV/TtVw
hLq55cAUPXZvNcIylErX3pYupqq+FYXMOj3/mhaTBda+Z7X4Y+7qy3shoUcstwvM5pl2N3C4qCHl
qfXtsnDnsn4mDeaNJNAb1O1VnsWBRKhbAVc3qX5ZPC0LQvAhD0U2s3EHbS5lf1qHO5J50qrZzRvK
WEpm7V4LDX05TuV2k+3swl78qYiTk4Z7Quq+LWlymiLtkxjrV31UfpiD4hv3MIspOuWV5qvTGNbA
slNKBsqqh5n8RYzT3ipZxHgBjQrvMSLgynpWquEYNHZzNLXyaCoNfIflmKL1aP7htladsoJ7goR+
YPnQbf15sarPrRIfVIZcRRS7YKurB1PoAnctC/MWTeC/R5z1zXoxAd1USceuRRMHy166MgNpGHcU
g73b+EQ+uoNOzYla4fcEMtbqL1H+7umFjSTpUjC59Zx6RpsfUvZBQB3C9Ja49ZaoP8jK6JtWRO+c
5d2bCGShHPPnVqu/UfWLM7bmLLTRJklOnb5zDR5ZoK7K2Ps02N2w0XlmbmHJqtg8PiHzAo8UmLF0
16xkkqQWX1nAkCpuRQYjBuLUzJZ9Xf62tNHFzMszou9TPjOsrKQiVGzqOwAUnPmHkvAbIiQS/jJd
c8YYJbcKKvovaOWBhtj6CF7x+OLj8wdO8vj08fCAbv76dOwx88kFRhcTM+W/nunxQ+2/gJ/Hpznh
ugjZfVMCNZ6VBCiAklPcpGspM2jCBNR9WgEr8NBEdb8TVUk9rGj//Nrjowpxa/7HN6a5Bg6ZxhaQ
+gQVna8bAWYxUtfdKFfsWCxaq5WmDYc0acOWeJJQwjjtxjjOAglqPZSX7s8HLCgFrOzjczCD+2D1
v/8fIaVAlLj4jy9pdtqEo9nw3X99y+OLjx/+83n+eoqtX8Zd1xe98zgGD/DncZhKLEXYoTNW5Pth
wi71RaWs+iAJVQ4fD1mtRqi1M8ZUuQR8yqISflUu//ioQOHHoVvJkbGNL+P9oA33Q/X4CHcmqQtT
3ARFxKh5R9geb9njV63VhOvQUn4WWpShcCgWEJRJqR1ABo7t4wkqgq0wJtyf9fFg6dmPyASfT+KW
t6xt9gjk7KC7/8ZN13Gc3r/18dHjay018eBLG1RYVrCT+N/n+et7H1/LELmsf/yax/9kFJ+zdctf
+pzDP8y8PZF2P9ZDd0+OWZHrTUjlt2wlLKr3mrU9jGtzMMGNImXw5kEFcSAJ5PfAPqlcW9eepr0Y
6a9CXojY3C11NPny4o3z6ErDQnb2+tqu9nfRnCPZlSdrF1+6bD3MRoq37Te6jauq9OzKZhcBONAI
uEK+Pq2/hwgGcNsCaURvnd2jgQdHN0GA8lDGpkGKm0uv5xEKLNhK81nu6gvsrKcGKURo2su8MdW1
3pRjIyVHva7ORSe5yVB5xMzK6n7qGapXI0hG+0C2ix+PcRj3kZvdb0F5/lQfiQPwCbPy2XFyU5Sc
0VSOUbY84YB9BU75rYvDHNXHaUFMMHb1CxKCcCQKZBibQ6rqfucVWepgBcbNtu6TadwJjkeR1h5E
/JF+olPN8CCVma/0dqiJz2gynslz2c3Tz/th2CLDNcrc4YxEzQBGt7VuNChOLlnkNFnebI0Mxr96
qfOS7Ai+5meYrtU2ccfxpE9MjSReFdTYUBxAyE68lxhO1r5k2xX7jS72DaNHjgizaXOHMCUoDven
LNpDvrEHqLcTOYCY2ywHr6szrZaHkZTrPvO0IXfRse2IMMAIUR8aoMzBXL2YDBere43YXSGLP9SM
MAm/gl6NgIDZS6bCzTc33E6vUrn5Wp6+kugAVF+QfcXeNpGfM2Lw7zvHoVA5SBzySaNppkp3ijTc
sEfu5DpyzeU+QEKdbFBatFQY0+xrdbcb7II7huzlQGlNf9dI6U7GBJRDtEqt2G8YOKVY2xcglHmF
i5GXN9WkFCOchLLxDfGlJz+two/CAk2XwKts3Yio8ai4d2bVdkmHdLDkBaDIO6lUcPop+xVLvaj8
VNy0GV+WOjhp+TPVP4zit4q5XbEY3JeO8gqnz6uDQcPtJCl+o9LFXYwO8UCkOgA+k94VEcUoYeZK
1frYGrOD1ssx2+d6LNA2z7s7fWpsMfvmbL/U7W7DZtauOFF4ZdKYO3XcHIn1D8zFcFtSqkSO70g3
3Dl6WoWbUKIe5cO1itrPtLK9nl+WRZOb2qar5fq3jeBcZFJubLW7jEBcchuxBeVOyi0lBtIbt28t
cJMJ92UgQpDp9Bss1LQ0CWLXx3qXkFVgw1waENAxPudZA0QowJk7ipEXIp3gxYWO0LQEYdx28kiN
y7IgWF1DMzG/s3lDMii8Nm7eTeLaRisO9QmWoFFQaxV7exCUl7NrR68pxuUulQU9HvYt+bxZTHC1
l/1cswS64KzElkvdIZlVIyTlmRxYN5N4s/S7Gw71j44MoD6lMa2IkcItevaq1T5sRnSFj3PVgcvH
YrCZeRHZCX0VGVSxl9jglMisctSvAzukcfqB+WJ3D7ZPQEDVpgtJgAgTvD65hQ136D0bmsWcdGcd
Aa6izUEOm2eumRHp3Sn+siY4UjtHnznbkEnk5DkIGIp+1g8zLlZwOWcqWxCCX9L4vcRbS0UR/PqA
SzsotTBeMAivGQSI5BQgoXgN/ZS+NjMf/S0dcJsxh5gkU0a/107bEX4Mckb/ScV7WmC76sSG94Qk
pnzYR1rumjDKi5yc7Hx1e7BiTWeMYj3OwIuK4vcYNbcF8tFqBz9hP0GOdjj1DNzqUSkQoABjJmUR
4th8is0PdUkc6mW4qohmj971soHANw8NpF6Cvq7glqFPxg5D694QeKnRrNRm5WmmcARLZW9r2KSI
UhQT5oGS6ADVJQzaY4cdxmvtWc2PElMcqWm7cezv2p4dWuCxdUmt8ZhjB116TQgE1BUpbFvroEGl
jkscyv3ArHuJMv1ZNmEj2ualN/IVWKo/zi0BUhZk8bEEvcIV7cURCZcbks/0vZb0g7AHt8nAvlk8
Izv3ZcLJJ/IQ4vaqLd2+Kfv9ROKiWNc9Bti9gkEIkIY1t95b/O3GxpBSCtfQrSNREPuOnaUMIGiO
vVey8BaJyjlgeRuq5RTKZyYFcK1JkDIvI/vQNjbI6sqeW1b61EiADSRnUqynNlNde7OBQDW2AY1f
oPyxezyUK+EcG5rxHjRGiUEw/4eu81iOG1ii7BchAt5s23tDL24QlEgVfAEFj6+fg9ab92IWs0F0
gy1SZKMLWZn3nmvctdjZRq25H5rwb1Tvo/HZKrtpWXvzAMo5tJH15sBWyzsSZvhLx9mw9jEy5OZZ
WGJvsIJoavwo2/gVltbNsuWHkNGnhQk98Yo9RroPxrNLAHAUbuw+5h2xmwq6dRaqf0ge/GK2eZER
szRu6W7jHDvETqVxmwZtbxTtOc6fzaA7J/H4HAXdLzN2vifFLkg6r0qwES9jGqiTc4pM/anWXHwW
xAdiz1bs7qx7amQXu00obCiTuoEdnrZ0xnBbSuMsgvg5NJyrCsUvqWkvvsG9pWhf6iI5tbG3M+N2
A0eVxvQm98aV17Q0qMTSYQ0dESCgkH0mfC80b/0QHys5rWgArWVB3hEW3LAa1mw5VyENc6m4XSYR
2J1T6XPrtrWVkjR3jeAI2u4w/xnMcR/p9Ct6vsybj/2csTPqT3X3J2vfeXvRUiGICMlDeYpGbhZd
cg5s+8xyOH/sN3lkszyAftDxEhdrMYw7rfWuDoNIsOSos7R9ajaHStI0cc/0Ol+VaZ6KwDsWJSC1
Pl60iX9JovCodMZhJVTzNtxW0yc0gsMok31stnvfp7kouNtZ/lrRDgf4yk09oJI8Jdpnb0FrxFuQ
kbwTulQX7HratMZs9wc30KIDCSrKP63/PMqbZ7zlVOgFUT31Woeo6KkP13gxpluOLrFdoLsZwU/S
YEmOoXeX3d/JvlU7Lbq17U/O/ou9JujMhNe+WP22NneByXV/L7w3S0PStB/fjBBY7Eq9mPEyc/b6
T74Mr/IjHtAarWqk6foy+G1/Be+sKfkSfDP+7YuzrPb2YnhBE0CRUfG2MWh/xlsNmrbxNy2zj0XU
Lvu/OAst+ueEE7psot1Ecb/rm1vqdRODttQ+Tr4vLlJryxXmBeOlTfvnuFdMtfWCNUY2T7SKq4Mz
gOYwXKMGsGG6THKQ2/GDzIU7zmb60WsxW+AGMYBG75ooa5cPc0gWJ+NOFfyn7Ew/ibb1vmupPzu5
GC6a11V/qqil8gotDwj+AAjXNqR2GFy/48PQrHvIUMeqF+c86FvMp6bZrGzNoUgtYnIcUkrbVKUF
Qwk/CjdpRxjNMPt+ioGBuj0ON8eztXVXZNU2EWnBqqclb8FknjKdnhuoTX/tw0NZBKxprym0uTUL
tHEKInAKEANyeAM4l6L/HrTR3Zm5wZ5lhkBi0pVwACaPYquUwA44lxZ5vQvbSW0Nd6pOWoTBRFbm
+Gmm5b6Gillkg/EipUrvD10NNO+XxynwyauxKUI+RgyqdbeSS9Xq8hKji+VOqB1NepeXx8GGDU9f
CqkQJspSyBMktvGiEjFdCGIdoe2FdFEq+/Nxiqkw+9g8vmCit66TRgN3fqMe7xb7SfauRH2HYho3
1Wyj0alNV9jAxG5otOE5GQ2kmczTYp+Zy+NfPg5l8oWp3rqHqVMv2lEPNkYF5TIkbfv0eORo6uQO
2aVyU+Pw+M6IUOgyGK1aExP8oyW689w2FdNAGTWrnLrxDLf1msz2Pc1Jh3PU4csxeXM74GUHO4Ch
0WMWmWktyb3UtRCOM2N2z8IHnfhUcF0AxXCh/AzDkN7ETHGnfPpKoy/bHbVfZLVPG70I7B223/AV
tcMxG/J1lOflk26p8Kxsi/Asc7De85wBeR//oGZZCDDR8WLikezVmY68a9OpCu76YDg7tg/1M5ss
iMvJlP/p/fCJCCOKON/QVrXdHTSVW6eko2dfIXO/pRafLK1mwlPPT4MRYEGn27fQS5aR09SXjN7P
gqowXeW2PX5AsKJv3Vf9yWuj5F3LPgOVmudCEaarQ0nZ5y3oV9GLfi2klxyxFBpG6363lWMy8Q2R
fk49sDcFm3KfGnF0btz7CM/lJHTtpjc1rHUCMI+GlyQXCeNoNdRDvG56+J5lPNwwUFh/rdaDqhXG
3wNMBwYEfLbiRDsYuiQtwqvdZCsc7S+DlLNwKusbjtNZ6khhVUtTi6S9JorOfqGi81TpeNozBv74
CPJV0qZXTQXgSpq4Pzpu5a0ycvp+l+V1Yq/HkN9M14/LBFBGANrl2Qaru0kHGJDpWERnGgzinOqm
s4mf6PnLdYBw+6Toxp/SSKVr+Mqfrq3aveWptF8EfY8YjSbanFGZr2DgM5g3kps7sJKFnfUKR3d8
nifeBKa0AMhKBrq0o1xb2n8jw9zSSvK+3AaAVDHm1mqid7B6XNlilyQ+8mqM2K/0yHtQPsKS6xxI
+bOkTzzAsoMv5KqLCII5BLB33ggmRTzVdUyi7crYTjBNuFkXjLlthf+oNboXQYT9FdLM0Qui/gVk
FhuIsSiXVTJ1L1SYNzRGziUYte6FkASoatITNATSbuVCbz6Kp5QFJFqUSXH2RNR/DQbxenreVq8W
+IqVKgZuQFnHXdG2uccIruBa3+lTm3zL+YqsW72/uTUCM6eU6TI0C7BgZSpebIgDFESd+22zW6Dz
Hf1WittUDmmZ0jD1md71MY1cIztooojhxlXBGuB0/Tzl/BYmAg3A83guQZpcsds4Z9yymJfa+ipF
2sCfAZTWZHLa224xrAMUb/RaVU/ms/RQy8zW1XYcEWCgMG7JAbiMmZbfXEP4TO5GABOzKeJx0AXI
4tptRtheCMMs1dE74X1KgkQ+i/nTM3k+GOjMY2CYCWpm1M1+lUdnPCUYD8OkvAuULqJsgdI+frJn
EuApYQB95oDUPbN3cEtVzCt6n+vRGsW57wdEutOI0zQArVY3Echjs7BeGgflRxFgMJwPtk4MoIYo
ndxO0EHhbFEckya595P5LonI2k1JXa+7eRaqtwzv4gGXj1lTUTz8HBhp05Vq2Fazmn9UvWO/256Q
qzL2jCvxnP3Ozzb/VgCzgSGkJgezRxfhuEceZ42tfUkmwjRNRQvzYZDLYFOx6cg3/uyRe5x6HDrf
2EGe0E/gstIDad5/6iqi2mZAS6UZH4qCdZDOydFCx0/g0ViFx1FjExhabbvs/KwDHzMNIH18SoPe
HFLErPHMqgqzo4ISs+aSat6zWKBSypNvOP6/OsKB//mMCWUQS2W70bOvuQNBe87NhUPz/DiwkIsl
liVt1yA33EWuWyzHLL3pOmkRZeIzEHCdGhyYt83H1L6QU4iSMDGSjTThY2AtDWjZu5O9duOObQ6A
rwBqV3LCBM8CF7g9Q7OHscoY+VtVfkFUz3wweos2kIM/sBz/c2poDYxvPXU4Fd/ay0b16diEsXY1
MKQMCeiJn+uu8MiQ7uOExg4dqZZ0n4Yq2y1znGrbCzl+ohKqEI+2tq6tucTM4uCEAHAM1WwTFDWO
GrKzznT/LPoiOz+ePh4xPdFQWpq7/52C1AFOg4JgdhAYp8Fu9VPb2P85aBbpoUNElqBmk9i18OpZ
/zoY1XioYV8ozy9O5XwwtNrfOpp/f5wiNvw/5x+P/nPO3PpBmh8yI+E+WWQCUYy/yi2nOqNQqhG+
O13FaJrnjSZxt2QhwjBVrZpK1dd0Yj78OAQBS3snQVn999TjFd58XvL6x3lLFfW+lwJRflh0zyXm
/zR2+vvjmQnebSWl10F+yeIn3/2d52Z19dlBjpZEwTQfuPvZy0CBh3o8TedXAM3ZdtjKV/iy5C4r
KTlKM6e+6zPvV2zS0EG9UNzcrnCvVZCVi3j+gmg7Y5l3+Y+rNHsLkbg6daNCkzdE2VV46oQwx9sp
k3aXQSn5VKeG/tTPBbVfNh0EWs5ZkSxmp7tIGU0K2mcI49gmTfQ/XafKTlbanyNYJDe7Nvw9ckmQ
AR0yczGYa1FP4R22dnhv/aTbexHTrMe5iJSVUxmM50cFmxqVcYIGzodYH7+xWhO7sSS0WNsUbjmc
YXC84SSwN5Udrqnv6Ykge1/1gw0+0rbfuoEUhX5qBHOpxsBDnKbrgN7IEVSTdnN0wIlGaLe/SY24
Q0BpXoPJznf2HzN11M4loveqRq+g8a3sdz3xPzzuQQcCJeTKJlVkM7bsRVEkWa9BGP/3aQzDZMgB
XFmLJpfd5eFzC4xg7RjC+mdsJp3hJzHoZk9TiJUqyl/MjFndwk/JhsA22y5JHWeJZyONmtpPkcOb
5oLtNK0Tip03QYDUpiWXdduhw6OCzcP9yHUx63Xqs5eZckPLrKaTScGQWcX0mncL+LdE5zhF8KeB
osfm0P4bO9Y1tfvhF/rpaRnIiSK1b5kyQwE/ZMQBnkM74Ee2yVNKaifgbdqQPhCyYzw/TetwC4Uc
+XA4qYUD0+jVnG4F+KSXhwGTJ5FtvlleFt6zPEThWORyV6HfeYvH5JzNnaCQWNBDTMTVE9JHOOoW
O3JG12gf/GdG0F5hjf++WRDextLwt+zsqk00FM7aLIryolUq2/WxS1q6nTNw1vV0h1e+vGSo09dw
O+OnqaBxGrUwUiMZaGe/LJ+1zofZqjn9a0nq2uN3S6V/bszR3Lct9awaivK9qQptO8H5Xmtuza+b
fiK1JZNgpO3q6TqFu1uk5tWYzmiw4mUFUm3jmbm8VI1fXB6PhJgY4QRIHJOmgy9gtqg/TVXsEu53
u4BohiN6OrhkJM0cq7IwV5VAkqwHKYSI+ZwKyrJcJB2GI5U8Syigx/8dfCwF/54aFaAxLc+RsM4v
KSHZLthk2Js+N3q5hXlurfUcj0zRh2AKZGxu/Mjvj4+7gpBaf6hqdZLzPUKvmhIS+mhc+0HkOyd0
nGNl9Mx9JJ3P2sYL7c3njFLhU9Ht9MULnx8m2aaAezv4Rn8J8wGIrnYYqcR2xFAV2xZa4HvrTcyc
6+i3b681YplW9GTl1lCF9VqaXQ6ilFc+Lp2MMfAy0pBWw+Fm5mbTOiEe6N/B9bPw6Kh8bTM1IJDa
q9H41aUYUTWIssLy0tKud5qgoC9PY+0tkI2WvJQk/eydySbMGhbZpbOcTYF75j4ZSX2vdDu+NP/P
qSmYgYhcEZ0rL/bUh3fgmeEdgprY2YPIlo9zjwN/+BdzovbSChu04bx5SueDF4Gb1VPUJloxWjcn
nPRjFejnrLD6czyiA1T+hbSL4czmYPh3egQxRwWC1jChvzO6MlRroZcDHDKbe72cML62wDEXfV8A
1NWbbo2hpHpmcvfk+wyWDJIqVnJeHxU5qosecNl5qL2fLKqyd6ZQOSzoOL9p1my/8MKY5mD8M6FT
2dmeGd9hY+CqMmL5VQYveooBaQjSa90H+Uuotexguc0iULOKuzkrHY3ePkM43v3zYpdejeSbgJoN
pqvgiHRPMulKiTEaHAZBAPEcLm4Mq2wO1TG0+fS11DJebbrfNZNKiA3F76kJjgYmUrrZU3VgehN/
eB2t0aKaXliPe0Rk+t+6SJMP/h3WYk049s7NomQ1RNYT38Hd6W7ucEcC0LwN6+InQi9YLXrW16Pr
WveuQRjxeEbxk2+nzP16wGBytCs3C1fNFiBevIxmL/bjXOXhmytU/ESilq5E/kQaHnE8bdSvyDjx
N4+nU1D4yISiO7uBADLJe1kJ6MZa1SHoB3eVZvYdBln7BIm0uiYOQYCZ5zdH/BY1UxI4OnZCG//x
h3wcxhFIamD74yKtaUA/toAhPBBiSjSfKUiTCbqz82Y5sGg1mcPgvTtDuBdDVO7GxxfoIEGHiSTe
gjScbo9HSVXCrIQgyG5TfEQulEeP3dVBVtiLZJTZZ1/FP8jJX+qsGz+r1I1WU2PwkQtztilwLFa+
LLqLR4Tm4mEJ5yYQMz+vINLL8sltDP1GhAO7U70+PZ4NjoHWrRUeCMOeMMkWC3lldcXNxDSOewb/
dwV9e+ePgADRUnEjd0JxMtNGnQBHLvPe9G6OHfm3QXlbeyzr8+PU4wBVAK04xHEmH4VzUtX0SncZ
C1I0pqdogoQqut7fDUnVnz1f5VDe9Z4mecqdOs2Tt7YI5tZEuBKUtFcl6/pu5wwKitwIMDSP4UqR
zQbaltgqRy+dexZYYlVXofZq2XRUjaA3PwtaQ8noej+92S2TAZYOALHoyUnQhpd5+ld0s3ZF9p99
B2ObKJz21c2oDEMgoTe2eTPumEg1tr+HpC2L7dB0NrVyX2wl5sB/j6b5XDR/VQyOff7/vk7KZa1N
xg67ifVuqOmJjltxHxXDNlFi9RepHbPBLyec51O8EqUxPcu8/c+j6L/nHl/93+ugKDoHyNjANueX
TPM3+Pdo7JInuxuxA0Z/a8Bw7JRMvVuPii57qWT61FshSwXJn5u2sL/iynaOD7wDUwPnxPjwuTdK
xuFollZtRqEt8frsHktOaSEobUPfQtHllkAqz5NU6hwQ2LYArWO9Pp5689NmBhcgd6BkTQHSdiG+
iYgdzIdGpOYqUYjkeu6YH8J5Vq3v7KvZqEeOXpmuhk72R20QersKjQp524PE9DgMdLMVrT0Za9mh
mOK/j14iFuHKg3r5eAIEd7YBOdkakMDmX0svM5kBQtc8KwhFn/AkAuSuifWcD/W0jvzcOmtkg4J1
6D2kbH57gcqN47ft9ZeyavWFLv3wSyHNhXz5zMhGvjYGvtoydsJnZSjqTsmwtPVT51jrEnkW6+Jz
NETgLJ2mezNH9y27arkjfmlNIQ8k57Wrx9O+4rfuVGNcBnyYzyS0nelfR5tBxumuGZNp0xnduC1T
Vf0yzHDNPX187Ue3OClovUuRB+WvXEXBInHbiYFQYKwqPcLkmjnuaSAadjMZBkz7pnNPE83SbmHr
eBR0UW4s2KhnZz5UAMMWjUyxCJS1d85Krd20mVlGGzsr66tIB6aCjtxXrcvCxkqNHL3UJVU/jo1/
DU3luQth0lS2ugwtx9yUtkM8LwTbcV+fO9bOKNitBkDpFYDEbW8wUfhPZ8+G+jRYTPliJ2DFndt9
/WSF664eUVYvTQijK9k31REmTwXntQn85eOhkna0NWvNJEPKNWN8DHSQ2RHVJzQ7r0Xfki03n3oc
/tdZNq2o3aAPBr5JvV0tYivVjwmc1GMRNvqx+7aCpD3SPOoI7JvPPF7wOKAsBnM8pYwJp9w+WQzY
GDBascGNuAESRrRhu3Dz2Sqdzw8D37dOj+e9YF+Ro+ae/NbZBXpwaaj6+ZT2mXlmlfMXNOmdtSCY
bDZ92ICUPPWc1m/A1NtoKRKjgNb+9q+J5UTV41k65PV9JMRs08vYXmljR+MFQtu/Tjx4gHyjEp+o
3nlbBHr9P19Vug/fav7q48WKWBTs1KLbBjN1Bb/V0vOa8prP3/1xqibLzs6S8vp49qBvzK9KzAFl
rZruEtDlJTKYivWijX6lYZWtGL3a7BggZ+fwqKuuvg2p+TsTpoM6WCetzdN0RuNNuqf2JVnOHPU3
u+pwpAW9wSdo/iqN74WHoQBDaH9ICi3+CCeXPZnmv4Dtk1edls7i33nyNTco+mhci/W/PxIg7Wz9
eP74D/sj6SGOSR+h0rHzJ0L7vy98PCcebw3qT6N01V3Q7hwcEf7n0f/OKSsCNz4amwnRG7ICEKTs
RykcDexN9WfV5htDjCQnDib9mJqPy0iLQTK/0j0zwk1N8zMotrpBPxmmKcjq9i1Ip60fG+VaawOo
sdN+UJTfwialqemRaNRslgmUglsHzIv+76bW/lBfMv0kaTQL1VHaySavpy2ipHo9KePWkoqysBU2
qGAgZc0Fz96W1j0r/WThAH22iI/H71i9w7FDehbu5oY6Ehu2eGicAs26cuvHcUr1ziJsZOUX1qr6
pJsmQ6XKhNkNvE0rW4aIkkYJ8t0gDBleR3ffZrmBv8WECguNjghXBjnKzfQLp8wTg+SNGU6SIWSJ
GzCZ+x8o39HcDkF/yk18kblfPDkBUhcRO2cHTSFvF/OZWBJhUifdLnTpw0R06XP/VQfGw6fNf47y
4RQldC3CPkgWNfrgmKWGtMXgVyjVPm6M13kt2ephsMob+e4OMLe6tLg7XH6OZS/z9HddiNsg2t/z
W5pYFlWkxByuoypiAigWH6RktYvepZcxTt4l6ckWFa15Gv2AISsG2BTLXpCEb1NnvGRFcGXGhm0k
nWNx3ei3WXUfrGeEJmjDHW+03OaWsWqZX1e2+WNF7rcmP6QgKTWvWjyK1ZMKQQhjvKK9993L9rvS
SPVRM8F6whHhN82Gn7RxBe0ULYVunnAxZWKT0nkiX5BOk+mY1spixG0jb0xnGoaGk61W7qHPAP2i
2A2Zh2dq2pJxiOBZ1ZvczZ7kZD0T/HahZ5YsXXpXVYXxqxnil0qZ73EwiLVhj4fOQ0bdzBe3l7s3
s9AWwKPzjQWSMOnbDemKVz8ZrkFgXTNZo6rqCcWkVzviLkCsg9fCf2MC54/NV90FP6XtOAhxcJrj
+jI83VtGFuNTzAutsH77Gl5IUWwqa9RwJ6cuOrzSJ+ZXjRSBza4a5JWW0ZcToapEXcltziDddsi+
hQnuqGrEjf5Yi+qmWkdJ91ESwWIGGh02JzsySk4XkQ+quGwOGivrOslHdExs2YZZj1aGxDO0LaG+
9AJkiYbaL7eicsXKE9woJ904Sv1alVm1tsdsGww5HJEhwN4S59sIof2ic+SdeuMEVJoomqbBrJBO
RFso54wnkvw2EHCrZEUp2szalc6kpVneGiN7CZwYzHoNXYIW29KRtn8kuQCSkYu7k8zmRW/wrhUm
uioXhpfDtS4r5HyD+CmdTYhsesXdo6RDlrOyMROBvXbgswy9vGXTUldPuh9XmzKV1PcBbt2gW8IN
doCMTNjeswT0AQmy0DdO/NdYfuYJYIogs2wEEn0VHfCq3xPl/clighjggJ+Nge9c0FIrpm+Siune
lDiSI2gINQ31TYtWeOGqtZWypRxxMppYmAdjDikk/K/SDSIZEXHm17AUxGZ49bsWqR+fgeuMeejR
MxadLJaTQWKKq30UiFCkQBPlqgOM8G2rDu3gHqVT7MGlZCtylphe5hp5fIX9yyHvZJmZ42/hhxbG
RN1Z4DGo1kbE1tyzYQ6HusYvN3HDDcQ2pndF9Utjckq7rZVoCDHchkV1rJ+rrHmnePrBePjkReE3
le/WJ8Qz8DHG24PZsAlSwcr9jT/qKQVfDyr8oLq/tC/ZY2mOgdQEY0lC/qNEamNqKJaEwPqbJsyU
LTmPO+rPVrXppi95U/TKJPzR4BeMJlyK6W87r7/GAEIIpmqn1RAqGeUnZlyuhS5DLWIbe6Ce5PZ+
O15uLIs8vod2tGlYfT0XRWdKQM7GdKuVZTfNidHVV+uBqfWjY1GN2WZMkRp2xUs3pd+ibJheu/W7
lVotLQLrBzAEsZQYcocRt2SgdoR0GucuH56jrsZIDBWmt3ZBWpPiGbok93kJjCDQArpHyF+C9RQu
obbMQrKZ4zA6BikyQPgVlgt9rXB+tGF8R8lOv9TgFT4QwqqO/MVEvEZetPuppVgVjNM79BxaD0Sf
xlNqr7JLIP1frQVVhWHflZLzYHkOKkOIDQsafy9GyPeUgQFsNAuXOmgCPzG/DQNRVoTZ3Zzb5VUy
vIYS1VIvmI8XCS4OgcITnFcTmNbSt0gPcjpFrUsajuMSVAjL91ULorWvGh8Ad3Mc/faldZd1yiRx
sMrXqhgF1qhka3jNuHb9QF8Q0/HHdwPg5NECMky3tMNg57Xmt1+j1/VZgLAoD8sRXtOC+/eb5jdX
ZRBmlIf2oi1yyE6O1UFssQxMot2ty/q/PY1y32bZjLL8g1Ljjaun3ZiWuo/o/YxJ1/Gotz8mXcwl
sW+47VISdPUMKWaGko9p0wFB/ZlM7UuB9jJTKE0NedDcDs6bGkk173/MTKtXvcy5/WubiHojI5Jz
GVqAoKgHrr1YxwOQoqoiHKOqP22m8guSAt4gROZLyQdjMTTtb72eGKqG5M/0yVW0GIY9v1RI92D8
bdoA8CVaLXUxiglfa0HTnywpT4vaS9GGBfHLhCKDdcOLjGUWAtSAHt5HBOyA7qLuQa2D7AOEiICp
O2XFxXQxqifpMNG2a186BBF7xFr9ZPN/CIpzWec4wRVtgihGXOZMwTuXJ8RAa2eahNE3Ja2lJNbf
U0JsV8gxGcOWPfsGfcSfF5GnjUkna8xoURR+tGi8cEA5X/svdGtWvWNGFy+r/kQzkrnQArRv9XRJ
HoDm+cAwZ9oiyCABl4zYCzQln5r3og/Fn74e1ItwLqCpdNJ7ol3T0LRIcu0PoKuc4BKabxNEIcnN
PK5IM7L0gG1UEyXsHNKNMZXfRZCUxPsZRGkkEmkNRIGaIGcG8sQeFfzxuhhJLPgtN2q/gsFmUqNc
hpTruOn7i1lxhVou6P2pDI6IjsBgsKimGXUg8T+HOrRuucd67JfZLkXoHVv5pi6dbOs60O1j1Meo
CpsnhboFA5ZMN1h/CXGX2e+Mldsks2xL4MbOsT19q6vpdx1VP/6IAcRkV7woA2NmJOH+TCOTxnvU
kI6bZFzOQLXqyCOzjJtz1PRfbOcwfocQ4praebX9xl2TN4FAlv56L7SXKvEzuuEVNUD7nSFxWET6
WWUR0DWn/jXU2vccbSxKq1jaPkQxL4mv3T4ONO7eg8++pqGf3HfDexITBxsE5riyuvjW1NZfaGpk
1P9Kg7krWBP7lsYmOkHFXZ4oCP6+Lv12FggSK97JJ9oV7GzCMXc3tU+hnumbvIyfRaVtfQGJQg6D
goDmLWMd72DXFdNhRAyOqggQoyQh3aiYgkwCbRLXOsA6fmOU7cugIws1n8iZFrm/nrRGQqNDRFvq
ob8m6eVTi/tZfb0awjkRpyeQN5kuI9mAa01DgECxUdqmS1gg3xuI85fPv+umQT9knrwNJa7lorpD
5P/WqdCayftySuPbtfVriRcJS/SmHKiCnZFttdJOSObmjrFAlFHYpJaHBwY5u4j2xUomOeIeUZAx
FXU+AbP+m9dPxEkM2c1qKE0nt/yORhrcJplvwUSfI9r4fnsgOYDNSB5+Obk2LXrt7xhP4Vqvmyvg
bjkbF6hIw0Quq87rXm1sqH0yvhe0TcCiQixtqy/y37tV2J3tyCk2pFFYaD+2hoYw2SFZCLAgah2d
i9symRyYNPrJXqdHZ5bjRnPDq10rBgp8tBbaPOR0JfU84cqMsu5B2QxHPSW6JxLcgv3uHV7CZhQu
zKUUsJVyMh8cAnrOYnjrg2KcOR8TbQQDMaRr5AvXTt6J9TjBS7TWdqYcIFbVgHsCo6/Bz5Y1Fa9j
7d2+hPNZgjvXgyVRJOGyZbu4rDL/LV4XDf0InBECncfRifiRZctIorUzjGweONTOoEfqKXweTq0H
a9PmPgfXCI+uO+HRjIFXpMSD6d3ekSiUpcMiyxKJHwASVGOZjIHwiXcd2zLw3LOLBzmtNwL5qIr4
JHVLLWur25SJe8Tgmh8I76OtF9fJYVZDCjnRJ2K5XvvilWkiCOAUV6lPysgQOYtI2PURWRrbPZPd
r5cWa71KPPbQUKf1ttqEpW2B+dGvyRSfJ8/0doQl9Qv6dBvVYuiml4kcsWMn3FH2e3pV7k38bIvG
oVmHNuHUI1Wny312e4lMvmYVy4N4NbKu3blXo9CFPRJa1KqipnnI3LdfdBWmYI+e9d4fuZKdBu14
EMFsQxnqLdWt0yESstuVzCXZ7HHptXdWHOQp9cFXJoJbk+oqb3ZwLMBpt+EnAMDBdH4bdIiWejOo
2zTBUXZduPKuNH+xQQHmnuHnlVW4QSWkLVrip5dWU3zV+jSsx5TCv83pHFr23sycACMaLKk6YAKV
JdVtcMpvuwcgVQYLPRpwv+RMdjQ0X5nrEpVXzJeFRtd8aIZy0WgmDidADNpcnxU9SYw6XEbDd79s
FrBNJ+xjOmRLw1HpVtfci1Vq1cFCyNub/CuISi7/o46FFbhQ6um7GD0vdTYJbK2nL6GFbI0c40Bv
iA/BIGfV5D69WT1/B+X94nX2xSEJBPDMkT6vs3XpNi6CFPRzFkicY7rxTgIL3ggHAV6QDOwZ5qoI
ehUhCWiJLUFHEmG8hhSdW/obs8Xnijy4NXwWHAZEeVq1hbJa/E1G7xxCdI2agJwqgoOSgroO8myJ
OY182BTSXjzVZ83K/5KbikE4p8il5/CBEv2KKkutKVO9hemxZvKJxNCQRhiTBKkuxi7UuWBkZ//A
3diPihFCOTbMKvgIdx3Mlg4mkuRjv26URVaYLvqlPjB0o/HM2MYEUOZkdwc3RT04CAg9/zszuVEK
71qXNig3fy9FgNeqRGFI3AtT2Gth+09ekZ3wqhGNU6A58kj/Cfw3VnvbZTKV1C3jSIur0rCDc4g0
I0wvbWC++73uMjCNT4wQ9+lYYWgk3jgOzD9+6P2JPSiWkXaMPRsupF8hoy8uQYe7hsbMnMNHRwN0
rp3YLdH04W8PTRpAOnjgvfFTzj9O4OpekMPzK9UhO+o1S2jL+J7awfj6P1ydx3LjSrZFvwgRMAk3
pfdGXpogVFIVvLeJr38LUPet+3qCIClKogHSnLP32o4t8WJ7f0yylDif+j3RlpQumsRZsI3/JAvy
sa/ktkYRR1OVRTp7ja2orZc61VhDtIJrAjygi2PZMVplpwsrpwaBR9CxPwqbNMrKlXvbHuBTp1iS
yXdE+DK8pQFVJjvN6bI2cM6zQj87SUhzpE48ltF/fCXdSc1IH+ZDRD9h66M4XM53a3ZaeHXILByl
W+5ZXG5TB5RQEGOqAwtCwnraaYeR13goJeiZyJRoXhlJMc9PnJ0BvkASHII0vpZq2uybLrjmQeru
oNg9FZO4NFa+0LqzVWKOoEZOR8KLdslYjMumGVw2gaSyKambrlSs6SDixpVrqK+FXSiXTDLhhqp/
UuUUJkX6FkpWHWu9Ga9rDU+W79Li1/zqhE9ZXUDybfedab9bxQkkzZvIRm/lFOlioKq0p5PylITp
10BBqmuGR8jVxQ6OccVKvw8WfRY+ulRh1y5MqrEvtlBKmMsGFiNTtmcq0sfEKI9mreOJB4tOShtV
Ezu9KnZzcfrxrbOdrZVEF+ECgIkqvJOGg5kwzpDJsP5lnCrfwiS/AeJaieSFiOPsPGJ9NxQjWEgU
lsw8LpKs6pDUwGRDehfJABrMtiG5OJ1dr7QAu0KH16i1jWUFnXEkdm9btekB+cHFUTI2w6q/9vjy
yxqzipdNoClqdboNKyd5tWiiRx7Gj0AfrmWefxR6/KlU5lFBHrWpR0K9HF4Jglm/8Lf0yjwIvsJY
qb2NTCTqlobdZcsmd15LHXOjboD5zRGFwl6kFpc+pkj1j/Zgg9Hg9IZ7YJdHuyJZd3pTrZ2aG52C
GYl491SPPBr20a+KsAlE6kkFmbQP34jMWtN7Zi0LflHg1TewuoXsZIinoLnTnxwVO23UEG+ag3tH
SpfUKJPMLKQDHnz4hk5mHr3NNJ1AdXmw8hWYiK3OmKRjEmmKRmAlDPAdqkDFO/JfQd12Hx025Lio
UY5p1mfr+Z9sjh/Duj3HeXupe6LdjAqnYQZietS6VydIPlqCKhZELn+zW/f3uuk/dn69j4T8Gong
WZW9fvGZTBlKya21YZKR3dE5/pMBHlLNlKfUZDZRJvdjbzxE8ZWgh2BReWyRY7c9GTlg5eCKg/VY
h+Y69DLa/cYvFPeQLaidrTtacHFMaUjTPznrwYC63YG85D1yJ3ItZXGR4da3W39DtZxMRmIRN3Wj
f5fEZ8JWPNCGoDKafFWEorMSMLQ1RLLfMqIgoVbsCHy+6DYlJlCkVo3RTRDe1T66kbnCl0LNRHT3
vqx+oaE8ICdVF12Wuzudul/m1WdNxUk+eVkdZPoothmGy959oTWw8fv6qy5YqYdVeeL8oSbvn5SK
vmrdaO8BCbO45dyFw5latRdN7/bOGOLgi/i0K61HLIwBVe1D4LzMzF1j/lIL+VY6w643EmTr1Wsq
DwmgT6rJEk22f/YYWazAejRN/aVRAbm29YtveZ/Ft5TG4+BZK5ZTJ+GBf+Qa4eo14L/a3WkMwpuM
RLIB/PNUOinE6hrrQCnfoK5CEcPXCUWBmq7f3MWonVo+rFKsy99e4N9Bu93anPEgm7aHgqaFw5Qz
VMxOHgQHOmCroECpONlmfFM85ebIx9A449qcTpAIo+RQam8RG+6V3Wp3oC/2QoYVSPNS4YMwXiCO
f4j3qrI24RCgjmX5ttDz7t0sQarFOEK1Y+Mx/7iUbydeHJtU7OyZ3z6FvfY6xK9t8A314m7qsbe4
RaR01v4AzdEdnsEj77ORujA2IrLIsV4Wkl0n4wEC2IhNodK8mCqzWBDKXwGaso1J/3Styf40Srik
0sQSQN0NYSCro0p8FkZFmoJdLEfcqVzfw7GNzZcCdyQKzjN7zm7RVhkBnvUfRE2bSMafli4vECQ/
nFsduLvGGK4qBf/SUbhqffbe0lHg5uTgVmT72cnwm2qmCdew+B7dlHMG3xpOk51vyI+BgXY78hnr
7ImH8Zsesc0+gkJkZpS7zpj23zXt2ziFsph5ySkIv2OynVaKAulZeBXNHAGayKKYmVHg1TOyHqT0
lEVBdOpYbSjFc9o02cJMDBagiR2uvdzlozP6fCOzHjxT+aUVrFQDxplAurukH38FSodzyQw3tc8u
MM0uJRVzlJNfQ+EctAzRK5UB2NagKXO+XUpIECQlu2WMZeEztYVLbW/h5MZuj3DfgapWS51KE3UB
l2RjKvXT2xHtmxnBFASaWNUERw9wHSlBbAWsj3WXwAVs5d7rWoMZA6u2W9M7bJVXNQ2+U0aFpWu4
b3YuWM/XAB5zzL1+F7pLvIFL6EoFlcad0bRXjUBH2n61zRbMT7bauix1zJsVduPyy5+kphl1PPxe
qLtzRuQg0zF2RAfhDG+JDhiA2oCYGDN9wSjoFwjt9lFAURIPXop9QIas9Fg/l0VgrCExMpyzlGt0
98AXi0XhXE9xYVW7NYOQwqxxyMyMZHBH4SyYx5boyJQwLHM0ywvbUoyF7T6Adn5ru8gDKEEjpDdJ
WVS7le91DyrhpJs2dZ890T8jG8VPkvVIiYKjoZvXUJuimdHLsXRpFrEpTsQPnTXbW+ESxdk+snT3
UNZs0/ChVNQnwygC9Pbuu9+xSIHucB6j9BxSQVzYoXmvY/3RaRd1XWfLFM/+hmgdfHfEFuSBK8BC
jh8kbS1hq3KyNl9Utd8xOtz7gEqjluJ1k4r15ebfSM7eMgpwbIV5zFM2oh6nFSuwEzUnCqTCyOgG
5iFr+Ljc9LnK0Y5EiXs1sEkrabFnn/Omumm9yFkiLTuzYlue9DvDpPDvqtGW2gGCUrNZOaYO7DOm
mYJUU2NFuAyRKK0iXXsAiOsudQjzfZPtrQiMhkswVZapnxCt4Dzbk1KcIcpKKJh62ngPiYZastSF
IOOALDSr33Qi4HLExp82DHBhgXoJ4Dk1FT3hQpHu2sKCwPoKKIC0kUeiGYtQQXnrVDaPXFAQSALj
lwjqd5294LEE+ZGNiG0cZYPvjIELHZ1SMggLzKw0nrAbKI82MTXoPDZGfczD5i2P6DD7g7dsYvPV
LNtzNfhMQjjVFsGQns1eXFoNkbJXlIBRbHZpXlk/q8MhsoYPOl/brqYdR8k8wUHoyvBPIkIKW0HR
E2SSXmhInfyhfyJ8U2dhMNGVIvh3qv5ZUcRQGny/oQ0lEa/7sszwjpNXTScrXFQshZ0mo/dQeM+l
sMksAjWqVXRXK7JaqXkWH6qRHyiuPcgqYhgp30Ghwx3v/NtEoh3x4NHqk6togLeBA8/VD2TE/1ZS
m9gV8+z1Ee/ZWaqmD6s0pf/hBVRfs4I9Z4knJgByaBnDIsrjfTuYn7TQnMo9h8R4Lq24LAFfdOXS
DvxfupM9s7lh7lWwAQfdFsFcv7RT9xqBZ9o6ff/LpoJu+dHNH4Zib7c3einjcpxaWiZmQ0oG/Vof
+mfPhCdr5dNyK6mP1Zqi1m8bSiG7bIJ3rIQBkf4MA89IsxJwpV5y+ljlqx9EhOaY4t5TcsHw/qk7
w8p122XidMNlNLNmoerDl+VrI1GnbJY9i0RiM3iJWcZYLjsCF/sv4m+rx0GJ3Nmzs3PqWJsSARlq
CkQZgT1Secl+URK/JMYzthl/6dClX7DH+9OJ6qSn6bZpSW7Hn0tceYm0M0ahMEbt1VTybR6FJyvC
x5pJvu4mPlN/+i6YgxaU9fFGvGZj5+zbFOKiqqZISXwiAyk/V5Silrmq7IqIwmdNSHwa0AJ3gXr0
ULOoeVnHLkGS0LcfTMkhKuVqoTOdjj3Sn1pUT9TbzZ1p1kj44vbkfXtj79xTyplW88Te2sJu+GAY
xgRdhAGTMgdmj33UpxgDsTd3Oh21TKOGDW5v5DrsQ1hMBrgW0ASubwNbieH4d/WrUNAVJRj6Kc0m
4YnLqsUotxKcNE7dne203DAF6Rs2ZKuphCRq2ka53x3HAC2nYwxUuVX3oQ7UfWS2ya5y22ddL7mq
dNYD7EF/o8d/cshLXlitD3skYpZofBQ0CWnSNlG7i+4VZDXLAYvLNID8jq+MaA70IqCe9pVstmw3
EVcN64oFJgvZ4JUYM2uhWix+BZrPBm7gIgvjjt2VBQg1iN4J7s2QEGT+1IH/cFrcNVThDbe5WXzp
Y1K8svMlsGfsDn3k/PalSko1IRgp5J1FkueP0j1ptbQIOEHI7LjJrsNLEEo+xsF2wo+oU4YFo1S7
jEuWlU2fbSiz5R65GsNOhAKkS0utwr90rX1irGLgjDtCQ5SjJpOXqIgpjBSvrMzafaL2b2qPegxH
uR0fq4Kin+m1FPZw63qADKukha8NZi0Mw40NSXKh9fGUQsOaI3QowY0Z+59FUyp703W3+tib68Sf
sKxtcW+99FRlKslqVLHgybAjRurQNTFvhDxSmrX1SDXO/p07ZCgRQR6tg7a9N07NH2ObhbYn0Yx2
VYzohE2K+1vy7B5BBUOTCRVkEsiOUjV/GJEtLjuRPqkd+dm+QR0UnEo5/hYliNMoeW7S+KsN9ffG
4WJzEuU5qCnLjs3wIXzzw9UBt0a9Be1Aohyr835hmMnuS1QKoG2lWiWFDpmcLK1UUu+k+s72mhU9
WzJXG+uNyvaUffw7VaJdrPYvlIkWdsF14ydP4Vh9yE+16imyKavI2qq5rdFzr/cs822C06gegrhC
5u1gUCwRs8GboMW8tn0MeyBCNj0IkFze0RC9ar7+lcv2aRypVmZm8lK50VNT17hmnQV7hnSIDj3T
tFTty1gm72qCCMnUEiB7AyjyonjGKEATQGydJhVbk7SVkU5ba4X21pT9UYTGWsMCswV6eVIM5cu3
soHsBPLm6EIyTvT4JqfKJ3ZSFNQ9++VVWwF6dwDq9x7oWK+BhKSx+IfMi2AkSVe0Pm9NWKyr0vrM
DHuvu+WfMskvTm0Pizql3eTuNTbVy6KM4M/FFhQt2qwF0T2lP+zxZd5YXMP7JiFHVYsryxl4UA11
GVTLFO+YlXvC50QNJs9NDbq84ylMAZ1G5WWQXEsYzKiyhrAW/DcXzfAi0qi5u2D6WTkTZgWaetsx
o9HOBlvW4LX3DPFVKPF3bIlvCdIubHD3WJSam9d+wPNgR/q9UajRTEEBNTruBYkb9OW1cZWSQL2y
GrlKOstYNnX6ysoEjhUyQ4qaLbDxhKjWbHrBpDjZA77z0X2GwMGaJRjhAKWmd0cuEtY5Li3bOVUi
gFmyDYVWLsuBsAIfqyJxtxpjb6eha4k+DacmryYUkK6qfqVn7brqMmL4RqwOCphrwDGYFenKsNRf
aY286W0GscvoP8Y4fwrJFfmFOS/YEcRG1YawVoZcMkoB2Y4Z46ANbkiofCWZ1p+xDfnLPnFPeTK8
GqpxaVXrPU/Ule3pf+Kc3qWUrb2s/WWLHmalWZ376YGJntZNGoSjOju6ZfCMSQtTPfNDEnypetyz
q39DGv6tGxQXEON8pol8HXrWkHXAtOFoPvEFxQEjsrpKE3bdlUAUiLgB5O5LX2oPllBU9uUBtEZ2
XZ6fg+rSBpXBqtSW8Gm4DCh5LXPPNJak/b2oEvacoDWvN3gIUBN7dIWaimGkicvnrsLIojHPlXQ+
OvUzq+TeH916bRnjdWhoG6oBebZIOXKIa9mmJkpsZUVI80Ok3HC7XsYgKTZqObQr1bXbDd7ur6Rj
RlIEfU+FnVYIYHTUAJcG3RPyqZXa8Ae9SL0L3gDMHyPcOy6lY53VjNh5pVSxVoxvxQDXytepm7ME
+QbrxPDAvmPQDMRE3apFMrIcOxQKqv9ZJhT71dL5NWpsZoHc3buSVW5rnrsB/lbejB2lJ/pAOEHE
x0gp2ctCOC0W5fYw1llPNK9WqlfMkzTCiYjCbCRiBQxxujHreljVFhujuAacR1HPVCNBxg/beCkJ
1dX7CaBCbXpZgRteFnr71Sq2d6nER15TRbd0O2FZMv5mNGnO9K429QBMnfJuqPxp+SHfc4vP1KcJ
3fmasRCBzcay2GgZAgUH2ImcugduraknGbISTZx7kLlyZ4iM3bDsi7XZJKDLtX6LLa3alIoV87iT
7hrm57XjxR+d7hMGknrUWAFzChhOD3m8BbE9hPq48DxAi054S5v6uynVHMM22Glpyxd3gJg+CGps
kQAi52PxbfVg0usUzY4WLaAIcM4qi7AY9fUS9dNYBa+pgd7b6NSAsBD1xOZ9wIoYUY1MGP1lHNF8
dE+KEmkLt3PfGxuIWdINfxpHUozlpFLwJagFtUroo0u4LUDBG2M3lKJkTyDCjYbQn3NbmyZafA4R
+LysinNKBO2J3ZYW5Dnip0k24eMrKZr2ZEGJ0mnUrwvyeDZVXx6iWrwngD0oxFdnIZI9ebbPSkSr
Rjc2BLNOBU6wcqauWctAi65FA0Bbpxjio57bjtAyFvi2GJD8zTA1YdCZ0mGqGnyp9quwWGGrPdtG
x9J31MTVu1RpoSK03Jtx4911vC+I2SGTWRmAdrc0V5mGjnCQlNew7JGJxpgZ8cHkYxGc8FzT/QZW
sQhipkpOoVHzeDNqZi7Snk6YTdVBL1xQTcnwlGnqd66r3lZziM8AhiaZL/ns2pxF5EiGF+gj8jCV
iHZ2bXcEl7ADqBVWb0edUzIOo2wtalkeKgH5dD7Md62iKqZcvAeHOjK8aYOmtzlF7PzcxLlVoVLP
kfF0GAiw2aFKrTrJcfQd/Jqeyea9bnLkifUJgZyyiXwdN+v00HxAOs6WTZhHq0X2L6a4nL+HYArG
ieZ0HPKXd9hel+2EDsUBDWB0vjUhQv/ezSfQlQGnmRlwSA8FV2j8c1OdaKNyOnipR/cb4yW7VNCo
80EJ/3trvutM4FTiXhsgdnslZ74pUuCBLJ65OR8IgyDfQ+Q3MbFr4ymbJ2JyW1C0JHt56qXOh8bL
qp9bqeN22np+EJNdjZB3elKi6SUvSH6k00VXBVYPi3z4z0GIkE11fzLSQMHoo3+5CYBDm1fINkNb
2hTFWCC4QCM9Ra14EVbHV5UMpE3RGRFpTrW1RvTo9TSxKgskld6PBAdMn8z8hudbLHX4EJroqiom
WAMsoaOfAIU7xNi2DyhaN5Y5HNPp2+3Ec1UjGgt8lHjSWtpGXsDwjw2wAL6gTUM4InT8Y6/wqash
yRd/v5n525oP9fS9eQ2RDoiPiPD5mM+DUAp33WriI6rR4WdH5bfwqUUMfEiW9iiRsq7SvKQ/x17c
0L4piP4mu07Ba47RteGvjEpbH8BP4esqJ+pz9D+fi6B9Rvrxbv6sfn5Mf5tJy3RZBJbNQC9+gvRW
qgk/br7Zxzqg2zLta6ITra+fxzp0Oj8/buebfmnlh/nQpxP7ubQQFsw04dBunJiLbDphp9PU1Eeb
iLf4Va/ZeP6cTP97Xs0nlxen3gaC3Yk50ivf5lOy6TSQtznEF22IIgRXwd5H4LCdP1JnJvDOH/bw
z6Xxc338czerU6SqiDAsvtYUVMBhvpX7I2W7ij4jwghKomVdHX4OqvufW/MnRjeBdm9FBz8om/GQ
sHA6yCFGxzQdYlNpkAiyJMnQxbDjBkrYlWV4b6YDbYV26UDI2QjbY98oBVGEZcY8Ca4puLsy4svV
y4hGNmXdsKQ0IobRxkrpWjd6SOapD+WhSQ1j2bpBg5oJ3Es1H6jvB7SjL3+fr6FTW+hNVO/nX59/
oAcO8RAZZYL5t+YfFDJsdtFIMrgWasbRNNybp/rurbR12rQUhtOMh0hCQ1VjA3017LS7zs8IvMq9
CaP9QAY+RSj99zfTFla4XzBaSz1ZFZSd76bi+Her7NU1JaHm57FeG/y74mTEvJS5jtabu/OBONzh
aMCfmX9r/n2sR/VVMkm0/zzr56l4jLIibS9BGt4cNbeOUdmKG8mWGBOwRbNPjsQtmB6T+KDXKU3v
1SiSADYOK3EGwup9fsrf51nhEQKkcp3/UD+yOeYEGNdoPtDvDrewMPWffzI/AReOICVxZAOHT5JR
kH+nmoWzVRKf8FQEk+gCAjTxau5Raw+tdaKSV7VIzNi8CaU9lKNnnOT0u4zv5k0hA2CZYsbdzo/N
B6ZfkyUOhYC/j2kySk7TelCGpbcfyuEPtcjwXtixvBXFeqDudXcgblrI7y7gbPWbZcnHKFazY9ME
xm1+qJV0BW1SolYKUo/5ofmHEcr1vaWzGZgfmw+uIWu+7H8/opTs+Xy2VEInHufvU7O+hu5UDPTw
p6fMP4hMsqgaS7z+/e/z4zCNFnFlE2Lyz6tyWXxRkqYvPz9DTi8+bZpq01oKeKDCLm9QlzPH9K7F
dKgceLWC5LluxADk+L1503LbvKmMyMvckiXSQx4D/2TeYJwPE6mUTtj02HxwIUUcpwx30BF/T69I
MZOLJVwabseewtQiLlt7rYxASsuOdEjk8s+DFUXHAfU8XWHEA61Nf3hgJQrbu7815aMIxseqYb0+
2sMK099n3cTKrZwOWTUEm0D3gql07t3mH6g5ecs6id4LEx0tjoYhic/D0O3np/w8VnnHkj3/7ede
pGh3ci6OvS70LbH2wa5QCNrAbjxekAUsxpz4manTFeb9ya/MT2asl7omYstjmxUNIcr7mnZ6fDHR
YiwGRQtXbt0/G7irx1B7ijrdXeQlvdhBc54L3dvVAFNrjxfMqLEwK2th2ShJavfc40+SON2awf8u
XFiNYWGHqzq3FiUZO3XquZswab69vt1HGoaxMvSqRavH1cLNk68hJmQUV2+mD7+tMlEBge/9zKDq
ZXVy4XvFp3A1Y2f4IdEfiLe5os8M1eZhZLFe8GfO6TD+8hXySLn2jxINR4lJl5vzwWoclfVdbyvL
+aaY7s8/MZMctBDk5ya+jvXAsDE/wU0i7z/Pne8XWqIBNeW3qn9uedkoD2P6TT4JcWPzD//nuT8/
mX/DieqVR4jkvlQUqOt/n/3zT1so1Khppr/Nu3lJisbbzL/3rz8+//TnhY2AG+wmIq54ekkUNo1F
JXWxko7335c9P/tff/bnFyOjKVZVEeJ9mn7z7+vV/r73n3/59x27QVRh2XW//j70rzf2v5+UqUpn
J0gLQ6vNd/D3dwboYEvMd4A05fBYmma0BeVuFmK450XRPSjh4O586dkL0ggmxq5AsgrPLdobkdY9
CLUv7h3VmOnO/EhkV8O2cALy5EOMlPSq93bSoUuoGUHOsmvlscj7myG3LWEdL4OlVBfE9AQCR4P9
IJKOIsTkkz2aYyXpAsXSpBkaUjU12IbLykV6xPNXihi7h/mWn6HfpfscHdG3V1TZ3XajGkr9YLHD
o7wFeIaNhsa2K7O6RxcV6RTvXSUaNqyCKGPN6d3liJR0O//WfFDSbBXXYu+UEFIt4u9OuqA749rm
wYy7+GRyLS9KzSEJxjSpb2fowQJBoFDnDuO+BDox3yM9YaSBgNYkqzGq+cAHriGM7k0mM0zO0y0l
96N9T7/Io7fnuLSX2oeEsK5H8J4akU8TrlBtMeVhwWDqlB+F178HKW/eydjgqypy0cKsvSOSEKIA
9cp+STN7i3uVtLpwINypN860XP0ldB373THoE9MHTi8itpS7krlvPZ2F97JwLqmevHiOJz9EhAyI
9sajy7bgmJh6QaWxcC/oHzAq5coLJV37Xo6yvPLL+FQSijjsByizmeOb7qfYgLzSeLUZgaQiwgdX
yUjEztoJaquBdnAmv7VCM/acJ0TdESBTUj5pYuCV7dGcz4EkpHXPaUgxEcv71WRVuiso6wH1CTbz
q4SIsxx1nWicdtwpg0Idn5IXatkaS0emek8FqIKpSdeffYJJD5ZU/aVIte/YzOSNmu/wcyhjKnNE
pm/7of4DDasy0KsP9s5WKcFkhGZ7o2wBl+O+sBW5LdWBPr5tR+B76wZ/AkIgBb29S7TU5e9Bme5W
fX1L82TZThizBmAJbpSQ1sJ0t2pUwRnlDjcgmBQViuck9cUf3E7PMCnqN5qg8Nuzotl4IYkIubWF
0mDXy2BwMJETRnvSse8vGkmbluAebPcaO7GjZxnesela7+dWLH5FWa+cglgWxqpExkbEkVY8mBOK
Dpn3c+Up7r2kx8IlhKRPaS3InuWgYXOIWFt6nmNCrUFQ20VOetBTrz9TgKjx0nkbNAPNHqVQ8coH
BveaIEVdMG8WsYC5hvy7V5LyXhvFlyPj4BWq4rBCFh1dWw+hnVnQBjOK4StE40AkAYCVwNI3oi9K
iucAV/uASqJe0x8QGmaYsKYOIuPWvfYG+6x4ZNmmTnfnx8CeHNyiJCpj7OVHyLwh6ua9dwHcJyzw
NjErKsaUIKBqVhGUhAmtJ3jo9q9DUl19p3COwqU2mQ4Cou00jJQhV1g2qrfEiopzV/oPRAgQDKnS
5jpKA6i4QRrslWBk+0CTONx0UJ1elDC/xyFiZGiPHqih9k0TmvXaiiJbFaVuXKvGJHzAj2E76IBo
C689VdHALpgW0IZYZ2KjjcB8dILcP+PYwXMj95kbvBteMll6EkkzpxTD/FirGmetgTGxYc3p3H0F
sbGJAXnA23ByDepWwnT0g+8QC55MiJvA+03fxbk0giUKiKSAlZBtN/DHKNYLpTEfPbOq1g5S/A17
O/tUBOEXWu/8gAkPNIsScEGDRvx0Bg85JqWPu1GhuGVT73+oPUCH3DMoVFrpMSiYFVVL/STBF+eX
EjT3TjwWo8NpK5IYsYld9+zu+NawjGD61ax9ZMTNNCiyrm26Zy32JAt/50uSrkGkqdYiruHqtXIS
5Zmy4v18RctOr3aYz7rFMHE19RReQQqPNqdXv5LhtIBTu+ruTLyBPO0ok3YeeqTpLs4P88Ku4Oom
nn0OFb94ZphmjulYxNq+ugcEzevMzMd6tMWj4ZV/CCrKRKyd6olrYJqwsrWiy87ldNee7gZqOCwx
WBBLlFvhBUwSpq4wTr/MbBs3svolJzRqgN6u1Cz3HfX3ZSbXQqpeKkBiHxU+fEpUKkNam+V/0K9M
4j+E+IvQjKghYFk7eW4bboKu1h7dMTaIC/bbpVcPhI9NtMBiMEIK9W7OacrdEM3hUSWLDYw5l7ei
LTW1WjqmOREjVTvceurwbTgWxsuqps8rrCkFllkbIkdCpHwv4rP1zpRWVmuVl7DU7Cq/AJkYNnaI
4Bh+/dB3j2ED0qVQXWDg3Atq2p+Kj/+55zQKq/jxZ3yPgLHvYaz5gDyt5r00i7MtYij0Mf3fLOt4
15z5S65HtLbzCJzOR7cneqKnMvozGmLaQK2dGPdR0v8wCFVb11gd775hn0osqi/klGGtSnHkzndx
9igL1JVQsSKu3HkYLAWQzsTV91GYOxcSddNdIIMUb0V3woumvoPLcPkvwrqOiUkvwKjNGDXlaD5l
eB7oWU/l3sn9YOn/uaX4clhi/gPBOiGkHJhJu8qiPRHJgib9/CBpVa+hGmxj0vV6s243mhqw6h0G
bRn4WKyDzM7WtdGmTxkyYejA1nfvkAuk+YW2RlHR3Ar0SihR9Of5nlq69JA3yqCpz31apSfLpCKZ
TxiXRsHH0+u4n3ukgNfRkks0X/KtqVBqIpIu9qFQg8dItQlgldEmGtSt6Gpk4POMqrBl7XLqE/Nj
oi4AC/ayundx4G4qSSaIAqawL9MvrbOectEnB0E0xSZTMdKUlQXB0rKM23yAHEOUCMUmVFM8FgwY
GRyymudFmSoMe6drQbWUUYtTXiMXL+gSIjMwZq+H6SX3Vo7EMGEhhb9Ruxk+pnvOGevbkqAoO/+r
iZ+TFjBBrjnBr9YgAlUbw/xBHwfzAPEFb+A8Y3r0HUh0c6s79FJ3M7+z+a6mwhBtbBdEKaJSlT3k
oxEYr6bA3ZPBXt4qQGrvtuZQcEKvvAy5VJ7IAm6a3noMK7N74p9+603lnXqFqOUwDp3uoY9DMlF8
pz4XLi60rFDsJ1cn6qEJs/JKmC2aXrt9yDK3v+rsyp81UT90phyu8xfceP1Dro3VsUzKG8ja8Nb6
MUudzk6+vIDKqMi0d90K8Le5YXb0VZ5RKQBoCRsH+dTSSFAYzcjG69qjbyTar8Zm7x4oToekw8re
vAKO/ODk8U6p6uytZta3BSuD2E3Vu51oD8Lw0jcmEXeblsnGsFCFhUgcCbSr17lgmA2z4jia+aZX
PIIX8+6rs9AFNR2cqyzrSUkrfXFRsT9Sk8GHGJb1g1SzD9elwIeYARqkl8cXGMYvlD60J8CVwRPo
JWW6Y+G9ukI0gg+cHFEbNo9dmbVXND4ROoRbX1XJ7zK5e5iOfuv8GZbbuvMMxXRliX6yLIXFqx+q
hIukLh2n6W7NKgB8REPPq8QGazYlqLDSjU+WPRJ7mODz/Bl2QuFa9G5g5Rca+dxFxF5kvjsfZn4+
+ZeYL53KAvUJFrqpBvusFK5zGFkl+ojVYVlMj5ENyuzCRHvuKh2vUhwrUJMq8iPxoK8cCQl3oSiP
cFnsK/5X7hmtfE6EnRxtSgu3FufHQdPGX5Qy8dIUFXzqaaqb5zuagSkkwQIHChNfUUX10Sj9Z1XN
2lPaTwrdaWrS///dvz9VgjNrnD/dEA0P9ehUe22kw1OgqaOaDl1vPg3tQaXRH2mE+4ahfbKUkSSz
UL/oBW2rfJ7S66BgqrRkvjYENbC0ktGLF5EODfMjamwkoWodUIdDAtGZUX4xxkJn/drqrEmpey/i
HKzTD7pOzZHcV47aUTlgnNJotL3FnexWKG3VvTHd7XxzR3b3+JDFV+KF7Gtmsgthfyj/j64zWY4U
ibbtF2EGTj9V9K2kUJ8TTMrMou9xuq9/y4m6t+wO3gSDkCpLChHO8XP2XvszH9InHn0Vs9nRfrGE
+TEiRsPBF/5FoV8jCAVL1sZNiSQZ6kmzUMu6FA5Fy6ywn9zqK9ZT+CZm/2HbwjvmEUPzfCzqzeh2
PcVvqV1on++APDTPTkLgfVtsQxLcrnHtQqBy5paago0helR06xbgT6MMjYurM1HXijB5jVimCOTx
tiBG9dXYEubFOITrNqn0lQPl61nLue+WN7aUESJZUidWDhbZdVg248XViC6hw/SDcAA9sftLS4K/
/3uiaeNPbdfWefmXJkP/KPSxPC3rV4v6Cttvpl/S1Apx3OOZIlijg01QDb/QKbMK31KwjmuU2AC8
vIZ1PWlemyp9ZaNOhK96aXBpldW2iddEfXFsKwmPBhvp8tXE875JUsi2VYhMNVUExFxHbDEYvnue
YZK8kea1WV631SIPydq/X4ah/aHTNqDzLMmQRHC6fJc3W+WmBJRJW7Ort01sE+vcW58hkNU/+cy2
31APYJK7msJGroG5ex87uf27lOnvJDfSLybW9A6HJlpnyWQdxqRBPxL6uNBlf80EbwWToa1F7jyu
NgDq/ij9n5680sRyX1Iv8n73g7/JNbdACgcaORCJ/OtrQDCSzv4kyaEiMAxBK20NCuIh3HWOlmBl
lMNZwZ+gRTG4ztAmgA6qifuAdwMyDdAiB3cNRDZkHxlUr8OHiE0ab67XPvqaRAvfWB4dx7K9lBW4
jcioPRJoXbFVRLkMFGWUGsar7wxfZMgbl4lEkNcJ4sGKPXuw191qO3NvQ/PFbeWM3J5pOzrveqqx
DbeSlyDFYJTPKXp722J7a5vELy3fQg75lRFniKaxFcesHqMX3MaUoM70vFyBHcG/4tHN7MmqWV6y
aj96scZ/QvVNXqrPT+0sEET/z/aUXwF0q2EA/1W71Rn587ayURRnaUUulelQZJWB800DlamEYvzp
rudstMbB4agupxo9kAcLNc2L9Ctyy1dJDkT4EAKnocD7xy/DT/wh5znwx3OelunbuHRYMtE21FvS
wcMP1Pf+wcp67zLWBMqxCgefrfyJYml8UAqy8eZP7Kd1/NNJ7bHPi+4tEKa+ryv5OvQOjrq6QLM4
Z/pjkUf6qhvNddpl9guEAJu/CD9OqI8au5hcrGby757wTkH857YDx7L1wg5HGJiFb6f+ndRsAgCC
GduKRx4O9TR+t6JhpXXGZaZyRyVIrA3Cf/PimcwmCNIlvwhZAqy1SCEVyDCZiTyL+7BAtBzC0NLD
eN/niMLhhLpE6VTjJSjJvOpk5W+zUXOvlebRyxHirWocbAAWa73mKs1T3sgn3E8IDt2Q8S/OfuYB
KJ3SWuyoe8cnjVr9afT7dD8WpPbolWltgtCj2LBlz+Nd2+N8UyS/ue/0/Tj3vyvHYSMdzgJk9PJ/
Ik9uYwUhqRZxF0R7k9sNXBRe+TGICI42i/IT/knZmwil226bsxRwi9rl1egGk4lx96IbVXeAAmZv
vTJxjnSGLMRxbfvc64pxYSsb6PyCr7XdQCHTYNDY7e1+APiOqVaAAxqsutmWydqKiZ3ou7i7LYcx
qwiQTLt5FxXZT5jmzS1MM6hLZvUXTNT9RL0SphBLZxEHyOnLacsmsdzrOEk/ymFfej77Lw8+R1gx
nDAazkbuqbLuHtvGLR/7NO+gcAX6z8DvsScrlVC1JDwv4FkCNKCLOWKGcCDjK+iQC3l9kUraoyGl
8VaB9G6Mxxh5mdMH2vXePe0qPVvDcUEL0UMjY98aDVvUcjsioRTY2mzpK44lHo0hPNz/FHifp00c
wh7pUkoXLzfO3LfZYaAagXpI9RvKJ3oF03ObF+VN/WY4L8JBd36rk9Kb3N9hOtBPg1Q4yv7VcXTV
f+ysnVm5/ntkTge9Lf70c2I+GUaX71ofElDW5t7qTsvUQp4/blE91i1KhgXaaVY+1LDcPkW/EVeO
V5SAKP2VX/x++xR6dqljTSNVoLrKyEjJ+ZTpCQqwf4pDXIZLGk0VgHOUmR+dIMej4yjQ36RDDxDE
KMnSHJuUkM1gmp70v1lNRcC4inzaWjf2y20wTcAUEBhFG0Q29D3ojCwHA+4NWm6cXWYBT5j5zjY0
x/Rmqto9CBt8wh3PNmELAqSmdaigmSJvvF0MVWmbEXpyAdWHNBttt5/VEf9f3poRUQpTkOcotYO/
3fAPxqzoT6Ehw6paZFj3DJEE3W6DIzhfyzQp96QePY8GX/3vhzNzmvcEvN6XAciBur4aYnpOadu3
JxCT7OvtOP7xjJOpocxrUjignR7f8OAaN2bka98e8qvnja8y7/vXyIz715ToIfjLL4FvNseyZDdE
CEVGBWqK9rXRefIZDgaVOJJoJNXHiHG5wUQMeJPVKmG4dezLkSjAGqOBbHOWCh15b+hJ/Xr/xUxp
RjvcjS5qL3/c1chcdpmP4C9JMW2UmePtLFW60w2pSQDPrUtHgA9yu9JJL/qwb1yoqCD/7L3IbO1D
jpim2LocplrRj2UGCOb/fDEt/W9z1r3rgpFtKD8uNYrhBXCZDXRRUSSd3b5rViVYL5BIGVrOSc/I
IwjF0/KXTkCwdnoaMXRrxHSKyno4Ggmb0zEe/i6fnMJkxpQkxaENPf9SW4kHgcZLEWTJzy4vtT2R
W3jNA+1Jggb4yliUcNVG/hMeLLGzNPOpktG8NtU2v9aJ+vQDxsBCEbRrmq4LVJ4iFvLKsnRBMiXR
wPWPrUbH2B9tvFCFnOsD7fGilYrJQMeiHxROhFfC9DnKXe5YjOVrzbWm0xiGOA9TXOc05Odvj07V
g5xRrWtehvG4E9rJ6qp54/mifgJqyZ8Qv0WMJQcgcVkarIde+ve/k3QTBYJJY1p9JkEabiprxjju
63/GIp42CTKBA/37miUul3taRO1t2b0nKlRpFi0EIkkfDaIlci0g6w8ZBo0fEcZb3xysf7jHjr6T
lTsHSN7G9vPpgu8qfGiNzPum2CbyBt/RKfIqa09FUTKN9hkx8sQzLHSZfid39/UHFCDBBrkt312S
PRM9nX8FDpEI1pjSVQ3GgKG9jh/fsk2agD5xEYXA4GT6L12DeWJQjQT6rxI15XSoVHOEhIx1U4OB
SJsZ8KTgPnbj/HlZ7Os4fC5bw74S2qUswU3+Oxn/6rreflfoyNdwoVf9GEwQC6mkBoP7tyIeBkRS
u14+WwDJutuQkZJquLFEeIMOT4GO2W6IdTYkM3mHGsGRBKFbdkw3YdIjhuvwsVzb2C4rhavWsmGe
Mbgjv72Hxczj+I/Ouvhs6ePvOoP9DRRwWAXRtAPzT72jldmH9N/73Jv38DIgf4pgPJYCW1tXTOIC
8AD3oTa85c5sfCA2MtaWF9ZXCJsSmlV9kWiW8I2Az8OxXjfAr8JgNQ7OjL2tfHVAxP/TGD/06+wt
PNNyM4LAvdBUX9sqdWmspvxi9mhMB1KLlkM7uf6Jzi+ZvvYKREH82Nr57/u7HNXistQDrYl+degA
RNAB+kNdrq1KOSoWeW+cJycjPS8kcAQu+jEWPINUjdkzd7+0yOJ1HYBMVWn6U0+ewjHtrZMz9XSv
yyoeXuDg2yhV8+aSYy99IEJnenJ1UIA5gdulm7l/vMhEnFWNkNHzAIJFWL0EpBzijgIpOaGlQtEF
k9do+hXu65DIHUg3AlvNbiwwuc5DRrBhgUPYwzAvp04/dtEIoxdUE1a7kRWz7nbLqpqEkMKEPV/8
uDXA47iIv0MTzo43+y8zgSto0ocXzfHj3XIXNZYcj6k7IIdkAny9P1dLVsrLmDKEACzlX2et+uNT
l1MsD+Aii5b2fW4fXQK0XtJSvCzZP3aJ1zHz0+fGz54Tk2FN5Lb+0/0fbGK6I2HcbA2iSdexQ/eM
5oa5sZ2GpmyXMMCpfiVxePJCQx4K1wovdK5MVLoUK5jEHlInaR+l54wPnQwwCZEH5D56/jzTLH2v
ZE0iwVw67hqEB3M0VUx5A+sXFQypgE4OlCSIKoMurostuK4/or4kwCaOpzWoE/2LvervxGKWWmaQ
orD63byg9dm0QSLOZHwcDXtA7IXXrqxjiXeNs8Ts/z2L/vdsRmwy6qX19v//3gEUPd4xXFoNC9I4
l9ACVLgBUyQNazD95iXUgFYyTETvpS3M3ShzccDLX26FpadfMSFi+Hj7n0IKxPW9pV1qzyR/pAXB
Rl/GDIz0V5elh2RkZ4pu/Lkws/DTcdHzRvgDL+ThBVsahZcA4/oB8Ryz01zOV7uDPp62SfdqRaUS
goCzmjSiTmkgbAullVrq/uUAeJFxCd1RaCy/g7rkL5uR9GMnsB8sDeQwuhU2ty1+l8nSSfVSOpxI
z4YNPdVmk5IdRBg0h3quhoNTm169ixK7Bu4Mpz1Xe8xcwofqmhnXfV7Bg41psEyCJhFzYPEQsZcE
kopryABZe8zyAkcXVpT3fkL9jHUl3C2XMKAQMvF3j9m9EqIVQIx2GRvr5hT/pCHlr6f9uccWYIJq
9m4pBtr+eAgnjEone/CCUxWooT8a9YVvpntmeVnOlkNAk5RwczLDotqKN8IEimfOln4UWGKXX3E5
TPk7Y7PyMzHmk6ueWyaC5gKO8Y8FRmoKATlsCzFYa703eYIG2UEnuAxvfShOvTosr7f5vylyRWQ6
WyKKZxquDG65g0Y2H9xWS0DbUr4HlfwcW4KfbTgadmplT7i3bHDGEvdaGuJAEHAjIqZoZeCjzymd
cl/QLD6PNTryVMNqAGaL3AX1oFkWizHy3+8/qdkQ80ROoAexAXGubJLTZOc8L0e64E0mIHRxwF1n
nNqq0jcZGH2gu6n9rGHBY76uvUch4aDAuyGQq0u8lMGacba9GQMxYuCKTWxxM8q0/X3qAyT/EKMr
B7DSwgJyl5kVwVUxcck5wKQO1mdJd+A/BYfFI4Ef9NciRBDgszGUAM2Kxip/Hq0UGcVE2Ul2dpK6
+avm2dE6mjIU6h0Jb7Fvteui9Z61IRt//9+TkNJp1qLgbJFpwcAX4+XSnBIC94FSdF9dh0lAqOen
vnGUgt+AZWbrOEu0Za4uozbemWEzfTZ4C073RbIW2f22cnUT/Veic38UQTTe77piHsZV12DPGvPs
NNZV/lbwRrHjtVyiC7xnIjxU/4JptVvXyT6ssExEkcXmg6jQhxgP5rbwxupx6VFqZWxcjZKhXdoe
LDQdm0VYQpG3MRtPew/YQh8SwO4r0HklpCqDNjv9wOAAXol9VF0468R1P4yZmn6Z4pgU409x68B6
84dxY6vLNNKPelvax2w22433u3ChCZuqfHJ9TdwS4vDqwjzMGi9PkdG8MC7cj0llfvhtMR0jOouo
p34TWhKcRKsC+sg64hS/ITjmmK4GSZJ0kLKSTAmJ2m9RetTKLMHHm1h6DyRRoXvh1ini7hJU9Klb
+kmhqpNAH8qDVjNKZBMCpEQotKqIcP2D1Doy/Suveox/gwnvQDs3FsTgatOWHiMN+sLbaAMjWkyn
tMru+WdmzDKoMc+p5sJ8FHiSqLfUOqLmzvd9eVTlLu6NpHgNZTpuO6mzBarNnIidIlyjrudv1LWM
9SfdjPaj45/tuqUeIRSyUkkpNvfWhUXjVLRJCaHZjAP8x/BrTPBdECn6aUvorXhbLpvIFZsMjEHQ
1FWwAuxxLpjL71EW1ruibfUL3cF/z7jJ/z0rLqMJjdLXUua6OqoTrBJflq3hW1SHwq8hTGVKohXX
xZlYk+oxq9NXXU8Vmq2bcL9HwbAZ1BMTWy7YOJ103Ps7VPNNK9dAHwF0RVtbfhSdiyG02I2UccPP
maQXSxV5y+M+i+i9VxX2XgkgJbUM+YIDuFTKrYSPxc02vB09tlS9O/e3qIiss9UPp77KPqdk0h4z
T2vfU/uwjHtQj8mrOM1B+8eQcYBtACERE/zSWOFVXZNkCeFDK3UYE3n87eXpi9Nv3cqIfuyGzT/i
8fw0jKn5jCN5h36caRRFu25a1wpsL9uPeDZpbqXpqyaYrtl5h/9Nun25cw3TOpCnHeDNjJ1Vp3YK
tSy8fRvkeC6Xio9x/wUKRb3rbEFx0Sfam6y6FXZLurtzw8DJd3ineS46Y2QdUUYgFxvprMAmG2rc
qKn+o8hWUbgJXaH/JLL4WlQcnTmYL0QreLZ2uW8GS3+gIR8U2tnHFuvjlG0hHfl9ZN583+n21OLJ
nn1dQeOHAVCvEWwZyHFtFKtlak2yY/60nBUQ8jxj080O9XbKc6Vq2GLT/rOvYVy94ai334VugS/K
LfRZPl1xkAaSZXzbkzX1FnrGX3Sqh9DkWZA1TxBF6eGZBXfXsquVXtwdwyxpNx1VxwFjTI3dMN0t
UhGDruuKPvaO+iK7GUQOrGInm76SOb11bkgvOJmoKVK5YfTuH1AxpLtRYMRNfGac/qD2AzR5tsvn
ZPnYLJeeR3N9soqtPRbaI77N6FEOEVIUqEVQSmlHqq1do0beXhlku/t8vJkwC4bWY1DUYr+03gd3
tLaYmNLNculFtXvsgHAQb86zQU5/yG8iIlvp5vwkQdEdxtZjEoj2Wdf9rypDqJs32jdPgNPQMNRU
J9PsTU+ELKSrWbcCNQMn3ERt+pdDugaJu0/QYf+EjffmFJPxPjaO2JDf55xSsxouXTELrKeQ0c2K
UZVmuP5aE1p8CeyhOANzuuU67vCULvSrRjIgTY2C7OCgOoxtpLrrqCAaND+ETTRovAYamWnqkmyW
9O2zED1CDUGzEnwXHVj+lR2I4PzYddbz8hBOS5Q6rdkZbFCxYxZl2QPR5wPdau0JbXb2aDFig75t
+2uhcsNj4lyuKDHh1891tOGTWRysqEHipfOx1eFbPxoteWT6qHcfU0FHU+jnute8g22VLimISnaK
/oOmkC5JlbKik2fW0XV5Ts450ijMKh/tCJV1+UDZNYTHFnvDe+iapAxhdY1mYJrp8vFUH9RGtVPu
CyDt//hmC2ns2E6Oq+Vv4I3CXxdK0jcDBdwQDVggMnLEGyJ2+0xB/mh0pDWP3mheBpsSGduC/s5I
0+cO8y3E2epyZu8bGgiv+LVigpw7uSZTbqZz6NKlVrt2wbK/a0yJ01v12TrL/Jh0KzpkSuNnNE1+
9EzZrlPBklm72vxIGmv2mOjcf8uHZ/kCUG2YoBMEScHw5NJp0CJmy6flw83QD4n71mk8MPIcvojX
8MO6oUW3X2kwCIg7GRKiYeRJjPsuMjpTWSwqxIoSg+VFUhYzHMsPPrmkD57R1MRtMzBA9jc92RIG
zexmJFsIMHZIDfiqUskEM4epYEReyq/QT3XI4IP21Lm20nAgXh21d0Mrb8t7UJSO/SIBzCdBUh8m
J4AOjsf1EOiWfw5dlLVdYrQ3WdEeiempfraJ/UF4gtJpSRdMuEMz2Zpq74Ksx2lqUCRqUW1GzAWU
qdkT5kBz38eTudeNJrqOUbkZEqk/2BElkkn83k71A6EpVeGHafrtmsd2fNCT3lqTIZNsGnKsr1qI
b8z3hsO9YoVniUksS/9M0uywg+O4NY0hevzv4FdMtCdN/vnvJUxW2zru67OXgU5dSrVyYIypZ1BQ
Q8qZdeHF/S5evLzqLFzOpoJJSpLgZeP2GMoGpIRsIecN8rmiI41h2upfDdrpviHcW+u16SHuvWat
Ofh4Bw/5NAHgF9eGLqyuyCAjwKPHbCebC+C8+bu1MWW7oOaORdqQPV9oHzbxuJcAa9HKHtyK33QU
a+QUWBZwWp4GSUGEd914tQbfgyzQEGOmeQ8Vu9/VSJDjw71+cWn8Q9P6566zmgYj3qTG/8TADmL0
Dr3Z7k01XSoo/PfArUt49lwaNpPDmrYPG6lqYtfEYfrfs9maWfmlvk86H4WRa3xSAZLNQ1QI2FYz
SXYJEujPKXOwWejRT0t3BYWetzY7X34YjvHewcf7ixhrNWYTOaZGgV7bYzZm4o++0KOpPjyajzPN
rzfHpbFu236NPULb3UU8XSiewybc59ytl6xj7VHqulodgsl0yEXpd8vSldpCX4uAoJwkapBvNBhG
PF+1B0I8zwz30H6hc2T2Yl17dRUTcPmUCZAP5G8xylGXyxfCxH8g73fYRCmxY8uP4TGq3i6Xhuoi
K6IHXdLkMW8UJEPthiBXZZe8E7+WK5v1lQ00+qWC9vVWC+f+8b8zLVF9dbJx11WbQAis3ADP1PxZ
0g+8hX30MXVdsuJzVyPF44zeM49xdRar17Rh/Percc+vVgzV/XuX15fvWL63iKFUp6P7t6V1sbe9
Od0YfmZ9mIlFDzGDMjuUztOibEgGG/Hn9D6YYOkNor+3S+FUk1e71ZlGZKk3q4woQLmqwRn406PU
CHx03bg8LN/atbKmaS5TPlMEFgaij07xVKUnV4C/yDR2QxMbgLe+K7V1jlf4CsSD514OVybS2x87
btuP0WQBVnr9qVdB4ZWVHggQjUkFnl/8DuBl3kfZU9RM/dmrC+J8dDd/b0rjqKE7tvWuvlVW0r4z
onIzX3vLYjN88WiHLK+GPSheb5JvjiGa92xI5zOSl/5hIgv8bbauIS2IbTkrdbbTuzfDYwUlTs77
gfnw1iZx9ga8RttBddJ2y+XYJW/LN3S+klTZrksmD//58g8N9TAjslcwtt77GT38ZqHXhFvfi5AL
GkZw1sYKWQp5K9+x7z+Nc9y9FlHZHscOGWUFvPQbbQEAlzD69LEg7l0NtyWZfvW7HdGNStAsdcOX
Cd3+QGwpY2F1qaXdK1Eq3a3oRnmVZEpCvOT1KGgnaA11fp7or74ZOU0ypLs0XsNLraa/chba4Yjr
loq4YuolUGscZBHLfQOQ7Gw5+S4rBe8NSrz1sjyOknqw0UhMtJAXsbfrblNmAxky9PRPT0SI0Lu/
vLeKBNB3r048kjYUld1qTHRQVR39jUz6wdY/IvxkrCLDpnsBSKifi5xS7X6thXgeAjjilRzftLqi
lU/1/6RHk8tOQ2vORRpoB35Ze08SgHOZZoqxegxPS22RlU3yFNJ4Wa5wkOH+6nr3RH4puhGK9EHg
VXDKqbm1bmPsufO93TCzglXsG3eUY+6u9XrvICyruI4lzKts0Iz3whx/S4gc/yREurB5/zuhaXmA
QRJlQ/Q2WD0i+5qHj+DvfGrckaiMIiORueRZNFtS/+t/jbo1b/q01s5UAdSyUm+eJcvxuSA9a92Y
ZvOdG8ZhIALkPcaAtqePCiMaygWS1JDNPbeFQVqwEgjFno0sR1Q8RLss+mI4TzIWx7MeJ4zKbHLE
WgwgiBmTV3yMKpTKiv7AZYW3HrekkZhvoU3D066xlIA3HR+sjglfzFyjQy8m4cScmOy3sEe4pBUw
rgNEbgeSujq0GwTbygC+G6aece+oWsuw6XHVDrKdpexYXqund8+H6BCVdrY1dC+5DaM+Hyy8p0QP
M0ReXmvq+lcVZ+j8CvzwPYOUaAN9w2DoxTWcUSVpU5p9WVSfi6tIii46eIO21yID71OTKzmYUIk5
FDESkFu56qrsVNfOdCWISGM65ddHsD0Y7mT+XvU6JPSkNrcuJPkvE2hQ2VbjY5n4SrRMcZbWnrVb
FMFw4DZga4I3x1HZCy7T3RBwfdkWz7mbas9OLeQZacmtUVCc5SCtBu94FlxHsFPv3ECXguHwT+Gx
ZY3DrMJma7mnyNZAkRR+ftbyiciXofQfBMIolUWq38woKXFZws6rU+PGENm4pSmqI0S9ePD8+lf6
slSo1M9kVl+y21yF81bkqflRmJAYg9TTScjqul03Rsw+sGpOO8IhIwMZTuWdyShGAZQXRCcnsVIM
7klHrM/cSsxDukZrj4i136hBkCtO1XRNO2q+cPTcvYWX4ilJBejDkEfrUIrsSFZ9eQ0r8zPq4+Ch
N1P3ffkP0B+67+zEggdGcN6DWY3WY6QoQmGS/zbpYa3c3uwevbSjx9pG22YOnTOQZn3D3CxfOb7/
Jt1kvBDt3L922ksDrfItofI7lnHRn7PQejYrrznx4+CAgZHUrxtUFet8ie5mMrqiGh2ea/GdmwG8
qzHUjkv9YwHr6GyUybHggZSSf7Z2s8iCv+HtxGCiDXX1dmeEwS1uqM6FR1JiUiIYmnuVxW0OIChR
OK6NMa6/ZAVIIehF/pipJ2mYGpcqR2bxXMeZ0p9k/YCbC22lPVTfaeyYZ7sl74MgxmjfDw7UzdJ9
S6ml92VLKtlyFtMDwc3g1rseV9suwvXyC0FLKYeVP1sR9E393y9JjdWiQeBHlbisbwDzUkhfpnzq
yzA6asIQ4MKm9BUiXJQe7eKWi3l6zLSsQFUxgm2e9V8ueuKLhURyP/v2jeDMfO+hH35ARmO8lU79
N6xT+dcWTKjs1vyZC8aXBLNXzyl8xr1LNdISqbXjM1096yWKa5307T9iXpel6fwZNWRtIpw8BLbo
0VMIWyU85o0OvvS7+QskqvomUjDcinkYDkIq9HIfFMfYhIvpVnnxLS0oymogUCbWFjXmL4bM0y23
eqLWwNEQBuNPnxEqybIdtFdhI6Z0pvkdfW17TloD4b1qIVQNtTOPKnnxIaWR5mWzF3TRXLrYBrfx
AM54ReTMm2cMe/ps+lUXvnepJpANGJDinzpDvVrqz52Q5ktRy3iD3c/aSzWaEn13tVi8bpaHEjzP
nWcem9EK62N5XHbvmUavEjNZalHw9iZ+otQeUmwhNDKVOytHgoELABZWQdg0cNz5XQuHkIzBRn8v
QpSFWvnNe45W2JlJJzFRgfcGHuvKt5ObYauulnh25oxl1WyCYzbSKKhjCsnCo8WaiRV9ccUtdLJP
9nHhKQ2qd1/P7DPCAOphNScsWoKWE8QUpIiEbzVdtksTkGQN9GFt6e556Qj4EM9oNjbXamy6WzWz
rDmzGNZU69T0o8/qS/cBfIQ90cypZn1f5AFS19Hw1aM0uL9fDR91DTHgzQ+d6tmozJdS8/XnZEhv
jmhZfQmN2MYyxsmQuX/1MQ+fGq+wb0EQXPBBfoW5qoprTFxsP77SmrZAmtrmk2TO/1ALxCQ50iKc
fGw7q5i0Eoi8PmxdtSmFI4Eru9BObfYsh8Z87KSH9oi/6huSOjD3nmX9yMylXdkUv5ZOIdjKZyNq
yd4g5ekxaAJz18d5dMozZNfDlLU7GUzRkyUA7o89yUQ1ELWtSMb8lbqCxmSIB3K5pKXGj2pCjXEA
+S07OWHyvf9d6urSatocyo7l7+TcaYDmA6JiMfltlpsppktMe9UHh9UZh/ubbgjqvbmctN1i1Gln
fGshkY+Ld6fhWVKFJRR6lepVqRwXt9eJjtZsibNEvajjimeUUJEhqS6F5iSPtIYvjVkF/3aKoHiS
rS6Oy1bMqob03JLgVhGW8KTVyRtvrPZO+o049gG5eLWNryiUJE56Wf9DtwubyKw3L13V6tduzs4W
VWi16gWZZK2jF0fawM1LSC11FA10SJ1keYFy+lrTJ3AhTsU5rPV02t+vyQhDGENU1aqyifVJJHJ0
AczD2jYFvB0gJeYx4CFr4b5CylFlG63UrBdRedo1JETLByq6bADvh1RjK+jmX47mqsEWG8Nl/+iV
Y7DNfZyO8whHgdClbBtjC4tlB2tM+r6L4ormXuoSKGvGsffFYHDvxjEUfqUiFC6far93MT72m6hg
is8KSufAJQq0zVrnEGV6s16WkLCky5BFcXVq1Ypi9Drrb1LckHjS6w1qNE2JI/ee1QbrpVk/ugzV
BpKoD73vjk9uZ/4po2klndb+YGLr7RMU3Nt7J4QnR1RH3ilo5wLFAppiMoCs/SJ5j/PXiVt6DZHF
fq8t0kIKxzcOy2XLJAaMn+rsiNh5byJ70+jyVNljfDQo0y+CRXFEhLqpGp4HcUcQlRWzVHjc4Chp
NavEntEU2XHpf/kT6hVooaflylDdMA++8TrApQpM0Tou5c9yAGp77KuquS5XBMd1x5ldERj6rOPp
SamUGGZJo1bXH8s8GMmEb+pD3RraoWnMF0tXA08l3xuKlk+XF3ykQZsjFKgBVKnZTJ1oEJ+ZDz87
UNaOTCbwnanL5YA8yyIOEGCcNREY7AvmfMtHKWunS0L+9/X+MRt8/s+OU9y/uHyHZKDvMhu5Lldh
yuZikiQqxDMzWV0UWOvGiNiNgU1Rw2xSbpDYnYKRMYWo/735ljuwxObEPHYuUGD8T/eCLFyMJAR3
pDomNzsv/FXUeeEtI1vk7FbAJxHo3paXwr6VO8ZT/OnVdyxfsLRCR+E0l7vlteWAOuLJwjgL5bbK
gH+Kzt/nwPDGWjDBBE62nvFmmkSp5cGVTLDixO131DBOsWXziA/pSZsZGPC8ARrHKAfc7a3QsaIs
A7R+si5Lr1spzMSUNCcbnjCOwfrb9gVwW2UhQX2VreMmCY79GMmPgueHrMlLiAvvtgj/82I4BQ3D
Az5K/avf2JSRptltYCq+uD3AYWpeJIHQaUpoMyivwTMf88CZ97XTIJmnjQ2tUh2SXv571gJNOwDk
xzgZ7JpADMjFeRIvZmmfyI7jbA/vcZvXe490kYe6HMbLfXqqzPLLmajzmx4ypbIpCO8vxRkhszOb
tU1n1eKqfiqouMFTsZCI7C540qt+0wk/vi6vLwdNM2J2oFSwlREABIkZQehG7NPcF+9RWmoHBpX6
j1aO/Y7wdGSGyZh9LWfEVeT3s/trgpWXRs2DXjTtsx3T5W4p9rY4t+JPrMiH2jSaPSMeHa1jv9Om
Qn7NsR8oKfR0LkTTX0zXk+vUavW1ndYoF4L5l1ngsFgW9D5BAwO7mz1d9hxXSDgH95gbgXccpG1e
pDosZ5h48otT7e4X/4+xM1uKW+u29Kvs8HXpHElLWlqqOPtcZJ+QQCbGGHyjAIPV973epp6lXqw+
pfd/fhs7TMXeQTjBJpVqVjPnGN8YIusKPBBBRCESN/Psng2twiWMA5fluZpXjfEXp+rzK1vlzRY2
d7cmDZD2zGTYKwp/Bf16od+P0nUWXt7Yl9GgtENaVAalBUIkxqS9n6Je7EVYM0LMRaUgs6nvCFT2
OYV+D1XirpN0t4I68HARPFedopCPhQY/je/urfCGgbn4bCN4d+mefLfpy0Sepinxb/uq3RCHZ1z2
LNXKjTkyK9T6EzsBokJcNkgx9ICF0TiIh+cvFhvoy/NLYKbcZYMD82Lu1w5Z/MWPrHjjuiWqdRN7
KNhZQovnX67TLbxsu7bfd3R4/v0t4RLKeN4I66XEYDcv+5CZi30fUhE8L/zO3+tjRUYq4ArEOOSN
YRhq/Vzs07CIrruEyFQqRzpgP2ldeDZm+YE07cX3Bt35NQMXlVqdS5UFgb0zXDEdbMePKObS03AS
5px07OsLK0/6axtSdrWuvSZe+jbqw7LpjzDAkiuEzkc1JuLK6qzlDwtcuozRZjpWA0lrQejCUJl7
UOcC7/lPmRIjNglUN+b8ZSS5emXr7qz9Kmb1T1r6bGK80PmIh9b8pJzZnWi7H+1MF5+m4p9X+dxS
svRuOMj8hc4V5AXH8a8Nf8oAE/GSVcpNOhrOrT5v4dLcvsQN4H0UeelfxBnCwsybgZFlpLboUqpl
XPXm2ksmLCSdOQeg6aG9MRINI4XMDRZ6KZ40q5X/vFasWzZ2YXdLo43VUaVs+FLNa1cDNc3j+Xvw
Pvu9TimFWLD5e7k/sKYHHqlHOZp1pkxO6a01lViaLd3fxZr7z5/6XntVNCh2dIPqFSVB9zGgGW1k
BBiwcOhu/Ki4LHorfxpTRzFfhtPHUE3wYca222hIZalDdPoNglekAqWJetWC95y48hinMWpMtN6E
KMnIJjSoRJXdRhvkg/BtuoI0JOQll+785fzy/GUKa+j4k3cEatsf3Mbr4ErzJ1IzITcVYrj0Muyq
fDvQh/6geQ6ikjM7QyMEI64J0tZLNP25V5OJ8j9fmlhoVyFgtENDt4kwSWiRM/4uKwbA88iZAX4b
q+8jrwzyw0St7fuCC2sQc6yOTey85GrIz92Ns6CQ9b2xREEmL84SmtJgQWCwm7MI9jvV5NOdvx13
Gbs1dhluOz6NJfsSzcmNU8H9tcyVwkRoD/rp/AM5k/KssnH2//7eIKejpfyWSiVBbgiMzGU+ONWN
gEy3CCPDu0ABUS/jnEhF8uXE58Cjwxyn/R2TUXOUKWm287cr0pBx+eAIR1i9EcymnyHw7k0QAc+N
TcFoFMo/soZykPtkzgr1T/xc16iHmEKDCAXUABdGzXARxe52W+atuqjkPMyruUBJ+utHTZSMpnJU
T1bjE6mLK0zSrFQp0UhBP9Dcti1azzHB4UPJFtC3cIGLMj4aztwIEpkGhoeVfY0D9iWP74KmMV9p
MKLxTIMKdXAh17KhCA05pziUbNHWJHz1n+huzh5C13ydukfgKf6LaShsK0X94KXsuhM6mdic4ukk
CC1eBxbb2YHuypanyD14kzR3DSTGC7qzwwVwFm1HmOiASFmW28gj6IGtmKL5MSQnp2N3F9TjPJsZ
J7rXAD6DWn+shElXO25e3YjsTBA5wcICFI+eznxNk/KeOAD1qIceFTE6wXehasxV5rnBkeoZKgkW
rwcHgt4Fhmtz53RXWa55l1qEJHAcC+tw/hPLcHHwCQ3anv/07++FP3/Pj215QTGTHNwh23dUsHZ2
JIfrcXCIs5mM9FNAhxsxgBd/Bb5Oo2SAAjkBl/HjwXhm0zssTG3Ib0ohbyL8eCs0Zd2NiGiICwc3
Cw+Ne0G93N+BF1FkSAOJHwM3uCkxHI82jnhVN8MFpS4Aww7r1B5xC/e/jlsIp1FTuP6tXnLrQmdI
v/f92PX0WqidPvz1n//9X1+H/+2/5sc8Gdll/pW16ZEaXVP//cEWH/4qvn97/8JLG44kNmHlWLZl
EoRiWfz869NtCP357w/G/7IBJFeyw4dlOQ1YAC0ZThA8iS4gZvyLkNaVS2n+m2mSD9Sa9VepCNpw
bb+4s3s2J6ogfCoo+2aVdhkvQye766oAEpGd1l9pCqzaoUxWQesXV5IGNGFWLVWORHducm2aYdxN
/VSXWDfrvGSCtTBDUZHql2Le4EHsaZ7y3ISm6nuvyBKPQxhFtIb9ekJ4BmZb4Z//biGPkO+h1f7X
SwD14nJAovP9p7ZTY948O5bTvIdDPyu0zjKtLgTZj9JucT6v//nTia3PJ/or8SeoxSlV/Pzyv69C
0tDq/FvzX/M/+5+/9uZvbV/z66f0tf7jX7rLU/5/+1d++rW8+z9Ht3pqnn56Qdht2Iyn9rUab1/r
Nmn+dYPMf/P/94d/vZ5/y91YvP79AW9y1sy/zQ/z7MM/P5pvKMM1f7gB59//zw/nz/j3h+NT9pT+
3//zy794BWf49wfNcf7DcKjyKeUaUjdsyS/rX88/UuI/dFsXghxnHPemtOWHvzLo8cHfH9z/kJZj
W2iQTIv7TxrOh7/qvJ1/xO9zHZ4i1xIkyOtSWR/+9dn/eTi+X7TfPyyWevOwsA93HDF/ka6J4ZfD
+/FhyWz4wRbR4GvKesRG4RKjwaMD8wfuXLoOIUa+/GZpiIymCZRTDStnhRlw6YuavKxW3bioTJcI
cV+7Fg8O6+F1ElGJdV30ibVgP24Xj1KMghZxxypZ88wNveV2C6AFbZVHHK7088/l1Fy1QQGav62J
QUQbvCagin6kubeeFbAloPPsrrM0jBYdFYHVpMx9kjCrBx0Lp9yiJ+cxTy5C4WDMskA6ZKO80+bM
qh+u7m+GF0Ofx48fxxdOmUKqAbHJEWwwBZftx1PGoo0QENx5a1/k7Avdgo1xBEunsR9biM6qAlcq
mmstjNaK6ECW+RxamS99RJHbWhuwOjf9tBtoFMzNP4KyfEtf4mSJMtYWgyjtLeHuPUgiWNDFRdqS
BDLCglkESh1LHLS5L1593bjLVYpyVBj3Rm6+mtAnuae2sTzmKD3B1OmrSBUnKpA12lmRg1PvkbWM
LMQ99CrbUjZfS8kymEBD5RBnnWwwcsF3lu0XVKiYnXw6WaYKcUNpD3VJXlAaZNsocndRypq86JSO
gUq+Eg/yXIdatIUustLVoY7LL2bRabt8aC/BHPXgmIS+GiPz82x/R64PTkq40ecG8/W6X8SeC7uB
5gvdfnERas/2PZAWHSSCgw5kUbnWFfjZTatrd2xc8NJRk+u78lbv0nDnJYzZZXlnV1EDXV8FSK2a
V6kfIxlc51Ab6mQdpLZcEeX7FBuVu7SNj3++I0z7lxvCFPAMsNo6BPWptzeEXensDpOYGwKB7QpG
Ha1tPzipAK9tgYJjiaXss4SGqjnFpeuegIYrNKcJ9FMNJH4x+78rmvOop4rVQAuENSLtsaENVn2D
VmTe8gEWbNZddEQoTeYK33jnM8zP+c83tWR8kqZtSykdV5/HiR8mzSzJUp792iAjDKDDWEfFoqO8
V6nyyc3FrUe6ZIhZbNUkeKii3j/hvaORUn4LB4uw6fFkFw2XcsT9nchgNQqbQkyGmzR7BTz+eS6h
/fmIjV+PmIFLOVIJi7NuiHkZ8MMR50HRxN2gGpSfwO+lDpNj+lY7mJnskMdSz56lNpDIbmRsRil7
kymzcIMqfOfM/XrxEfVars5aw5a6PY/UPx5GV8Drb0qnWStc2ktTqgdWvsi84GO884Hn3/TzJeKd
iIxQ0rYNARLy53fKCogD9iQbchiB8aOO9+Ek5aTDV18CO7zqE3LnJ5vCHEVAogSwY5uYLJa1GexH
gacsh7QWq4ic1D4al1qVyeU7R/jryOgolxkD+w2nQ+hvjtDjBvKLghxMzI7xWD8GuRiWaVEW65gy
0tICvqJq31lTseaBnb4FTXZbGxPaiPFVCy/fORr9N+fL5ZQJV3DefrkytebL2OuqZk1Y5Loti73u
5U9DKR+mJmWqk96OCalRLrmE+dOf3/vXWZWRgPxFQwrLccjT+/lShVrfw/8JKSIJ6MFhk+dLbmEg
IT6ZG53blOvJs+nDias/v69h/PKZFfUUZihT2SCB5Xy3/vBQtINFhKLjQhQ0613e0+Nty3s/y28c
o9h4QX6DvJd0ga5OwHnXd++8+zzz/XyH8u7SYt0iSWpiTPz53R3Z93FJR2cNQAU9d3tX9OpQkqdJ
wvaRnthLEE63npuhLjVBJh/o+B2joLgvI2g9RbWZ8vKdQzLnW+7NIZmm5dqKBZXipLy5ErU1KYfb
tVpDa7vFZL2oawExqV7oQ/XF0Zsvwm93QZMe8HbdSK290sYI8+yJbuZuvosJKW/Z3XVdcSfCq3w0
Z6kt/6B9Huv+Fr0wjfDhecqrTcMZzyYbXkr5zlD36xCjfvoMbx6rBmR/5/l8Bsd2L8zMPbpW88yV
3r1z+X4dYHgfRzd1UzCeMhn8fPmklgJHNKdq7frVvcrHW5VMF+aysRoM49k9HukLVhsvVpeyCHOA
aY2LuEX3A6HA6J6Tyb2Iff29O/q3B8V8xJpLWoJu188HhV+6ifAQIwd3e4OEpy0W2qsR1mvM49WY
A8HRLalO2cMYO0dUVMs6aO/Gjp+hJ4CUOQ7ZUeuKhz+fq9/c6abpsmbWDcPELz7//IfnTCdvDdZX
Byc80m+bKX9oBSbmLr+phnr957f63TPNItNVWOOZnxF5//xe8HVcncp5tQ7jAjxzVd8Vdoaal8rF
YnJor/ehs0vKbqDFN2utJeL+ULHqfOc4fh1PlSkcwahms0s29De3h1sZBkQdfKUIPo/GuPGDnT+A
QoJjMt7KoHqmCniBv+Xlz+9r/v59JX1Omze1nDejCplGmN9HKKn+aL84RQYmh2x48DlX6M4eoELe
jDjuCPJb0TYh+MWyoi+MyhQkTQoPslTGQg8CgpuH6BtJ4gujru4xP3bvnZ/fDTVCsccTlrLwp755
TNsek2/ZwOz0yI8wrO7ZN4qHIt9jNPAWaV2Bm9TNl9aQ2HpmxU+vf6p0zV9JzV9PTf2VLiEQsHgr
XKq5cfscduDM/nwuf7NoQiV2ng51pkXdfXMvxa5PvTbIqvXo0WKrVkLot6NhXo1Gc1cYxT0k/XFB
3/lLlY4riuQrVwbvDDPid8OZZVGgMVkyK56en+9nRg/IEbXPE63nXyt4z4u+AEDnlRMXqz4RU1PS
lEV5kmf1ZWNnG29Kb3warAT9gW2ZuhOh9wTv6h1k3sjYlIZcJFaNTUkzvimsZssughExyeXI9nth
Fd6NlkOj0eLtpBdbEwAksEp9Dn6okB1XqKlheeXrzvbE6s/n+9fBy1W6TjmKjbWuG+LNI6OrzAkm
WzcIdbbQENvDPvdJd3AVhH/0q1On9e+tweYr+POEx8wr5z29Y/HMWG/Obt2jnW6iBL8YBe5lUJjr
0J6efDFuNCJAWIuMoI+n/pSa9kDtv3Y3ygwOU0GmuoN95M+f3/71WjNucUC6dGyTzPM342QUYZMf
aD+sk6A7ODkGyTi8jms2fOFnfEXX4NnZqZEbgZBtwaVdZACI4usU6bNp1iyddBo3vntKB3Vjd68B
9bNFHvX0yxL7s/RZzVcgu2JdbIYICFxdPScleuI+E0uqDOayF2SaB1/JzQJA3DwE7XDsXHWZxcXK
cOq1NXS3jc/YoIP6XM56wcC/KWpOEf0aGis9Ej9ZxvdBD8+0IPFQi6uryYdt6jSrLq72URrdJ6V/
/PNpM95eREdnDmYRx6p13le+nfSmyDQBCSPSCpI2JV6jWJLzhxSGdDcbimAKI2ZBFZa4hth/IT/T
3ulagt0E0sXMzXvnaN4uKr8fjTKEo1OoUueCyA+TXZA2SCoLUmB8SOxIwdwnDKP0gPKmXYQhaZxG
A3YNEc3CEDb5Yj215E41r38+jHml9uONPR8FrDqcgS7PE9ugn4cN4qONNNRTzBXelKzIRnt2rBRj
S0l4bX6fW0ubeOV3nl/jN28qKPRIh8UsrFVnfsB/+OgDWmJlG/FIYmj2yQH0v5Qz/nigypGqe6/p
t9IId6N0vqLCveWa8RB9NRp1J9CxLY3EJja80O4cX6B0pEH151Ni/uY+mbdaYt5nUPY+V/d+ODw7
Uk3UKDVA5B2RwRLNSJU9GT46lbct8PcScKIiSg0Veck5zDzAOkSEb1A1bSFJLfW2u4lGmzze8llO
6ZOGv6/JI3BnBqKdyKoPVSH2fz7mt7Mkl5EdLMO+Y2HxlvLNem6gjoECpRrXdayJ5RAnBIP4BEBM
44NB+qsKgWcNq4zWwjur6F/WEbyzwv4/b9RdA8Dxm8E4xu3VJORsrBsa21gdiWrozfSheIngeI20
pBeDiqsdzZKnBouwKocN/vdnhCMPVocOV0LIrm2ygyl5sL9W14HhUw4b35kfzxWDNze6skmP5hgV
6/DzPfnDRW3J47R7KmVrgPInt+5uzAk7bR+esLMDwxGkIOgXk1+v6K0SZx5RccXnCBJ0lWhyz77f
WvB0lIuMefad9YNp/fIQGnMRm/+Y2Oad7c/PAxXpKs+GqF+PdfxtGHUDS06nVo2l3w9jgmMarxHS
yHgjDe+J+bCfoazhNicDd8swFe0K1Cx9hoCmQgBZ+zxYKSm4WpAUJ4vqZ2REJJLI4sYrvM9pESTv
nVzx6xPNItJQFkMRHKlf7oIWKHsHFKNb1+u27oyNhxGVLXmWbSynCLemiL/hifeWCQLerRpHHdVV
heqxNO68xNsQBJmAYiODrEa7stP9BqNS3F/mQbuyzAiUaNf1O9sNTuSWruuqmJZdlcKINEBXWgJH
XUFkzuDuyyb5LOPR2U5pirQj1ox14PcsFHDghoOxHSwi/MDRVDwjBRzgCs8jTeBVmFI318uRXPL5
NEZJrlZ6qR8BTxFWhO1uDZh6WiIP1LehMEkCphSw9Oi6bltyp+EwhocyM3G4xgHmah/Q/zBLajX4
EcAFZGXf6jbeJGck0hc31aMOGDPR6UBrwTdby+8ntwXDlmQvtk2ihqqWhpluIAo/Gzgu9AHTuzXd
BV5+cpzuIUXGKSJBKAfkvOU0M6lQKMi2h7wjuCea0D0WQxTwYOGrp5OySkajX01Jr1ZD0Keobl0U
Y1oCVcqaVnZHxBLCnHUKSHSJnnupCZ08CrwArGj1Z6EPt4OV8m8TpiTbwkTp4lGSIrhITXVddNyr
MjZxaXh5dWPDDihYSCAtp8rq6caAGmwmRsUSjp0F+RY61N4v/XRpR/TTytRONxQ/8mULh2BtmONT
O3H6vdHKL893T9Mi8ks6uvRdWGWbmUCy7Ax769Z2v3EwLj78eTD9ZW/o4OsXbDqobFiu88sEQJjS
SCY8Ij8/E3dAvT4NlfOcO8UXzITLgWjnGmazE+krthL+qH195+3nIfPnoYo1puVKxVvPvdY3W54J
eYsV46ZcawCciPIQLOBGG0E/SX7OMY10MnACO79Epw9MvimArhoYCdmw3vz5SM51nF+OROmSZpo+
N9PeDO5piKUgkAlprO4YbtNxrWOz8brOhMnAyF77ulqRdES7KItOUJS+6OMap4vYGyN/P065rQh3
96oYQGSF0orbC2V3fZM34QYLGSb5CjZf6fb5ohxC7P3noCNXkyvHLrQ19DR76ekavsm5FXT+xWpo
rs32EeWBuT0/q33aMDQL8NIYnXOgges2TtoDXedlVk1yI/oAlJdor2W79f2whOaF3bjXh21YKUZ+
hWGWYHDk2ro4uUDnMQxfloTDrAu3wNvt8PxadRu+s4j/zYRkMbCbFinOVDVBiv486LOIGd2q77u1
Z5Te2qqaVebY15CMuP3tdB2Z6hsQ+XgnMOpFvflNp4qxtlqpDvFU4uqNFokiQAWrKQKEnqzZP197
QcH/1/uQIi8rMY6S7v/bqT0wvIaQJwpCpVaKrVf3pAd4iTmvwrLdJHo8h/JUYLS7FtXOdXzzogHh
vO1Icf5kh/EmbFr9Bh/wcOOwmLKqATLbJKBRG/HWbEtUFfqUXvoVWczwwBE9NwtjKN27vtFgX4qq
3hI5ADiHmtMut5uNdCEt66wmFiYuzt2YYticpm5L8TFcTG1uE35NynA67s1aVIs6hqPT4GUvGsNd
AwFjTHELBHOR/zxOF+xyRjdor2vy2he9R+JzptFCiwBppW1Gr2yegruWoBA/at11NKoGgC+DTnsM
Yn2Lrra8MgeWdWmQjBuKRx4RmzhcyXkk86ror6UsFkEggqOcrH5pasToofoym2VIvG0yX0NDGxAe
Y7CdXC3Cj8f6qHeTrY0u9bqMrZ3vCOiurjqYAtTAmBB+wschgwLySjSUACs7fVkMl2ajF0uvS51l
W6j7AIMnwsl8zlKB3FwUHdFBofmCckefYYFZql6QLolNN6UrksP4vCZJSvrXsnLTOxv6z0eAKkyQ
7kqOkXFdu/bVUED4sMERgEPJPxXznJuy/3QqyCJtoJB6MMXtaxv/TuInydo3CXOus4QED8tP94TF
dBu4tYvz20UV+80MiGZgo8AJGt3YAsh8nILHJrbHk2baQKsQBqFpy1dtMxrA+Qkcz8pQEQut1zua
Y+y5/dpdW/MmCUXIdO1b0WcjLJ8p1GWfEiDOelLPRN/mS1zExw70A0NRSoIvd4JeX0VktxID0BIW
njvQT6bxEIwvxVjUL72PhMcAg45J4lJN5lenw94UBP7lpKz+mJrQWiytvzFBn9LgJxZFzebr0PKz
U8NuRDnku9s6sXKXtkjBdAjIUnXlTivG06dxXm7WvbCfgKXi1HOihjSqwllUU2AejBIzV9R4l3Xt
uwcnWNWg4y6mZFz79EghzHEt2TRxBwYB+DT3vqcpO9kWQmS9Clg0lQ76Tc+9Txf12MsDItnbKJ9d
TV6+jtwKkCtWN7SZEuVj0wzb1FlB+GkX5ISGd2lPgFmV6bdR6Zxye2wes6nk/dxrJUPeJ1f9LcVs
1hfFMmqluNOIJj7FeXIV+Am3skgxU5uZuPTMwgdp6Q0Q92FrljGJ74Ejr3CwDZfVPLYq3y64fWS3
bNKkhwFRDQuaCeklRlzWS9t4jLVHYMbHDpcQas66oA1gOCxyxkdjgrxWtdq0C1B73MhSu7DaSV7o
I01J+I2HMjdveze0HnnGzd6lmEXq7z4QY7li+xbsSdJ7TLVi3Nlmll0Odb2dWJJ4QpIkVE6bNOs2
LtKvUzkOZAvwiHOVgpOmSLN0Au3a7unza/HH0EQNQLgDkL58eqBxb962Pb4sy7orh7zb91560011
CG/L3Ac1Qxzb2UOQRP0u0I2D1UPxrvkYK3zP7rx/qvY23ofzK6NOP9fRaFyImsoLmSCa5/fLzKG8
4vb0/xqP+ZEHhCCxETqeMVt3NXmLJGCvUvbLhuovI3YSYExsudex4ZJouw8CB3cn5kxSzFliFTWi
0zwYjhqZv2h4AdGOSQW4jytQjON1Qg512fhEcah8d16KjWx8+4iloLLw6pBsjObA6oydSbasZbIb
CYJq54vgS6UFlFiaC2fAGebXGKtjD85FMw0VOrCgvHFE+snKcDZ2fBB9SvJdE/QlJh7PX7UkGoyj
eWj0sWUqDlcOe7KZJ1YcrNCbUwqzXVAa9iVg1M005sSNdypFauvLKzag8sqMTPvqhYWGrZvTle80
w7Un+eLTErjwYv0K7IEJbx9f99kuImMDKH063eMrxS7mIqDo9OTWLwh29xOsUueXrY4AbyxTOHYO
avks9ovHKh+WoVbve3Ibr1lP4o8dan1jMb+BwQHLicGs6UE9s0CLWFZup4IlRtNbOrVSqFJRjM8f
/8Cy95ALtUVJHbElLByxpLvh6oiE4mqcDcd0mpAFd7WkoFacSse/R50ZbpMqsvaaBg0ZETVSgaQt
lrgiHNg/aEcsvcGnb1Y6GSfaE/PYdmCHOcmczCZy69FXeFdDdOlI9kIqdPEv9F1OmlCL9rOntRy1
h9KkrFEMMVllka8vFLFymBE2RHVMl1k6x9fTQavKR9wHzsoijjs3PqWjUy0RLSXLcF7mjwjBmaGg
GdOojEQ0rKndx5S1smE/hCCf/bZ8URLH3LxBMbvulOjzlqZyu5vUSPA0bM/bkyQqPxE1ZMA7o7ZR
NFQl027bSM5gE+KhrnVJqAOOasFqDYqFBWQMrzpnhxTToGatbkDPjGVZ7cAjrRBQ5oeY7MkBVNDK
oqa6rScWNG19oOAWH3C2HUiAB8hVG5veJns+MV7K1L80UG0uBlvbSTUaH0ObFE7oCs026U3Bjmqg
ZRQR+MAU1Tfidk4ZGDt2VxUw93mEXtqeY2zdEJ828czBiuZOu1Zxf9CD/tsMCIW3bi2tEvH7bI+u
KyeAGuYuhFnvm3zaFaF8KQBRsXIBwWa6lbbpS3DNesjObebkbkpnjJfk4XlmUuB6zu4bf3xykhSe
1JA7S8sRlFkzcH6oTxeDZXjbyHZt1DBUOwqPlMxRWd6qNnKIw8Z0SCqkQVrq8pjq4WHoypVehdai
6/TyUFnV58TzoWEiQ0uR5xhoVSydeo6ReriIXJAPWo3qFo1wnKhsUyDTdKsiWCPQ38YVa6IqJrnd
+gypoL457yXVJowbFkVpharNmiaQey9taixYRbt7zylfzakdqUSn3Yb1Bw2s9ino/ODSdFhK6oPB
oNkU7H3rkeAhb18HjbWmHJ2ixI5XUODlAqFZu41Ds1y0o4j2UTQdOkImbNeJbvErf650h4xhiP44
/XO1S7XYRXnrP/g1UPjCJvbPgBe6rgywQHUs13FcOde995jHJVlD7Mq3mFZlJrLLj2TaybsyHgHG
YMBuQEBz507VjTVz6tNGW1vmc23No4y/Y/nB9F3jgNRw0p882rSbiJCb1tHyj6My7mDg2qs8tvg8
cTru8tF6xS2FFT4Gv6zNxA27b8Uy6GAZnndbjkugkCFBnw2VCw5Ihh1p1sxEaRlPoMcsklxmKFh2
SjIeK/2+x5K5HmWPcZDl4CIvPG3r5sCaaVfHWgiMYC4UmKPdLlDoxTXhfF24Dfq5UgwWlgEkiviA
szQkqD/m1udIw3OsQQ4+1yIIGM4WeYoOuOrb28GfPuYBhpvMSG5KL8wY+c2NaRrLzC2mg+MDwGhV
pWGGkeMlCVU8vLF3kbWg67qxoNJKU7ZQcbeBcfQgPShaUKKiQwt5cG8mliJDRwaE35p0ONv+ZsgL
9kspGeoikFB2WmbuDBFy34/jltqfe9XJ0D2UVXFjq1BcGo72WlQNny9Fb1aF6AQKq93UI75X5QZQ
nOgYV3jQdxGCBi++IblM7Jh/1cqNxmqX2Y+Fk9BUj+1q0wcEuIa9+6j1IJi0ykqPSn4poUEvcj0R
W1yUF+Q/XpqE9i4koGMGvfweOol/AN7pLGx/QoeoMAk53Xgx8kCuA6dHNG+iS0xKHNyuqh7hxMxI
u5xdB5HtNZpsBNTJrkyzNedOHtCHqiu3Dh+HMoiWhIVLODr2bUCHa691dDq+29i0ORqPIvmCEXHc
TOR2U4KXTFxxe3u+A2Y7rTc29xBFng2/+5KFQbURc60vseRHEd62HUNE3sSkPjkExJILNS5oMJoH
IY/s/SpKqoSpuemzL3x5Gi1cBlgK1iSJEjc2xDDKIvyAxS5wdfdjYEXmIu/bG/hJ3maqzb0xeJ/K
CIqJyDtrcT4k4GPaikbsSzxxBrPQKOGWid19Edb2VSAabxmOVE3OoE8NXgUyS+ZOlZGxICbY5m25
Rf3vQ2PLSvCKlX8JrvpRy8W06TLKGXqWfvY12meklURLo578jROE6TKJOiJYKmdbIBGvWc6h27CR
CEUfNaMtF4EvyL+dfdRj119isgl3/opg+uqiaNP20oUx5OsW4XbQJA/EopjrodE33tgXDyD6cQAf
ejo0K5tAJ8Auxn2SgimJlHsaSXYvo8BY22EWLscy2DJpO1cRpZoTTk2AvGwb+rJkpK5DlunSFCeY
3FdjMmarniBWUtKDHU+VfvLn2HOleQ9jEcWrNhD3iFlZRU5RRRw0pW9ooo5lX2iF/9Uj7GRhViJl
3RP5tF6Hddm5JeZT5wkmKAZ4u3+y9FIthqomPBU6Sa7bFCQ1XFtUfsVK2ded3UQH4st4oI3sTjOn
yzsVqQr7HNSYKeugx/hXhN/dNYmbb6as+NJVlQ6bSK+3ppqXzG74kcLPc9Q1AaES6iqtzS9S3Oj4
3/bGTE1PW4K12z7+KlEHXwwFt14WDp+SHI6+9HvnVIPG5B4cNrUnKIIOg3M7fKKqal5kAetVR8K7
zOQ3eonNBa3KetM1+Kljf9hoDLSOaU0zX65faQ3cQPEEiQptsBiPXWtaSy/Ur0FT31ZTxYozIl5e
Fa+kfjRLy3/APhntodzfqqokHlX6zqZMmuM02zKLqCNobcLTTqVjIZvqwS8sIKK1IF2svs/MgpQR
jx6hNZ0YGy6YGoiE8U2yr/Q8wHnfgZyoYbxNH8nj6RfCQaE55nq/KkcMdLohSalF9aTKetwKs90Z
HlLmhuY/WBZz70CjWwEEeynS5skCJbw1aZssDaP5yM61XgiDRKbEhnvk6F9UFjsUXuxrV+GKTwIX
VW3XfUkMVlFSGhdAPRBaE3tRVESFqNY6dS6GGmyt1qIt8usB29neH57TqP5Yd7GxiR7DMQdc5fas
+aG+L72kOXUhs4wxNiTWlMYW6NeOi/ScNOQiNWkKDg8lQFtEjzLAmjw4qcD4gW0XTfyiKPk0TKNq
kYxHqr79hrinauFaKpvTMO/Hco78SVS7rEq7WIj/x9557UaSnV32VeYFQghvbsOlpSeLVbwJkEUy
vDsn/NP/K0qagdQaSJj7EdBCm+ouZmbkOZ/Ze224jr6QEOGBHvpOB2XZnbDb6ekCibKy460afzYr
xvF2wuNeqNWL7oLVGpDRjPavYVx+uhgi7ovY6NqUqdY4HpxRYFzRVszkrC0Rc3qnEopHvRAGptQl
7Np8C91FO2+dmhP1kfmYR9uIrbkMN9V5Sxl4+q1O3NpoCS0sBvHLSRREjwP51nZSVpdcLMBy5K+h
pcFJZX6E6NP7s1ARRS66gwGJr/qCH1SfKs5AQaKkcLtIaYGVFvZVtCkxzyb1uDDsoJ0jAGtVNJlH
7twmFgwkY7vTQy7ER2PSBtjfjLEKyzkDL3quti+04vnDoJch8T8h3882RozKWZRwUbsIg9DcQkyg
Sg9nwApEclsj+nKFYUUBbnQYbsrc6A5Jo1qB4qyP2ygOeWY+0g6/EUJ4tWj/cHfc9ot6VHetgE3f
ooJX0so7S7g39Pl3le5eKyN/0SdYpnRIhHki7jcIZsaYTUfhWZzn0/yjMYvHVGdti4SWb1E/MHDO
03sWp7+AZbWA27s3uzL0o+YdtHZm31NWaThZnAoJOzdz+IStdsk2TsKemtCnz/khYE/xNtaBjhiD
AeTM+Jb5RkLEGRF//f2cDV7U7smW+BgXNlX2V2Ku3QW//Z8k2tqE48WzJEkiSdzNuU8ozG2vRC8I
GCJqFzuJl6EPoIBTqLIx84eU3GMO7CRgHXIlEk0FB2YjwWiJeJV4VFGdvA4Ljjt7fl57sHCip2oA
WjdEOVf8qV7QArXwE+5LVjtcXdtVUb0sqhmzg4XUb5Vuj7rZvEDfITtyhE8DcLQDNXV24KipteME
Bctm7SDtPjsBJUiInxAMUDdMwK0Kc1boh8nLw3nnJJkKwOypYV2iKZ8mDi1TA103bqoXEO322TX4
GQunfFqnPdPiBej5TzKRWflItoKaaL/NTHuTCWS+0CP9CT5qqUbGQqhD0dpvjGY2H0f6y5CYR9Mb
mBXXhFzK3uBP1iok8mA96Gt5JGyM23iY6mc9NX47hGRoltQfyDis/HovZG041CRP8Pfb8a7smchm
sjjabJN3YuJhm6lunLL7URmcobxOXPUa3VyJVqHVPPyXZRFjRcKQ3M4/tgSAGRvvV2Zc3l3WVV9w
hqbAG7iMhh3i1CauiLgZ3UNajoRrE60Co7ou78yljmkTCfwWXvYylesciX7+grHmXRxHXePMBCy+
2cyPc5YgrGhei7KbQrMbGcMr+Xdi54exW2+cBudH6bTfyoSMYjtUREFCP6hA6QDbDJl+zv6QYKTr
0uy2sLTI3F32tKkPlYsXolFW1inNdmh7e7q18OM0+YEoHmKJyxxnKRWUU7XmZZo/mcy3F0JxdNOl
MOIGhrulBNOw8CSPyjEfPUk7FbUW9vJkcNAJCMeNWFFuPiFSB9fshjN4p19/NtqKxwzKywCnpz3J
zXtF3jF1PzC3wo5UwrqgUT3XU6HGqj2/Ab3YsCC8JjrT+4ywnaBy4Nf8iRrPhPXgrZsviV4QDR+I
Nrd1uNTjgRjvj0XpToSWk5LaSxpfBhF2Ro/cItb1DZcdRPboObHNMpqIqIr3F499XqrwciDAZbDf
QbKiGDX3DMBZBoBv2ggRHB/tmwt9LNxy/ewINhGQ5lu0WumLRoIVeauki6xcU4IHhikQROxqicX4
VAiQQkj6CfLLtfusNT9TZtY6cm6swwZ1NNkWxP44hs3+s+fVpOWeSb8yHkmsdzwKGM3F/Ev3jnwH
ha9VK2KUZnGpnKtDUaZ3NR4agGp8/qpJuPEAPSOzuxeT7eSZyExWGSME+KS6h7IFf06ULB0MJeLE
XiKUeHSSQ8o6b7EPE3BISXtLqB395PDdyJ53UNSM0vP2UloT4pmZVQ8yrHgsyzbSmPexYLePlBwO
swGXwBhTcrWaCQ4d4tjQA2GUW/fBLqPkiijiYBzeFDGoYaaSVme0406scT40QzqAg59hzdSx5U1A
FG3rArSIYDoQkAAcMaoYwgDMBosTfdrVVg99JGqE1UVbAiuQFo62qjoSFDyCNNcjWen7GqdGrMgP
oKcQjpjYHKZs+WnncomKunqsHTJGt6SoYskxoiFnO0kne7ERzx0U3awuY/sMp4t4lQqH1ftq6coV
6uzFnCfASeZ9ZcVTcUrFIF8EZIphzLMzkObwT/bWJBp0mBONRkXm4uTw6dDfdqfNEHzHBqZ/ZNAw
2O2jUVfifT8cTkStkJz8puWqdUTq+V5sac2mgNW6kT05eUHGsDUGg5GuJzEKNZpb/m1SFYfOuMJZ
HuEouJ/1nBOXmibZwXVa6123jPI4k/0VOe3PvpxNrjgGO0pObpHXJjq7Uc3vNUm2xpb+SAhQKJvE
jhcKXnLdL6oyA3BaCsFW2jNO+O0VB21b2lZV6OlterSy7WUx2GygzNeCcRpO+TzqRyLMi7DETsfw
L/2sZkFlyhEHxdtidg7suBlus7Zuo31osJK7ct20nyMD9bisbI4QogquejL4EprxZfpWyQLS0EA+
1S3fJbKrCGHSDf3GkshoejP9NPm5C9FebFU56txgh3LqdbLMawP5Nf8ds93AbbXGc+eNrE7gEFIA
ZId+hN0pdjh3Lt9Kr7yklh3sDIl2wV45ptWTNsx9IJeFqAhnJLqhusC78Yk7rEhCZZrV2cWLTlKG
WeMlor4MtvpzzBeXYhRd1DVVve64QeStsh6MtvNp1u33omIBG+h4627DJd3KwGJK7TskP3MOh2s/
N7GREWtJJnC8pfv0PPkYBF8nAJBzmMqVmTQbpJP3UBf7liZvpxtdz3VqCJIVpYa2Hho90SAVzuyZ
XAcyZim9mUBIauAGMRL7PiaH+ezX+dicFps+AI8AF63GB9tgrQM25pHVhhk26BxnPhWIGI9ZNzdB
6b2TAZY8ZHoZj53qEcLmUK5m2V2rAuLS88FglsxoynNbJZ4IxGVwp5nnQdGgfbQ55SORqYpKTUYs
zC4nGck11dN7fFm+Iw33YitJ1E25ckGqcmMlWjQp6ytYKni5C7Za/PpD1AinjzIXNXM/KsSHLYPN
WRc0SbvcL+gcOy9TzmQH5n7mJGNUFyUiaMU+qpuuPkNf+EGHL9PRehh52pNa4wFsGccn/VxGHpFU
2AaS4egNoxmpdWEGumqIuLAoETm/oKcyj/LZwsEWyxMMuFmjUiyYxJ2lOVdRnptR0SFlwZNx6aiW
3XnJbquJst3UzLjVxvZlnRnGkW0PLqzlrMmrJ/bxxdVd85mSPsxMNXvqrfTXn9OiArkaOolbBmA+
j6qD3zWtf0npwHGrrauieadKdMt9nqGDW9y2RfGakdm3itXPDCuenUxnd5myHGcVxCgrj+oUKYR0
gFBr9XsO25nuBa8iL/nd69zqTEw8aITZvBtFRjw4eYYEWafZYbN5Iv/oNKqRRFsAG37TVxU6JWeI
1bUg7PZ9MuNutQymiCkLV2c56tAGDlmbvQ7F9iODVXuidHs3d9Y8PdCpWxM02DiGiZLIiSyEj+yI
QvM1TQz77DGutNy5X9f6hU/UvkmtkY5b544mgawrgNHCpMeIu8f+6XioATm0QyhXRQ2aoiouyd9H
aBvIxykz7xCkAUm2SALgYqpOiv3WcQXeGWlKk231FpT8vNn1uz49zvpZrfV3udLxGL16NyydCzdJ
42tVVix24Dn96QeAzAQOeOmL2pjvLuHlSjHKQGsofKREpzCnk0aCk8MynTrKZsQf3JX63B9Nogbl
wp0PgltZpLanNeUHOPIPw8rDoWWNEnCLHpKVF6f2IIQKYV7LruX8LtyXhqncQYyUXYlk/GckRke5
QyUz2oPDETUH+AgoQ5eGoIFiHaOqTOPcGFEZrioTbK6ltN3C4aDazUB6mXtgO9HcKV3B07vn2CZT
QuNth4ZSfkGGYBk+569JLh6dbHpaB5CCbM5/VTK/B+ez7wQVVHqC4XEyFq99V74OpnVZgfKGcO3i
fFqwcAOistcyi7O01yJQ5XE9r/6Wl8/4kvoQ5+330tmKP4/N2RAEs5j9W29Jiqr8VWUKyAWKb71O
WbjavFyZLk/kxVPZpLu3JTXfp878afbOzdIbH0NVXSDxMkMhOIWmjHVHodHbdYS2L7YVc5IbflOR
SuNsYOhhV3BP79HjGU9Hr0KgEexOK0pD1bkknvNI6Oe3cHLXzyw/L63sivj5dpxYzFaIRQZ6kkjp
xF1L+KvPLFur8iP3rhdmljyVzWgSr4nbQtFPM9m2XVo+wVeUVHXO58Dau5mQWepOTXI5gdrGgMhi
I1bVsOmeOsTlfmqwqIS5cuzFGBFZSRB2QoKTZkbD4nwDhn5VBb92MpaMX9aN58pd+IbyfKt8VrMt
D0aSLnDT6rustmfftKoPFza2p2M2yORF1YfxLGcuJQZQbL2qG1xhjySQ81UHJnCwxU9jrGzCW+hC
hwxuTokw2vYq0u47j3xDarOF0sZgFwcMDkABtvjZZ4p1pyDJ8T0pzMDOU8Rl6yElWMbo4IpkQ3En
de8xy1sbSY3mAxKGl01uEKrsPZxlOxogD0PNRJnSdcWdif8p/OOeVwEtMxaCQcqig50F635GX3eL
9ZINFgloJooEy1AvucK+qMKI1xt8SS3qGxMd+LbmR69Zr5oWun1xGqsGFYi2cFFBfCyw/hoCNU8G
jECb+nM3YfVXWgZXKSNujXV+UCsUI+pckxWusR29mXcKQT0Xvik4xQ3J/qdjJFWlDhOnjkizZCSy
VFCnejozJn6/Pf7YS8YkGknaDtQENVS6yp8zlZe0HYWADywWJBcAuW0SAqFcXuXmErinsvjV+KpT
xWjhSKSWz6bBIgsSR0YZrMYzs6Q/lOmObdyschp715yGXck6emhmO+ayjcGSMobONjEwDa2YMk0K
Y5t5OGl68yg0E3FXk058AxSVvNgUWR+T0ttpJqC7ajTkKD8sQ+OkS5E02N+5UB57rBpIOlfmx/0Q
N6L68gzD9o3HZWgcVhrVT9LtuDh7LBtGOtwSIWEGRM8b8XotabtiRbS/Gm0JMssgHDSomuJQpmMk
YfXFqocpt7tobNW7Sv3KdQwWaLALH60DPu96esw3+8tZIIClzXHSiGkjPvG3TQjkLE4dnThTKo7U
xeLk2BAVmVXP9MguoEHYgdmx75pq1C7zC8asJyvrbwnoZs+sIjMb1vxG2DZl2AqysGn1yCrFfT62
aHnqmSnxPqnZtnuCfkrfZSqumW8rwRJIaLtiuBVjd1tgwAptGPxBQhumEUKgkq2W1d1Nk9CwTKzq
XFIEwq3NblxrG08Lw8ii12itLVY5TsNh5v5sR5RZpBfB16Tt0hl5jAQ25Kwx2rsis0l5a7Kek34+
F2t1U2wGXMzOeCdtOz2NBY4HA0F+h0He3oNGigZKnaqX4F1XloHyqFQmX5mGR71qpk/ZvUCq03eS
SQ5vVTVRDKwm+QJqE+hbtp6yEnc4EjmPDAqsE9ttCa80BCFF/AM9M9cPMnjSkOEq3KKPLI8KkAy+
xBat8Zg/6VR5kayBAlSwfAMzb+JSp0jHP+gwYl1JPKFWFbwGUXB6skENqMXeKjkRgeXxQ7iz+Fn3
0/uf+qFjXQu76a5XUW17FSafFnYMX14ow8Zg60ero/MpNQiB+sAOLnfW+dPl7l7hkqFHo5Qw+i9b
0YyfDpmngTVk0zPmvi2snHW777AEGpLyRCzw1aXTY6pq+19N73S7EryLRTncWpl1b+XbTSNpWxJU
UgHaFFQLRJoiXlIQAZu/XXt4Q33/QVsvggp+nblmMEVWumFn5EvGknNIio+qBTdvwymAQx45oAR9
mIItRVd+5Cx5VOfl6NrymZwAilWNt3WyQ3cbolTy8Tpsoee5uxtK860hhXFYtos39kfdXc5p4li+
4ln3jtkeAcdRHdSujOFQUX12jMby91x3f2cGF4yHlEqVGsIFp7OIOm4PSaoOl1XMkocPUWNXHxqz
Z7SS2HQLK4yHcXiF+clfaOEeiZ3yzUWMw6K4eJtK72Humx89zHtb/Sk1+1ns2//UlI+GhzQKnAwh
x3rNrYBeHA9/Esh2vdqslkdwpUzz0W3A/Z6luBGjxV2Rskrukg8zLSNSU8Kp5uQcKci6lVOEey00
Z/FSqPSKW6/eKnppk3WbI0JU0OOw+j0rskK9o48vtdnc9wQwymkklBYutISDS+Jwa6q0efa7wrBw
Xj0ikt18x9Ogr+n0G6LgSJWfSxXfNfV8t5AdAAo2eV/q4ZhPdbh2T1qvIsIf3jKpveSp9wPa+U2z
sbVdjetWyPLoegTxSKwBNC509PK2H8zxyrsVFK5BmnGlXjtVOzSGRCe46N99NcvImI09FBwsKCY8
D1cFU8ABpM1xGnSWTU6e1IDEqv/9p5T6zT/+mrFfC4ujynx9rYuYnFPKWWLM+kRDfFaTo9lRcGn1
s5pCgSjt9svYsDsIl6Aaw9Nf9WwyQrNJnDCDHh+q8yeS7P4XVFn0ErlCc5YdPaQbj3TGPtU7fbpW
E9TDQJD9mOKeXXYtVo52BVocNjjwqaQ5MSijsA9EZtcXwyMtoBuGYEt7Yte1kUgUtf0wYHV4A+ea
t44KWNAldvvtwUu4fYXoqZtMlIoOnYyrWYQvTBATrd0FlGdFzi7c0tmmVQ+1mbKAN9DBaBmiEc2k
Zfrz9/gXDUvn2OqG6VpsUQP3yse5sTL9XPi4hm44oPIdfK9s7pI90dJBREHtqbR8UEzNc6dEgDlw
9081f7kgxdQxgretd0tc+caGHqAqqZuM3uoDK2MxGhCwv9dFMuwcdC1q1pKkiUNrGv42TAl4oPK3
U6MctXgBmwvyEfRYIMnHC/Uxe0XPXAZjli9hWtDAWI4KYY4QrsSucY8iKA8KGh8VRBXwaGoI9CMw
hpbnXlt46PKc2EoXFrGcgxk6aGRU2r3RfemoTDGRbF4nMSvZYLi3Iq68NUb/1Z/NGN3Mc4a27TrU
I8KabFJjHSH0NnhMSsSGFBmsobAPVudkBISmZ1xyv0g45gBDjIYdUg07BTNMg/EHs/zJgNH4kw+H
5Z2+fBmWltwJz0h9o8Ohm5T9Mzvrl3FulQhNCka8JXlkYEGbNba/s1J8F8v64ZD41wzEJKl8O4Pa
E1so3RFDKprqSWIul0M2PGAEZJGnm19TYTOKtS5ly7fPtLo4bSC5N9tPWyZb5IJCzUp8A8tihaXF
fi7fLB9cZI9XJv+mF592dksSaaWh8w30zpY5s7zFbEoWPGoBWf3sSboK2MxNR2DQ7k3bcashYDjP
s37fT553lNm8hthGINuxswlF2ZJFaWqfPIFu+HdzBaPzA7mDN0y2zuRJIPH0MoSOCaspBeoneX7A
GxxLIXYZpEgIM8lnT4hdG7sRAoj0vLLtOWQ4zQbGNNNS2PRV1RhtkxasRIOeVe1kuQvMdPYSB0Nl
T+0NS31Auct8Ir2pW9sOFWHd5pamH7Pc/SK8b/M5hUjGZgBu8sMXmvabUmDmjQeM6lh3lkdmnkxu
p05nRt1c9Ipy2spanjxKq4s02FgY4KCogsBGJqNF86ZV+mktzOeOBV03Tw25qkv6sAz8ItLTQ6py
Oy5k8a13TXmyiO30zSxZz33G+zr8QBG4hh3RlUFtVd8V01FrVbdYBX1l+VXLg2u2ZMaL9XfidB+6
dO2g0TLkAJqLPgvVb2OhGid0jvrQG6mK+4VPAHNhN1nvEsFInltriKbZRdeJAW9T1xtScFIflD69
qJu/G2nzVnXJo67hWvMUEjjLRBRPwuN0XAb9XXMo6NfeRCxnrqR6ONkXmm09qrfsQVOBXI2UvaOU
x4mgK7aNw8Ain0VWnsKWNxURW5h60KdMV/qP0IGk1CzpkeX3TT+QkVtrHN4bIcDO0H+sFi9LKSHn
oiOLdqm9YT92s/hsk7linEwxmzNxE6w/lukCAL4MihJXf8tyebZcIiDrIRJCddFpj9fRQHXdELJy
Gig884Ubtuj60FCH5qAu76zCmUq3FJarxjCosH/PvMuawYc9W9qBFcjADgEbejmOqNw2uDJptuvX
n1HOlhEQzJGE3+Uxs2LckHQ6W9iBBAuLNRMHR+cTsaq2YPSObWaWNveMqQf5MJJAaRc4itDHdgRh
HNYsm8/rppGzOrH/ZxyC42+ujHBxVIZSaGG3P9Hrlr7FS/+KEgL1nhFLDBTq1kBY7n47KolJpnkZ
7LmIRm3z8DOLm3Jr+NJgIJkXR+GYm28qRtshySsYXV1egZe+sOfziyIj1owPZEn7U9vsA7Pa+XIl
z9mutRy40JmolgOq0/52avXSz/uCMXkq3pMxO2Oiqwjz5Pdh+Eu9CaIhUqV3WCiaCIsQsbopeVQN
yt06Ih4gqSTq6wrRjiXveZ04Fq1LXVIDqtDpKMdHZkWLyRSCBWhULumn6nm0XeS82mr+bWvdyeJt
dSidMdZsgz/LmaWM6b0PzNeYkWNOYF7Vz7gQ0pFNnGqXX6Nrd2FTe01QgdD2zf5+LS221XVaRfO8
3Mlk/U24AbR3r9W4yxGiFJZKUkQxyWDKXN9BvOSwIw3SZH1Rqqq/cec+jxn3VhcxO9y96XyewcoX
LQYTMxXXcfvM0nby1dZKufMl9Y1VXudyD9GoNzqORFOx1tMCEgls7hv4JHXAFjQzTz7T0pNXc+6t
tOWMereD1fPfrbNcUvyIb4vEsmGZtDNK5GgVqQqnd8SmUrKDUt2EGY+3PAo7B8xaq97DKHHqppuR
npu1lTERnuEfoVqeJPMTlNLpjACi5tTISYq+mTlBN4vN8yrwjyeA6Uz4zTHy4l8FHvzYSNBNr9Xn
hKw8KJnQIvHI8FCOw4NuoSMRqHsGwcBDV5H2a5NOtqL7sCkWxgoTCXDSfObTE6sawIWgdQYGd362
ofIaF0/zXYpJuVYfxG+fKtYgylWayy/deUKH9spUD3prrb0q5j41tyVKMJOc+922sGsk/+i2yZ5D
b7lcNBdYHJNFAa6OJR5iFxiNeBdWnRBBhTSCru5JB+PKlRik7MJ4mJtdLlzJK4m32B90ViipAoZV
Wkhl+N4X5bdU+qMlWDtnCUqKbEl/jyw3nb7+VWvpeaNiTeZPz1Hv5rNm1zelLbCT9tPD4hFpkFPo
5Er+kRfLI5avC27JH7arvJbYcUArpaqNC2C6lLVFPKT2LBTxFXY9xqK53z5bbssAIDRbrVipe6Z/
i/xYaJXM8jt1N+mzQUo/FI3hmDUjcUEpJ5Xn0fuVZ/2How2/11T8Vhf1bGqgyI2FZ0NrwbfBDJha
zutJP1g6Nq0/rIwaady2MfuZcj5Iu1VeSvihjav5aMoOU6Vepmwt0NCUv02dbIVx/IJzEZUFfgqd
pVdandN5e9bN4ScQVFY67I9as4tdHSa+uqvrqSNo6VbycCzr3rU+c4ZBTt29qHo3+NgSHrTU4Y1R
P8CJcDZ04ueSW48mo4dhc7cw4y4MM4KHD5Jx4K3HUJ12JyeTMDMIehnrvjg4PPbMiWBcW8v0uFUw
6vZ3X5m4WMj3ISCe/KimLaxDk2D/Be0DCWMIdcG4GMdbHjc21xE1y5FaIhXU5ymqxEPerD9gRtz2
RS6Oho24jwzjjN4XZflcFXeEyJkXS8yPJdDY20U250lH/5A7ymkS+icppFlszR27NKOlUJ8X3e8t
llgWWqU6Jcp24Wl1XfuRiwd/UuM+9WtTH7OKYVU2yDvdGHtWLR1q5U0e/pg3iLXgQWgBcTeufcLA
xexPNAspt5sTKjVIvmEZnszUCI6F6eYMmIaOCfYjWRKIBHYBzqJ4X1qvTMTayQRbFtILvHLRMjcp
9xVDln3VURAxf3BZQLaa1I5N6eE8b7C356qaHV60PHOPw67kb5acX7w6Vagj8yPgMjUjxcs/dOZ1
gSRpmMOkKvxlY4Ritui/l4TFh6vnj2tHLmnTbowhVS9SpkKJPGZXYYfYNOwxyf85aubO3Y42n6U/
WjT6OW3ThXpRp7LL9fgMfUFn3SCd2BkVnCvKLHkW3LhXnIDY7wk4/e9yqmK3qN8TBeTIAG89UJdN
iSRj9cDVuLJHM59PWoW+bRZLYAqPGLC+ZC5DVBMqD6+I+sbUo2E2niuWdr475i3tKMjTTlnYWWFz
053RODhKE3l4DDmd5UtiMMPL2YZG2mJeyFhw/wvRxPx3gsOOEEPeYju2ukOg/tXMOysGRh5V7yPy
5yfG8/rZmNuniuvZn530LZkAu1jONdHcp7pusrC286+lJl2ZNBCPBIDmhSDaW8Ym8f5HonCaVNtr
pwj7RswINtOJri1PHhk5nUTG3BzBezRJdZ9T5h+j+BPHWSq4T2jjBjslWnl7svfdkGnmE9//ezQU
lg866UWbi/Ys2XD7Zd5k5FgRrztJK4DBUP4XOMgfONe/+sctx8T3xsTWwGql/eVtMVFpJ7Oxa9km
VzlWbSPQzXf0P+1BeuKh7tRvwlzS0EIN4G31LUNv6t96qOPJqV47u+XJaBn1t2B6bYj++ZJ1QT2T
zpQ/CEd/mxVw+xmiO2aYML6QXgD0A6+FrttonJZxvP1dduZv01JR9IDe75dPd+ceNNgsFeIiLyRi
MXgU/8XcvQNs/vq6IaiiRPBMXrb2Fwe/oRIWt2FfiEbTvtW2lp2vm76PlYu5CgWT30t+hv/s18aR
/++/KTQhENa7X9927Z3R8U+EE8faiG3YVyjp+FiL7mtSMU2u/Qun+hwQap1DWvAVOT2SqdMwGNYv
VUXRsjS1Hi81JgOGAgoQYt/UXY7GOg8VIv9Uqz5P6oBQSQ1bQYhAb5MA0BQ3EJxwNpiC1HF1ulIt
bszYjbu8SqMqcaZ4cIzlsc22w7BxBKs9GsK0/EjL7mB57IipjmXskCOnG79I2BzilcrOVx294Umg
o1aHoWagS/KdkuN1T4SGgWjRFpJVkx9J1V0X16uvaf8C1IyAPtd4gieImcqLoVltvjVlIyv87pFd
k+eX5ZXsxYfedS4jnLJAvKKPkVHioWlaF4YelCAZD8RnwQ4XNwq2a9xWVKRDGmaL8sY0oNA7FpQt
sxE7uetr4+IVIEMYp0wR5q87Z1Zud6kVqNbyRGKYhZzEdq63yeZ4P2xxw0phxFcj01i2xbHONTqY
tvmlWLiym1F1L4r5ulSS/prhpecuNrnQvPHmCtNlBW4P6vdFiOt/fmb+jbHsWDBcmV54GmtS3Il/
eWSI/QICOfct1wQy+qUxb9K2fHVn2bLhywbf1TGD5c4U6ub6wCynPFEt6zBw+pe1CAtSNshBXo6F
QK1Tk0VOETf8IknyN6Fw0TYv5slmgxxkylYF67ZEakfm/H9+Df9GngGao+ueDkhKZ7/k/uUlTPyT
LmfKHVl7m6KiZOzN/jJ3lEcYtJ8spYfekbWnP7/r/8f2P/8XbL8Li+7/5Eb8X7D94j0d39d/4fbv
/8o/uP2W+Tf9DzQW2LujatqOlPgHt9/WofOrtm17jGZQt+v8I8SyO5wfPcrfdJjU+2MK28pQXYB3
8u/gfkV3/gZhm4OW//H/NrSu/wdyPz/aPx3ctgmDE46j7pmWrYKA0f5C1ltLGOGzzWYAlftTo1FC
6zmUnsFCq/5Pb8z93y+D//XPgRr/+XfS//LcdmR0LMSQox+qsrvCTdFzaNajUbgP//n3MY1/Bc2B
Hef+4RbiGtY8+GDWX2hrSS17xZPoIRF5WWxkDGSDwWwrLKfyutg/0NZAWLEk6bubE2XIRoSdTtSv
PXtRwrwc8b6Co0lZIXcecXMWYoHIJueHMI8RVWDY5ES5+Ck7utiwraQC17r1FgNk9MkXyn4Y+Fa/
bsVRLq3W3RKibMlIcEeojwjP5HwYMuDRWO6Xmmt6amlk06mTIjDMLeuOJKk3WrwmtPdHL5l056oJ
YpBiTMm2HWHSbLBAOQier8QMW+aptDttOPZuujrHWZ9mO9BURcAYQvJHmuLQyvFpk+PSByTFL+XV
1et1CxeYCMtpy8WK33SdDTNCNJ/KE4V29b3OpgksqZP5EDKNmsZTCe1dfiFScddI3+a0C4tK9s4j
8p8OmB6uhObJTRUh7isEzGVoo60vr22pigm1eoMsFxWuQLt3zgpjMW/cBU5HyFysVT4aNpFVbEzT
mBwAMLjNIcF9kdJdkTn5KEd+mvuy5Oll81+pn3bTtqzQp2lamT8aVEhZ3eDstDVuJ5/gW2s8Q4dI
SEHQN8eJm7Ieh1BJSnM+23nnIFhJ3Xt1qI+1i/gb6WeK2KdP3YKbvIPddCAD0VvRX3cjg4Iu1dka
4ip6zqfWJL6dpPqKOrbIH136YSaiBLDN55221p61fLDfvCqd+gM+uHG8cd3Sw20jwCowSHCL+cXY
bJG+EAbLRNLF3jkEU7XrBdLEUMcTT6mqvBUSBUK8MAUlHG2luWi7diPmu+u64VHJa2KvVGAJGxw3
/G4XZ1vVZifE4rhpZsWuz6aT1ealWpW6ubeqxJtvxGTNU5y6eQt9gkYarXKuZ4bPB1X+cHQVi1KD
Iw1/NBtEiTxb9N/OZmrllZGjqR3H8n+YO7PlSJVs2/5QcQwcp3uNPkJSqJdS+YIpO3pwp4evP4Os
e+qmlGkp28fsmt2nsuo2IgD35WvNOWbR2it/ztxiO0aSXt6k5nbc2FZVjFviO0jaoFzAnNHMOVgA
Yfu0MPLMR5OjUcnnatdXhWeTT5G70LGqrKwOgysijtZ4Rh9mW8wPlZG5n8hFb/qVgwqvXkmQ72gs
asY/e7/REn8XyYuMuGbH+pQzCMP0nZjxvKWRNDuHNnQtiRyoQgMpfB2oHa4n/cNChUg/356y6Gip
GX1a0cRosBmyzfEpp+9pPgSDDIwLmflRzkzJnYD8ZEwU71OpGFQxAWowF9YZ4xzbnQdmGo2D0MWD
WJWepjxCHoGeGZGFOfViYyFZNdFUY05fD1UyXBUeibZHbOSOwaihzpsNGjdyfBNsPup+qHFpbOjU
VfGx86qCr99CHro24HDhjaVzhVndc2hiYE9trY05yxSIRRshiIg4Aql9kwpdIk2VQ9Cu69FsK+8J
NfFszDe5iRBnujQLAfgL4foE3GILCMxguh2LaequTKkTcGl4hGV9xAyJA07TUBQkAQS87CTQBbqj
I+gNGIsyM4No3tROKG+YmQwJwB2VXJuKp7wiVCW6a8tQ3DRixH1W0RCK8ckzBkHKUaPsgn1FtRp7
VvWdFjDhk7pHs3AOspS29dxTVVoIqfRmHMasv6zFCGyyo7Yq8/7oTAwikT52w/d2WmzgYVmiHAgA
4X1tO6PDTm26qucsZQ/ZWmP+frAWDSOhJIUu6VKkk9zNbdJtVWOLT+WgsrNVO90d9gBUZGnXZhdY
tzlkwu6wSBnIEj69WcqZeLMRY9oqCPKwfIZhBwYzqopE7xMzR2kGb1YnF3Ie0UzgGUDdQt4gTeG6
H6OUETlOx61O8afghmBee+J1zL6JotI/atGhPXSRT1S4K/3SJoIPU9l0bUYWYQa+W096zcrGKu2i
fnMPqdHSRkNmrZJNkjrgGfKl8cfcsVYHO2V+t6LnnzNqiEcbLXsTRD2+2rafsWeXwXMaUL0ekDhj
mIHPkzJAz4zigUeRH/MiGt1z71uIF/sCMCNMAmKVgeUYPawqpqW46Z0mIZ+c1DNSRooGvUnGgN1Z
hTk2cJTEZUAgfZaH5IiFHfHJOU2BV4Y00WVtxhLxrx1/AUvVf27iMV/868VIpwN8coYwWjDZwJc3
1U+B4WdXWV2HDdPbCP+WlHWklxmyYrwDiANFmdlN5PEBh0aMSXYorpg2mYPdJFPmQf2UODemtJh5
dT2KslUbA8VZ+XXTBuw77nTIvFK4NOBTyMaW7sjKwfXKP72QlvnsKaxjK5+ETbmXHWaBnclgqN0W
0FrdPTK+CsWSRmWrhrjJaLOD/EKh5ESw6mpeotUA3huJY+WNNHHpEjFfUZGDc0Yq8P8+CphxlcTF
UKzafEQMQslCGxCjbk/HLkkge02tA4Gu6syZMOWgm8e9HU9o0HAxIkJDysOirqvhwopJrF1FBfaE
TeEHA8SSjpkcgsQefW2CeTtcbnhOYMTFOVYxwjzNizzA/bfCaINimpNzQDt0xALo3QprQi+Nt2Wo
F6UnupeVUwRB+bmsTGVc0WCD9YIW0kg/2TbJphund/3x6l8TLXLmlxZHXYLPeWs4cnrAkBq4J5eK
GhjHbEdeyKuTElqDe5ePdUPN0Wenf4XZwLNURbqNE3MRjKYqQKOIbfi5bMQU7f9FJGTauDYH6TRg
lrca2jrCDIAWHSUsfz+kZ53a7UdNhnf1sW/aJnhzqmNLcmqkSn/bYwgCRzdVRhduTkCdTKo7eCAg
X1iWglUhECKk3dnC9lBWCwCSzjtnaIqQiWkv3WwO3uboIZtH1vb3KvcPfxcIVQ+WsUeXn3b2279L
Ymu0DJlm28yDW4TqybkpMsiT3QAT/u+Xetvbcf/9E4CMcOhosUP8duBEMoz+PcmAtgGfwr1brxyp
sitbKmqravFcJbX774v+PzhvXqvv5X1bf//eXr2qn0lvX/8nd+7fWW//+bf/fwTB8Rr98vv/dqJ8
+l5+n7vv+euvR8qf/5//OVIG/+WbjmN69AFge+PG/8+R0rP/iwGkQ0+ALqTgxMlb83+OlJYg8M31
pGkxT3T42P5zoDSXkDi6aBxDsYHbAS2F//2B0gHp6/MPWeAIJskxXvDuxewK2YuuxUTeEv77nOig
vWQdGb55oCMOv/wwfzhRLv+oX5uOdHBch+Oe50spbWA4b7+BVDAUCMPaYTzWhp9As0FUz/sPe5tv
PzXH8Tz2Xc/mN+LYTdjAu55urywUIfMynDZYKZh4+cOLlmPZbQ2jnj///Z5+6+6QNCQ5ipuc8T2k
Le8uRpoio0Cq5HVDPXUbKeesChTjVNWjltO6NdjXx3l8+ftVf79F2mJEDCxxE4hnfmYt/NJJ7ZEZ
kTRVOOvEs+uj14SMtrCvtPdxXBZf/n6t5an8+tQ87nBp1rKuSA7q3jtyt9A9oKoukxzO4ua6c9Jm
lUxefGMgTVgTr9V/8Jb88d4Cc4Gb8+7b8t1bIiqKkNH2UNUHkapRTXu4rythUKxkZHV/+/vd/elq
Ho1X1kuO/lK+2y8cZDC5rHh+VSJMl7ENLM6tp4bhKwkD0/e/X4wv/befkvAyidda+gB03/2UZe8F
fiewX5VG/iU0I0ZbRrqtZnSCduni/kwIEoTvUZFe4fzTjj/5XC4/J/yKJSHCefedt+R+9QQuEcjY
gZC74IyZA+kMPDroA4GOHaLnPmx27pAnLHX/6bD94bP/7QXizSEzhz4uzR1WrHdXpt4yVdctcEha
Hru8y3HVSn6EAB/LzqcA3P79er89Ut+ExizN5a11SLhcnsIvH4eFfxPAAFEQpUKotWZVIj/Eqx3r
O2cb7yM2+tvdltWGxZ3MK55ogD3Hef+7ziGhebBE5Vq3aXM7pRHjagatl3GAQcaBP7IxSaj9YIv/
/RbZLljaBMF9XPz9SjqAeo07g+/fIzVhkwpPkn6XNpdNPYkPKqrfL+XgnKYT6pBMAT7/HQXYHY0h
MSw+fymtyL4ALh9V+7HVKHRaJyTv9p89vMBkHCfxcjOL8yUL6tuH18604FKcLlhqrS4h6MUe7tWY
RCd7Rsb2z67FwsatSYZRfPr8Ru9uDRStdogJAscC4vMxSYLK3yOGE8NjohyZfXC19y8Kdwaym+hC
yyX4ld377Z31reVMiYeTbEpre9Ni+3iiJi/umlCKC68o0/vByMzHf3aLXNRxbXZbDEQ4/N7v7o7X
s2D3vJ0IqIddWtKwaxRUPHI6hg8WmPcvys9L+VSdPtlYlN/v1u1q1o1XUPiuwex4B78xw23h+92N
H2OD/l/cFZNLi4WbvrH/btHu5bh8iAkYeIHjKvFQWJwYnpPdNo6iOP79Yu+Xr+W+aKfZPDzG52yA
b59bkQSxosdgY6SGlYwqwhn3CnnoxqHn+kq6avDBi/K+TPp5QaJzJEfVpYB59wnUVR6B8JT2egI9
p2+w0XnDBiEuzuG/39n72oUL+VQtRJzgQ7ApY97eWRc24Ek0WEEQV9kp9VFsRpsEyFr33FpxFF4C
6xyBUwyjmscjlt5Uf3Crf3hnfOIYENF6EIv4HN/+BWatR8yVkCYct8PHQkfPvalaZ3qViNc+4IX/
6VqW7RBmRp6c6b//WcPao1kCE3jtqsS/isv4tcCbsnUK1/ogvO4PX/qS2ma7fHBIeX7Gt/yyAc1R
ko05Y5x1yoPcCvpLW4B30IK6PPqsCgtWI3Nw/4On+VvIF48TVyOVkcsCQzH/bp8tXRl6oyCily7E
fAnfwPisE9hpiuV9ZwNVXE8uQbjwc2Imuiq9SljMDxlEhmpNcJz3z1fyZVLmLcFx9Dp/qgF++RX4
KtlRKhMs4TgTm2SaISUAI/TQQjWdkn7+95f5t8+ULYqoQMf2WLGZJr27+6iDlIYIzwF344e49+ag
fgW7lt2pIBUjPSnvg/Xu3QVZeECOCuTf2P0kX+m7CzJ+MBnSRBRzMNWuEXo0x5Cca+SBk/hi+5P7
wSz83fv72/XelTVYdBpQQwBcZ6fj4EQPHnGvG8XloWlt84OX6W2lyi4lTepFgGOcPymmgncXazBK
RbkNt7Zk5HXVCMiuUBCTvTFE5aaxGIlVpM5cS7dAYYco9IPLv/2ClsszeQ1Y3VkTwIa/X3Npu+mp
zo0QqJQqq90S4Aw8Y/IIsQ4md7zFf9bSTSW0uPrgrX27+C5XxvfESZzXSLio0N4tvlmPmNsPMBur
0ZnDzTxZi0HSHvyPlr63i+/PC9EGokbl/fFsiuO3S58BMtDBUxWukXk/Gm75KY7k58Yr43VTopaV
eDvQVXo3f/9K/nB75pKqSVyCGZDY+q4IUW0x6EGgI9RijJszeE58ProHeH/8+4V+f4JLAUdbgyYG
34hjv729aAC8lM/McUGikduO5D17cWrXjtiiAQsCLhsR00lzkvf/+MKciF3bpZnBIP5nqsUvy05e
4LmdkLRtLPinWGgJg7a3lQFv5nEcp8Hden5D/B7q+8B9+Pul364I/353SKHglMUP7LIav73nCUa4
74N+3mg7H28xbMDYqMwGRS3xe8k5qm3zgzXh9yuSIsgZR3DD9FScd49zGgcFpaSGISZ7hahfGbhQ
lcIZupobYAVGRrzi6e93+XMl/b8NgeU2aUkFDpson4f1s9X16/lKMVO3mUMUm0DrzD7yCdfxfuos
dM/M0G0wvW3Zv5gaoNOa0bGL2B3xZxwcYhEB0W+VVQzXEflH2boQNYozrhL3xyJS9mcIgPP8DZAZ
KkGrT5Gnd+EQh5eC6J1uFzGtKAGqdnZ6ocuiqjdR59sfPMW36+y/b49aiO+S2FWXXtLbp5j2JCDV
zBA3tIznxfXc5damorRFZGWXH3wmf7iYFVjLlmVxWHXNdxeb63qSsS9z2NgIT1uDw3DFM92Dpra3
f39uf7gU+xRrGpY5qoP3X2SeMnG087hYEhBLYsKKqXpQqYJ+ZBkfprQvL967d2Q5dbAC/Lza+3PH
NCdFkuQJvK90hODoautiMsHwFG5rnpx4NO8R2drrbhYJ5FDlfsVp2m9dnbYfrOfv7zpY4oPpz1kg
pAMCMpcv6JflIHGXEMO5xj8fFgbwL6H9lxl/EtEtNZ7V3T//jT1WH2BN7Jtc9O3VrCbwbIVRckMA
QLZuwQRfBl2GPCIos8e/X4qj/u+LOYctQVgcx4SAf3n39Q9NBIqiET3urTTDGE8fMD55XoGThTFv
8RSkA7EKhTFD26+LDspv5/XZp67ol7TNubotoqz9nKa1YR8HyML2NlZ9+pooG7j9YOqBua/sJn1K
VBMaGwG05CW3KgEp0uw7eR0OIsWVYHspfgqOz3zuvtf2j6bAnQisBa0n9sbBnk4pjaYSB7LfECFt
Q3V4UFN7Mc82aKuiyfwZ133PtI/lWsOlSMZ5hjdqlFqdbBUAnvQCQqcOOEk7mNFM6BifKRNQBves
vk4l4KVqgaQKkbUdPDeqvXUx28zwTKOo7R0Teg0WO2sxF7ag4FADuApVZo5zIcfxi0Rk1RRjaYKA
T6LicpKRKPczBHcCb4ymC7E61D0mJBzjD1MHB/+raThDdpGhRQhPiBSDfre07fF6SQGusuhnDWRm
DDjqq66oEaPXKARwRKN5viSrBq9nn9PcQQvrB/a65fZIRFGMYC+61kqStYaXEB5NTuzqYnTIwKTX
Y9M7T/CqFCtlxibMI+DdzeXQYL3FidTbxQYCX+fha6mGTx1JPT4MhUHrbdOkFoPaiCSC+iU3ZPCD
EtKNXyar9MxzUkT4EwONxT50hkNpGeYS64FNeVPkqZDHMmBdvkKxGIGD8+zUXnCssOfLiNJhrVi1
CqLVcNGd7C51oNfXeRs/zVB6iKuTviof+tYXetO2SRqcjTId26OHrMjdLArl6NUxu/LBVxqxr5ey
ZawREdT3HY+4XpktlNurtjKcz5Ey4Fo2vXSGvcysBQjcaAqmJIrcaSPEnJMAPqblOon56rDH4Sl/
tIKWv5dwmmS6aJxM+QcMEA3k6wUdPYdGT5CS59vigQNy31SgCBEXnTnSFMYFWjscqiXNgcdBNwJV
uy9KfdJR7zB81aLQa4HGId9DJst9QkziAUiPyh6cPCF8CPdjc6OjOjyPuFHDlV2M+AnwjULls0No
oMgvhBnvEixQE8kj03SfsiviUaD79Dxz3isPIyed/mBNMcjpps6iAWJh494nkBKbdcaiHtH4T9p1
JGSikOl58kp6uo7vCW412iPWodzcJumknb2HaEsjJpuITmhhiRHvrm0zP7TE1rjHVPO7gJqZ0nxf
IHCCtMsb6GCCKsBYOLkqPnnkG/EQBwStuB88y/oBwKAmNMUrKt/bNPYUDkDZqbJuq5YTP+btAKul
J5MAY1AJnZM8n6kuU6YVBD0bV0VrqUe6K+lXEyDuDfmL4RbLkoM7xxm8CRKcdO/xx3bfpZ7jcjvF
lXWbhAgB99WM6OnSjz2/gOOlzNca4w+UmLIHNxHKoQeozmxhJcw5udN4OLaqyMnBQGeszvhiFbIF
vIP1CgpA0wDADGfealztX6TbwTnHZlbZ2zLtlxUDxeijOcRpsEsn0SFyCmUjTj1siPiybKy+/SY7
K9C7IGl7qLBI/L+59ICBn8QdajcbrTZtYGss4WU5PXAI8rNmvIsG08KVtgKkyta4cHDAbkm9nzjd
m3dNEzLJJ6Y4qDdsjix5mZWNEhSN0gWcQ60ea3gIARpJ8BpbAzzmS+FWxI5hRIc+WuszQQ1kFBUi
N3ZGE81fQdzDX8HY5wV4HTtkKRk7tYuAkc9CljW0B9HjuQRQSoAJgPFgynm4nXr0Uqf7ITJn7G6E
OTgNqAS3xLTmuR3iG6sNvhmztohFUH3JMjkG2XzLa1jpW0IlW3drV3yX2ZZqAcWqX87pjVOk2uSP
yT2n/2KXdqAo+CLz66ykecMIBAFSNrmTvuuK1pH3ehY5HHortr2TRsMZnHCYSF5Vejh8i9OEWbAJ
TVCB/aiw3TuZnJ5bkBbdHsoef5OvRhdwlNTSQyDXTK+TyuN6a0JPc9YgBqOHstbF19jQUPDQNAZw
TOxWENoumuGIBxSHIQlyDSnTrmGe7BTQ2K6zF7p2T3V3M5O+BF4pUVZPGgQpNQdPyfyqL4NoXiHH
iY5iFrGpgYEShLYiejh5zPiPQO0THiU3qLRQo49FDT68S7Q+hOgFIY3PyFo2eeJn3Ta27NG7KFpN
9MKcJj7JnrI7ERJBhd3kAEEu7EQY4mSxl+Mdi+yF4yq8Pnm2lA7EdTw0/X0D+ft7pUB4r+aybW6m
3lVYwxMPc4tQ7QNJRnP3wxEU6Cuio+ynEegzGQL8MYhfRStD51T7ToV3O+uCaAX+uo7OdtNV7jVq
yWmGtuya+akLgtEAS+wZtc2TsaPm5OC7BTEZWi0I7gJD4pn8Yk9dxSQ4NVsiOUtzXRQVsDo9eE62
dRmpWudkiNKiWaPDrRoAlEmUrEPD9wuYx55TlZu+V91rVk/GNT0/jultAg9NZn3y2LAB3CWyd26V
MmpRrNuYdwHMaQFgbj0VkQ3C0Ru1pS4SV3nGeRZoV3FImGV9MipocgfZ1OC6WawdmFdDJ6MbAFms
N6siqzLoERGUzY0MOjJF4BNl1m0twyA6wiv2w7tkmoB1ZbRoPnlmrwaaRBF2NTWbA4421KfnVNkm
kDCv+x7Zldkj0YRQODzxX4056Q+dP32G4ST6H34E6PuTmbLgHgA8GOIwOPmEta+ZCZdI2Y55mmDU
aL5HTbbKYME3GLsSAWw4rUpi6TyqoZMB9MTbm9h23XUNZ8s5lxPaY8g5UhJr0OFRX5F5ZT7DxrVJ
keLA4yGT9JvqOXDImQDDHRaiOg1JFxoNVQtRSxBGzcjIQB03PlmuKVyolQ0mFcJVCM4J9GjvnGG4
FfE18Thz8FDYQF1htvbjHnUT06QoB0b2OHV17uTs1CjXqtI9V6xM0H2n7wI0JyzBjNyHoMUyJeMb
tEzlhvnYjmgi2Etjg9cyzSE3K8JrrYoPE1X8qgHln+bxI4Gox8oWyBHzaN9U5iEqxFEOg7mDCXQZ
Oy2bMimGp4Xltoo74mYKmW9VsKS+4p80YRvv0EQAGsL/nZdZCb/RuegG7MZzCrq1kc/wnop1CrFS
WxJ8mzQPblOeKyP67uXBsA1TJgd1Od0NFZ7J3us/j2GKvjZFGJWEiOx6wfIVGaTqwcRr8AFWpn9G
Tgw7NiE+pDejQ+iwtfuYyL361LjhccqsK3PWt4NXPs1TfyEcaEYgZ8lzYmuvfH2ZZeVTMILJy+Ls
innho9eGpKiJet/Z4avuowciIciTHp1nx5wwy3fJibSM746T36HPu1ZR8dqlxKoWYGGCXn4byvFl
Kjv8sCSTrDi2n3rEDvBi96QVfqPDv4cSl+xaqwaFhb+FPQL7EhsnmWPJ0Rma19kwv/CKtBvqbDRa
Jfj9MmbP9Kq+u2iG4j5q4AFyoPguk+oEFJ08yzC2lgU0WSUBSadJbHxuK+tVNoBUA4lxLap+RLX/
5Kngiukd/7NIAGYIsKu2Vn9qcszcM5HC4Nc2fp8+0o/hA6FnAdjEhElRvOb9eADMv+tFvaMI+rxg
7VlZrwxPHylVM2SGzbSCwk7F5Xfu3k+Nh3TOhud28sVKThapDsyYN3nlmmuXbeSebEB5jlLxNffa
66GIvEOGSncdCnvXkmiWQyfTId/52AJ91zu3GjeYjiVYwYilZQTjZNvwQm2nNB+nvIziNZY4zlRw
5q0K/ocmG7LvDMp+EY47xXMbfbcK1m5hqFe1kKopmAIqnFoffGncZDV8JzspWxJ5+C8H9gAayPDp
43g8Mt5dGRn83rCBxdPuVdpsOjsCxS/PJGRe8T7hjHT2VCV7PKwgELr+YXDljZ0Ut9AeidnFoBbH
/k4o93LU3qlQxh4dxSr0xHVTQontNDm8vMRnMNHUdsa32p8/Y6K9MCz/C9zuHwyUCXPLYZ/MD41R
3jKDuvZZAzUsjpqikwiwDdi2W6BUP8bZv5zGDOuHzZCW2mNeRXHKlBjGZSPai5zQmJpdipJ4p7V4
cKr6clgk1Nr4Evb2lV0mgIfC5GRpZIkVn4fPIhoMI7HQzIDhPLdbmhVL5t9uNmPshjiIu4idoU1x
ACIV34si/FSbw9Ee6z3JEtvWqx77JrwGFwqDWOSCmMfyWVv6Lu+7HG9gsYIqfEH+0z6xSE+w3CtO
ygclrCvSD+/NVp4x9V8MFdVKZr8QPHHVzBrqVb2vS4DXg3VhF83BwZuxFmZ6XRJlm4D8DPS4j2S/
qWDL9c14DtL8YtLqWCpCrfKuOJYDQEH8Z7AOp3UVeQlpljEiD/8oguFaLw7HMLng5IoxwUVPKjbI
8mEVYDbZuJIvsB7uS1E+Cce69qrwORaQwIg7H3P5YkzNBaVnsirM8NWulkMW1NuqOkkzvxzMZBOZ
/q5rxWEmfi0T5bARfXmbRrmBvVSeAosgxmneo584+tD5OxeRaV1TlzA7K1mno5PpTd/z2r0RfSdW
zjy0FGrOF+rXGwrWeF0V7k1qkFHZFu65RgOL1LleCTu682MGma0+o0jpb5uYz3/F4a7F9A+TJPH5
tRrHIBSP8NN0gIidS3lpVtNnTNwnK+964I8GOUzRDjAXrhRidVAjBSUuhOSub2nrMi67HCN3HSEu
A6tg02CJFNsC0nDsWCBjveaovfJoSFawsgfRNEJ8Zz9prswSS3AYopAupfnYYsDA2NE16zwwQCk7
JtxrzU50WeAubgEk2C0263zPonYi93Epoum92LyvcHF4B3mTx/tJ6gf8vPMjYn91lXbZti+TlzxK
7sYcYoVwUSGTZDKeyZsGI1mayUM5d9mpq8rqWQXedGl1zr7reUY5q8rUbjrktf7B7jLtvGh4As4+
byzD/wTwP4muOfDJ4k7JZBp4D0EE8cs2un9C9hRybrMCopR/wPAS41en4qx7x6gxTb+WyImzjdFZ
MEuHghTYF9+v2stao0feGn5ANhlMx+glsnpMnGQ9tBQHbUNqaozBF3yw6Bz3NQ1VJkgfKCx12Rsi
zM6FTHV8Y+EeSvFXdwXkwcTFGCrT0s+JiQj1i0s41lXFK6tIDw1nggZJVq03VcsPdYZgNGGSUTP1
YBErx0H0PcDOnCzwBpDRZhmtZBF7FO92bxR7Bg/Vo2XlDsp53aRkM+KdmbZpV43GF89vGxjndh0a
WzOsYb3lMOzLmzqclmNakc+P5Vyw2GQB42HMxGZpwAsz5Gm2OCW9oHQrqmdnhDCyN2jofvZlKw/8
fAAi5673X9TUs+YWNbiExSWwThO7vm0Dg8lgEYchEewNSLHQ50muMONlZ0x81Gd2QbStoBvdbWJ/
9hUsZu0cLXhMgCXNT/QmYLAgHt/rQvsPftPmR0oc75UwU3HNP6A5gLISr2nbRmcvTOd7yktOBAlS
FxJhO5fAqVg9jb0uDmOX2gAlCnWMFZ7gpCqa187KQ5BWQ090gB+UUP1rYWevouorSNIz1f2G7nQN
5bc08M0kIcdh/nhKsw7KC3aAORUktPPWBvCUYrdEcSl1vMOIY32KLbe8BMCq9oRTmIBVbHcPoyl/
0FT0nxvyI5afKc+T4zx6UHtNy1AXkQ1Qry8AF3hDH79kSOdXc03nEBMPhBkkLskPTtHdGkZ3fTuh
JLoNJ9qra0maGECkPluCcS1IwjQ2gmMHyfEcl7b91Ej9yZzNAph7E2dfer+v1pYWsCPdXlxSOicg
E1FQXeXYEiGu1aBqJtqvy0/mBeusKTARyVTJLcGW7VWaLxb2SFlws4oQDHph+HF6NWYhbgEL3tMx
Y9O4GoYqvg/D3LgLfXv8oTphlStmu+ZW8DHvBV2MjcoS67F1Yb54PqVOdWhUfiLeslrVejzng7XV
lK7gpQ9eZNygaHsiMrPAJlHecEC4yzk22QS2lks8VUb2L9FcW5Rgz40bfLV6RxxBVxA0hfg1ji+T
zDqLLiIjgsS/ena2nDq+ynZ+RFB3b2PiIIOsdzc45wham9gLomczhvMw8ObeZ/B5+8TYR2a/XaAk
ZYJGkxbXRWemt0k0HDQ6vx2bSrXqS+9L7TDrw3h353rFU6hcvgK/uKm0U66w62y1qi1itMj7iLDb
gTYF8KKErc6EFrPGuqV1EZDKPqXmjVTEiObFIevaH0Yjz9KoDm6dPdMV4uiWkopUO5sc2PW6JxXg
3muwfdFNA0hQkeKZ284CB2p+4L0BQVd8S6PxgiiH5zhMb+JlM57LTqzLJZumnqpdr+snNzQOWtf5
ds7Cte3pJxsOGOC6S/h4u4Ip8YVO1be5yPINDqbrHFbayhtGqh5eOfg86pZMS6gj5QkvwA/6evgQ
ZwCPcL9FPALJzrLHVJbAI11Lf05m0rCdmbh2Fbfz2kD4t8pbbxNl6GsB2d3ipCNqNwku+B7EvhaK
v90nFsshvKB2ek5bQJes4esIDDDFC+IWdK7p36yygv5tYw7BYfawXbpejvGnU3BP8+oqGcklFE6N
NyqihG1jd2fb+k5H8iIKgqsqzUF3EeXkFAdcQo9TNt72ZnVfJeoRqdfBM6tvS0uoAU6xmUFeiRRa
WUtiR25iCHQl+QH6yQnCB39pdPO1XAGZui695szo9TJRHIezOtwnBkgn3Yt0M3ctvltKxt4Nwm3W
SW4/T6M9RwpetNFmRN5mh9Q3115IeHUReneCj6Zx59c8q9djVe8LbLGqTi9tUe4sJz0nDcdwX9VX
CM8DAlwIm2gmifG4V5/tJu12oTvdxiN8UJC5e2ug6Uu1xaDTofQzy8+R5i2NDOtOyPF7FVZAv8QN
WMEH9rXnmpNEVXQIPUPxxDKxLwP7PgPeC+XPIRa0Oneu9QDe92vo+8/h4CB5CdeBbtwTacDRyvOZ
mVY1QWwwRSGwrnU+PdFiIDY56Y1tWor2BJr6ES3IM/RSTCIEHB1rTEdAuNyZGO+kB4uLOWhTxw6n
1Mpb5hC+T7AIAx3Y3tRXcOYey0ZBi7QO2oQMEY63Ia3aFfY/2rJZNm36nEOy5pgDRxnYPQLkq7Yx
Hg2HORZWCQO4aojIjjNxzh+aZ0eiRl7EhG1x9Io7mbNFJ7PxmNThVZcnNr1YanI6B0QSfJPj50YT
piTg+aCfi1uiSOXwAEXkEzOKTWa6h9lZQCHFeuYIRpTllewnRuXwr3jD41fB4SiU5XEGAcxCB50r
uQBVzh6NSHQMHkeya/va3/p8fX1AMT3jcHMqGOoRXCukjxCNBcDUpq4uyzTZ6awg9xEU9gQWF4vY
YRwmpnXwrmzSwBbUd7OWVIJ+pR9He562vPMlqUm9A0oIWEg2ONd0L9UZlcX31uegFkgIkITfZq7c
o/W/BYMCJYSUTqt+YuzDpP0VNyKAGVb8IqNDiH1VfdXA+3zbvDUNcxcwSah4x+0sx4hNtL0x9ohC
7+dhuM6LWwap6270ICglOMbLlZqGg+eMP/LsPkqmnRle26l7FYwE9QXmU2hm6yafLol+uGIdd4BH
kpnBMS49GObVWN4oGrAywjcbPzBHWWkD/JtOL+Fx7I2yvRmaT95w4w/PepwubRjUZXZbF83DMPg7
gm4uvJKOFLPBZbN/MMgGdpI7llM0V2zddnxyhuEiM8NT1C8J1eFBc/Sy4Or4PcWaPUeHmaGGOSZr
GKpEhWX30s9oL0GMz0JYMxmPjhTWurvPU7njjE7+iblEY5Kdnm3EErZs6y39vZMYq40pqmunys9g
gk6GaXxS7nyympY2zz7Qw95We8PRxyEHfOy017b51dAXoht20bjPg/EySIbN2EyLFXpTufcZGWCW
ET/FJNAy3FilQXl0MevP46uaU8wrLioAeObxBJaL5kjc3WHxvh4zcz8Z7hnZxY7K8SIKoyudq1Md
6kOSNYQvRwAjcz6vcpsSooT1cIlOY0l0CKuM17pz4IaGm/9m78x2I8fS7fwqB+eeCU6bgwFfOOYI
zfNwQ0jKFLk5bs7D2/hZ/GL+qKrqTkV2p1zwjQ2cQqEa6EyJEeTmHv5/rW91hse6Do1OiG1cs90u
GS7EJM/AcO3U6QfoeVIwC8CGN0+zsbpNXRqOcx3U0KaNGJoLW9grhwfW1tq2z8i+sEziAexWIyuW
qtZVVyXiUNvBQZ/8R9Hl5FxRUgvoRG8zLfR1quUJGPeKHtiiBcW+JQNjWJZwe1Zuqcx9Brs3CexH
S7J55/D90UVhgS153PWcbkF97SkjlvsAZPmORPZ2w8kiO8CrJ/nNJaWuiDPC/qhK43ebELJvjQJC
07LGB3JIVAqjFgVET/DmQPRxPBQ+gRFNH5y00UD7tqLP/GyQsGOv6iEoi2UfGWOBzdNSB6mP3ZXD
YNqkKNS6RfnhuA2sKNizfx/FGsFHPm4HRYreOvUA9y4tp9wAMJhxQSeqL5PLfizsfTCWOFsTLd+a
Q2/1q7pX054dgLUis1vbz96JrQ1SbZXGTUlhtLyY0vrObwLvommL6KqpAFcN1ZBdhxMArgUPgs2C
lOOZ8OOEsCZiWU2trM5ClzM9WtuZVe8x3JyweMADsmMbY1jnMInK4ND4rqldmER2Uf4ZqZfeEzDE
eqPoTg0rhqJp5rvSd7LxhkkYBpDeB729EnqWnbvE+UIdyqgo8wYMBoeea98KFKoCj3BhSZG/YJSm
6abjSLGIIhfdqW0n+gXowlHSSOAP6bwIeyu9LrmE1dxs+yporqOmsAAQUGihJcg5/jtvv3FWVBZN
/mGyniZRB4oOhT+eVDhaT0guGJ64RvZURvp0Rj4Lx/KaIM0Lhx0M6RuSLWHXlNPOjQdmQzcIZwQf
oaZKD5ycrKHBPUWakF5MjIBbaE8A62BdnwilNd/pHZZvciRyGsidZ93E7nzkjYymvano2+6o8DK1
BG0oJJFbLjvIvkkuEzqa3Pl4kM9pHzA8dZXvNBcFEilYSf4dGQBldVhMGxiqNkFufaptHXolc2Wq
zA50RdRWL2Fg9HTXL7IS+AIRf3CQtXw2EnTvknClZjAuvYbVHrLQREY7CU6RANVWGkFI4qQXwPhE
I/KRUOb1+KXxnxcEwwACc0zNXiaN8WaFPT0uwmA53AyvQcarlwFfXcVeYq6dVmcCyz+gnBnlmrp9
Q2Nc7Vp2UssuLIeDIhBkI5tI20b64NPtdvdkG7jMs+Kx9ZI5iAieGklCchXUouadR4FYo7dYmxmJ
gnDVk7F1xKKgrX1ls3y3O8+pE3kWQhlkEx94w9K10gtrMJ5ItrqJcE4tKw5vDB2azH5GKqNNrlUv
m3m/ynvvhu8GqZV+0cXbJgNR3tktMSz1OaiJ2yGib6AG9kMQFbaFoXNcd4KbqCPVuZ94zysOsRPV
U5ejjjBBlhOFzhEp40RJfzLmYIKORAuHJycN7JXSs3JjmZDcsyiB3wU2Na5pwzmN8Z1YAFi1DhsP
r4esHk00SgKKjITDdO6eS5MXZsLZTEgZVaoedoPlPtl6AJk5JDYqq+9IOjHWBHy0D+wbSZ3LaGiz
3TpVHJYXrsFWUwQcqxx/eB4s7cnD+LIGGPDDhpYK4xd8yRQCveyQVQBGoPkaTN5CZv5LDirsBPAm
MV9pBVTDDMiRyx0YX2V+UkTyrO2CkrMCkQehoIcXN+rdlyDZXLbGootn2oX5OnQR9UO3fQo83OTk
xksOCP2tpQDl6kkA56AsmO+IGothuW108uYal+J+WIZnWmMcHNE967gMFmkXv7GZIRKHvengbT0v
ZQ9UabpyQF2mg30ymhokgNpf9XZ2Q1XpzOhISDTQQyxsOWynLrlowRKs0J83VBcowsTtCNmUioNV
9a+xKm9SRUIWqZ8BosUFcB4J/DM3Teg8NS3tEYpDRO7gg1GP4l6WtCdg5HImtcvnlgrFRV4n/mM6
9N12stBDkEXlQlnI0pQHOHD2Kx0iaLNSssnzCgIqzMp/RCjubAHWTyudLjX9VW2gPqWXebCnGZds
gJ9rayHHGIbC2DU3VgcIM02j9hBK+MV134id1NG4AxnybmjrVfeenTlXph1ZkKOZBOke+i/CG40t
XtxgXGSOHd+1Zk9OzIh7EqgnCH5AnDJSnHKcjmNbZhIkiJDKZzoudL+9UzBVDh6InwcJc2REvkDQ
HKMBxbWN2g6AC5QGcgIK6DXQUQWxitLKTmPq88+ROTn2Jo1GDYyMsihIEnoPiJsC71AuwsbQn0sN
A+KKhg+Nas+hfFzosnxtlO53jNwwP0nFVFLgjyOxhKkSv1i+Zuxde2ZGV7324iRlf6igcF+Z2FDP
jES3odQ64/QYS2rs3DNj40chNVgJ8QIOvfcwULuBEuGzqzX7+kGU6JLcIh9IdSGMZ4qeBfXGN6QM
Dkcgi3na6BCkLLj7xV3uS0mypc3EgHTFWQ12k58z0U+XydRAyQ7VYLASVBk5ojgQDnWmV6fgB5Ot
onNDoTwPzkGfuICWzUY7C/wo/RErNzjJijm2nHL8qU4L/kIDxvwCsZT6X2ZvR/YxW/K21V5RXwsX
6E6Y0xortbZ4Dcul24FXtdvC2ySWDSdClSNp30F3mpW9f6YY8S/j1LuPuZg4wEFJFzs0j9ZFnIvy
e81sxObW0b+HU5Gw5zUroqNMhKcLr2uJFvUGkuMoKKxaLzTotvf1oUjM7N1TlvV9ILbpZOAoy/rC
3pSz6cSJmhwKOQsPfUJKruvENHcZmUSrgi7qWUb36Gley8DFGh69fEOLQVoT+pRVVF3t9iTovGEP
jhE/wI3pxN5A0rpVAE2mYN7DR05qByWbQxouUSyInYaQoO1RBQFOWVcbCR71VAP4PqpuSguazmKc
EJgv+rb1zs3aYrSKKck2DSLbUzOJvYsB49izT7B8SPHG165LmnTPdd6BkqkGy7sdLVV/Dz0np73r
t/mHIdf/kTUVVeGk5o3dKN5VzqRd3N7otlU/kYqtyZVI4uisQ22uLVTuU19JlApP2ITFco0aQVw0
7IftrZvVBClFXp+xBAAGec1Nr76sOqMHulXQwl9LvYLF4ha4vzaFGdeUiycqbPPCSXsCsyZN13wq
mO3t0KPpaXdpjJzOEtQadWHrNybxNdMGNVuqvahijP3bstf84SUKcHm9Om5XsYns43AjRjKF14Hy
KDSUrT9ys5Rymm6XxJmXbCJLE9YenXbskelb68VTxL4zf0XLCZ6KVNta32hkHukbQScqXzWByWrf
yzycIH90hFLSDEkEeSRm62vppnc7Fe3MJgrFqRnHpbey+q40riNzTtqpCOdhl5pMmXhB5kSVt2QF
tnek3bpkCbjKokwqZZudOWNnPRQSv/oiUp5proBlz53eOmnZxw0CZ4jQNMfAxJZN3Wr0CrLlkwFp
3Olg4HrTwdZw1t0ph+7NWkY0vE8ypHP2Ku+NiTyiNqblTEqPom3juG266qG80S2URTpUjypRGaIi
dCoWupmRyZ5QH2EgeKccg9CRAsxmMASpEnHmokdDNRqjuoWpjwCjIkZlXHYq0R9JggyDvR2VYb61
I5TQ9HBlfNP5yHbPRNJ2LucGymZnBtwt3e5dVuhAb55ZpkVxkJo2hpcxit7xC2H6v9QWO8g+cCAi
bzOPlMyY00sQT0a2og+QXbtOFr3ocJa/0Ev/aoJBJY1gGigKymg8N5/10gEmJLc1rHRl9KlzZduA
xV0an6u0HNXG8oNp0dS0d+3IEbvfy6f/5ZVnzTSeWDwUx0ptzw5qHeJqupJYAJAMWDHd60luBOo9
ZJkC1JkeRSc+er3pC0n6r9YYvjTCeCGATHq2dyTb9oLMToYK3TEKHuu6jep7LEDoV3VkkSCTePel
k39h2jh6nNA2Zk4FNjWdIwVl4KNr6kaO0Lengo1hMT0Lag2Rnu3KL9xF86D4pPoXOO8Y8Z5FRp3p
HVucM6OxcOmNCi2uHJtdaA34HwU6affEjKraIHYry9Kr3z/J2VXz+aJYWH2MPrPfSLeOjVQeB9Bc
pbpLnhAZMGSMG+y4lFj7BamwsS+fc2FtscA+maJ9+/2lPxT2x9cG/Clw0eqMYfvI5dRKhXCMe06r
ApnVYkL8C6KYqh2iGm086TpysGO3dSnw1MHb4CY64WAac3yiTxe//ywfrtKfP4uvI3jSsdPa2Bxc
+9gL1NCusoqK4iM14G3o9Rc4F4kfiqFniCxnjNvRTZVg/UoRE1FK2Q5htWdPfVOjDaeXwP5cJ6uP
UD4iqpEdL2yjuI8G+7EDTChGAlrD0ALdoEr1xQvxi0dD502wrHkmQCLPh/88C+S8Ysjb0nLlS+Ca
bOldxDgojArgb8jcmtXv79TRuwDGYPY8m7qJHYYT0DGPAtmMQjPZ9JzFKHy7iAyeS2SHX4yNf/ml
gEPMjAHXtI/NYPqsXSqnCitI4fbNAly4sVUFdZRF0gfp0++/0vGU8ofLxUHfyFSKadP8fAfx12Ln
SO1hlfp2dZq0Y3yihgY/lgxyymgeO7S6D9a/v+jx2z5fFGM89gSBD9aaebg/W2uizpiyuEEWG3hJ
vBor0Z5kCB1CXQT7wQWf+fvL/XJDPy7nYhueuV4M9M+Xw2NoRGhcgWFGhrmGGBhvbJvsvIKMrC8W
v1/e64+vZnm6Ow8RxuU8hH5yDaG1QF9EFQoTYTp0G9HV2eVoWuNj1FvZSWna4l0vpXjnpo6XZg76
kjCdBFl2rtXGj99/7yMGNoQfxqvOC41J1GIreYw0g53KZsISAytEton0bpNO4zl92WvHTl7icrx3
p+S98Y1VrXkYQAQ1TbteesBTdfBziybwv+ckIykrPpUivrSy8NXDVbdAfH4BqkwuzCF/0frhoDfm
35ybP+4jyJfZkg0CWxy92fakORP0CaCjGqUS2w/cdQ4N/xC6dw7HXHCqKDayET1WUufaF0v8EW/+
48bZ4F8sHfM533tmaP38FNmP1l2UKuAJNhX7iIyORaKEXtOCNHGhZQTykRRfPLKVp4umOdUqiWT3
xWzzr8aSz7qEWJ65BvPd0dIb4ZjODSyplNMcd8WYw9c7ym3E8atRJgScHCSjIy9RbZ5GhXNbI07/
6jPMr+KntcFw6J2h2PEc3WedOroTGqoct4rLfqUAHlFKj4DO5T7gQlNPFUcog6OeEwWvlpDFKc/y
ULjqlfMMVYOcHIbfD+ijF5n+KZ8ENh2KKSA91ME/PxbNtWsURqG3YnBMZ41qg5eeDsF1bE7DF4vi
0RTFpWBLUJTgPzPi7JhBEPoqb2EbeitY8cZTMQ2cRkQAQtbnkLnyIDZ/gX745YLss0yIB3Npjc3W
R97ETxPHnHYcQ4WdVl2YmC8VxYMt/UO5UlTaNrntF1/dzKPFDAs3N9GwHNO1PXgKx5OwNF1ZU4Rr
V15ieLseg9BLVAXhH6/Sf9H9/tOY4TH/oFn9Qvc7l28vH8T4n+l+Hz/zJ93PM7/NBxdcrrDLmePm
7eefwHgP8LvHUNcdHUULNn8G+l90P/GN7QcwGZ9NCBS3mVH1Jy/e0L8x2/MoMf8xYCFa/N/Q/QSA
gRmDB/fSt8xftlZuyqbRRgFNNXcqF3UpxI1rTw1ZXXnyhRf98x5kPs4A+OJkYzs2NjjOVJ9fa2R+
ikRPv+KEX+zLjGRKRUPRM29J4Dhp3K9m918vxy3HfW46vAI+nvTPlwP1DARdimrjtNatTZPNMiil
SyNG8Eea6oSUevPTk7/8Y7r8j38LxJ+/IFec99i8bCxsc2rAz8tJV9WiAlBfbSIbn0JfA2btyD9P
c/+LCdKctzL/nK7/uNKcJ+CwbrFsHafSCFVUKBfHakPeUr2zqiRZS85WsEpVOB4KIwJ77NbNrRgx
EeR5t4/G/obf9NzZ6jGjxpwXTo2AsufsDPPlAloysU5msKf6l1wjkCy/YOscLbXzs6dxwdLC42CH
xtT++d7E7LaN1A/TDbTjM6egfpvVl27oj6cZZ/qOXcuq4/BIx9nIyd2o+/Xvn83Hef3TLZs/ANMf
LxvICc5Cnz8Awt7WxAKcbGKjihOwJUVyUtgB6ZRDsyJiCwkpvhzf0JYezZkpc09NHB9DKF50vT/B
9YCKS5/eiAzuv3ia81c/+mRg/WCpzCw6XuujPZBEqxcJN8s2Af45gkoDh0UA7WFN/CSGJwfJ+zqz
aMkvejje1KmVbX11Lp/zJz59CCYiNujMKeDiLF6ao9sTT4DH0HTJTda34bsWj+IZu6lA2ZK5+l7D
OlssompKLsnFzJ60oLqdcVqrQMtDQmjNngwZNXHfTE9c82PqoItJ39gwujaW2922QRtAbcaahcNQ
rHxV3KL62Y8iTB6HgL4GJVUbd7q2Dp3elushI/Zgm1IGNtfxGEtF6KQ2tadmgX9mHdid/uqoxu2u
Qys1Xr08jc/zoCAl0hg1/6kqZfNQ88+DVgT66zhRuT6vp4pMs9xyURsR5EXiIoBMc4F7fNzUKva3
MKWhM4dOXa+MQs9PBDlXAFDGrAL6XHc/JDpFPCFOS6fLravkpdYI8qmSfNwzDSXWmuhctNxNOm6S
vNRwUbnF8IBhzCApNNBH5yCcjnhLIL9716msfuEqJ8drmhXrLtHUD3oAIy7j1HEAu3jpaVRiZ6EG
2LybdDtK7J1ecE4+TfEwhui/ETkTTm8rrLskFpS8z5KAumKb4ts8tZCDvUdmP+4cEqYecj8IaFEO
WvaYu05A6i8BAoYLRq+bc2jTRs6iM4VTIOcYAOs18bC1VACODlHUEInQ2cW4y9PAMDe17DqNkkEr
BjTpZYBox/H7bWQOXbutewA6ay9U3dLENXzqU29Fa5Ka9avCmXMRtkKNqH5zhRw6pCW59moOrOtq
YK9HPC5ovw33si9ox+hxc8hKvdr7oVR8SeElyEHbvinHfQmuMdljx6hWAc1ksaQJ6W4iARmnK1WJ
0QNplXdhonMIdwCXdAQtVmKdTHBCpmVeOXhybKu5s0MR66sAN++LadM4XRgxu/1DgluAZI6pGcOz
Cd8VsHu67gucQfEVsRPKp/+Wabdh4QFvqUpSE/KS0KV1m3SafBUTZIPl4KTOtMlcZRYb4GLiiopP
QKcobPvzopbpe+WO9g+PSnDIpyXME+S43E1UHc9K4TVn3Lj4vcK9uBajdxmM/bC00vCOAt1ZEmXu
98nPbxS13zuXCM4TjRjfnbRoiQR0BtIlQhIADIq+Xp7mI5K4ktI6iij8G4FzhXEz2hvTaK4FKvMV
2l1rNyl9WAI7jU8il15p2tpii5y9WmF1KkiPitN1NPnFXY0l7yWI8wcNjzipEGO6S5VDGuZIODr1
6Fc9BONpDoRxpQ4waVTrHtb0RrsKMSxD5ffoIw2R5F6P9lXRDQfPUu4JxmZjp0VRi9e0qvaQ5+xl
ISoTLZoxG+WstWYSLWq0p5h/1QGA+Qbf57CP9cpYT0hVdxPZdJpLPoVZ49NHh78p8lS70AurWQgj
jBA4NMa+b91s3xQeqO9B5hurn8Xwpt8+mrMjIC/NS7OP39mkY3iSIUXYQBO3AA/UPp5Q+w1x8ko0
Wo9Nw5reh9iQdxAA5SP0uGhfyTpbdU1+hY2EWAlcEKRKVT5ubIkgmgQFNvpuUx2sLHa2PWbNbR3i
UKD0xiuGM326GoKxUjAiHEOu+ix9oDaN0jyUF+CY1KpWBcJRAScDmUGSsWszm2JVKeO6J68ZbanX
+7fmHz2K/JAn8EwXIiT/ArF5dU5LILpOsniJ4f7JTnA/OTRqThwxoxr0eBIPJQ7y8yBuE/yuxIKB
qSwPHe2cFfBbHEp94e6tETxFT/0NQLo8zzN51UvSNBfOxA5yreyq4o0G+N6htnqPNM86DI0kbdLs
AfbHg3poK+r2C+zDMfIVitxVmO6zpked7TfuJqStFsMhX3omWjYjoZ+2skEYbcsiat+bkHu9SP2Y
XucEAGzn9mwrUBwTxlrY90MehWsd7eWpPTj+Fbm948FwGow0vh0f3Ni17iMmi20YFuZWq5R5ajSD
u3TL/C2hYXbR03zcFsU0ndv1dO1rYbjztHZRYV0mRslCSrQEmS5PaQ/bi5Da0HM2qfERG3hOX3jw
X52qGZ5Rk05rZKsoEKVWWKdNA4loQQJvjcc8Hbcqs8QlHiWfAGXZ3BbUATcwd/sLL02bZQk+Y92V
iOVCOxz3PZhYsqv1YliaQdHtQtcXm4ZEl7URT9YCPdkTSQzWNqlb/Hx2NdbgM0L7bcCohse9Kk+x
GZD0gdF34QxE05QRgXZSwlayrfK1y6dDV0wviULlnQez1IWvUCy84LVmelp7WX7tEz2wRdRyaSFM
T6OoesnaPt6GpYlyTkG1U1W4NjpZXU6Rc6EiDGH1YJ4g0HsLLeRsnTmV6ygnO5jT77AJoQDU2qhB
FVMuoTAplCcNq1LaVxfIgf19oKerye8OtnTfpDGSIJS0PaGjrNup0+fwWbLnjDDry2nELEh+jvZj
FmKGRKqE/tQscX5hzjVY2+hLyx9OqYx9U0kwGjCmrjARD0hAvKFdpq3vEfrRzGapIoEkopioUvAO
UBwg5wW+8TqaZfsSwbUm/U3gn5sS5W+igbFOt76yH9ltOOTd6hniJpNXZna2QIrVmjKlk9LdKg7c
+BNr67YDP1MuPb+9DBoHSE1E8OBsCPUviD2YFi0f+iYtZPfsV5q8yA2CaWbchJQnEzC7036M/Kcp
QTyxMAKb5mSjmfo9b4JE/2xVGF+A4fxIhMcQ8nEsPwKmI2edqt1WKiLvEPblTIqqTQygeZYdAEHp
LIGaemoabzUOXsleQmL/XslZVoAzAFDtihMqWnYzCSldqrEyL0QkCsjeQ6sDiKqK+8DRBp2q0WCW
u2nw4UaNpZS3hYwn5DY1SZ0oc5343sqQhi8ir6rf67Yd1KLXhkIsrIT4ogXmDHWbQnBYx1GVPhcl
Fl8xpcxCSjNOM6u0z2U5FfYhsUIXmk4WD/UWbYA488j7+u6kHpGNoR9Ze5QL1mlWkSerQru59kdc
HqSON8MDMSY2MrImvxno/1qZPZyoyMZr5BDrzpSlB094Cmy8zEF/Usdpv+sVJgHaVPZrEs07zIWo
c/95VL33TvrMsGWUT5irw2CX0x00VqouLTSajoFGWAN/QOT06C8qsojocOcTWlmo8+HaG5PxMjZD
p7uWvjdGq1bqGUugI1ah21j82poA1qF1iRl1/CxcT+xy1LI1mWSKhgiuBKX+sEUeODwafeaf6Sh2
I38VNA1pPFUcsalF8xZld6mbDm8uR6sfqvXGGyPp0EM1qar2noEif4WFDOKWWen6q6wH5nC2ScUN
jeY0uuxwj6XLwm9HgTc7YBUeC59nGYzFNRpqNMRjWWjnDbJsWvDZkK5hseWwTKP6Edm8/0hUporW
1C/Iw27S7srgjHCQRdRc5yhDt+mYNqcu0JyH2qvYLM1d3Vl43w33ahzpR+CrQhavhdMglqXuF8Xe
tgqYIyKbSELJgqFz7lMp2IjhHDqDwKOnS9nEztrza4RcPNp4k42xEZA8T6bIwo0EiaLM8FUzLaRl
ZB56bOqht3qdRul9I7R4P1KJyzkQIkNYpINo7lE4AHQAIRMvXGdIrkuz6nUM3fEHGqcDbFDk3IgK
qUvYdStIJkGyGEjh2namxhpYKagsVuqLkzCv+ZYcxcubCRHHEy65DMFsL91300/6HZrGXamPnEIG
vb4bMhYc14+nh4YO4s7sU1LLnbSZtiAGiAgN/WLv9HWAjmEwd4RTVgs2DxHxOmPHmoCOKcRlvgmK
YFpSUy+/m0HWtIugC3NemVa/Jei5/aOU/7dKgLdFxr/HmR1vw397+0eCx5l8q4q6eG9++7e2P4rz
l+xHffyX5k/zj9/1/0b8B2Wsf18e/B9V+/ryqTT4jyRJh9gPWlVURijNUhWbGe1/FgZd/RslOap+
iCvQPHwEYfxVGCRk0rRon5PuQDsUMOA/C4PmN2QDlFZobNDWoEL4dwqDHyf+n8sSlJWo1FBloigx
Z5AcVbM0L25GVwNPj9wluxJ6nyCVxTAxt5qivWzc7FBhHDcWHJP1FWAiy1v3JIDNuK/kVtaqO+gy
I8+40telnTJ/SkgqF7wRqmVtLJtdRi1cwTxIxSUEETiPpkOR4+N2/61R+X825P5/i52xqRP9+4G3
r9OX+j+WLzL7X/8z/3kAzj/2Z2na9b+hF/YhWhFNMA9Aij5/laaNb5DFqB+gcBL+nM3wz9I0PwX2
km4VrZNZNcJP/VWa9r9RbZ37aq5JDCltjr81AucR9vMIpB5GsZCiObgDmjTHmOx86Po8VxErqUya
LUiD7CJR96xi+LlC5tgIB+ESRQmHGd3+7vVmOBs1xm1FIrFekqWoYAau/LDwdzNkdhFWY0ykofTM
dZdNwWUSolV3u3IXdfZbCtTrB+xpXD5T9lUcg8lb+ctXoeZNJ8bF6g32mz//qe0TlSmxh8TlbSaL
6S1M7lw1uy/LHn+hM0Tt+TiO26gcG3OJSRo5IagYIkdCdvxRUsmLwpzUNjVAZWKQsg4QMeZ9bk5I
swFA4qbyEnU9TOpBT7/qqn9ExXx6CiY1SfpVhHSgoEFQ//mjm2TmgbJ2rE1NbZUV3a7wfiNnR4rf
qaVfEavn4GJ5KUY7v1ZlfxeVUj/LQ6OFG5jD8LStPL7s9Ezdx+UEONKs/aBZODgF2K9n/Q/SSP29
O5r3ekmU31KzKhOKTibqiwFirDQr6PZsdM4rH1YVtrcIF0hBGNHCRvS9GSP5AMMOxwS8/HnHQPXR
B2XSxK//NZM04/77f/9PXvTfTSWX7Y+qKf7jWr4VP08kHz/150ziiG8mOGdiqIga4n/m6eLPmcRx
v80iQaQJSEFcUnu41l9rmfeNvypIuqEoPxN16X/9NZO431C+CYN1x9VnWLP7t2aSz01Qlljc1B+L
qYHUgGV1fj1/ev2I9yUyMa6zdcF5Za2mFiIDJnqUDW4qMYBHgGRovB9GnMue3t5IK8nXFEJxDqcT
ylrbkTtXVoTkNR6ZmLHmnQIjeUXzRDBtVPogucsTo0VRTDqCfxGinDhgn22+aGIct7TmnCWTZjUl
PuZDi6DoT1+jVzbeV4Ng8rQIqqWGSGmVBfIS7lq9hIuaEeb+ZXfieBImUp1+AJEkpqCKzUz8+Zoh
GtkmH/MQAbCerCw/fTfd/NnXs/4LDcLxMzq+0FEbpPWHSXoBBznbTp+rOMyWXubf/jRwL/+YtX7u
0P2ra/BtaJrNo8u25z//aRw0LYijqJHELSj8BxVtppWGZPuLx3Sk6KCF8tHNRXOoM3aJUjr6Kk6k
6PDP8t/Ka/1VmKYnReY/BFJs/bZ67Kr2Dq3j2sVMtYkn4yrzhq/6OXyPn+fsjw8gkHGwP3QtcM6f
vydEbcNXsUTDmRSnadEnZ1Nj0kDo0PV3/ZeBJL909z6uh6iTojg6HsI6Pl9Pismqpxy0SNSWYIRK
+RplIQQpWJ3EiLoXuS9IBBX2lWjj984pb37/WKl5/vqFybsTyIgQkOpsmT9/ACsfNHuyA7nmqHxQ
ojxPNaoJthO/h62arhJHXMmkzwGXKs7IbvpqW/G7JdNTZTbxIspUDUyS0mKhT9HGiib7Er//OQqu
q8zNTpH+nE9x8q6De8ghLa6KMYUuSAkDfz7HViMRAQXpOrpMDOznhml871LE/5XOf8bAuppoPSwo
AdwIAAtJgIbHo/JdiStP58rIGe+IMUqXjohfXeXiOZoqtjBcrW8CXFh8DHLjaw517m1fYMbBUnJl
t+FrgMpk4bf6k4d+f0G5CClnYoobPRga+rkkpqSUXEDN4deIQHmv0pol1R5NIDujPl3ZVeGtZM2v
Vl12KmPzKq6xfn58M2LIzsauHE/scp7zpJas8w8RmFsmZxguHol75lvhkJzO4NWgb+tR7BSNuSZh
7Ly0ejz0wnnSgM08NH4frEak2svC4M5pGcQ3kXQW36j2txQ2Ywrv2SuhuedD552LuCl2CK+mszRp
iX8V3q0TOLSJ4YucgUEFBxeBTRVWKDd4NTuEby5EXkw75ujniwGUFq4+60ol2WsyWvemRP7vu/Uj
wWbpOnP5CIbMx7v5uQZufho3LoW/gRj7FtRDGrvGslVevRRFhqFL2drajoBUUhT24Tpwkz9u42AD
q449DArwKcc7N7TMtV5wE3Cm+ZvcyP3tGOk+rAz3HFOPv0UdMG7L0fEga8hXO5cxHvtGbXSTGxz6
vbmutWja9NRbd0UhrorUESCGGQoEBIqTntsQOdm0AeZCpWzyx7MgDAYs81aCrwRmdUBZZBHkLHFl
mb7TZnk0cVd+fPY0dPOtnrukwU/dshiml74z3yGL3JZDqzZRzOsKBt1adGX07ozhtEEpZC7DegQa
Z7jdj1Z2zdqDE7xLuvQqc2SxxbZm4irjcye+nDZ+UD9OMWdBETvJShp4eNO0p5lKQYttmww3MM9G
6lu8gm5OhVIwADQh37XQzrfFWD1SjE/WgOpyqoOwB9yMh5lXmETJMsa/6xtXvqHwEXV8Mi0u+ekA
zzgvjd7xi3vU1kvMMtZift1b9s0LLCARjSAqjzZZweuBgu9izJJ37FxsMafslZzT86g3zkzK71SZ
brMWFE0y1MlZaTHgEYv7WxmwH217+wqsCOk49YAwzHPOZ9HeGpequ2hy/9wYrSsMNjXG2vDVgoi0
Hgu6t2lQPQqzOLU19ahp3KnRlQ9urbUrveeBoUhRS9OPwAViUDvD8TwSkB5ILJjzK+pObx0xiMth
LlNNU7ICUX9LVtKwmP8fC65hU6evecgr69rubR0Z2nqefJsGlXdZV49xZl5VUqHcNHk58nng60EE
UAQ/V95ow7IxkaJTyMsXls2UMbkVBl0ozIchA/qaOUTAT6FOUrRrE5/etKSf2yGP0615NKLmQ+qa
FoOZ5DORo8krqtJX0dANFFnUzSSOcKOVIJKqrsjesinaJ7ZH2Lvija/jiq5Z9NpZ7WOVVY9pMd97
uzCXdMeZlF3Gyf9m7zyW48bWLf0qJ3rUPUAFvJkmgHRMuqQRxQmClER47/FO9ynui/W3qaN7yJQO
GTXtPoOKMioSmcDGNv+/1rdseEmr0o5eMgrAuEp5T6XKus0zedn0CV2wcO4dtymbcguUiLciNLhv
A4PEHqTbaU4ZXBLgTlAWa5tOy3EAIng/WMGcujIAXbgLwQ955NaqGGJ9SeenAlm9xgwLOFKtg6c2
MaaVIbZ9gSOmxnpSDppVSihSc0PZaO1Y++hax0uFyqq7hP10ZYMF9pNRSXEradpOL0JnNSK894Ma
VtmKhyJtw7gBqttITzPKlCvNzlWssGW5hYqJgcwoH8y4wOXt4KE4YEWp1kq4qEd8R0BBBmluzgZO
TL6jkfSNWlOCsZ1GsIxSpZe2uc5HVsx+Bo408yHAgV3ruXbd0KLHgtADrE4rqjlBnLRfGjo60LuK
zDca48lxFHC1St56o9MKVaQmP0y6bpy1OBfWQS1XX4G8TRu7wHUMpMamqZNEz3TI02MsS6RuI4t2
40Q8vwRKEua1RfLVEUH2MNb696pKy22saIJ6y8syZFCZCxqU/jSrrRcoUD2sepAfxiR7niaWZzE5
VSUjGN7liz3xe6uheXhdFtm3Xs9jo/pFSxkJ4xnrYho0Z7nYbOS2caEtjMPC4jWomDC0ZeAL5aB0
dKWT3LYdL42hix8hJoCeFHNEGpsXclsVNwDon8OsCvZgehUgQmq8ZooXa0p2mw1QsROT/BgxH08L
PbG0jF/6Sr2qtP68Ka1vepR9LSzY/7MImweDsGonzqQl/cg1YROq28S8cCpT3LqPQxg/Ms1iI04h
cKb5fDbVcoq91eKgEtA+K2UrWPHS7dR0uEnaIV+rmdwDaDcmOtWsIe3YTnsCX1kV0+7BBiaIvUZu
uSjvY5bWy2MfO7dzFT2DcuMNa+KXKuT/Vmrx0ooNxut2gZbTw2zS3E64m3ZMvIghuGQf79TECeX9
xpSQUfSQQgGGW8sS+7g3G3At56hXTEsE8YK5yrSk25ErMWkmL2PcqO4S4wmnmB9/ct3fTk4ofBUV
4S2HP5HZwiH07XXLCqlNSxyUh5FN8ocsZ/egmDth/U8E7IIZ/+Xjb/pqTXv3VbkkgWMWlyWHWddO
9sRqrxVdDW3NK2ZeR1tO9R1K3eVaQ2fmt+3ylQz6XZ0w3cGd3wyBfSH2OerCTJM7g+p2HTtTBQyp
KxZzeWRtXnReYlapWUufp4g5PmdwD4W9w5vutYnV7Eo1e4Fl9qBVLMH9woY70a4nmwnIAUvhxvT2
PLEeqRGA5aHTr1WdPY3YB0kLS1rO7rClgb6KAR35bcbgjAa5YzvBbvp1s0FLwxEqL2pAPDsqva8U
ki32PH6yINx44f9kh/+AMqK9LZG3xiu6gAVlOBaLJWB9+TllcxiAI8FKP8uSP00RPRuglo6rjhVv
fM4ikalMV44zS2LH0XrsoZ97c4R1zj5Ai+uH1Fw6+uwtcB9YcZ/ENr9a0U4eHyUD2UB8S168cnqi
oK3V9q0SSp5lDZdoi7BsRntNH5D/ZNaqwmbL5hWGtEy4EhvYc7OT7hWrfkj0aGOlRbHKdTaA4onx
6BNXbmofqfk6aZabcEyJJ+GkjyGZTLhO/obcR1ppgfSF8siNUTVntWJX63pCfSWFd0rbf0/UbKuE
FphJ5sEhC17gimFozuO9iSPQy0AUXxhSl+5By0x08lnpcRzsRnHYo8nEysAkZST6hVbwpOAMSH5O
x3XddunlbFdmtmpiQePAqbwKM8hV8dgukPZm4B4VACKpWlA3wY5/fUv+Vnn+/8umkTjB/vvq/fYp
7v77v95W2xTxA7/q9go9ILSsuk02LebC/6m1WfpfOiVzQtqR2CK1VTgG/7PWptJSou5MAKSIeOYE
+qZvZAutOWY/kTvNQP97gvLf1KyO6D7JFgZWvCT0tt7PtIvdaNJoR/h4BioNmKE5KMSp7exwW+oB
qgmnPKefHFIBHuV5M9jYiL039+oPVZ7TkhVKdj6CTsASDlo8FidlMjWp07KpG8sPOaGum1rw+qJC
8dU0+MQ+clpPEleieaJRjyNoGWfH+y9r1I0U5DKZcbkCpE2uAHdFRZZ/8n1+v6VcR9Q2qJYSSXJa
govsTC7VXtch4gNDasqZcl9dlrBJErmT9bWaZx2AyEK6MKfe+DJAaf7Mh326fiL0FNptvixGvt8z
3h2rqAneUXV/bvAfs5aa59kcONAr2nwzmUbhajKUyo+fI9mk3L+3kzBtTkpoikoZC6sMi/f7++uA
0caI3xg+tA2CbNB4RoiRdQRXGGZVQJzOpDQh6h5lXNzIqXGxBjIpylAm0vIy7CT9ToQpzCCUMuNQ
MM0ZK2Aa9VMKkJVgnDIM41XCLp0JdyGJpoLaPq8A3arGCtka03RrO1RWZgqgzopPqnSbxo70W9ku
c5Q1yF4syklJrH9PIsJFXRuu9rhmHxvcYWNLHnhYyZFjl/5sp3UK9gyXCI3PRNGp9sDJOoYzBmRO
T4Z53RlRlt9h/WbudoyZOCuU6OZXICoB03bmRP0dmSXZRi/R1uAKSxUOkCaVNyKQ8uGLNSJe8JVJ
d6oLEEvqTWhaRYvD00ru4DP2CuRKMNa8dpFDA6XRzcUv1KB/IlRNQJ0M2UOsMWpn5RBPlBEmh2yK
RZehYNbyoFA2Arp8bvdLO/uY2BqIkUlERFGfdAb8EcRrFTsZql3rIpGqEkJRKtWIIacevnTXqZCT
y7GOvI7+165oFhukVJ7DVaL1nK9j22oUjzAxyMVZ0BsXNnTo27AKRyj1+YK2DVC1jWIkjxu3QU75
LUehgYjNNprcVWNFRzOG0FqO00DB07DMk2vyovQbdiY/JPzFN0sq6EzkP7EkqvjMX2oHyzMnyGmK
iZxJh6uiGZ7LJJ7rFWZtHeGfbZBfrttT/Y00JupZmDe3jTQOFhL0Lr4GixodnNZ0HhpMXD/GJs7b
lSbJZJFa9qIhDBzqTdVm3cbSJfssT2drOEvI0vhaQ+y+Umut5Ijcqvq+6B2iHKxJU8+JvwSTuiyK
cz1QXG48M55MjuwTWKWQVTz3aINBjurm2nTHQtYXFxf5eDEpFF9dnZAyBUtxj2XSgBR9Tw80uq5I
IZP8GN1yv0WEy7EoY3NHOceekvt84KahZ4ut1Nz3fUSbo1pqvdijVA+WgwN9DXOomjvH2HI4ykeS
g4a0bAGXt1MjIfSebaP2+kDQEpZeQkLW4lMstzqkw2f4mWjWCidL6HcCETHdjn3nqnbK5FtllUS6
aaSE5H7FYax0VVFyuKQY2gVENfXkEVCMIQaFzJEJfkywHOd+Lr/a3YK4sIM/SMqWFFzPJciWKE0s
E1ZqFd7VqKc4pY1K+8Mq7eLKifFEw2Jvk+sZo0zoJ4gMGw/sTtKubUMy7nVJzh8bjK4vDoURe+XU
2fDYLugglVCeQD05CkdBYyxIuoDimkP4oukVXA5ZM8vIhyEcubIVEkGfZOWkkMygZLYryxPi7qYE
UkgJJXGuzIFMV08dCuULxTqNdIKiDxmDOaVGt40L9QKOuZauTLsDw532c8c/15I8eZHa82A0wj7V
dSyXle6pI8ISd4id5SsAJo6aQ9YVT0ZYThwuQeIl6yLvwZY6mkSsBDglqeJltRuVXFwtirygb2YF
3HDrSKtGWrLwEqYNZCkOoRwhTbsac4jvwLkQ/spF7VZRLUFcjeMxAmY/lAH48zoigYrgCf45aPRp
ZcLpeZr6RrK8FIuo7Mu0hsnVsTRpWbFqh6FfJ1gfPHr7cHmp2KeGW40iFHRM7eLJDvX8amH0Rqug
jlQ2sU25XJqzVChAaYfgm0MutS4u30Ovl+TbWjKygDeCHuNqwvMESBqpMYfipFJCj1ZQY7tqMWuA
LZoGSCJqb+M2L6kkbYtSSxqvMDnl7se+Y2ROaWPe9TQlqTLIhZ27AWA55ZNVTTk1b7GkmWJnRG3e
Zg9unGxPMI6RxyaFUB978n5cvcVM9qxHiPNYeVLHPGMZnlSOhrT1vEmRW+qYiyoZ65qJoP9kbyHa
d29XWJF8qcJW4bTLGfW3THAb+X3SF5nhS6gIr6E7lwrJGAl1yaNu8eQ+XtH/dDWNHjDWNTyS+LHe
r+d5QDVOSVLDL8b5MW8L/XxU88UbR4kgiCxILj6+3Anygr4v8AGAEaItDRAA39f76zVI0hsmNB0n
R9hfo5qHrx0ZvTVxHnMWrL5JoTVupNC1AqqSwV1XgeiSfsehN/E7p25pDJMEOXsdiRTnpBAS71WG
GkkrLBDFj4by7LzRkJiY3ogIdgaNRfXzFRhZeVY2DMO6YGH+Z3T63zo2/b+pamIf/eYZ/2a3vW0I
Afz+9P0f8z9uy+en8L0iQfzsL0WC/BePWwf7AiJIkd8pEpS/sPxTfFJ0lHRsK9nV/1IkKH9paPFM
hyGD+/z1APVLkcABCrOFjpdaNhUDW+7fUSScHhwc6GlAG/hFsCpEIvT7gSlbEEzqEPVqNMI/Hgaq
beOEEfHNvfnDQcg+2T8TNK0pFscw1YAsQBCs+Bhvym0N1gwJ3SpZq0ES3Mb41yYf2CaIU3tsSDSI
dIkItliCZQuVecJHg9QK8FU3TZezQQbDegkMihxmJQ+tby64RiH39tA9NWh/bhvJ6nSoNL2/zOkU
Aqi37emZDIJuP0r0TzbhlHf3S6tHFiR+2AfeUKszhaJMaYGyVs1VQ5BqeAYzPWDnbogeCrlQNcDR
vumAPziEThmKlLM2yhR5dkHW2f0uoUR8lWhtRtFiqKYLcYY0fadOHYmzCHJcspP04pAXIaY2AqEJ
2CmXIGIl1Pl6IGmd5WVEe4x5ibYXxe8ovo9JV0rYFpr9fa1m+ug29OewiEnFfOgzK9F2c9voOzVJ
lz22YjZrJhZFDC+LUZO1wW4B900M7MUt02iY6G6ih2JxJpdmUPTiNl/sRfJKVDAXkdYHtHhHg32Z
Lo0wJ5YsWGtFUYfsunEqk+0uiCwxDrYBzHOqXnDwU5/T0GbDkJuT/f3jYXIyGDHEQthiARCaPsoD
jOx3oyTNp061yJegRN46W1TtKnuGqF9/fJXTde/nZRD5UH+1KUDIJ+veXAR254CCdue2GHdpbB3b
QYEH2untmc3Ww42DIDhTkhISMtX+Awlonx1jT9af148AA8Ew0AHRejl1aIdQTCeH8CnXMqIW/1cD
K66NVQqrZHH2sal6H3/nk0rE6/WYZLi/IvMdveT7O9vp2pRiY5TcKp84QC1G52Vdi/u4sJTNx5d6
fZffrOTiWqyqaIUpcqMpVk7OynUVBXFrJ+ybu4JcjFqNUeIT3qiu5kjqupVWNeOZJNcjti+jvSpD
Wf4xkhdB8EuWaAe2HpHtTqCqLwkKntINAaQdjiJtgGI/dkaHOTOsY68G+NFxMorqL45mVceGHekh
KhzrPCEC+ecC/p91DqzEm8f72zK3emqen76X7bsKID/xz8XNcIQ6l3eVbQ29Rd6m/ykB8kemIaP6
sUFY8QAYkb/WNu0vdOOsbRbrGi+8KLb8Wts01jYgLvjiGUbUCNW/s7a90gf+NRJR2LF0IlynZER1
zGEhfT/qRxBuC/8XQWAH6ijhcdhl6zL152QV3OhwMb14be3e3J4/rHTgx/ilv12UbSyLPUEF/PX+
op1JCEeyGJILsOj7KOByUpxuJEykTnqvga5eWnuX9Z28caIOh06+o1S5yjMifGkwLEe7OstR0HV2
ulEm5CubAJOHZX9TqnM93hP/uNGMEUVXcT5pV5CxnwQtSFELbK/qHYrWYwIwF6h1pnIQC+0nRydF
0G5KwgI0mnWJH47ncz2uU6LwALI3fb5VKtwvWf8cKrLXKvkhlAzCOGUOaeAR5i0wtHW0SHhVi6ty
UTY1qEe7kQ8ZNDaqSMqqDwkJ6XGn1x3WlxbahIp9n9VapkaAf7ztwYi3IRIS268aen26vFajiyQm
ziSS76C2xcVlZVZnsMRXi7z4+vyUE5JYNXBVi8l1sMMZw+im2ZeEW9OaV6gXzsZogBraZK7Vxbcw
+hUDIjf1CekmzyGAYnFFOrBt4nolCzsYMM87msLER5u+Mdq3cY2gZ6R/PfZXvRZtCUul7sHh0OoO
Q2juHThyU2p4NL3JhZi+GnPxiCH0eir0W2mszool8DmYeNpE2hsvB5FMKZgmZX7Sp5lWTF5H1wyP
lNi4ZqfW5kuTKlhmVRPbXr0KSiE+wPwo/sWW4EvPKC6a0OOcuKkJmdWVdm/3maiPrFtgd2gPwACd
9+O1RMnJ4CaPD+lkP6sqM+awg06/6qzHbpaI5y6gNO2N6blbvpMJ/EzcYEfay+NIwzi1to5zDS99
FVebIC2vRk3eBPNjQveVZimhLuq3dtks7UsFfMgkl75XylsrPWbmnsG10uWHpV6D7RV5PCvs2quk
HV1l2PTTA9x3VT7rhwcNZhcQDFB9FW6sZJNK97SNlykAdIr3ytyo1pOlbyHPuXXzNU+Ds3lUVmWs
bbvmuSzPEwIik+BAXpzIgtxDnUe3sGgewb4HKVAVnyP+I07KS2LXuSMKSbgWKXtzU+oEDAY+GWvX
HUIGlYCEUI/2lq1fsvG4rsnbCAt5K2FiZTNMhChSFznXXWnqn7GIo5Wy90PO38mJsMkUJQDhLrf1
I8hpAnZmgmrIelYwdXZsSDPdSzXrWV/yK7YJB2Uxt22pfotKeVepyr4OyOCZywNbrQs9LrwUx+Hc
Lffq3D7Qft2y+l+SkQXghn2nLH8BkybV+Xk05ofUoNtltbGraB0pJBYW3IFiSboOBpE7rxzZUNC4
k821VVRHo5QPBaE1NSpcLLSrcOoBYcRI6eZhjdNZfBplVdnglvK1THAj7Y/z0bHXgSXfkHxFVukx
VOl1kmjVLt+ZM9cmbw973+7bmIHdjswnDiQXiyH7OuIC0jWcqr3WYxOZ8uCNWuFGc/nkTP3Lx3Pp
+3bDz+kbGBanZ+iEsHpOpu9+BiXdazLvxD7e5vt0k+70NSljn21Y3tdBuA66VNmg/gE/j9aUKTZP
bw4nXeP0PSgB6AObbqeEB9LTNsSPuJH3jRg2V/YAwq2KlbTHoxyvP/M1vN/0/rw61hYOc6bG23+q
pQ5JkyBMjnRtM4Q+N10WU7d6vY//2bz8L1FH+ffNy03/9P0p66sfb3cv4kd+Hc2Vv2Q2L2wNHPqE
Px0Bv8wCyl8MOVxFnFYRm4Mu+9f2xfyLfY3OwZ1+PKAl7U0D0/gLrQ+iXzqebH3oUf+d7cvJGYFO
gCoAqSZbKy4Et/39sDSp6zqzRjDOlFOkbdSFsCnI9uMEuiJSpZ+DBJti+KP8w8bl1Xrwr30LDUou
R0OWU5eKXJw+3/vLccwMyjxVO68JdApHfKLOB1Y3Pob53O8hIXG8jO1EQYQWWtH3sp/JBakaDVZu
Cl+edbOeD2ZUVjd4v+8l287vs1w22agnsr8oUK6bvhu/o+opsPM2upuYRWZupFTPdhy4m41F52eN
mpICrUyI70K347yCCXmMjLyqyDZ1CHIa1G415fJunpcJPKIRwISYDateh6TBwbhY5oouWTCk1yM5
v8SGOENy/WYQ/elOvZ8vft4pmtsQ7SCK4iM52eFJQQBZfhF3ysnqx6LJqztzNA3FNyXSt9Tahshv
TgNZhXMhPfJPOhQSPcNrRJCUg7wriWSwEQTnFNYkI5lMTaFLIUf2LkFwwj4xjokshz5C4lcBqt4E
hlWv4oS4mBVkHcVXSlP53g5Dkqz73jH3Y53MO+I2jBoNqLmd5A52ovAf/AhrEpa61hy3CE+pi0Dg
5DdpbfkDke2tskBRABC2rIU6vfrk0PnKRzwZUpSVab8jzCUh4ZTlvCxNVnEOQEE+LfaKzZOJIlYu
dhXn7TMKzzZxY2BuDkbNequM5opeg+h3aj67xlTmuCcbG2mewYm1EI/kVL6X0jzc5C02748fqjjz
n3xUEoNQJlB9tgT7+f3oR5U8gjGC4FsAn6D8bQfbEVsbE7IceehZiPawmmZNoN7wCYhRnJF+vzS3
CSIdJ6nfPEGQ5Wu+bULSOPrDFei2ybOhbntZCBx1ZF+9tfIhWTMuySVZwmCftomKJNwMXZJKy09u
xPvl6HVwO+gHkMah3YD5fbLodmRa0AoJOw8cA8o7KdDcQmmtz4bG+1OSuIyofKK/47RnGfZpAd7I
SSFQyxLBkD7X0LSyahdqpToSZYJYI2AXdC1rgYGQXZLsp14VxPFOl28C1cZs3gKpWtJ0OCq63Z8l
um3CwxoKtjX0pgb346Hx+zzMm4J+hCmRuhSCl/dDI817OQoRkXnE/FbrMDzPaqvdjc2yxY6l/2et
jv9p7hP+3H+/WP/0Cd//93814Y/iR/uP/+37/7i7+z9vl25V/IZfa7f+F25hA0sRNl9ROmcc/1q7
DRRG8LlFw0VYf0Ux/lfpwcaZTnMJGSS1KYrRjO5fpQcYmAhLWGmR7KjYBP9W6eH0LXrVHDFghJkQ
//yp8UoCvQpNV8X0i9YCxPxmZti+uT1/WIb4Fu+mjdNLnFQxsUsrDpaHwJsi/VytBF4FIevg3Hx8
mdPR//MybJFk7gkFmRPHYkfFN+xkqGVBNq5LPT+U5eylhnMvlZ/CrP90LdYDwJw0S7CCn8w9Dlvh
Wl7mwLOH4YycMgoGQklOuFKAX6VI3Vgbzso5JH8i3cf5TGIqgRuhthV31xnnjSyZn3z903VBfH3c
37JiyxRrTVGrens2UBJdyaDx0tmNpGOlZVsoyT7i9jOiL9dqY9+F2fRJs/CzS4qx9eY4oqvhTOcW
n1Iuh18KkoIrOhxT0btFn+A2CVfG5HxCRP3TcH37LcVYe3NJak0iuYNvWWHbTuiHR3q6/Xgc/cmL
SAVOhC1giwMDfDKQEmseSjvseLhBebXIxWNh60RvkoypaudmrpMM25+JsBmnK68oDn52fTFNv13h
xZMUaEuD6jdF8NNXkujqXiWoMPDM4bHSm8uly725zbYUFw52EO/nMN4nhnMcnWxb5/Zd1HafiPR+
6wK/fgTdRKWHGJvWmviIb24zgEc71IYcB1oergGKf1Wb/FChpeU0cYdwHrpZuJJhTGmhtodDQBSq
Gu8BMnm9gk8GyQuQQBq+/Y6hcICzd5bifhlkohGrcWX05dXHz0y8b7/dMlqXZPtBBVZO3co1zDNT
j0oe2WySfZu4mYQrVqUtMjo3UtueIeE8J8T1+ePL/mlmAyqimaI2rCNReH+bCDDmhRsLRmMxPjtN
flWVg9+Y0fHjy7y2k06/HrEHKoZwtl7sd95fRwttJWi6JPAIuyjT6oqwcPwayIurrlzLCeqDQd/X
YbiWU+kgppikjHxk4AfMfYexyK4pg22WhXTWePEmK7w209HPO2PVSexWNTx28oxDheQiqcy2TlVf
YnfwUIQR0JOzJwafoAw+F4cU8FlN49XA8NuXo7CB3xzjOorA919uiWw7lTrL8QrFuY2s/Aoq5hmN
3nOzDbwsMD2awuAGtWG9xN1uMoli7NKnvg19RFX7BK6cVMZfpwkVnM6Oi7bLOF3WDD8Mrq6oLOkB
zE6J0NsgGX2rybeFBfCfRlY0El68JMe5YVw2ZI2kZFcAEWtRKGBz307q4BMh7IVtuClyQdMcfHEn
ZSwkgcrM2vJCtOOzBXt3qo1twx0N+e+RM14YdX0Z5I8YRuhetrtkyg8Uidb9FB3nEeeM4YCCJXwa
h3GCsyc/ONbgk95IvHTyFfuBLy6o55Q9nezQzyG4J/0inDKvM7OvUC/OYCx9HzVp3bbThrxId46S
/TKpewx+qwBBmayp24L4VkNunlTq8XFSXA0xHnEpai6RRJ3bIVpiM9oYY35Wthmn2uBmceonqUL9
S/H7Qh15bXX7PlfiIz6Zy5iwLa+CVDPMFWfkIrtKHH2LQsmXIEX2YXdp29KuT+PvsL9Qii6bMoz9
rBr82FK/xAlP1LTvE7EuGERwzo7fWa7ZJ76xMTRATDZ938AXE0lpvkTcWzHvinsN+INmr09MIAc4
LBkF/0kzvk+hvi3qIKdVPW0tszoqSX4g8NTLF+tGIsU4iyUg3dJB/K5yWDbh0l46KVXWKPDJYDpM
Q7jPx65cWca86SX9NuZ7DGG0FxUE4SkkMOou0Ixz02DgSWTIxsN5F/YuetpD5cAzU51DwjEWlde1
mHUkAndDRTu3s2iDqxHhlrENU/SQfXQci6Gko+gUbjNOz6BQ14k9iL9WCGBZNlsK/plzQ43xDryW
P3W0H0CA9KuRPkdSy5uKEye8W4TT7a5FyCiTZJzBW5C6cV2kCVGPoT+iltRKjErkHVRBt8sGA88+
6sKOG4u5IQ77Y0DX3q6bS5sHV+qzB43UA1YHtIifCRmEFm0CFCLfWiCpOK0opqjNrm/1vXjUUca/
m2ysbOleGrrdqI8+FratHA5uVoebtpTWNCHWQ2SBMMW3A6NzB6vyyOZ4n86LR/Tr6xjA8bhHyvAC
y5HOKx7iaPEsNbwxo8jXM1YXFlZTJXu+xwGd7A2soyG3tRGPJkQF2MRfW0waeo6WgHEy5PnWUIK7
XJ0+maH+NMk7tIhpSEPkoJB2Mj81NbS8TnU8zW4uLZuovGLa9Ib6ybKvnhZrxJoLiEo0FWUqEKfF
3QRGYVXDwcFHmL5EvMUNIYVhVl5lxkyzS9/Hc77tC9Id57L3a6m4SovwQayppMN8iQZGUktkMTrI
LxY+QFTdxC9/GnshtpGnszUWSgKYaM6biGTe3w1S94hID2zHk5TZwNQjZ6vZWb6Nhr5NVMil/F1y
FBii/fOCNBdf5cZKwMWGn4bX/FaOeL1h1EJeN0qI8U42KaqRjZmWmY43j9Ex7sBhF8tzn84k0kLQ
sygKat1ZMdZEQApIKJMFtvSPV+Y/jo03H+HkbkxERuYtIhHP0KYLwqDxcJbVU9Jatx9f50+Dw0JP
Q4cYexxj5GQQDlkdS2qnOR6Nx6+VrJ9jBPQ51m27xXl9R4qBJp81ez3TUK1FD3NzqTvSWmMWcoJm
J5Fx0zjOoWzifd7z2kb9Z7x6sU6fjAzWbwWzotBUwLZ5PzLMELosinTH60H4IqPwgZ+TnyP5SUqT
LRvWwkLdS84dYOIIBJqx+vge/eFMJmrcaN+BRpGBcnKLAJ9rUT3Jjpcrj1Mb+XagfoOe6GfFZ8e/
P5x7LNrlCjoNSusoUt9/U6DfqLCz2vHUZEfyum8mqpcENopvlI2Vzoz8ibUOkcKfbi4vPx0gZiDj
1AWamaSRdzSCPVAOfsrC0RtEuTbhWmx0G4UOukXOrfhDceoUHvJeswnCHNOtGBEIw129NvazNvqz
PqzzRd0SRb41zeywQCyH9L5ru/BhiSe8w/KG9EO/hlCfwKKc+Jl8Gnz64puGopJt5oc8lu6htdzQ
sKWH2V4qc4Kk3jkQPn9uR8a+awY3Dg0KgPG+zYFBNMl1TmXMGoxtbSaPM6cq/Lr3clYfGj60+PmO
VKg5ifyuorvKamML2Knd+yN9UWmKHsRurOd6uAzPjDryq6zbDYRBT0niKn13qc+BP7ALnBd9r2B2
tzlmi7ekd/jzlsQGZkwn07diszSOvdun4UOoSwA4hLM/2YdR+jLY6VbjrKz307F2lqu+IPg0TYa1
WbFFjNudwj5Y7LQsFttuGFjdsq1g8EeydLRBfALN3rDa7fV5+qar3dkSThdi/p4bfR+oj3EdHJcq
89nxnrW4uEiZxurMVoS01oOWhLtsOjej4lHpw00ACaUug3sC/rCZ2AfKEO48GAAm+DOgveAC170T
X4fsPmt2vVaJSbZzDrOlr7Im2o9YfsQ9HLr6Us5DyK6TS49pI34uXtgYsqLKk7EdJu1ccvhrlG7G
On6ZuH9lIoLHbhtis3EMuLrTrzsZhyMLPonxmFLT67SE12s6R/LV/aZj/5QR54k9TWxk9MS5J0VZ
hQisnbfShJXVugs4jwROd2kV88UQD2d6yoKf8EwZa6EzCDr3wTDxZOaXC3DipGHT3T6iB3XrMb8S
NSM7YFtljBul0vZjPuyqGX8pq1CnL14Up9fLHLthOZ4VHE5LI70uOLAmDtQAqeG28cMRfYj9UkU3
ohYixogJ+y5kmhrIXRVjUCyxUGl2s4WfHHWBLueM19F39G5nMrt2AePT1ldqs2waEPri2TRSjy3H
BLAi3RAuu6MV7MLJ2RpTulUadnLjLa/03ceT3e+LH/wvoRgSsEsag9bJ0RNNT9Lz3R1urXQjzgMq
mb8Lu0oxDIpE38ZpeGNZgKv1edMGbAM155Nj6W8TLh+BoiWKcYO6M87K99NgKddyI2uT4wljzFB0
2I91JKnZds479+Ovy0n3dAIUxRh6Wa+dD2xtJ98XNIxUFHRiPN1I9hIkl1U0dw1WoOhoyYunLWzj
cZlcS0bko5jdJLVyX0fTY11HR/IegFNr6j6opMMQjWsOMitpGp9NnXSNKTRdveTIydygJCxN88BO
HXvIIUnj/bBkPRInsc0RN5dDGunDmz42tsrMoQAUs62OGyIuXFHsWrBG0JOZNmYFXWXEvUmnchsE
/Rn9ORLAtHMAQHtDo35kxUfOH8eWVydvxgvHZETNY7CKunG12DWb/1k/L7Ow8GJ0uKDXFkQd4ZfE
XuAfmstFocywjsQJNGOO0lT0F1PBLLjkB70xz8cueii0+FpCOdM1OWFsU+A3tGxw7CVun1vMsYzV
goOjGhwbJbiR4VsUo+QzD79++27mRF1INxKLLS6j6NirIcpIOdvqevcsNdGPeTIhx9ja1iyqK9vs
dwOvr0QpArjFMU1SE65IcFOaBvIQnkBYS4c8Db90GidCTo7FUFQAPgafmYA09nwDmmEf2MVVZ3Co
M1iuIg5rasEZuBzW9Acntw3DY93JMCHWWspa19kHSXVuUq5JyexaCbq1vGSHWtb2GIzObc7TmeT4
4r1ogZVohb6dlNljmO1nDvuaySvKOaM30J9U0b5KUJs14VFMs1Cl7pSRnmcHVbwBF65Xkvf6y51k
G09ZStwDEOaO02ydbTuVRXER3Cj+oEevWtvdjVoZYgnGr6c53y2zC73eNnbwnpE+RbW21VXDXmG4
dUP7BcV0tWqRMq30AIaelEJzmi40e/YMsOytXDylqX0TNz2+xuwahfrW6sqDOHgnTMoLB6lK7p5h
gYN7yaVmlUrLvCcu/Rqyzb2hRsdWtY81k7Pv9DkTlp1fhW1wJ47YkQDKT1AkpKZfK8xo6hS6kpkC
0wh9M2OlLAFxj6MPi9/LS8kvKmsnc06Go/Voxhzj2W//X+7OZrltJMnjr4LYy/RErNQiJZLSYSdC
omXZ1kerTdkd05eNIokm0SIJNQhIpiY2Yi973fuc5zSHve1xb36TfZL9ZYGQUUWIlFS1bYzZHdO2
qEkUsrKy8vOfk8YBcPnoTDCR/vU0buy+I+T/btIBuGuOdfLb/aeLa3o2j+IOkxMAIppwt//654PZ
LeBhNMtlpEiYZzF+l8xGG2znCs0BECE2M5gEWE92rD4lvDVdzBkou39wh3UEM7l423IEqXi/Jjqx
XlWtPo4cHCFqDjSBTzwlUyvuRO3xJ6Yb4CBNslOxT8Z4zfuzmRJJv/m0cUqTeDmG2U1yqUmjL9h5
0ryhURlKodrFPj9r790BV4/Sn+BgJ1HnlgL5HTAVKHJsXP+8sxj37vavz6LxlNrtrPvpYFlo8P9Q
t+OCXCDLeSGS9fJNpGoYW448348gdC7eh3NKw8DEzmtP5NvLOJoxQOJlv7SeUBDqJwMbE/7LPw3i
bJbKCkZRbIANSzbCyD3qFenlriMwUbxVNoTy1u7eNsXEuo+Hoa58kNBJPBsV37f5vt0hngEspv7g
qPHEEoseY8L698u5uf531r1Czh5BV3VlQaNJ4ZMMcKQ8SH8gaHDgAA6Ab4qf+PB9vTggaLBOUtCk
Pr2xS6Rg+YY7Fgv2d6QAbF9QAnIhyR9YIyFoYU46sYBNxjaWKeb5G0o9XVkK9ve26UulL60QEzRr
vaRgz1UKtnYb20RjZDpswQSTBx2692gtJaRUu/1n3KWjADSooSCSIhNxcwkgjlMWABQhGU6aPsg6
6Q/RvXoJQNNZABqdbfxErJDW8pxjjlg8AKCuSWNx3d4dsXTc/6024yK4Cqm5WWpBVEr55TvU3+wB
PEwRTS4gucqpkRIkHerIBA4BvUs0GHGe9Me6CNrtbS5KorWUuRXf1+sQSCLE6SJoHGzLGFVaei1L
iKEh0uPLoJulgOSGR532f6UU7bnmIPtPoTcHnOrs/GOeAbEGpZIJeO+H7+u1/wf5rlg2+jMsYsxB
7rcdImXANuiPxQLAwRg0zWiOpb1YO11IdM31DOwyboAwoyTJyiqw3djm8mvSGMfgbPnkSrdGR2DX
VQNuMf6btiY+okzLL9+CKVrnUTanP7XbeLFZ3XRfe5ti1H2BWSu/OdsuVoFUt9X0zV13XQwfUsPY
PY/ce/TNgMtGUe5y7+un+z2Y/81twA5bJEPx8cv732oDYAjEBzdffuxz/VKjYy/F606S39zbBiyX
cWHSEVV+9w7gjXzABcTyl0/tVF7L9cbbw+DBrNdFwMarN7cB9QEWkWyN/tTO6wPjyHHfue2psWem
Trva5d3H6AePETyLXPKXKrZWoo+T5ib7uP1Y/TR12LKP3m/R98fRzwWgdh6PDFtzenes/d1mg0FI
FKHoD4epfAb2sXiWSLC5ANTO62+7XvpbRHWkKQrPN2eBHf1jjN1uW8M1La//2l1+Mu7NTQxaGPUt
Kuna1hE4wBqkGZZM0NLireHV5+zx7mxz+KVI71Hjh3Jrbr5lgKlGyg/gMced30P/S6KPXuj8Y3n9
rf3tNoBldMQuD0f98h8y2NRN+mECsMP0hlmG/z494cDZ7IANnL997YwfYOQcX57cB8lX2kBArNIf
K+7b2JH8EHFB/tGPqpP4H7jaPzIhkIrUVmH9HFhvT+YHE5Aayd3l5VC7+4+GI0cJwPmjMpNGuMK9
tWyANgJAqyN9TXWN+IAF78gDEGrJ7RDZlqoH/bGYgB4UD4EAeP1OgTTgOylAcnv0zxLyLVn5ZStQ
HGDSXuQGl1ZAbm/USBNIz50TCxq729QxiZlnXYD7++RF0BCUTj5ckDypRu8OWofjy4uPTwaJyYb5
K9o8IO0h3xEYWX5fPytwBe/u2aH/XYwA8FcpdKhUAO0dMuQMhgT0oqZy0HE1BQiE6CkITfKA+mNd
hi0CIvKhGkT/t37h75aAgrrpAQYDU/BDY2zBBNMh5jJETFAFFBHrT/3sYfdSAFL9NM52SIFYL88Z
wEggIlJcFJrbNdKFjZW5N8/WAwfkvxBvxq2YL99paleYYSxLLVk7UxCkJ1fpJ/9N8o/P8rLjZikb
Ap0OoRC4gzuca4DaRcTcWYA1LI2FyH9+wC1DEHsAd1kshbraAz6uQol4kgJcfiwWgAELyAot0dwW
+efpauAJuuKhxLTLkLihLi6NwnlVDepjv1CUVa5+vyyp1FPp6Uo7eABy078q1ab5079Un/7JKD7V
dl/pSymGLf3V+N35yi8vX778rPKPjFetfIfih2+iMFHJYLzQ/5fF8q0u1JSS1sNsniZqEqkyxo50
xHxZ50pF7cOVuY7wRZz8Ek+uA4H0mQ0LesJKQNCkqFqgeMWTZJYUunP946re+8GqXt03s1z2+d+X
911GXX2D+95VM3ARC77Ltkhf5PpdyMtE1m36SRKGM3u/BS7HlfB5+CkaGOMVdCzLlWxPUZIeXHI+
kjBATIPz6Lcs5A4rVqyPvoQMXZ/0YRal4TDopSoN5wU5TV3ySK7UuxDgFAeH0zCJBsa2NlFc644z
i3nSee6qJOr3Q2WwhiyvDELDjH70DZ5K/1WWDsZB5VPIOTKkpkVIHSBYGj92JO726APLt4tx9H8f
hcHIQ/oMCtVbVt5rlP/X0f1HgP1yAApeijRKZ/d6zm5WAt3FTZIZMt7yoVrUveL4MB+8WKFer9Qd
uS74bWJJtcw0dCY6T1Q4KejotfpgLmv9zSAqmD6ua30XJ0OLBZK9ciV7mt0xObSgo1kgtfCuZM/C
vpqZKhofzJ3uD1OLB5LedF3sjzQ+JQUZzQKJg7hS7alsGAWHieqbhltzBzfTmfgisahKpsuV6vIC
lDUHx9MoWbkHxRdzfchP4TwNjtTsuiAlHCcAU/y1skHsSdffn8NpaGjKpnQDuq73Ig4Quj/MA9tm
avnQaycxZIM3IdBK6TzoZf1hhLEfDYwjCdqlD/V8lc36S1vfUP0NpkpJJsCdV4f9LDjP5qqgpA9T
Tt2DeP7l/XHv+P3H41f/FogQhcks6NnngLg+PQ0McGN2lXQ+gJRdLOYxwfqKjou2+/4x7JBwEt2H
BSv1kfWgC5j5margvWUOS+ub66k9ngQ9NbllJI6h2SWr5EoatPo0nKqJIeVSsONK+E08G2aJss+m
O+ELGJyoUWasWJcaui75Ehd1apKVDP56sl/vwKEdmEstMJk7DapjqQH/vd2AqncvBcIMXXAsDdNm
oOzx75c8l5NJbQv4IMavPhIH4wEz9mrFtTHdoHiAS7nhd2oRJ/vFdqx1v4cpjMtXfqJHfTjDNByk
loKibmDluD+T7twy3wi32cfmeRSPsyQ2B2g0duhqcSNKgDAdV0YsdMjNOufPW3BlVFMiIY6M6MVZ
9Zol2b3i2jxvzT/ISTB3jhZawPeb0k1PhxWWx6rv8LxnXOKNjGL7KQw7APRH5s4Qij2QASD2zmZf
ABW4QZ5kMCMzyhJEemL2mSvCExi4yCgIRmx6eNB5OI9v4lRNTd5VqWNLpl7wVudqNE7CfrFs0YjM
L+jIP2B8Uv0nmM4rB+MFD3oIhAUXYToOE3EQjMub4TMknqjmoCJbsAEPWrvFqiqM0XzXqi6I3ycq
luuLp1wbJV79I1wLE2IRpuCtqIHSGz3x7BzOMC0Tw/TZGPHcHJfTStFca8ODNXwUTkZRNi2ET5vv
607AE3lwFM9hrA7KvwmT+3AU30YzgyV6vjL6L11UCPxTnxJOlBWsXL0sn7+BjEUbES83liuzlELH
5b4KZ1OVGNENH2GItwlssJJ0HgTueM4wSJMJgi3nyoTufTgYW2Q98PZ1tJK5EihY19W+VkkcVkVG
pA7TmTiR64HhOcv4cFeqJ1GfZJIVtzzwsHMnIEPN5uGiWKLois0u3WbNdhImhNFMsj74QDbT5O7m
xNPmxXaTGEApQzXo6dOuuwY+NTrHYAJVmAWrX64i3w5WlAPlnR7opmpirlZKUVy58C5MLAHTo9mc
yRJIPVcLMwSshwq5Uj5T6a0lDTLkz5lslI4z2zTRwztcKfcm8a26tpe8zvh84l18FqHX03BG9NVK
Su55UO9n2adw2o+zZFQwV7RPQ3oiXTkCVOgQnhSENF09pcrxtj+PZ8oqemh5OCLnotuNxbY97N4j
bgpojcWjXq6CCBXcKVNX+LiaLyU/MiyWp7fNR6LiksBGNlJm7tdHEcz7mFvOPHj0mBbrfzl75USH
NmEfNWA9rTWTaGZU7tBB7GHNN1blAl6wB6q3CocuMWSiKQMDXFVE7y4cmpeHHqLmTjZK7/PgQLFG
EWPaE4u/vlwqPlxLcYhhXBK48UA3r4RimvtoGJtuoyDouLLkI8bVALljxryhMZjz504cjcwFFY4S
U6B9eDW9MLGT+R0P3Kb8MgziXzBejOw14xV8VHjkMdxzNQiHtqfXkMYPd44zHim+NbgN+AbzFD0Y
tp//Q9R/lWvW2QO5UQrXG8xQ32kC6bHxcV8vtCZ5iG8xsDailNEwUzzcGoezEXd+IZWiKjdu7GaH
7ihO53fkKstkGz7ocicbh7bp4TwdZUk2G0blte56INsdK+PS9HFRvA9vsv4kGoj6IgQedAFaNjQB
k9Wdr4tX4TQeUIzEYzY/z4MEdqm6T2Kzem1tvuWJzlM3nsZJPC8YIqItnV2ut+lDYbFOf84eeFRQ
1s/x4J111U0YfAyToWFvSFOV6xu8+jXC60sNiRdEVle6x6PFTVqQETa0PSz2+DfqP5gTRSk3cy5m
oaFTBO7eedVJlCYmWR9WxnE6juIbU13LHCXX5V5x7E/U1DKMpKnelfKJ6puHcHMTyuab4GRsXQOb
7YYnEF0RBKru3RnQ/fzfaRgM//D2No4S49SB7uRO/jScLQzprShCyL5klZ+o5c6ivm0VNHw4DWfk
kNOxcblgZLpzgfVaXBC0UVfZPadzZ6Tm1F0VtET/NHxcI8Q44zQ1xcGL40RJ252hgxuCw+/OiYlF
1IMSPuciHdhxNw9H4lxlaF87gtPwcRmdx/eiJeldKniqJaLtQdguIgxxg6oPxa6pmvdFo9MqHvPy
oEV+a24xm2qusoKc5sVqec7z1c97zHyzaa4pk7lcpbgXLgbjcDKxGsN2POzesmBppXiNHiof6yYU
YsY5mz4yQz3px1PBWRhb4SeBWnVmNkFUq9216aPfp5dZLTSU5Liv9io2XZ6mQDY7s+Dz3+KAaUGf
/67LKy6Tz/81G0RmgV9Tps+6PoimgMiqASOY4oGumt3bepRpFO6EP4xWDriPZBxO9zXFK8FrNTds
jKaPxBZ93JFlIDe9VLkT1KCENyq4KlqUgYTFX1+uo39eMeibPhJQP0fTvurfGTdg00cLV65DV8+3
j8zWUZQEV1hGRrKIQk93Lh/2F6GxdwwqIJ7JkDZqPGlhoeZg44H5ekFNXQX9DUY1K0u+W5sbzL/e
TjB1+pvEvfhlhLNOP5yZF/Fw6R2SkOur6FeTsAfb9jChBdG0mT14O3RLjiZqGM7Hhc7Rit4DI84X
SqoVDbI+FjzO7E3zYFIcERY39aWMyXU1gIj29uOhuWc+DIpeEgVntLkaERYfgRDwCsxEhg8Lhd6z
UXAq/9M7fF8wVTtlPryntxRLz0LLzGzIrEfX3YOyuXXAnLlTfaduTNXAiDB3qqeLZLS4t9UZ9707
6TzJexpbcWPGWrnTzm2rCtoejvQpiBHX41WWeDjXZ8pMtZAnducFaXQVrxwRGVjhKsiULZD3tGTZ
h49AKdkwujXjFuDielgx8cKFfaZ9ZFguwhszYtHoeNi6S1pgKZOtqiVo7Huhf71iqjCDwZ3Pl4Cm
RTc3pJrmBTF9/a/tYXpisL5HhY+6QW0YlBsepONqrCK7dK/Z9HCur9Sv0SqncZyKV3i513ulIqKH
BZ3cxvKxYkILYhbaaq7pQyN9uO+HFezwUTP7MQpT2rsNfvhQdT+AcBHfBm9T6hxugu+DY9KpcZot
T2b5cUynFTB0V926fOBpNlPzMd7890Hxx6jqocyO8GBD9G4oWZgsqvQNuOQ+bJ/zaDikcuxYzdOC
RyKzObrV40xDizypO3TJtd44uqZ1cwbXHv5YARjI6LyOj/Ae15VaKDYoiSb/++9/nV/L306SBfk0
VvCGlPBUFbtm6EM6h9u7PhKCVxFlGlukG80cG8hmjMzwIRghTsF1Ie7z719FKl7gL0XBj5T9KCP6
CEA1s4s9PPRVfD2MYeCVusaNjEzMBmbl7AGMUAjRyxXoqcqiJDJ63xhossMoKg+24qXamkRbA9rK
tubzrFhs7qPoZ3iIyFENPaqg7EEHnambdGyZNTlrNl5cXy+w9IAd6BrmK7+CiBeYrOUfHUsXRoF0
YTyr+Kb44Tpky8Mk6xvetgezHACICOAUnYQ5UkmfDFJZPjx4hdQ7ZtHErHj0YYDJaoG/MXSkj2pf
qfcBlRDYF4O0Dwe5qxZ0T1TdmD7Mma4lHT6KG17FU9IvJpqnD+OhoFtdzefDewMG1kaX9dFYAzjS
EHDWzMxU+kjsvwGn0EiWaGR4V9PwHXJs7Z8GXXele64SSczZ1R4+6j2lwWEu2XfD6mv4QNC7pPk3
jQWQy7BC9Bh2V47kOL6nUQrOndT0X4S3kalBfJj6+VPOsoEZSWl60Xx0SUVDNdTLv4r7wLQYd4EP
sIMrfMWcP13kMp5XKUPmNxbPfbmpljPqY0RvOvDKsiFSv51rhZVQg4+KuCMKq6L5OPgYJaOoUskD
3ef+Xh96a5/g4cI+ouXTKsdkwrz7yrug8RBdLAjp8IMP07+nTKuo2fFgjBM4SoPjjJBGGmXmMfZR
I5ZLJyZMOv7890k4XZS5omfCOKsjeYFzxRPMnj+y7z5imPkL5LdA8N1rjQHxx/JLyFgyDw7L5/8k
AjAMAScNLtStms9DnLz8T2qpO4LvXkXzm0ygzRX5geBD73DrzeHbq7fGeoDKbB/wbwtkPIaCNfc3
FxdVWfBr7HqPiP8M9l2Bwyo8hK7MmFj6GFRuf5GTDXMfym+z2UUp//Zx2Xvx+JY5YJnre63hwdea
Z5GMZFfMJKaPgNgRCRQLqMFHB+VRou7N6h8fFX4ip0bY3UfsqhtPYrsVw0fI9niAXW9Cqcqc0i+H
62UDSF7jhDBRgIpgqynDR93WazW5frR71IMFdZJRPGFEA/TwXlee9Ih8EnU3RKPhA4hIEmCEMoyr
VM/ZdF3xZZiY4TgffTofksxebNPHCflIb/g980OMjdMDF9ezoUrh/06XXQXC5Dd4KeRjUYD0VtPY
2Bwf5epHoE/ZoTsPzkZP1G1c6cz4qOo4irPbMF2acYW2Fb/AR/FpNxb38rvTEGTv2eiPVY6mD7dP
V6YIVDu2sGj5quf4AOLpxnExyMpwR3yg8bxTCbGKin3wUbr8Ovo1Ku+tj1qH1yCZyPSGYpiRRpeI
BslqEdbauUBPTBQub3GgehYrRV5r5xo9kf4ROaukgvv7uwXfXh4GWa5d1ziJlEog5AH0Wer3hoY0
yVjq9ffEU5pFzZz6KmBw9uymyzchiDhLFul3OB+8IkwxKX5mvARAr+5v8Sa+KxlXBb08G+chXVZE
i3R93yzQwMvBFVHPiGIB04TxAVX0Lh6DaYYmP0zjiVHo3/BRsyJAOpLZeB+Gvxis8uFInJJy7ROG
MQl7OBvdcULNCnmeirPX8AGVeqkm0wVdZKtM9zFwLe/ltKJTDR/dMRfhHVPQJhWAOj5Qhi4iq0XU
R/f/RzUDtsA0033EAS9omDWp+rhRhME/h1SCWNBvPjT+ZZQOiN9WGm0Anhen6OVXyqW6IWEsr7CK
D9HwUwgxsRtnPSh07LM5BQrVBZKr8w6ef0flIdE34YTE4z8Hh3MSD/MIlStX7pVoGhQkRT7dbDY2
7H9w6N035Sq+xuczJLXpw0S/omzXXK2PkuurDJA7a7EeJPMnthc7Vhj+Okuphiv4qnMNPvLhP2Gq
VdwWTR9W+Ipj2PRRskQRHbiVyzUbZhJdVV7aNaR4V9KqhcYpM71FFqDTYUgAo6epYdprbcbM/IqB
iIrZEK6BiPLbbI6658a1jvAfL4PuxQLWFQadhDE5R0PafVR8v8/mVvk787OL3X35/XH1+X9oRV6E
BSV9ODebW2VOfmFO1U99zxuqmq5RbMu3k42pGuZRs7fcsNnLorvBBGfxT/8HAAD//w==</cx:binary>
              </cx:geoCache>
            </cx:geography>
          </cx:layoutPr>
          <cx:valueColors>
            <cx:minColor>
              <a:schemeClr val="accent6">
                <a:lumMod val="40000"/>
                <a:lumOff val="60000"/>
              </a:schemeClr>
            </cx:minColor>
            <cx:maxColor>
              <a:srgbClr val="1C4E6D"/>
            </cx:maxColor>
          </cx:valueColors>
        </cx:series>
      </cx:plotAreaRegion>
    </cx:plotArea>
    <cx:legend pos="b" align="ctr" overlay="0">
      <cx:txPr>
        <a:bodyPr spcFirstLastPara="1" vertOverflow="ellipsis" horzOverflow="overflow" wrap="square" lIns="0" tIns="0" rIns="0" bIns="0" anchor="ctr" anchorCtr="1"/>
        <a:lstStyle/>
        <a:p>
          <a:pPr algn="ctr" rtl="0">
            <a:defRPr sz="1200" b="1">
              <a:latin typeface="Montserrat" pitchFamily="2" charset="0"/>
              <a:ea typeface="Montserrat" pitchFamily="2" charset="0"/>
              <a:cs typeface="Montserrat" pitchFamily="2" charset="0"/>
            </a:defRPr>
          </a:pPr>
          <a:endParaRPr lang="en-US" sz="1200" b="1" i="0" u="none" strike="noStrike" baseline="0">
            <a:solidFill>
              <a:sysClr val="windowText" lastClr="000000">
                <a:lumMod val="65000"/>
                <a:lumOff val="35000"/>
              </a:sysClr>
            </a:solidFill>
            <a:latin typeface="Montserrat" pitchFamily="2" charset="0"/>
          </a:endParaRPr>
        </a:p>
      </cx:txPr>
    </cx:legend>
  </cx:chart>
  <cx:spPr>
    <a:solidFill>
      <a:schemeClr val="bg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3.xml"/><Relationship Id="rId7" Type="http://schemas.openxmlformats.org/officeDocument/2006/relationships/chart" Target="../charts/chart5.xml"/><Relationship Id="rId12" Type="http://schemas.openxmlformats.org/officeDocument/2006/relationships/chart" Target="../charts/chart10.xml"/><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microsoft.com/office/2014/relationships/chartEx" Target="../charts/chartEx4.xml"/><Relationship Id="rId9"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27.xml"/><Relationship Id="rId13" Type="http://schemas.openxmlformats.org/officeDocument/2006/relationships/chart" Target="../charts/chart32.xml"/><Relationship Id="rId18" Type="http://schemas.openxmlformats.org/officeDocument/2006/relationships/chart" Target="../charts/chart37.xml"/><Relationship Id="rId26" Type="http://schemas.openxmlformats.org/officeDocument/2006/relationships/chart" Target="../charts/chart41.xml"/><Relationship Id="rId3" Type="http://schemas.openxmlformats.org/officeDocument/2006/relationships/chart" Target="../charts/chart22.xml"/><Relationship Id="rId21" Type="http://schemas.openxmlformats.org/officeDocument/2006/relationships/image" Target="../media/image23.png"/><Relationship Id="rId7" Type="http://schemas.openxmlformats.org/officeDocument/2006/relationships/chart" Target="../charts/chart26.xml"/><Relationship Id="rId12" Type="http://schemas.openxmlformats.org/officeDocument/2006/relationships/chart" Target="../charts/chart31.xml"/><Relationship Id="rId17" Type="http://schemas.openxmlformats.org/officeDocument/2006/relationships/chart" Target="../charts/chart36.xml"/><Relationship Id="rId25" Type="http://schemas.openxmlformats.org/officeDocument/2006/relationships/chart" Target="../charts/chart40.xml"/><Relationship Id="rId2" Type="http://schemas.openxmlformats.org/officeDocument/2006/relationships/chart" Target="../charts/chart21.xml"/><Relationship Id="rId16" Type="http://schemas.openxmlformats.org/officeDocument/2006/relationships/chart" Target="../charts/chart35.xml"/><Relationship Id="rId20" Type="http://schemas.openxmlformats.org/officeDocument/2006/relationships/chart" Target="../charts/chart39.xml"/><Relationship Id="rId29" Type="http://schemas.openxmlformats.org/officeDocument/2006/relationships/image" Target="../media/image27.jpeg"/><Relationship Id="rId1" Type="http://schemas.openxmlformats.org/officeDocument/2006/relationships/chart" Target="../charts/chart20.xml"/><Relationship Id="rId6" Type="http://schemas.openxmlformats.org/officeDocument/2006/relationships/chart" Target="../charts/chart25.xml"/><Relationship Id="rId11" Type="http://schemas.openxmlformats.org/officeDocument/2006/relationships/chart" Target="../charts/chart30.xml"/><Relationship Id="rId24" Type="http://schemas.openxmlformats.org/officeDocument/2006/relationships/image" Target="../media/image26.png"/><Relationship Id="rId32" Type="http://schemas.openxmlformats.org/officeDocument/2006/relationships/chart" Target="../charts/chart46.xml"/><Relationship Id="rId5" Type="http://schemas.openxmlformats.org/officeDocument/2006/relationships/chart" Target="../charts/chart24.xml"/><Relationship Id="rId15" Type="http://schemas.openxmlformats.org/officeDocument/2006/relationships/chart" Target="../charts/chart34.xml"/><Relationship Id="rId23" Type="http://schemas.openxmlformats.org/officeDocument/2006/relationships/image" Target="../media/image25.png"/><Relationship Id="rId28" Type="http://schemas.openxmlformats.org/officeDocument/2006/relationships/chart" Target="../charts/chart43.xml"/><Relationship Id="rId10" Type="http://schemas.openxmlformats.org/officeDocument/2006/relationships/chart" Target="../charts/chart29.xml"/><Relationship Id="rId19" Type="http://schemas.openxmlformats.org/officeDocument/2006/relationships/chart" Target="../charts/chart38.xml"/><Relationship Id="rId31" Type="http://schemas.openxmlformats.org/officeDocument/2006/relationships/chart" Target="../charts/chart45.xml"/><Relationship Id="rId4" Type="http://schemas.openxmlformats.org/officeDocument/2006/relationships/chart" Target="../charts/chart23.xml"/><Relationship Id="rId9" Type="http://schemas.openxmlformats.org/officeDocument/2006/relationships/chart" Target="../charts/chart28.xml"/><Relationship Id="rId14" Type="http://schemas.openxmlformats.org/officeDocument/2006/relationships/chart" Target="../charts/chart33.xml"/><Relationship Id="rId22" Type="http://schemas.openxmlformats.org/officeDocument/2006/relationships/image" Target="../media/image24.png"/><Relationship Id="rId27" Type="http://schemas.openxmlformats.org/officeDocument/2006/relationships/chart" Target="../charts/chart42.xml"/><Relationship Id="rId30" Type="http://schemas.openxmlformats.org/officeDocument/2006/relationships/chart" Target="../charts/chart44.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49.xml"/><Relationship Id="rId2" Type="http://schemas.openxmlformats.org/officeDocument/2006/relationships/chart" Target="../charts/chart48.xml"/><Relationship Id="rId1" Type="http://schemas.openxmlformats.org/officeDocument/2006/relationships/chart" Target="../charts/chart47.xml"/><Relationship Id="rId6" Type="http://schemas.openxmlformats.org/officeDocument/2006/relationships/chart" Target="../charts/chart51.xml"/><Relationship Id="rId5" Type="http://schemas.openxmlformats.org/officeDocument/2006/relationships/image" Target="../media/image28.emf"/><Relationship Id="rId4" Type="http://schemas.openxmlformats.org/officeDocument/2006/relationships/chart" Target="../charts/chart50.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54.xml"/><Relationship Id="rId2" Type="http://schemas.openxmlformats.org/officeDocument/2006/relationships/chart" Target="../charts/chart53.xml"/><Relationship Id="rId1" Type="http://schemas.openxmlformats.org/officeDocument/2006/relationships/chart" Target="../charts/chart52.xml"/><Relationship Id="rId4"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30.xml.rels><?xml version="1.0" encoding="UTF-8" standalone="yes"?>
<Relationships xmlns="http://schemas.openxmlformats.org/package/2006/relationships"><Relationship Id="rId3" Type="http://schemas.openxmlformats.org/officeDocument/2006/relationships/chart" Target="../charts/chart57.xml"/><Relationship Id="rId2" Type="http://schemas.openxmlformats.org/officeDocument/2006/relationships/chart" Target="../charts/chart56.xml"/><Relationship Id="rId1" Type="http://schemas.openxmlformats.org/officeDocument/2006/relationships/chart" Target="../charts/chart55.xml"/><Relationship Id="rId6" Type="http://schemas.openxmlformats.org/officeDocument/2006/relationships/chart" Target="../charts/chart60.xml"/><Relationship Id="rId5" Type="http://schemas.openxmlformats.org/officeDocument/2006/relationships/chart" Target="../charts/chart59.xml"/><Relationship Id="rId4" Type="http://schemas.openxmlformats.org/officeDocument/2006/relationships/chart" Target="../charts/chart58.xml"/></Relationships>
</file>

<file path=xl/drawings/_rels/drawing31.xml.rels><?xml version="1.0" encoding="UTF-8" standalone="yes"?>
<Relationships xmlns="http://schemas.openxmlformats.org/package/2006/relationships"><Relationship Id="rId3" Type="http://schemas.openxmlformats.org/officeDocument/2006/relationships/chart" Target="../charts/chart62.xml"/><Relationship Id="rId2" Type="http://schemas.openxmlformats.org/officeDocument/2006/relationships/chart" Target="../charts/chart61.xml"/><Relationship Id="rId1" Type="http://schemas.openxmlformats.org/officeDocument/2006/relationships/image" Target="../media/image36.png"/></Relationships>
</file>

<file path=xl/drawings/_rels/drawing32.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33.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34.xml.rels><?xml version="1.0" encoding="UTF-8" standalone="yes"?>
<Relationships xmlns="http://schemas.openxmlformats.org/package/2006/relationships"><Relationship Id="rId1" Type="http://schemas.openxmlformats.org/officeDocument/2006/relationships/chart" Target="../charts/chart63.xml"/></Relationships>
</file>

<file path=xl/drawings/drawing1.xml><?xml version="1.0" encoding="utf-8"?>
<xdr:wsDr xmlns:xdr="http://schemas.openxmlformats.org/drawingml/2006/spreadsheetDrawing" xmlns:a="http://schemas.openxmlformats.org/drawingml/2006/main">
  <xdr:twoCellAnchor>
    <xdr:from>
      <xdr:col>1</xdr:col>
      <xdr:colOff>203200</xdr:colOff>
      <xdr:row>37</xdr:row>
      <xdr:rowOff>130175</xdr:rowOff>
    </xdr:from>
    <xdr:to>
      <xdr:col>7</xdr:col>
      <xdr:colOff>624757</xdr:colOff>
      <xdr:row>52</xdr:row>
      <xdr:rowOff>111125</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173384</xdr:colOff>
      <xdr:row>58</xdr:row>
      <xdr:rowOff>125191</xdr:rowOff>
    </xdr:from>
    <xdr:to>
      <xdr:col>12</xdr:col>
      <xdr:colOff>116017</xdr:colOff>
      <xdr:row>73</xdr:row>
      <xdr:rowOff>106475</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32</xdr:col>
      <xdr:colOff>15875</xdr:colOff>
      <xdr:row>78</xdr:row>
      <xdr:rowOff>47625</xdr:rowOff>
    </xdr:from>
    <xdr:to>
      <xdr:col>35</xdr:col>
      <xdr:colOff>79375</xdr:colOff>
      <xdr:row>82</xdr:row>
      <xdr:rowOff>63500</xdr:rowOff>
    </xdr:to>
    <xdr:sp macro="" textlink="">
      <xdr:nvSpPr>
        <xdr:cNvPr id="3" name="Rectangle 2">
          <a:extLst>
            <a:ext uri="{FF2B5EF4-FFF2-40B4-BE49-F238E27FC236}">
              <a16:creationId xmlns:a16="http://schemas.microsoft.com/office/drawing/2014/main" id="{00000000-0008-0000-0500-000003000000}"/>
            </a:ext>
          </a:extLst>
        </xdr:cNvPr>
        <xdr:cNvSpPr/>
      </xdr:nvSpPr>
      <xdr:spPr>
        <a:xfrm>
          <a:off x="18938875" y="7270750"/>
          <a:ext cx="1873250" cy="7778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198727</xdr:colOff>
      <xdr:row>18</xdr:row>
      <xdr:rowOff>98778</xdr:rowOff>
    </xdr:from>
    <xdr:to>
      <xdr:col>49</xdr:col>
      <xdr:colOff>513356</xdr:colOff>
      <xdr:row>50</xdr:row>
      <xdr:rowOff>112889</xdr:rowOff>
    </xdr:to>
    <mc:AlternateContent xmlns:mc="http://schemas.openxmlformats.org/markup-compatibility/2006">
      <mc:Choice xmlns:cx4="http://schemas.microsoft.com/office/drawing/2016/5/10/chartex" Requires="cx4">
        <xdr:graphicFrame macro="">
          <xdr:nvGraphicFramePr>
            <xdr:cNvPr id="4" name="Gráfico 14">
              <a:extLst>
                <a:ext uri="{FF2B5EF4-FFF2-40B4-BE49-F238E27FC236}">
                  <a16:creationId xmlns:a16="http://schemas.microsoft.com/office/drawing/2014/main" id="{7D1EBC43-A4EC-44CC-B158-9757D7FAAE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656377" y="3635728"/>
              <a:ext cx="7820329" cy="697371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96</xdr:col>
      <xdr:colOff>269874</xdr:colOff>
      <xdr:row>150</xdr:row>
      <xdr:rowOff>127000</xdr:rowOff>
    </xdr:from>
    <xdr:to>
      <xdr:col>100</xdr:col>
      <xdr:colOff>285749</xdr:colOff>
      <xdr:row>156</xdr:row>
      <xdr:rowOff>47625</xdr:rowOff>
    </xdr:to>
    <xdr:sp macro="" textlink="">
      <xdr:nvSpPr>
        <xdr:cNvPr id="17" name="Rectangle 16">
          <a:extLst>
            <a:ext uri="{FF2B5EF4-FFF2-40B4-BE49-F238E27FC236}">
              <a16:creationId xmlns:a16="http://schemas.microsoft.com/office/drawing/2014/main" id="{00000000-0008-0000-0500-000011000000}"/>
            </a:ext>
          </a:extLst>
        </xdr:cNvPr>
        <xdr:cNvSpPr/>
      </xdr:nvSpPr>
      <xdr:spPr>
        <a:xfrm>
          <a:off x="30343474" y="7035800"/>
          <a:ext cx="2454275" cy="9874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393778</xdr:colOff>
      <xdr:row>159</xdr:row>
      <xdr:rowOff>3342</xdr:rowOff>
    </xdr:from>
    <xdr:to>
      <xdr:col>105</xdr:col>
      <xdr:colOff>382237</xdr:colOff>
      <xdr:row>181</xdr:row>
      <xdr:rowOff>67578</xdr:rowOff>
    </xdr:to>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00000000-0008-0000-0500-000020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1544278" y="30261092"/>
              <a:ext cx="10961259" cy="411553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79359</xdr:colOff>
      <xdr:row>19</xdr:row>
      <xdr:rowOff>134785</xdr:rowOff>
    </xdr:from>
    <xdr:to>
      <xdr:col>29</xdr:col>
      <xdr:colOff>433419</xdr:colOff>
      <xdr:row>49</xdr:row>
      <xdr:rowOff>183444</xdr:rowOff>
    </xdr:to>
    <mc:AlternateContent xmlns:mc="http://schemas.openxmlformats.org/markup-compatibility/2006">
      <mc:Choice xmlns:cx4="http://schemas.microsoft.com/office/drawing/2016/5/10/chartex" Requires="cx4">
        <xdr:graphicFrame macro="">
          <xdr:nvGraphicFramePr>
            <xdr:cNvPr id="33" name="Gráfico 14">
              <a:extLst>
                <a:ext uri="{FF2B5EF4-FFF2-40B4-BE49-F238E27FC236}">
                  <a16:creationId xmlns:a16="http://schemas.microsoft.com/office/drawing/2014/main" id="{5AF9196C-1973-4636-97EB-4675803EE8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840059" y="3862235"/>
              <a:ext cx="6786610" cy="65828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51491</xdr:colOff>
      <xdr:row>19</xdr:row>
      <xdr:rowOff>122487</xdr:rowOff>
    </xdr:from>
    <xdr:to>
      <xdr:col>37</xdr:col>
      <xdr:colOff>72658</xdr:colOff>
      <xdr:row>50</xdr:row>
      <xdr:rowOff>186971</xdr:rowOff>
    </xdr:to>
    <mc:AlternateContent xmlns:mc="http://schemas.openxmlformats.org/markup-compatibility/2006">
      <mc:Choice xmlns:cx4="http://schemas.microsoft.com/office/drawing/2016/5/10/chartex" Requires="cx4">
        <xdr:graphicFrame macro="">
          <xdr:nvGraphicFramePr>
            <xdr:cNvPr id="34" name="Gráfico 14">
              <a:extLst>
                <a:ext uri="{FF2B5EF4-FFF2-40B4-BE49-F238E27FC236}">
                  <a16:creationId xmlns:a16="http://schemas.microsoft.com/office/drawing/2014/main" id="{69DB8D91-F80A-4414-8663-FE3E2BD522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2854341" y="3849937"/>
              <a:ext cx="6675967" cy="683358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28178</xdr:colOff>
      <xdr:row>30</xdr:row>
      <xdr:rowOff>79375</xdr:rowOff>
    </xdr:from>
    <xdr:to>
      <xdr:col>24</xdr:col>
      <xdr:colOff>1012155</xdr:colOff>
      <xdr:row>41</xdr:row>
      <xdr:rowOff>173163</xdr:rowOff>
    </xdr:to>
    <xdr:sp macro="" textlink="">
      <xdr:nvSpPr>
        <xdr:cNvPr id="37" name="Oval 36">
          <a:extLst>
            <a:ext uri="{FF2B5EF4-FFF2-40B4-BE49-F238E27FC236}">
              <a16:creationId xmlns:a16="http://schemas.microsoft.com/office/drawing/2014/main" id="{00000000-0008-0000-0500-000025000000}"/>
            </a:ext>
          </a:extLst>
        </xdr:cNvPr>
        <xdr:cNvSpPr/>
      </xdr:nvSpPr>
      <xdr:spPr>
        <a:xfrm>
          <a:off x="16696928" y="3234531"/>
          <a:ext cx="2214290" cy="2058320"/>
        </a:xfrm>
        <a:prstGeom prst="ellipse">
          <a:avLst/>
        </a:prstGeom>
        <a:solidFill>
          <a:srgbClr val="72B5E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389844</xdr:colOff>
      <xdr:row>31</xdr:row>
      <xdr:rowOff>10260</xdr:rowOff>
    </xdr:from>
    <xdr:to>
      <xdr:col>24</xdr:col>
      <xdr:colOff>1287901</xdr:colOff>
      <xdr:row>36</xdr:row>
      <xdr:rowOff>170277</xdr:rowOff>
    </xdr:to>
    <xdr:sp macro="" textlink="">
      <xdr:nvSpPr>
        <xdr:cNvPr id="38" name="TextBox 37">
          <a:extLst>
            <a:ext uri="{FF2B5EF4-FFF2-40B4-BE49-F238E27FC236}">
              <a16:creationId xmlns:a16="http://schemas.microsoft.com/office/drawing/2014/main" id="{00000000-0008-0000-0500-000026000000}"/>
            </a:ext>
          </a:extLst>
        </xdr:cNvPr>
        <xdr:cNvSpPr txBox="1"/>
      </xdr:nvSpPr>
      <xdr:spPr>
        <a:xfrm>
          <a:off x="16443438" y="3344010"/>
          <a:ext cx="2743526" cy="1052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1"/>
              </a:solidFill>
              <a:latin typeface="Montserrat" pitchFamily="2" charset="0"/>
            </a:rPr>
            <a:t>Extreme Poverty</a:t>
          </a:r>
          <a:endParaRPr lang="en-US" sz="1400" b="0">
            <a:solidFill>
              <a:schemeClr val="bg1"/>
            </a:solidFill>
            <a:latin typeface="Montserrat" pitchFamily="2" charset="0"/>
          </a:endParaRPr>
        </a:p>
      </xdr:txBody>
    </xdr:sp>
    <xdr:clientData/>
  </xdr:twoCellAnchor>
  <xdr:twoCellAnchor>
    <xdr:from>
      <xdr:col>22</xdr:col>
      <xdr:colOff>40724</xdr:colOff>
      <xdr:row>35</xdr:row>
      <xdr:rowOff>112366</xdr:rowOff>
    </xdr:from>
    <xdr:to>
      <xdr:col>24</xdr:col>
      <xdr:colOff>927480</xdr:colOff>
      <xdr:row>39</xdr:row>
      <xdr:rowOff>177800</xdr:rowOff>
    </xdr:to>
    <xdr:sp macro="" textlink="$I$22">
      <xdr:nvSpPr>
        <xdr:cNvPr id="39" name="Oval 38">
          <a:extLst>
            <a:ext uri="{FF2B5EF4-FFF2-40B4-BE49-F238E27FC236}">
              <a16:creationId xmlns:a16="http://schemas.microsoft.com/office/drawing/2014/main" id="{00000000-0008-0000-0500-000027000000}"/>
            </a:ext>
          </a:extLst>
        </xdr:cNvPr>
        <xdr:cNvSpPr/>
      </xdr:nvSpPr>
      <xdr:spPr>
        <a:xfrm>
          <a:off x="16709474" y="4160491"/>
          <a:ext cx="2117069" cy="779809"/>
        </a:xfrm>
        <a:prstGeom prst="ellipse">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9415AD7-C845-4311-A8F6-4D8E17B2CD2C}" type="TxLink">
            <a:rPr lang="en-US" sz="2800" b="1" i="0" u="none" strike="noStrike">
              <a:solidFill>
                <a:schemeClr val="bg1"/>
              </a:solidFill>
              <a:latin typeface="Montserrat" pitchFamily="2" charset="0"/>
              <a:ea typeface="Calibri"/>
              <a:cs typeface="Calibri"/>
            </a:rPr>
            <a:pPr marL="0" indent="0" algn="ctr"/>
            <a:t>14.2</a:t>
          </a:fld>
          <a:endParaRPr lang="en-US" sz="2800" b="1" i="0" u="none" strike="noStrike">
            <a:solidFill>
              <a:schemeClr val="bg1"/>
            </a:solidFill>
            <a:latin typeface="Montserrat" pitchFamily="2" charset="0"/>
            <a:ea typeface="Calibri"/>
            <a:cs typeface="Calibri"/>
          </a:endParaRPr>
        </a:p>
      </xdr:txBody>
    </xdr:sp>
    <xdr:clientData/>
  </xdr:twoCellAnchor>
  <xdr:twoCellAnchor>
    <xdr:from>
      <xdr:col>22</xdr:col>
      <xdr:colOff>108686</xdr:colOff>
      <xdr:row>38</xdr:row>
      <xdr:rowOff>128758</xdr:rowOff>
    </xdr:from>
    <xdr:to>
      <xdr:col>24</xdr:col>
      <xdr:colOff>916859</xdr:colOff>
      <xdr:row>40</xdr:row>
      <xdr:rowOff>89423</xdr:rowOff>
    </xdr:to>
    <xdr:sp macro="" textlink="">
      <xdr:nvSpPr>
        <xdr:cNvPr id="6" name="TextBox 1">
          <a:extLst>
            <a:ext uri="{FF2B5EF4-FFF2-40B4-BE49-F238E27FC236}">
              <a16:creationId xmlns:a16="http://schemas.microsoft.com/office/drawing/2014/main" id="{00000000-0008-0000-0500-000006000000}"/>
            </a:ext>
          </a:extLst>
        </xdr:cNvPr>
        <xdr:cNvSpPr txBox="1"/>
      </xdr:nvSpPr>
      <xdr:spPr>
        <a:xfrm>
          <a:off x="16777436" y="4712664"/>
          <a:ext cx="2038486" cy="317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latin typeface="Montserrat" pitchFamily="2" charset="0"/>
              <a:ea typeface="+mn-ea"/>
              <a:cs typeface="+mn-cs"/>
            </a:rPr>
            <a:t>LAC</a:t>
          </a:r>
          <a:r>
            <a:rPr lang="en-US" sz="1400" b="1">
              <a:solidFill>
                <a:schemeClr val="bg1"/>
              </a:solidFill>
              <a:latin typeface="Montserrat" pitchFamily="2" charset="0"/>
            </a:rPr>
            <a:t> average</a:t>
          </a:r>
        </a:p>
      </xdr:txBody>
    </xdr:sp>
    <xdr:clientData/>
  </xdr:twoCellAnchor>
  <xdr:twoCellAnchor>
    <xdr:from>
      <xdr:col>27</xdr:col>
      <xdr:colOff>13373</xdr:colOff>
      <xdr:row>45</xdr:row>
      <xdr:rowOff>30658</xdr:rowOff>
    </xdr:from>
    <xdr:to>
      <xdr:col>30</xdr:col>
      <xdr:colOff>180061</xdr:colOff>
      <xdr:row>48</xdr:row>
      <xdr:rowOff>20838</xdr:rowOff>
    </xdr:to>
    <xdr:sp macro="" textlink="">
      <xdr:nvSpPr>
        <xdr:cNvPr id="7" name="Rectangle 4">
          <a:extLst>
            <a:ext uri="{FF2B5EF4-FFF2-40B4-BE49-F238E27FC236}">
              <a16:creationId xmlns:a16="http://schemas.microsoft.com/office/drawing/2014/main" id="{00000000-0008-0000-0500-000007000000}"/>
            </a:ext>
          </a:extLst>
        </xdr:cNvPr>
        <xdr:cNvSpPr/>
      </xdr:nvSpPr>
      <xdr:spPr>
        <a:xfrm>
          <a:off x="20968373" y="6063158"/>
          <a:ext cx="2329657" cy="70455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434637</xdr:colOff>
      <xdr:row>30</xdr:row>
      <xdr:rowOff>125747</xdr:rowOff>
    </xdr:from>
    <xdr:to>
      <xdr:col>32</xdr:col>
      <xdr:colOff>602601</xdr:colOff>
      <xdr:row>42</xdr:row>
      <xdr:rowOff>20178</xdr:rowOff>
    </xdr:to>
    <xdr:sp macro="" textlink="">
      <xdr:nvSpPr>
        <xdr:cNvPr id="8" name="Oval 6">
          <a:extLst>
            <a:ext uri="{FF2B5EF4-FFF2-40B4-BE49-F238E27FC236}">
              <a16:creationId xmlns:a16="http://schemas.microsoft.com/office/drawing/2014/main" id="{00000000-0008-0000-0500-000008000000}"/>
            </a:ext>
          </a:extLst>
        </xdr:cNvPr>
        <xdr:cNvSpPr/>
      </xdr:nvSpPr>
      <xdr:spPr>
        <a:xfrm>
          <a:off x="23552606" y="3280903"/>
          <a:ext cx="2192026" cy="2057400"/>
        </a:xfrm>
        <a:prstGeom prst="ellipse">
          <a:avLst/>
        </a:prstGeom>
        <a:solidFill>
          <a:srgbClr val="3F6C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561836</xdr:colOff>
      <xdr:row>30</xdr:row>
      <xdr:rowOff>68661</xdr:rowOff>
    </xdr:from>
    <xdr:to>
      <xdr:col>42</xdr:col>
      <xdr:colOff>324482</xdr:colOff>
      <xdr:row>41</xdr:row>
      <xdr:rowOff>161529</xdr:rowOff>
    </xdr:to>
    <xdr:sp macro="" textlink="">
      <xdr:nvSpPr>
        <xdr:cNvPr id="9" name="Oval 8">
          <a:extLst>
            <a:ext uri="{FF2B5EF4-FFF2-40B4-BE49-F238E27FC236}">
              <a16:creationId xmlns:a16="http://schemas.microsoft.com/office/drawing/2014/main" id="{00000000-0008-0000-0500-000009000000}"/>
            </a:ext>
          </a:extLst>
        </xdr:cNvPr>
        <xdr:cNvSpPr/>
      </xdr:nvSpPr>
      <xdr:spPr>
        <a:xfrm>
          <a:off x="30942617" y="3223817"/>
          <a:ext cx="2223271" cy="2057400"/>
        </a:xfrm>
        <a:prstGeom prst="ellipse">
          <a:avLst/>
        </a:prstGeom>
        <a:solidFill>
          <a:srgbClr val="B6B6B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161339</xdr:colOff>
      <xdr:row>30</xdr:row>
      <xdr:rowOff>175600</xdr:rowOff>
    </xdr:from>
    <xdr:to>
      <xdr:col>32</xdr:col>
      <xdr:colOff>922319</xdr:colOff>
      <xdr:row>38</xdr:row>
      <xdr:rowOff>27376</xdr:rowOff>
    </xdr:to>
    <xdr:sp macro="" textlink="">
      <xdr:nvSpPr>
        <xdr:cNvPr id="41" name="TextBox 40">
          <a:extLst>
            <a:ext uri="{FF2B5EF4-FFF2-40B4-BE49-F238E27FC236}">
              <a16:creationId xmlns:a16="http://schemas.microsoft.com/office/drawing/2014/main" id="{00000000-0008-0000-0500-000029000000}"/>
            </a:ext>
          </a:extLst>
        </xdr:cNvPr>
        <xdr:cNvSpPr txBox="1"/>
      </xdr:nvSpPr>
      <xdr:spPr>
        <a:xfrm>
          <a:off x="23279308" y="3330756"/>
          <a:ext cx="2785042" cy="128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1"/>
              </a:solidFill>
              <a:latin typeface="Montserrat" pitchFamily="2" charset="0"/>
            </a:rPr>
            <a:t>Moderate Poverty</a:t>
          </a:r>
          <a:endParaRPr lang="en-US" sz="1400" b="0">
            <a:solidFill>
              <a:schemeClr val="bg1"/>
            </a:solidFill>
            <a:latin typeface="Montserrat" pitchFamily="2" charset="0"/>
          </a:endParaRPr>
        </a:p>
      </xdr:txBody>
    </xdr:sp>
    <xdr:clientData/>
  </xdr:twoCellAnchor>
  <xdr:twoCellAnchor>
    <xdr:from>
      <xdr:col>38</xdr:col>
      <xdr:colOff>515305</xdr:colOff>
      <xdr:row>30</xdr:row>
      <xdr:rowOff>76384</xdr:rowOff>
    </xdr:from>
    <xdr:to>
      <xdr:col>42</xdr:col>
      <xdr:colOff>328170</xdr:colOff>
      <xdr:row>37</xdr:row>
      <xdr:rowOff>15103</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30896086" y="3231540"/>
          <a:ext cx="2273490" cy="1188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1"/>
              </a:solidFill>
              <a:latin typeface="Montserrat" pitchFamily="2" charset="0"/>
            </a:rPr>
            <a:t>Total</a:t>
          </a:r>
          <a:r>
            <a:rPr lang="en-US" sz="2400" b="1" baseline="0">
              <a:solidFill>
                <a:schemeClr val="bg1"/>
              </a:solidFill>
              <a:latin typeface="Montserrat" pitchFamily="2" charset="0"/>
            </a:rPr>
            <a:t> Poverty</a:t>
          </a:r>
          <a:endParaRPr lang="en-US" sz="1400" b="0">
            <a:solidFill>
              <a:schemeClr val="bg1"/>
            </a:solidFill>
            <a:latin typeface="Montserrat" pitchFamily="2" charset="0"/>
          </a:endParaRPr>
        </a:p>
      </xdr:txBody>
    </xdr:sp>
    <xdr:clientData/>
  </xdr:twoCellAnchor>
  <xdr:twoCellAnchor>
    <xdr:from>
      <xdr:col>30</xdr:col>
      <xdr:colOff>640484</xdr:colOff>
      <xdr:row>36</xdr:row>
      <xdr:rowOff>5395</xdr:rowOff>
    </xdr:from>
    <xdr:to>
      <xdr:col>32</xdr:col>
      <xdr:colOff>542967</xdr:colOff>
      <xdr:row>40</xdr:row>
      <xdr:rowOff>121996</xdr:rowOff>
    </xdr:to>
    <xdr:sp macro="" textlink="$J$22">
      <xdr:nvSpPr>
        <xdr:cNvPr id="42" name="Oval 41">
          <a:extLst>
            <a:ext uri="{FF2B5EF4-FFF2-40B4-BE49-F238E27FC236}">
              <a16:creationId xmlns:a16="http://schemas.microsoft.com/office/drawing/2014/main" id="{00000000-0008-0000-0500-00002A000000}"/>
            </a:ext>
          </a:extLst>
        </xdr:cNvPr>
        <xdr:cNvSpPr/>
      </xdr:nvSpPr>
      <xdr:spPr>
        <a:xfrm>
          <a:off x="23878460" y="4253847"/>
          <a:ext cx="1928436" cy="842316"/>
        </a:xfrm>
        <a:prstGeom prst="ellipse">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B788650-9C7C-4CD0-A0A0-DD32D1A8451D}" type="TxLink">
            <a:rPr lang="en-US" sz="1100" b="1" i="0" u="none" strike="noStrike">
              <a:solidFill>
                <a:srgbClr val="000000"/>
              </a:solidFill>
              <a:latin typeface="Calibri"/>
              <a:ea typeface="Calibri"/>
              <a:cs typeface="Calibri"/>
            </a:rPr>
            <a:t>19.3</a:t>
          </a:fld>
          <a:endParaRPr lang="en-US" sz="2800" b="1" i="0" u="none" strike="noStrike">
            <a:solidFill>
              <a:schemeClr val="bg1"/>
            </a:solidFill>
            <a:latin typeface="Montserrat" pitchFamily="2" charset="0"/>
            <a:ea typeface="Calibri"/>
            <a:cs typeface="Calibri"/>
          </a:endParaRPr>
        </a:p>
      </xdr:txBody>
    </xdr:sp>
    <xdr:clientData/>
  </xdr:twoCellAnchor>
  <xdr:twoCellAnchor>
    <xdr:from>
      <xdr:col>30</xdr:col>
      <xdr:colOff>825385</xdr:colOff>
      <xdr:row>39</xdr:row>
      <xdr:rowOff>13924</xdr:rowOff>
    </xdr:from>
    <xdr:to>
      <xdr:col>32</xdr:col>
      <xdr:colOff>302889</xdr:colOff>
      <xdr:row>41</xdr:row>
      <xdr:rowOff>50966</xdr:rowOff>
    </xdr:to>
    <xdr:sp macro="" textlink="">
      <xdr:nvSpPr>
        <xdr:cNvPr id="28" name="TextBox 27">
          <a:extLst>
            <a:ext uri="{FF2B5EF4-FFF2-40B4-BE49-F238E27FC236}">
              <a16:creationId xmlns:a16="http://schemas.microsoft.com/office/drawing/2014/main" id="{00000000-0008-0000-0500-00001C000000}"/>
            </a:ext>
          </a:extLst>
        </xdr:cNvPr>
        <xdr:cNvSpPr txBox="1"/>
      </xdr:nvSpPr>
      <xdr:spPr>
        <a:xfrm>
          <a:off x="23943354" y="4776424"/>
          <a:ext cx="1501566" cy="394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latin typeface="Montserrat" pitchFamily="2" charset="0"/>
              <a:ea typeface="+mn-ea"/>
              <a:cs typeface="+mn-cs"/>
            </a:rPr>
            <a:t>LAC</a:t>
          </a:r>
          <a:r>
            <a:rPr lang="en-US" sz="1400" b="1">
              <a:solidFill>
                <a:schemeClr val="bg1"/>
              </a:solidFill>
              <a:latin typeface="Montserrat" pitchFamily="2" charset="0"/>
            </a:rPr>
            <a:t> average</a:t>
          </a:r>
        </a:p>
      </xdr:txBody>
    </xdr:sp>
    <xdr:clientData/>
  </xdr:twoCellAnchor>
  <xdr:twoCellAnchor>
    <xdr:from>
      <xdr:col>34</xdr:col>
      <xdr:colOff>713675</xdr:colOff>
      <xdr:row>46</xdr:row>
      <xdr:rowOff>131527</xdr:rowOff>
    </xdr:from>
    <xdr:to>
      <xdr:col>37</xdr:col>
      <xdr:colOff>160955</xdr:colOff>
      <xdr:row>49</xdr:row>
      <xdr:rowOff>101272</xdr:rowOff>
    </xdr:to>
    <xdr:sp macro="" textlink="">
      <xdr:nvSpPr>
        <xdr:cNvPr id="16" name="Rectangle 15">
          <a:extLst>
            <a:ext uri="{FF2B5EF4-FFF2-40B4-BE49-F238E27FC236}">
              <a16:creationId xmlns:a16="http://schemas.microsoft.com/office/drawing/2014/main" id="{00000000-0008-0000-0500-000010000000}"/>
            </a:ext>
          </a:extLst>
        </xdr:cNvPr>
        <xdr:cNvSpPr/>
      </xdr:nvSpPr>
      <xdr:spPr>
        <a:xfrm>
          <a:off x="27879769" y="6402152"/>
          <a:ext cx="2046811" cy="6841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671780</xdr:colOff>
      <xdr:row>45</xdr:row>
      <xdr:rowOff>155249</xdr:rowOff>
    </xdr:from>
    <xdr:to>
      <xdr:col>50</xdr:col>
      <xdr:colOff>84668</xdr:colOff>
      <xdr:row>48</xdr:row>
      <xdr:rowOff>175114</xdr:rowOff>
    </xdr:to>
    <xdr:sp macro="" textlink="">
      <xdr:nvSpPr>
        <xdr:cNvPr id="23" name="Rectangle 22">
          <a:extLst>
            <a:ext uri="{FF2B5EF4-FFF2-40B4-BE49-F238E27FC236}">
              <a16:creationId xmlns:a16="http://schemas.microsoft.com/office/drawing/2014/main" id="{00000000-0008-0000-0500-000017000000}"/>
            </a:ext>
          </a:extLst>
        </xdr:cNvPr>
        <xdr:cNvSpPr/>
      </xdr:nvSpPr>
      <xdr:spPr>
        <a:xfrm>
          <a:off x="35973811" y="6187749"/>
          <a:ext cx="2052107" cy="7342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98625</xdr:colOff>
      <xdr:row>35</xdr:row>
      <xdr:rowOff>10047</xdr:rowOff>
    </xdr:from>
    <xdr:to>
      <xdr:col>42</xdr:col>
      <xdr:colOff>203768</xdr:colOff>
      <xdr:row>40</xdr:row>
      <xdr:rowOff>62963</xdr:rowOff>
    </xdr:to>
    <xdr:sp macro="" textlink="$K$22">
      <xdr:nvSpPr>
        <xdr:cNvPr id="29" name="Oval 28">
          <a:extLst>
            <a:ext uri="{FF2B5EF4-FFF2-40B4-BE49-F238E27FC236}">
              <a16:creationId xmlns:a16="http://schemas.microsoft.com/office/drawing/2014/main" id="{00000000-0008-0000-0500-00001D000000}"/>
            </a:ext>
          </a:extLst>
        </xdr:cNvPr>
        <xdr:cNvSpPr/>
      </xdr:nvSpPr>
      <xdr:spPr>
        <a:xfrm>
          <a:off x="31183387" y="4077071"/>
          <a:ext cx="1919429" cy="960059"/>
        </a:xfrm>
        <a:prstGeom prst="ellipse">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66DF54C-DC9F-40EA-A437-5A5BA5EF7E52}" type="TxLink">
            <a:rPr lang="en-US" sz="1100" b="1" i="0" u="none" strike="noStrike">
              <a:solidFill>
                <a:srgbClr val="000000"/>
              </a:solidFill>
              <a:latin typeface="Calibri"/>
              <a:ea typeface="Calibri"/>
              <a:cs typeface="Calibri"/>
            </a:rPr>
            <a:t>33.5</a:t>
          </a:fld>
          <a:endParaRPr lang="en-US" sz="2800" b="1" i="0" u="none" strike="noStrike">
            <a:solidFill>
              <a:schemeClr val="bg1"/>
            </a:solidFill>
            <a:latin typeface="Montserrat" pitchFamily="2" charset="0"/>
            <a:ea typeface="Calibri"/>
            <a:cs typeface="Calibri"/>
          </a:endParaRPr>
        </a:p>
      </xdr:txBody>
    </xdr:sp>
    <xdr:clientData/>
  </xdr:twoCellAnchor>
  <xdr:twoCellAnchor>
    <xdr:from>
      <xdr:col>39</xdr:col>
      <xdr:colOff>6915</xdr:colOff>
      <xdr:row>38</xdr:row>
      <xdr:rowOff>106473</xdr:rowOff>
    </xdr:from>
    <xdr:to>
      <xdr:col>42</xdr:col>
      <xdr:colOff>208312</xdr:colOff>
      <xdr:row>40</xdr:row>
      <xdr:rowOff>64733</xdr:rowOff>
    </xdr:to>
    <xdr:sp macro="" textlink="">
      <xdr:nvSpPr>
        <xdr:cNvPr id="30" name="TextBox 29">
          <a:extLst>
            <a:ext uri="{FF2B5EF4-FFF2-40B4-BE49-F238E27FC236}">
              <a16:creationId xmlns:a16="http://schemas.microsoft.com/office/drawing/2014/main" id="{00000000-0008-0000-0500-00001E000000}"/>
            </a:ext>
          </a:extLst>
        </xdr:cNvPr>
        <xdr:cNvSpPr txBox="1"/>
      </xdr:nvSpPr>
      <xdr:spPr>
        <a:xfrm>
          <a:off x="31002853" y="4690379"/>
          <a:ext cx="2046865" cy="3154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latin typeface="Montserrat" pitchFamily="2" charset="0"/>
              <a:ea typeface="+mn-ea"/>
              <a:cs typeface="+mn-cs"/>
            </a:rPr>
            <a:t>LAC</a:t>
          </a:r>
          <a:r>
            <a:rPr lang="en-US" sz="1400" b="1">
              <a:solidFill>
                <a:schemeClr val="bg1"/>
              </a:solidFill>
              <a:latin typeface="Montserrat" pitchFamily="2" charset="0"/>
            </a:rPr>
            <a:t> average</a:t>
          </a:r>
        </a:p>
      </xdr:txBody>
    </xdr:sp>
    <xdr:clientData/>
  </xdr:twoCellAnchor>
  <xdr:twoCellAnchor>
    <xdr:from>
      <xdr:col>87</xdr:col>
      <xdr:colOff>240975</xdr:colOff>
      <xdr:row>136</xdr:row>
      <xdr:rowOff>66755</xdr:rowOff>
    </xdr:from>
    <xdr:to>
      <xdr:col>99</xdr:col>
      <xdr:colOff>93178</xdr:colOff>
      <xdr:row>158</xdr:row>
      <xdr:rowOff>24126</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276678</xdr:colOff>
      <xdr:row>85</xdr:row>
      <xdr:rowOff>156071</xdr:rowOff>
    </xdr:from>
    <xdr:to>
      <xdr:col>25</xdr:col>
      <xdr:colOff>259292</xdr:colOff>
      <xdr:row>109</xdr:row>
      <xdr:rowOff>159013</xdr:rowOff>
    </xdr:to>
    <xdr:graphicFrame macro="">
      <xdr:nvGraphicFramePr>
        <xdr:cNvPr id="14" name="Chart 13">
          <a:extLst>
            <a:ext uri="{FF2B5EF4-FFF2-40B4-BE49-F238E27FC236}">
              <a16:creationId xmlns:a16="http://schemas.microsoft.com/office/drawing/2014/main" id="{00000000-0008-0000-05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110</xdr:col>
      <xdr:colOff>0</xdr:colOff>
      <xdr:row>148</xdr:row>
      <xdr:rowOff>0</xdr:rowOff>
    </xdr:from>
    <xdr:to>
      <xdr:col>124</xdr:col>
      <xdr:colOff>291905</xdr:colOff>
      <xdr:row>166</xdr:row>
      <xdr:rowOff>132543</xdr:rowOff>
    </xdr:to>
    <xdr:graphicFrame macro="">
      <xdr:nvGraphicFramePr>
        <xdr:cNvPr id="11" name="Chart 5">
          <a:extLst>
            <a:ext uri="{FF2B5EF4-FFF2-40B4-BE49-F238E27FC236}">
              <a16:creationId xmlns:a16="http://schemas.microsoft.com/office/drawing/2014/main" id="{00000000-0008-0000-0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87</xdr:col>
      <xdr:colOff>568957</xdr:colOff>
      <xdr:row>19</xdr:row>
      <xdr:rowOff>155222</xdr:rowOff>
    </xdr:from>
    <xdr:to>
      <xdr:col>93</xdr:col>
      <xdr:colOff>484898</xdr:colOff>
      <xdr:row>44</xdr:row>
      <xdr:rowOff>94075</xdr:rowOff>
    </xdr:to>
    <xdr:graphicFrame macro="">
      <xdr:nvGraphicFramePr>
        <xdr:cNvPr id="15" name="Chart 4">
          <a:extLst>
            <a:ext uri="{FF2B5EF4-FFF2-40B4-BE49-F238E27FC236}">
              <a16:creationId xmlns:a16="http://schemas.microsoft.com/office/drawing/2014/main" id="{061445AB-56D9-4D3D-AF29-7AD881472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72</xdr:col>
      <xdr:colOff>607812</xdr:colOff>
      <xdr:row>19</xdr:row>
      <xdr:rowOff>337008</xdr:rowOff>
    </xdr:from>
    <xdr:to>
      <xdr:col>79</xdr:col>
      <xdr:colOff>282580</xdr:colOff>
      <xdr:row>46</xdr:row>
      <xdr:rowOff>138040</xdr:rowOff>
    </xdr:to>
    <xdr:graphicFrame macro="">
      <xdr:nvGraphicFramePr>
        <xdr:cNvPr id="20" name="Chart 19">
          <a:extLst>
            <a:ext uri="{FF2B5EF4-FFF2-40B4-BE49-F238E27FC236}">
              <a16:creationId xmlns:a16="http://schemas.microsoft.com/office/drawing/2014/main" id="{04260D9B-1FEC-4946-B891-704DD529FE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80</xdr:col>
      <xdr:colOff>200437</xdr:colOff>
      <xdr:row>19</xdr:row>
      <xdr:rowOff>240862</xdr:rowOff>
    </xdr:from>
    <xdr:to>
      <xdr:col>86</xdr:col>
      <xdr:colOff>510992</xdr:colOff>
      <xdr:row>44</xdr:row>
      <xdr:rowOff>9339</xdr:rowOff>
    </xdr:to>
    <xdr:graphicFrame macro="">
      <xdr:nvGraphicFramePr>
        <xdr:cNvPr id="21" name="Chart 20">
          <a:extLst>
            <a:ext uri="{FF2B5EF4-FFF2-40B4-BE49-F238E27FC236}">
              <a16:creationId xmlns:a16="http://schemas.microsoft.com/office/drawing/2014/main" id="{EC5F121D-9A7F-4018-A4C6-4E7270D82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70</xdr:col>
      <xdr:colOff>448880</xdr:colOff>
      <xdr:row>21</xdr:row>
      <xdr:rowOff>87587</xdr:rowOff>
    </xdr:from>
    <xdr:to>
      <xdr:col>71</xdr:col>
      <xdr:colOff>252526</xdr:colOff>
      <xdr:row>42</xdr:row>
      <xdr:rowOff>14296</xdr:rowOff>
    </xdr:to>
    <xdr:sp macro="" textlink="">
      <xdr:nvSpPr>
        <xdr:cNvPr id="22" name="TextBox 1">
          <a:extLst>
            <a:ext uri="{FF2B5EF4-FFF2-40B4-BE49-F238E27FC236}">
              <a16:creationId xmlns:a16="http://schemas.microsoft.com/office/drawing/2014/main" id="{F8C3A330-95BD-407D-95BF-D9071E1DDCA7}"/>
            </a:ext>
          </a:extLst>
        </xdr:cNvPr>
        <xdr:cNvSpPr txBox="1"/>
      </xdr:nvSpPr>
      <xdr:spPr>
        <a:xfrm>
          <a:off x="11593130" y="3770587"/>
          <a:ext cx="413246" cy="3793859"/>
        </a:xfrm>
        <a:prstGeom prst="rect">
          <a:avLst/>
        </a:prstGeom>
        <a:solidFill>
          <a:schemeClr val="bg1"/>
        </a:solidFill>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spcBef>
              <a:spcPts val="180"/>
            </a:spcBef>
            <a:spcAft>
              <a:spcPts val="120"/>
            </a:spcAft>
          </a:pPr>
          <a:r>
            <a:rPr lang="en-US" sz="1100">
              <a:solidFill>
                <a:schemeClr val="tx1">
                  <a:lumMod val="50000"/>
                  <a:lumOff val="50000"/>
                </a:schemeClr>
              </a:solidFill>
            </a:rPr>
            <a:t>1</a:t>
          </a:r>
        </a:p>
        <a:p>
          <a:pPr algn="ctr">
            <a:spcBef>
              <a:spcPts val="180"/>
            </a:spcBef>
            <a:spcAft>
              <a:spcPts val="120"/>
            </a:spcAft>
          </a:pPr>
          <a:r>
            <a:rPr lang="en-US" sz="1100">
              <a:solidFill>
                <a:schemeClr val="tx1">
                  <a:lumMod val="50000"/>
                  <a:lumOff val="50000"/>
                </a:schemeClr>
              </a:solidFill>
            </a:rPr>
            <a:t>2</a:t>
          </a:r>
        </a:p>
        <a:p>
          <a:pPr algn="ctr">
            <a:spcBef>
              <a:spcPts val="180"/>
            </a:spcBef>
            <a:spcAft>
              <a:spcPts val="120"/>
            </a:spcAft>
          </a:pPr>
          <a:r>
            <a:rPr lang="en-US" sz="1100">
              <a:solidFill>
                <a:schemeClr val="tx1">
                  <a:lumMod val="50000"/>
                  <a:lumOff val="50000"/>
                </a:schemeClr>
              </a:solidFill>
            </a:rPr>
            <a:t>3</a:t>
          </a:r>
        </a:p>
        <a:p>
          <a:pPr algn="ctr">
            <a:spcBef>
              <a:spcPts val="180"/>
            </a:spcBef>
            <a:spcAft>
              <a:spcPts val="120"/>
            </a:spcAft>
          </a:pPr>
          <a:r>
            <a:rPr lang="en-US" sz="1100">
              <a:solidFill>
                <a:schemeClr val="tx1">
                  <a:lumMod val="50000"/>
                  <a:lumOff val="50000"/>
                </a:schemeClr>
              </a:solidFill>
            </a:rPr>
            <a:t>4</a:t>
          </a:r>
        </a:p>
        <a:p>
          <a:pPr algn="ctr">
            <a:spcBef>
              <a:spcPts val="180"/>
            </a:spcBef>
            <a:spcAft>
              <a:spcPts val="120"/>
            </a:spcAft>
          </a:pPr>
          <a:r>
            <a:rPr lang="en-US" sz="1100">
              <a:solidFill>
                <a:schemeClr val="tx1">
                  <a:lumMod val="50000"/>
                  <a:lumOff val="50000"/>
                </a:schemeClr>
              </a:solidFill>
            </a:rPr>
            <a:t>5</a:t>
          </a:r>
        </a:p>
        <a:p>
          <a:pPr algn="ctr">
            <a:spcBef>
              <a:spcPts val="180"/>
            </a:spcBef>
            <a:spcAft>
              <a:spcPts val="120"/>
            </a:spcAft>
          </a:pPr>
          <a:r>
            <a:rPr lang="en-US" sz="1100">
              <a:solidFill>
                <a:schemeClr val="tx1">
                  <a:lumMod val="50000"/>
                  <a:lumOff val="50000"/>
                </a:schemeClr>
              </a:solidFill>
            </a:rPr>
            <a:t>6</a:t>
          </a:r>
        </a:p>
        <a:p>
          <a:pPr algn="ctr">
            <a:spcBef>
              <a:spcPts val="180"/>
            </a:spcBef>
            <a:spcAft>
              <a:spcPts val="120"/>
            </a:spcAft>
          </a:pPr>
          <a:r>
            <a:rPr lang="en-US" sz="1100">
              <a:solidFill>
                <a:schemeClr val="tx1">
                  <a:lumMod val="50000"/>
                  <a:lumOff val="50000"/>
                </a:schemeClr>
              </a:solidFill>
            </a:rPr>
            <a:t>7</a:t>
          </a:r>
        </a:p>
        <a:p>
          <a:pPr algn="ctr">
            <a:spcBef>
              <a:spcPts val="180"/>
            </a:spcBef>
            <a:spcAft>
              <a:spcPts val="120"/>
            </a:spcAft>
          </a:pPr>
          <a:r>
            <a:rPr lang="en-US" sz="1100">
              <a:solidFill>
                <a:schemeClr val="tx1">
                  <a:lumMod val="50000"/>
                  <a:lumOff val="50000"/>
                </a:schemeClr>
              </a:solidFill>
            </a:rPr>
            <a:t>8</a:t>
          </a:r>
        </a:p>
        <a:p>
          <a:pPr algn="ctr">
            <a:spcBef>
              <a:spcPts val="180"/>
            </a:spcBef>
            <a:spcAft>
              <a:spcPts val="120"/>
            </a:spcAft>
          </a:pPr>
          <a:r>
            <a:rPr lang="en-US" sz="1100">
              <a:solidFill>
                <a:schemeClr val="tx1">
                  <a:lumMod val="50000"/>
                  <a:lumOff val="50000"/>
                </a:schemeClr>
              </a:solidFill>
            </a:rPr>
            <a:t>9</a:t>
          </a:r>
        </a:p>
        <a:p>
          <a:pPr algn="ctr">
            <a:spcBef>
              <a:spcPts val="180"/>
            </a:spcBef>
            <a:spcAft>
              <a:spcPts val="120"/>
            </a:spcAft>
          </a:pPr>
          <a:r>
            <a:rPr lang="en-US" sz="1100">
              <a:solidFill>
                <a:schemeClr val="tx1">
                  <a:lumMod val="50000"/>
                  <a:lumOff val="50000"/>
                </a:schemeClr>
              </a:solidFill>
            </a:rPr>
            <a:t>10</a:t>
          </a:r>
        </a:p>
        <a:p>
          <a:pPr algn="ctr">
            <a:spcBef>
              <a:spcPts val="180"/>
            </a:spcBef>
            <a:spcAft>
              <a:spcPts val="120"/>
            </a:spcAft>
          </a:pPr>
          <a:r>
            <a:rPr lang="en-US" sz="1100">
              <a:solidFill>
                <a:schemeClr val="tx1">
                  <a:lumMod val="50000"/>
                  <a:lumOff val="50000"/>
                </a:schemeClr>
              </a:solidFill>
            </a:rPr>
            <a:t>11</a:t>
          </a:r>
        </a:p>
        <a:p>
          <a:pPr algn="ctr">
            <a:spcBef>
              <a:spcPts val="180"/>
            </a:spcBef>
            <a:spcAft>
              <a:spcPts val="120"/>
            </a:spcAft>
          </a:pPr>
          <a:r>
            <a:rPr lang="en-US" sz="1100">
              <a:solidFill>
                <a:schemeClr val="tx1">
                  <a:lumMod val="50000"/>
                  <a:lumOff val="50000"/>
                </a:schemeClr>
              </a:solidFill>
            </a:rPr>
            <a:t>12</a:t>
          </a:r>
        </a:p>
        <a:p>
          <a:pPr algn="ctr">
            <a:spcBef>
              <a:spcPts val="180"/>
            </a:spcBef>
            <a:spcAft>
              <a:spcPts val="120"/>
            </a:spcAft>
          </a:pPr>
          <a:r>
            <a:rPr lang="en-US" sz="1100">
              <a:solidFill>
                <a:schemeClr val="tx1">
                  <a:lumMod val="50000"/>
                  <a:lumOff val="50000"/>
                </a:schemeClr>
              </a:solidFill>
            </a:rPr>
            <a:t>13</a:t>
          </a:r>
        </a:p>
        <a:p>
          <a:pPr algn="ctr">
            <a:spcBef>
              <a:spcPts val="180"/>
            </a:spcBef>
            <a:spcAft>
              <a:spcPts val="120"/>
            </a:spcAft>
          </a:pPr>
          <a:r>
            <a:rPr lang="en-US" sz="1100">
              <a:solidFill>
                <a:schemeClr val="tx1">
                  <a:lumMod val="50000"/>
                  <a:lumOff val="50000"/>
                </a:schemeClr>
              </a:solidFill>
            </a:rPr>
            <a:t>14</a:t>
          </a:r>
        </a:p>
        <a:p>
          <a:pPr algn="ctr">
            <a:spcBef>
              <a:spcPts val="180"/>
            </a:spcBef>
            <a:spcAft>
              <a:spcPts val="120"/>
            </a:spcAft>
          </a:pPr>
          <a:r>
            <a:rPr lang="en-US" sz="1100">
              <a:solidFill>
                <a:schemeClr val="tx1">
                  <a:lumMod val="50000"/>
                  <a:lumOff val="50000"/>
                </a:schemeClr>
              </a:solidFill>
            </a:rPr>
            <a:t>15</a:t>
          </a:r>
        </a:p>
        <a:p>
          <a:pPr algn="ctr">
            <a:spcBef>
              <a:spcPts val="180"/>
            </a:spcBef>
            <a:spcAft>
              <a:spcPts val="120"/>
            </a:spcAft>
          </a:pPr>
          <a:r>
            <a:rPr lang="en-US" sz="1100">
              <a:solidFill>
                <a:schemeClr val="tx1">
                  <a:lumMod val="50000"/>
                  <a:lumOff val="50000"/>
                </a:schemeClr>
              </a:solidFill>
            </a:rPr>
            <a:t>16</a:t>
          </a:r>
        </a:p>
        <a:p>
          <a:pPr algn="ctr">
            <a:spcBef>
              <a:spcPts val="180"/>
            </a:spcBef>
            <a:spcAft>
              <a:spcPts val="120"/>
            </a:spcAft>
          </a:pPr>
          <a:r>
            <a:rPr lang="en-US" sz="1100">
              <a:solidFill>
                <a:schemeClr val="tx1">
                  <a:lumMod val="50000"/>
                  <a:lumOff val="50000"/>
                </a:schemeClr>
              </a:solidFill>
            </a:rPr>
            <a:t>17</a:t>
          </a:r>
        </a:p>
        <a:p>
          <a:pPr algn="ctr">
            <a:spcBef>
              <a:spcPts val="180"/>
            </a:spcBef>
            <a:spcAft>
              <a:spcPts val="120"/>
            </a:spcAft>
          </a:pPr>
          <a:r>
            <a:rPr lang="en-US" sz="1100">
              <a:solidFill>
                <a:schemeClr val="tx1">
                  <a:lumMod val="50000"/>
                  <a:lumOff val="50000"/>
                </a:schemeClr>
              </a:solidFill>
            </a:rPr>
            <a:t>18</a:t>
          </a:r>
        </a:p>
        <a:p>
          <a:pPr algn="ctr">
            <a:spcBef>
              <a:spcPts val="180"/>
            </a:spcBef>
            <a:spcAft>
              <a:spcPts val="120"/>
            </a:spcAft>
          </a:pPr>
          <a:r>
            <a:rPr lang="en-US" sz="1100">
              <a:solidFill>
                <a:schemeClr val="tx1">
                  <a:lumMod val="50000"/>
                  <a:lumOff val="50000"/>
                </a:schemeClr>
              </a:solidFill>
            </a:rPr>
            <a:t>18</a:t>
          </a:r>
        </a:p>
        <a:p>
          <a:pPr algn="ctr">
            <a:spcBef>
              <a:spcPts val="180"/>
            </a:spcBef>
            <a:spcAft>
              <a:spcPts val="120"/>
            </a:spcAft>
          </a:pPr>
          <a:r>
            <a:rPr lang="en-US" sz="1100">
              <a:solidFill>
                <a:schemeClr val="tx1">
                  <a:lumMod val="50000"/>
                  <a:lumOff val="50000"/>
                </a:schemeClr>
              </a:solidFill>
            </a:rPr>
            <a:t>20</a:t>
          </a:r>
        </a:p>
        <a:p>
          <a:pPr algn="ctr">
            <a:spcBef>
              <a:spcPts val="180"/>
            </a:spcBef>
            <a:spcAft>
              <a:spcPts val="120"/>
            </a:spcAft>
          </a:pPr>
          <a:r>
            <a:rPr lang="en-US" sz="1100">
              <a:solidFill>
                <a:schemeClr val="tx1">
                  <a:lumMod val="50000"/>
                  <a:lumOff val="50000"/>
                </a:schemeClr>
              </a:solidFill>
            </a:rPr>
            <a:t>21</a:t>
          </a:r>
        </a:p>
        <a:p>
          <a:pPr algn="ctr">
            <a:spcBef>
              <a:spcPts val="180"/>
            </a:spcBef>
            <a:spcAft>
              <a:spcPts val="120"/>
            </a:spcAft>
          </a:pPr>
          <a:r>
            <a:rPr lang="en-US" sz="1100">
              <a:solidFill>
                <a:schemeClr val="tx1">
                  <a:lumMod val="50000"/>
                  <a:lumOff val="50000"/>
                </a:schemeClr>
              </a:solidFill>
            </a:rPr>
            <a:t>22</a:t>
          </a:r>
        </a:p>
        <a:p>
          <a:pPr algn="ctr">
            <a:spcBef>
              <a:spcPts val="180"/>
            </a:spcBef>
            <a:spcAft>
              <a:spcPts val="120"/>
            </a:spcAft>
          </a:pPr>
          <a:r>
            <a:rPr lang="en-US" sz="1100">
              <a:solidFill>
                <a:schemeClr val="tx1">
                  <a:lumMod val="50000"/>
                  <a:lumOff val="50000"/>
                </a:schemeClr>
              </a:solidFill>
            </a:rPr>
            <a:t>23</a:t>
          </a:r>
        </a:p>
        <a:p>
          <a:pPr algn="ctr">
            <a:spcBef>
              <a:spcPts val="180"/>
            </a:spcBef>
            <a:spcAft>
              <a:spcPts val="120"/>
            </a:spcAft>
          </a:pPr>
          <a:r>
            <a:rPr lang="en-US" sz="1100">
              <a:solidFill>
                <a:schemeClr val="tx1">
                  <a:lumMod val="50000"/>
                  <a:lumOff val="50000"/>
                </a:schemeClr>
              </a:solidFill>
            </a:rPr>
            <a:t>24</a:t>
          </a:r>
        </a:p>
        <a:p>
          <a:pPr algn="ctr">
            <a:spcBef>
              <a:spcPts val="180"/>
            </a:spcBef>
            <a:spcAft>
              <a:spcPts val="120"/>
            </a:spcAft>
          </a:pPr>
          <a:endParaRPr lang="en-US" sz="1100">
            <a:solidFill>
              <a:schemeClr val="tx1">
                <a:lumMod val="50000"/>
                <a:lumOff val="50000"/>
              </a:schemeClr>
            </a:solidFill>
          </a:endParaRPr>
        </a:p>
        <a:p>
          <a:pPr algn="ctr">
            <a:spcBef>
              <a:spcPts val="180"/>
            </a:spcBef>
            <a:spcAft>
              <a:spcPts val="120"/>
            </a:spcAft>
          </a:pPr>
          <a:endParaRPr lang="en-US" sz="1100">
            <a:solidFill>
              <a:schemeClr val="tx1">
                <a:lumMod val="50000"/>
                <a:lumOff val="50000"/>
              </a:schemeClr>
            </a:solidFill>
          </a:endParaRPr>
        </a:p>
      </xdr:txBody>
    </xdr:sp>
    <xdr:clientData/>
  </xdr:twoCellAnchor>
  <xdr:twoCellAnchor>
    <xdr:from>
      <xdr:col>11</xdr:col>
      <xdr:colOff>0</xdr:colOff>
      <xdr:row>121</xdr:row>
      <xdr:rowOff>127000</xdr:rowOff>
    </xdr:from>
    <xdr:to>
      <xdr:col>25</xdr:col>
      <xdr:colOff>642904</xdr:colOff>
      <xdr:row>145</xdr:row>
      <xdr:rowOff>129942</xdr:rowOff>
    </xdr:to>
    <xdr:graphicFrame macro="">
      <xdr:nvGraphicFramePr>
        <xdr:cNvPr id="18" name="Chart 11">
          <a:extLst>
            <a:ext uri="{FF2B5EF4-FFF2-40B4-BE49-F238E27FC236}">
              <a16:creationId xmlns:a16="http://schemas.microsoft.com/office/drawing/2014/main" id="{FC3F6CA4-AB5C-4677-9F4E-989FA5F04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0</xdr:colOff>
      <xdr:row>86</xdr:row>
      <xdr:rowOff>0</xdr:rowOff>
    </xdr:from>
    <xdr:to>
      <xdr:col>40</xdr:col>
      <xdr:colOff>538239</xdr:colOff>
      <xdr:row>110</xdr:row>
      <xdr:rowOff>2942</xdr:rowOff>
    </xdr:to>
    <xdr:graphicFrame macro="">
      <xdr:nvGraphicFramePr>
        <xdr:cNvPr id="27" name="Chart 1">
          <a:extLst>
            <a:ext uri="{FF2B5EF4-FFF2-40B4-BE49-F238E27FC236}">
              <a16:creationId xmlns:a16="http://schemas.microsoft.com/office/drawing/2014/main" id="{924F53E0-741B-4235-A2AF-BA3878CA2D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0.87737</cdr:x>
      <cdr:y>0.07926</cdr:y>
    </cdr:from>
    <cdr:to>
      <cdr:x>0.97947</cdr:x>
      <cdr:y>0.89564</cdr:y>
    </cdr:to>
    <cdr:sp macro="" textlink="">
      <cdr:nvSpPr>
        <cdr:cNvPr id="2" name="Rectangle 1">
          <a:extLst xmlns:a="http://schemas.openxmlformats.org/drawingml/2006/main">
            <a:ext uri="{FF2B5EF4-FFF2-40B4-BE49-F238E27FC236}">
              <a16:creationId xmlns:a16="http://schemas.microsoft.com/office/drawing/2014/main" id="{1B8EF7CC-11BA-E0C0-4BF1-301CF9AA51C7}"/>
            </a:ext>
          </a:extLst>
        </cdr:cNvPr>
        <cdr:cNvSpPr/>
      </cdr:nvSpPr>
      <cdr:spPr>
        <a:xfrm xmlns:a="http://schemas.openxmlformats.org/drawingml/2006/main">
          <a:off x="9762385" y="362616"/>
          <a:ext cx="1136055" cy="3734882"/>
        </a:xfrm>
        <a:prstGeom xmlns:a="http://schemas.openxmlformats.org/drawingml/2006/main" prst="rect">
          <a:avLst/>
        </a:prstGeom>
        <a:solidFill xmlns:a="http://schemas.openxmlformats.org/drawingml/2006/main">
          <a:schemeClr val="bg1">
            <a:lumMod val="75000"/>
            <a:alpha val="21000"/>
          </a:schemeClr>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0.01302</cdr:x>
      <cdr:y>0.80287</cdr:y>
    </cdr:from>
    <cdr:to>
      <cdr:x>0.06305</cdr:x>
      <cdr:y>0.89022</cdr:y>
    </cdr:to>
    <cdr:sp macro="" textlink="">
      <cdr:nvSpPr>
        <cdr:cNvPr id="3" name="Rectangle 2">
          <a:extLst xmlns:a="http://schemas.openxmlformats.org/drawingml/2006/main">
            <a:ext uri="{FF2B5EF4-FFF2-40B4-BE49-F238E27FC236}">
              <a16:creationId xmlns:a16="http://schemas.microsoft.com/office/drawing/2014/main" id="{B2375360-3EF5-ADB7-B5BE-F47FB04225D5}"/>
            </a:ext>
          </a:extLst>
        </cdr:cNvPr>
        <cdr:cNvSpPr/>
      </cdr:nvSpPr>
      <cdr:spPr>
        <a:xfrm xmlns:a="http://schemas.openxmlformats.org/drawingml/2006/main">
          <a:off x="157720" y="3316224"/>
          <a:ext cx="606136" cy="360796"/>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4.xml><?xml version="1.0" encoding="utf-8"?>
<c:userShapes xmlns:c="http://schemas.openxmlformats.org/drawingml/2006/chart">
  <cdr:relSizeAnchor xmlns:cdr="http://schemas.openxmlformats.org/drawingml/2006/chartDrawing">
    <cdr:from>
      <cdr:x>0.89501</cdr:x>
      <cdr:y>0.05524</cdr:y>
    </cdr:from>
    <cdr:to>
      <cdr:x>0.99605</cdr:x>
      <cdr:y>0.99568</cdr:y>
    </cdr:to>
    <cdr:sp macro="" textlink="">
      <cdr:nvSpPr>
        <cdr:cNvPr id="2" name="Rectangle 1">
          <a:extLst xmlns:a="http://schemas.openxmlformats.org/drawingml/2006/main">
            <a:ext uri="{FF2B5EF4-FFF2-40B4-BE49-F238E27FC236}">
              <a16:creationId xmlns:a16="http://schemas.microsoft.com/office/drawing/2014/main" id="{1B8EF7CC-11BA-E0C0-4BF1-301CF9AA51C7}"/>
            </a:ext>
          </a:extLst>
        </cdr:cNvPr>
        <cdr:cNvSpPr/>
      </cdr:nvSpPr>
      <cdr:spPr>
        <a:xfrm xmlns:a="http://schemas.openxmlformats.org/drawingml/2006/main">
          <a:off x="8100698" y="225882"/>
          <a:ext cx="914512" cy="3845774"/>
        </a:xfrm>
        <a:prstGeom xmlns:a="http://schemas.openxmlformats.org/drawingml/2006/main" prst="rect">
          <a:avLst/>
        </a:prstGeom>
        <a:solidFill xmlns:a="http://schemas.openxmlformats.org/drawingml/2006/main">
          <a:schemeClr val="bg1">
            <a:lumMod val="75000"/>
            <a:alpha val="21000"/>
          </a:schemeClr>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xml><?xml version="1.0" encoding="utf-8"?>
<c:userShapes xmlns:c="http://schemas.openxmlformats.org/drawingml/2006/chart">
  <cdr:relSizeAnchor xmlns:cdr="http://schemas.openxmlformats.org/drawingml/2006/chartDrawing">
    <cdr:from>
      <cdr:x>0.07447</cdr:x>
      <cdr:y>0.04745</cdr:y>
    </cdr:from>
    <cdr:to>
      <cdr:x>0.29469</cdr:x>
      <cdr:y>0.09705</cdr:y>
    </cdr:to>
    <cdr:sp macro="" textlink="">
      <cdr:nvSpPr>
        <cdr:cNvPr id="2" name="TextBox 1">
          <a:extLst xmlns:a="http://schemas.openxmlformats.org/drawingml/2006/main">
            <a:ext uri="{FF2B5EF4-FFF2-40B4-BE49-F238E27FC236}">
              <a16:creationId xmlns:a16="http://schemas.microsoft.com/office/drawing/2014/main" id="{1910FE60-07AE-EC3A-9F4D-3ED4C1AE37BC}"/>
            </a:ext>
          </a:extLst>
        </cdr:cNvPr>
        <cdr:cNvSpPr txBox="1"/>
      </cdr:nvSpPr>
      <cdr:spPr>
        <a:xfrm xmlns:a="http://schemas.openxmlformats.org/drawingml/2006/main">
          <a:off x="393720" y="243804"/>
          <a:ext cx="1164268" cy="2547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00" b="1">
              <a:latin typeface="Montserrat" pitchFamily="2" charset="0"/>
            </a:rPr>
            <a:t>Ranking</a:t>
          </a:r>
        </a:p>
      </cdr:txBody>
    </cdr:sp>
  </cdr:relSizeAnchor>
  <cdr:relSizeAnchor xmlns:cdr="http://schemas.openxmlformats.org/drawingml/2006/chartDrawing">
    <cdr:from>
      <cdr:x>0.04461</cdr:x>
      <cdr:y>0.94955</cdr:y>
    </cdr:from>
    <cdr:to>
      <cdr:x>0.16103</cdr:x>
      <cdr:y>0.99413</cdr:y>
    </cdr:to>
    <cdr:sp macro="" textlink="">
      <cdr:nvSpPr>
        <cdr:cNvPr id="4" name="Rectangle 3">
          <a:extLst xmlns:a="http://schemas.openxmlformats.org/drawingml/2006/main">
            <a:ext uri="{FF2B5EF4-FFF2-40B4-BE49-F238E27FC236}">
              <a16:creationId xmlns:a16="http://schemas.microsoft.com/office/drawing/2014/main" id="{3557469C-0FE4-E05F-2B71-AC8BFC5CD797}"/>
            </a:ext>
          </a:extLst>
        </cdr:cNvPr>
        <cdr:cNvSpPr/>
      </cdr:nvSpPr>
      <cdr:spPr>
        <a:xfrm xmlns:a="http://schemas.openxmlformats.org/drawingml/2006/main">
          <a:off x="239405" y="5018122"/>
          <a:ext cx="624758" cy="235564"/>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6.xml><?xml version="1.0" encoding="utf-8"?>
<c:userShapes xmlns:c="http://schemas.openxmlformats.org/drawingml/2006/chart">
  <cdr:relSizeAnchor xmlns:cdr="http://schemas.openxmlformats.org/drawingml/2006/chartDrawing">
    <cdr:from>
      <cdr:x>0.35239</cdr:x>
      <cdr:y>0</cdr:y>
    </cdr:from>
    <cdr:to>
      <cdr:x>0.57261</cdr:x>
      <cdr:y>0.0496</cdr:y>
    </cdr:to>
    <cdr:sp macro="" textlink="">
      <cdr:nvSpPr>
        <cdr:cNvPr id="2" name="TextBox 1">
          <a:extLst xmlns:a="http://schemas.openxmlformats.org/drawingml/2006/main">
            <a:ext uri="{FF2B5EF4-FFF2-40B4-BE49-F238E27FC236}">
              <a16:creationId xmlns:a16="http://schemas.microsoft.com/office/drawing/2014/main" id="{1910FE60-07AE-EC3A-9F4D-3ED4C1AE37BC}"/>
            </a:ext>
          </a:extLst>
        </cdr:cNvPr>
        <cdr:cNvSpPr txBox="1"/>
      </cdr:nvSpPr>
      <cdr:spPr>
        <a:xfrm xmlns:a="http://schemas.openxmlformats.org/drawingml/2006/main">
          <a:off x="1389091" y="0"/>
          <a:ext cx="868100" cy="27926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00" b="1">
              <a:latin typeface="Arial" panose="020B0604020202020204" pitchFamily="34" charset="0"/>
              <a:cs typeface="Arial" panose="020B0604020202020204" pitchFamily="34" charset="0"/>
            </a:rPr>
            <a:t>Ranking</a:t>
          </a:r>
        </a:p>
      </cdr:txBody>
    </cdr:sp>
  </cdr:relSizeAnchor>
  <cdr:relSizeAnchor xmlns:cdr="http://schemas.openxmlformats.org/drawingml/2006/chartDrawing">
    <cdr:from>
      <cdr:x>0.01894</cdr:x>
      <cdr:y>0.07019</cdr:y>
    </cdr:from>
    <cdr:to>
      <cdr:x>0.29928</cdr:x>
      <cdr:y>0.20051</cdr:y>
    </cdr:to>
    <cdr:sp macro="" textlink="Fact1_2!$BI$46">
      <cdr:nvSpPr>
        <cdr:cNvPr id="3" name="Rectangle 2">
          <a:extLst xmlns:a="http://schemas.openxmlformats.org/drawingml/2006/main">
            <a:ext uri="{FF2B5EF4-FFF2-40B4-BE49-F238E27FC236}">
              <a16:creationId xmlns:a16="http://schemas.microsoft.com/office/drawing/2014/main" id="{3D190DF2-A167-02AF-B3EC-43FF2887DDBC}"/>
            </a:ext>
          </a:extLst>
        </cdr:cNvPr>
        <cdr:cNvSpPr/>
      </cdr:nvSpPr>
      <cdr:spPr>
        <a:xfrm xmlns:a="http://schemas.openxmlformats.org/drawingml/2006/main">
          <a:off x="74871" y="384915"/>
          <a:ext cx="1108207" cy="714763"/>
        </a:xfrm>
        <a:prstGeom xmlns:a="http://schemas.openxmlformats.org/drawingml/2006/main" prst="rect">
          <a:avLst/>
        </a:prstGeom>
        <a:solidFill xmlns:a="http://schemas.openxmlformats.org/drawingml/2006/main">
          <a:srgbClr val="57A5DF">
            <a:alpha val="31000"/>
          </a:srgbClr>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fld id="{D8223254-2635-4CA2-B7ED-AF439AA51780}" type="TxLink">
            <a:rPr lang="en-US" sz="1200" b="1" i="0" u="none" strike="noStrike">
              <a:solidFill>
                <a:srgbClr val="000000"/>
              </a:solidFill>
              <a:latin typeface="Arial" panose="020B0604020202020204" pitchFamily="34" charset="0"/>
              <a:ea typeface="Calibri"/>
              <a:cs typeface="Arial" panose="020B0604020202020204" pitchFamily="34" charset="0"/>
            </a:rPr>
            <a:pPr algn="ctr"/>
            <a:t>59%</a:t>
          </a:fld>
          <a:endParaRPr lang="en-US" sz="12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0.01798</cdr:x>
      <cdr:y>0.20051</cdr:y>
    </cdr:from>
    <cdr:to>
      <cdr:x>0.29832</cdr:x>
      <cdr:y>0.8538</cdr:y>
    </cdr:to>
    <cdr:sp macro="" textlink="Fact1_2!$BI$47">
      <cdr:nvSpPr>
        <cdr:cNvPr id="4" name="Rectangle 3">
          <a:extLst xmlns:a="http://schemas.openxmlformats.org/drawingml/2006/main">
            <a:ext uri="{FF2B5EF4-FFF2-40B4-BE49-F238E27FC236}">
              <a16:creationId xmlns:a16="http://schemas.microsoft.com/office/drawing/2014/main" id="{83273E01-DC1B-3BCD-81FA-10E2EABBAAA7}"/>
            </a:ext>
          </a:extLst>
        </cdr:cNvPr>
        <cdr:cNvSpPr/>
      </cdr:nvSpPr>
      <cdr:spPr>
        <a:xfrm xmlns:a="http://schemas.openxmlformats.org/drawingml/2006/main">
          <a:off x="71060" y="1099679"/>
          <a:ext cx="1108208" cy="3582774"/>
        </a:xfrm>
        <a:prstGeom xmlns:a="http://schemas.openxmlformats.org/drawingml/2006/main" prst="rect">
          <a:avLst/>
        </a:prstGeom>
        <a:solidFill xmlns:a="http://schemas.openxmlformats.org/drawingml/2006/main">
          <a:schemeClr val="accent4">
            <a:lumMod val="40000"/>
            <a:lumOff val="60000"/>
            <a:alpha val="31000"/>
          </a:schemeClr>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fld id="{5823243C-00B3-479D-8B7F-4D1BF1B305B4}" type="TxLink">
            <a:rPr lang="en-US" sz="1200" b="0" i="0" u="none" strike="noStrike">
              <a:solidFill>
                <a:srgbClr val="000000"/>
              </a:solidFill>
              <a:latin typeface="Arial" panose="020B0604020202020204" pitchFamily="34" charset="0"/>
              <a:ea typeface="Calibri"/>
              <a:cs typeface="Arial" panose="020B0604020202020204" pitchFamily="34" charset="0"/>
            </a:rPr>
            <a:pPr algn="ctr"/>
            <a:t>41%</a:t>
          </a:fld>
          <a:endParaRPr lang="en-US" sz="12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cdr:x>
      <cdr:y>0</cdr:y>
    </cdr:from>
    <cdr:to>
      <cdr:x>0.31296</cdr:x>
      <cdr:y>0.08225</cdr:y>
    </cdr:to>
    <cdr:sp macro="" textlink="">
      <cdr:nvSpPr>
        <cdr:cNvPr id="5" name="TextBox 4">
          <a:extLst xmlns:a="http://schemas.openxmlformats.org/drawingml/2006/main">
            <a:ext uri="{FF2B5EF4-FFF2-40B4-BE49-F238E27FC236}">
              <a16:creationId xmlns:a16="http://schemas.microsoft.com/office/drawing/2014/main" id="{2A7DF57B-0DFA-9E1B-C267-90DAEB1F6AD1}"/>
            </a:ext>
          </a:extLst>
        </cdr:cNvPr>
        <cdr:cNvSpPr txBox="1"/>
      </cdr:nvSpPr>
      <cdr:spPr>
        <a:xfrm xmlns:a="http://schemas.openxmlformats.org/drawingml/2006/main">
          <a:off x="0" y="0"/>
          <a:ext cx="1233688" cy="46309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000" b="1">
              <a:latin typeface="Arial" panose="020B0604020202020204" pitchFamily="34" charset="0"/>
              <a:cs typeface="Arial" panose="020B0604020202020204" pitchFamily="34" charset="0"/>
            </a:rPr>
            <a:t>Extreme Poverty 2023 (%)</a:t>
          </a:r>
        </a:p>
      </cdr:txBody>
    </cdr:sp>
  </cdr:relSizeAnchor>
  <cdr:relSizeAnchor xmlns:cdr="http://schemas.openxmlformats.org/drawingml/2006/chartDrawing">
    <cdr:from>
      <cdr:x>0.55213</cdr:x>
      <cdr:y>0</cdr:y>
    </cdr:from>
    <cdr:to>
      <cdr:x>0.971</cdr:x>
      <cdr:y>0.07323</cdr:y>
    </cdr:to>
    <cdr:sp macro="" textlink="">
      <cdr:nvSpPr>
        <cdr:cNvPr id="6" name="TextBox 5">
          <a:extLst xmlns:a="http://schemas.openxmlformats.org/drawingml/2006/main">
            <a:ext uri="{FF2B5EF4-FFF2-40B4-BE49-F238E27FC236}">
              <a16:creationId xmlns:a16="http://schemas.microsoft.com/office/drawing/2014/main" id="{19F646A6-031E-1FFB-31CE-FF611369046B}"/>
            </a:ext>
          </a:extLst>
        </cdr:cNvPr>
        <cdr:cNvSpPr txBox="1"/>
      </cdr:nvSpPr>
      <cdr:spPr>
        <a:xfrm xmlns:a="http://schemas.openxmlformats.org/drawingml/2006/main">
          <a:off x="2176490" y="0"/>
          <a:ext cx="1651178" cy="41229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00" b="1">
              <a:latin typeface="Arial" panose="020B0604020202020204" pitchFamily="34" charset="0"/>
              <a:cs typeface="Arial" panose="020B0604020202020204" pitchFamily="34" charset="0"/>
            </a:rPr>
            <a:t>Number of </a:t>
          </a:r>
        </a:p>
        <a:p xmlns:a="http://schemas.openxmlformats.org/drawingml/2006/main">
          <a:r>
            <a:rPr lang="en-US" sz="1000" b="1">
              <a:latin typeface="Arial" panose="020B0604020202020204" pitchFamily="34" charset="0"/>
              <a:cs typeface="Arial" panose="020B0604020202020204" pitchFamily="34" charset="0"/>
            </a:rPr>
            <a:t>peoeple (millions)</a:t>
          </a:r>
        </a:p>
      </cdr:txBody>
    </cdr:sp>
  </cdr:relSizeAnchor>
</c:userShapes>
</file>

<file path=xl/drawings/drawing7.xml><?xml version="1.0" encoding="utf-8"?>
<c:userShapes xmlns:c="http://schemas.openxmlformats.org/drawingml/2006/chart">
  <cdr:relSizeAnchor xmlns:cdr="http://schemas.openxmlformats.org/drawingml/2006/chartDrawing">
    <cdr:from>
      <cdr:x>0.07447</cdr:x>
      <cdr:y>0.04745</cdr:y>
    </cdr:from>
    <cdr:to>
      <cdr:x>0.29469</cdr:x>
      <cdr:y>0.09705</cdr:y>
    </cdr:to>
    <cdr:sp macro="" textlink="">
      <cdr:nvSpPr>
        <cdr:cNvPr id="2" name="TextBox 1">
          <a:extLst xmlns:a="http://schemas.openxmlformats.org/drawingml/2006/main">
            <a:ext uri="{FF2B5EF4-FFF2-40B4-BE49-F238E27FC236}">
              <a16:creationId xmlns:a16="http://schemas.microsoft.com/office/drawing/2014/main" id="{1910FE60-07AE-EC3A-9F4D-3ED4C1AE37BC}"/>
            </a:ext>
          </a:extLst>
        </cdr:cNvPr>
        <cdr:cNvSpPr txBox="1"/>
      </cdr:nvSpPr>
      <cdr:spPr>
        <a:xfrm xmlns:a="http://schemas.openxmlformats.org/drawingml/2006/main">
          <a:off x="393720" y="243804"/>
          <a:ext cx="1164268" cy="2547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00" b="1">
              <a:latin typeface="Montserrat" pitchFamily="2" charset="0"/>
            </a:rPr>
            <a:t>Ranking</a:t>
          </a:r>
        </a:p>
      </cdr:txBody>
    </cdr:sp>
  </cdr:relSizeAnchor>
  <cdr:relSizeAnchor xmlns:cdr="http://schemas.openxmlformats.org/drawingml/2006/chartDrawing">
    <cdr:from>
      <cdr:x>0.07447</cdr:x>
      <cdr:y>0.04745</cdr:y>
    </cdr:from>
    <cdr:to>
      <cdr:x>0.29469</cdr:x>
      <cdr:y>0.09705</cdr:y>
    </cdr:to>
    <cdr:sp macro="" textlink="">
      <cdr:nvSpPr>
        <cdr:cNvPr id="3" name="TextBox 1">
          <a:extLst xmlns:a="http://schemas.openxmlformats.org/drawingml/2006/main">
            <a:ext uri="{FF2B5EF4-FFF2-40B4-BE49-F238E27FC236}">
              <a16:creationId xmlns:a16="http://schemas.microsoft.com/office/drawing/2014/main" id="{1910FE60-07AE-EC3A-9F4D-3ED4C1AE37BC}"/>
            </a:ext>
          </a:extLst>
        </cdr:cNvPr>
        <cdr:cNvSpPr txBox="1"/>
      </cdr:nvSpPr>
      <cdr:spPr>
        <a:xfrm xmlns:a="http://schemas.openxmlformats.org/drawingml/2006/main">
          <a:off x="393720" y="243804"/>
          <a:ext cx="1164268" cy="2547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00" b="1">
              <a:latin typeface="Montserrat" pitchFamily="2" charset="0"/>
            </a:rPr>
            <a:t>Ranking</a:t>
          </a:r>
        </a:p>
      </cdr:txBody>
    </cdr:sp>
  </cdr:relSizeAnchor>
</c:userShapes>
</file>

<file path=xl/drawings/drawing8.xml><?xml version="1.0" encoding="utf-8"?>
<c:userShapes xmlns:c="http://schemas.openxmlformats.org/drawingml/2006/chart">
  <cdr:relSizeAnchor xmlns:cdr="http://schemas.openxmlformats.org/drawingml/2006/chartDrawing">
    <cdr:from>
      <cdr:x>0.79939</cdr:x>
      <cdr:y>0.08069</cdr:y>
    </cdr:from>
    <cdr:to>
      <cdr:x>0.90043</cdr:x>
      <cdr:y>0.933</cdr:y>
    </cdr:to>
    <cdr:sp macro="" textlink="">
      <cdr:nvSpPr>
        <cdr:cNvPr id="2" name="Rectangle 1">
          <a:extLst xmlns:a="http://schemas.openxmlformats.org/drawingml/2006/main">
            <a:ext uri="{FF2B5EF4-FFF2-40B4-BE49-F238E27FC236}">
              <a16:creationId xmlns:a16="http://schemas.microsoft.com/office/drawing/2014/main" id="{1B8EF7CC-11BA-E0C0-4BF1-301CF9AA51C7}"/>
            </a:ext>
          </a:extLst>
        </cdr:cNvPr>
        <cdr:cNvSpPr/>
      </cdr:nvSpPr>
      <cdr:spPr>
        <a:xfrm xmlns:a="http://schemas.openxmlformats.org/drawingml/2006/main">
          <a:off x="9547604" y="347760"/>
          <a:ext cx="1206781" cy="3673370"/>
        </a:xfrm>
        <a:prstGeom xmlns:a="http://schemas.openxmlformats.org/drawingml/2006/main" prst="rect">
          <a:avLst/>
        </a:prstGeom>
        <a:solidFill xmlns:a="http://schemas.openxmlformats.org/drawingml/2006/main">
          <a:schemeClr val="bg1">
            <a:lumMod val="75000"/>
            <a:alpha val="21000"/>
          </a:schemeClr>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0.01302</cdr:x>
      <cdr:y>0.80287</cdr:y>
    </cdr:from>
    <cdr:to>
      <cdr:x>0.06305</cdr:x>
      <cdr:y>0.89022</cdr:y>
    </cdr:to>
    <cdr:sp macro="" textlink="">
      <cdr:nvSpPr>
        <cdr:cNvPr id="3" name="Rectangle 2">
          <a:extLst xmlns:a="http://schemas.openxmlformats.org/drawingml/2006/main">
            <a:ext uri="{FF2B5EF4-FFF2-40B4-BE49-F238E27FC236}">
              <a16:creationId xmlns:a16="http://schemas.microsoft.com/office/drawing/2014/main" id="{B2375360-3EF5-ADB7-B5BE-F47FB04225D5}"/>
            </a:ext>
          </a:extLst>
        </cdr:cNvPr>
        <cdr:cNvSpPr/>
      </cdr:nvSpPr>
      <cdr:spPr>
        <a:xfrm xmlns:a="http://schemas.openxmlformats.org/drawingml/2006/main">
          <a:off x="157720" y="3316224"/>
          <a:ext cx="606136" cy="360796"/>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0.87737</cdr:x>
      <cdr:y>0.07926</cdr:y>
    </cdr:from>
    <cdr:to>
      <cdr:x>0.97947</cdr:x>
      <cdr:y>0.89564</cdr:y>
    </cdr:to>
    <cdr:sp macro="" textlink="">
      <cdr:nvSpPr>
        <cdr:cNvPr id="2" name="Rectangle 1">
          <a:extLst xmlns:a="http://schemas.openxmlformats.org/drawingml/2006/main">
            <a:ext uri="{FF2B5EF4-FFF2-40B4-BE49-F238E27FC236}">
              <a16:creationId xmlns:a16="http://schemas.microsoft.com/office/drawing/2014/main" id="{1B8EF7CC-11BA-E0C0-4BF1-301CF9AA51C7}"/>
            </a:ext>
          </a:extLst>
        </cdr:cNvPr>
        <cdr:cNvSpPr/>
      </cdr:nvSpPr>
      <cdr:spPr>
        <a:xfrm xmlns:a="http://schemas.openxmlformats.org/drawingml/2006/main">
          <a:off x="9762385" y="362616"/>
          <a:ext cx="1136055" cy="3734882"/>
        </a:xfrm>
        <a:prstGeom xmlns:a="http://schemas.openxmlformats.org/drawingml/2006/main" prst="rect">
          <a:avLst/>
        </a:prstGeom>
        <a:solidFill xmlns:a="http://schemas.openxmlformats.org/drawingml/2006/main">
          <a:schemeClr val="bg1">
            <a:lumMod val="75000"/>
            <a:alpha val="21000"/>
          </a:schemeClr>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0.01302</cdr:x>
      <cdr:y>0.80287</cdr:y>
    </cdr:from>
    <cdr:to>
      <cdr:x>0.06305</cdr:x>
      <cdr:y>0.89022</cdr:y>
    </cdr:to>
    <cdr:sp macro="" textlink="">
      <cdr:nvSpPr>
        <cdr:cNvPr id="3" name="Rectangle 2">
          <a:extLst xmlns:a="http://schemas.openxmlformats.org/drawingml/2006/main">
            <a:ext uri="{FF2B5EF4-FFF2-40B4-BE49-F238E27FC236}">
              <a16:creationId xmlns:a16="http://schemas.microsoft.com/office/drawing/2014/main" id="{B2375360-3EF5-ADB7-B5BE-F47FB04225D5}"/>
            </a:ext>
          </a:extLst>
        </cdr:cNvPr>
        <cdr:cNvSpPr/>
      </cdr:nvSpPr>
      <cdr:spPr>
        <a:xfrm xmlns:a="http://schemas.openxmlformats.org/drawingml/2006/main">
          <a:off x="157720" y="3316224"/>
          <a:ext cx="606136" cy="360796"/>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0.xml><?xml version="1.0" encoding="utf-8"?>
<xdr:wsDr xmlns:xdr="http://schemas.openxmlformats.org/drawingml/2006/spreadsheetDrawing" xmlns:a="http://schemas.openxmlformats.org/drawingml/2006/main">
  <xdr:twoCellAnchor>
    <xdr:from>
      <xdr:col>16</xdr:col>
      <xdr:colOff>161017</xdr:colOff>
      <xdr:row>20</xdr:row>
      <xdr:rowOff>127001</xdr:rowOff>
    </xdr:from>
    <xdr:to>
      <xdr:col>19</xdr:col>
      <xdr:colOff>161018</xdr:colOff>
      <xdr:row>43</xdr:row>
      <xdr:rowOff>15875</xdr:rowOff>
    </xdr:to>
    <xdr:sp macro="" textlink="$J$55">
      <xdr:nvSpPr>
        <xdr:cNvPr id="2" name="Oval 1">
          <a:extLst>
            <a:ext uri="{FF2B5EF4-FFF2-40B4-BE49-F238E27FC236}">
              <a16:creationId xmlns:a16="http://schemas.microsoft.com/office/drawing/2014/main" id="{00000000-0008-0000-0900-000002000000}"/>
            </a:ext>
          </a:extLst>
        </xdr:cNvPr>
        <xdr:cNvSpPr/>
      </xdr:nvSpPr>
      <xdr:spPr>
        <a:xfrm>
          <a:off x="58739767" y="4705351"/>
          <a:ext cx="1828801" cy="1419224"/>
        </a:xfrm>
        <a:prstGeom prst="ellipse">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8BA8BDDE-63C8-48D6-8B7D-B99FE158CAF6}" type="TxLink">
            <a:rPr lang="en-US" sz="2800" b="1" i="0" u="none" strike="noStrike">
              <a:solidFill>
                <a:schemeClr val="bg1"/>
              </a:solidFill>
              <a:latin typeface="Montserrat" pitchFamily="2" charset="0"/>
              <a:ea typeface="Calibri"/>
              <a:cs typeface="Calibri"/>
            </a:rPr>
            <a:pPr marL="0" indent="0" algn="ctr"/>
            <a:t> </a:t>
          </a:fld>
          <a:endParaRPr lang="en-US" sz="2800" b="1" i="0" u="none" strike="noStrike">
            <a:solidFill>
              <a:schemeClr val="bg1"/>
            </a:solidFill>
            <a:latin typeface="Montserrat" pitchFamily="2" charset="0"/>
            <a:ea typeface="Calibri"/>
            <a:cs typeface="Calibri"/>
          </a:endParaRPr>
        </a:p>
      </xdr:txBody>
    </xdr:sp>
    <xdr:clientData/>
  </xdr:twoCellAnchor>
  <xdr:twoCellAnchor>
    <xdr:from>
      <xdr:col>27</xdr:col>
      <xdr:colOff>272141</xdr:colOff>
      <xdr:row>2</xdr:row>
      <xdr:rowOff>252187</xdr:rowOff>
    </xdr:from>
    <xdr:to>
      <xdr:col>38</xdr:col>
      <xdr:colOff>462642</xdr:colOff>
      <xdr:row>15</xdr:row>
      <xdr:rowOff>156030</xdr:rowOff>
    </xdr:to>
    <xdr:graphicFrame macro="">
      <xdr:nvGraphicFramePr>
        <xdr:cNvPr id="3" name="Chart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229453</xdr:colOff>
      <xdr:row>20</xdr:row>
      <xdr:rowOff>2839</xdr:rowOff>
    </xdr:from>
    <xdr:to>
      <xdr:col>33</xdr:col>
      <xdr:colOff>283882</xdr:colOff>
      <xdr:row>35</xdr:row>
      <xdr:rowOff>31696</xdr:rowOff>
    </xdr:to>
    <xdr:graphicFrame macro="">
      <xdr:nvGraphicFramePr>
        <xdr:cNvPr id="4" name="Chart 3">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500845</xdr:colOff>
      <xdr:row>36</xdr:row>
      <xdr:rowOff>36328</xdr:rowOff>
    </xdr:from>
    <xdr:to>
      <xdr:col>35</xdr:col>
      <xdr:colOff>574072</xdr:colOff>
      <xdr:row>56</xdr:row>
      <xdr:rowOff>177617</xdr:rowOff>
    </xdr:to>
    <xdr:graphicFrame macro="">
      <xdr:nvGraphicFramePr>
        <xdr:cNvPr id="5" name="Chart 4">
          <a:extLst>
            <a:ext uri="{FF2B5EF4-FFF2-40B4-BE49-F238E27FC236}">
              <a16:creationId xmlns:a16="http://schemas.microsoft.com/office/drawing/2014/main" id="{00000000-0008-0000-0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9</xdr:col>
      <xdr:colOff>511425</xdr:colOff>
      <xdr:row>1</xdr:row>
      <xdr:rowOff>146280</xdr:rowOff>
    </xdr:from>
    <xdr:to>
      <xdr:col>17</xdr:col>
      <xdr:colOff>195442</xdr:colOff>
      <xdr:row>16</xdr:row>
      <xdr:rowOff>152411</xdr:rowOff>
    </xdr:to>
    <xdr:graphicFrame macro="">
      <xdr:nvGraphicFramePr>
        <xdr:cNvPr id="3" name="Chart 2">
          <a:extLst>
            <a:ext uri="{FF2B5EF4-FFF2-40B4-BE49-F238E27FC236}">
              <a16:creationId xmlns:a16="http://schemas.microsoft.com/office/drawing/2014/main" id="{3316C352-091C-F369-52F2-A2ED528A0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480320</xdr:colOff>
      <xdr:row>17</xdr:row>
      <xdr:rowOff>105833</xdr:rowOff>
    </xdr:from>
    <xdr:to>
      <xdr:col>17</xdr:col>
      <xdr:colOff>164337</xdr:colOff>
      <xdr:row>32</xdr:row>
      <xdr:rowOff>111964</xdr:rowOff>
    </xdr:to>
    <xdr:graphicFrame macro="">
      <xdr:nvGraphicFramePr>
        <xdr:cNvPr id="2" name="Chart 1">
          <a:extLst>
            <a:ext uri="{FF2B5EF4-FFF2-40B4-BE49-F238E27FC236}">
              <a16:creationId xmlns:a16="http://schemas.microsoft.com/office/drawing/2014/main" id="{01AEB86D-276D-45AB-8571-1EB39A380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350065</xdr:colOff>
      <xdr:row>1</xdr:row>
      <xdr:rowOff>138398</xdr:rowOff>
    </xdr:from>
    <xdr:to>
      <xdr:col>25</xdr:col>
      <xdr:colOff>34081</xdr:colOff>
      <xdr:row>16</xdr:row>
      <xdr:rowOff>144529</xdr:rowOff>
    </xdr:to>
    <xdr:graphicFrame macro="">
      <xdr:nvGraphicFramePr>
        <xdr:cNvPr id="5" name="Chart 4">
          <a:extLst>
            <a:ext uri="{FF2B5EF4-FFF2-40B4-BE49-F238E27FC236}">
              <a16:creationId xmlns:a16="http://schemas.microsoft.com/office/drawing/2014/main" id="{EA11C161-3C40-4DCE-B647-02E4FF347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382731</xdr:colOff>
      <xdr:row>26</xdr:row>
      <xdr:rowOff>74083</xdr:rowOff>
    </xdr:from>
    <xdr:to>
      <xdr:col>11</xdr:col>
      <xdr:colOff>486834</xdr:colOff>
      <xdr:row>44</xdr:row>
      <xdr:rowOff>169333</xdr:rowOff>
    </xdr:to>
    <xdr:graphicFrame macro="">
      <xdr:nvGraphicFramePr>
        <xdr:cNvPr id="2" name="Chart 1">
          <a:extLst>
            <a:ext uri="{FF2B5EF4-FFF2-40B4-BE49-F238E27FC236}">
              <a16:creationId xmlns:a16="http://schemas.microsoft.com/office/drawing/2014/main" id="{1721EB15-0546-EDB1-905D-236E6FE14E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22</xdr:col>
      <xdr:colOff>189138</xdr:colOff>
      <xdr:row>1</xdr:row>
      <xdr:rowOff>107042</xdr:rowOff>
    </xdr:from>
    <xdr:to>
      <xdr:col>33</xdr:col>
      <xdr:colOff>254000</xdr:colOff>
      <xdr:row>16</xdr:row>
      <xdr:rowOff>87992</xdr:rowOff>
    </xdr:to>
    <xdr:graphicFrame macro="">
      <xdr:nvGraphicFramePr>
        <xdr:cNvPr id="2" name="Chart 1">
          <a:extLst>
            <a:ext uri="{FF2B5EF4-FFF2-40B4-BE49-F238E27FC236}">
              <a16:creationId xmlns:a16="http://schemas.microsoft.com/office/drawing/2014/main" id="{DCD2CEDD-FF76-93BD-0E47-557B450D8D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178593</xdr:colOff>
      <xdr:row>16</xdr:row>
      <xdr:rowOff>132555</xdr:rowOff>
    </xdr:from>
    <xdr:to>
      <xdr:col>33</xdr:col>
      <xdr:colOff>598714</xdr:colOff>
      <xdr:row>33</xdr:row>
      <xdr:rowOff>95249</xdr:rowOff>
    </xdr:to>
    <xdr:graphicFrame macro="">
      <xdr:nvGraphicFramePr>
        <xdr:cNvPr id="5" name="Chart 4">
          <a:extLst>
            <a:ext uri="{FF2B5EF4-FFF2-40B4-BE49-F238E27FC236}">
              <a16:creationId xmlns:a16="http://schemas.microsoft.com/office/drawing/2014/main" id="{EB89F861-745B-9EDE-61D9-F5681B1388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0.18762</cdr:x>
      <cdr:y>0</cdr:y>
    </cdr:from>
    <cdr:to>
      <cdr:x>0.18762</cdr:x>
      <cdr:y>0.83334</cdr:y>
    </cdr:to>
    <cdr:cxnSp macro="">
      <cdr:nvCxnSpPr>
        <cdr:cNvPr id="3" name="Straight Connector 2">
          <a:extLst xmlns:a="http://schemas.openxmlformats.org/drawingml/2006/main">
            <a:ext uri="{FF2B5EF4-FFF2-40B4-BE49-F238E27FC236}">
              <a16:creationId xmlns:a16="http://schemas.microsoft.com/office/drawing/2014/main" id="{B1CA3382-C5E6-9C65-2A92-C1EEAD1B052E}"/>
            </a:ext>
          </a:extLst>
        </cdr:cNvPr>
        <cdr:cNvCxnSpPr/>
      </cdr:nvCxnSpPr>
      <cdr:spPr>
        <a:xfrm xmlns:a="http://schemas.openxmlformats.org/drawingml/2006/main">
          <a:off x="1266539" y="0"/>
          <a:ext cx="0" cy="2251999"/>
        </a:xfrm>
        <a:prstGeom xmlns:a="http://schemas.openxmlformats.org/drawingml/2006/main" prst="line">
          <a:avLst/>
        </a:prstGeom>
        <a:ln xmlns:a="http://schemas.openxmlformats.org/drawingml/2006/main" w="9525">
          <a:solidFill>
            <a:schemeClr val="bg1">
              <a:lumMod val="85000"/>
            </a:schemeClr>
          </a:solidFill>
        </a:ln>
      </cdr:spPr>
      <cdr:style>
        <a:lnRef xmlns:a="http://schemas.openxmlformats.org/drawingml/2006/main" idx="1">
          <a:schemeClr val="accent6"/>
        </a:lnRef>
        <a:fillRef xmlns:a="http://schemas.openxmlformats.org/drawingml/2006/main" idx="0">
          <a:schemeClr val="accent6"/>
        </a:fillRef>
        <a:effectRef xmlns:a="http://schemas.openxmlformats.org/drawingml/2006/main" idx="0">
          <a:schemeClr val="accent6"/>
        </a:effectRef>
        <a:fontRef xmlns:a="http://schemas.openxmlformats.org/drawingml/2006/main" idx="minor">
          <a:schemeClr val="tx1"/>
        </a:fontRef>
      </cdr:style>
    </cdr:cxnSp>
  </cdr:relSizeAnchor>
  <cdr:relSizeAnchor xmlns:cdr="http://schemas.openxmlformats.org/drawingml/2006/chartDrawing">
    <cdr:from>
      <cdr:x>0.31691</cdr:x>
      <cdr:y>0</cdr:y>
    </cdr:from>
    <cdr:to>
      <cdr:x>0.31691</cdr:x>
      <cdr:y>0.83334</cdr:y>
    </cdr:to>
    <cdr:cxnSp macro="">
      <cdr:nvCxnSpPr>
        <cdr:cNvPr id="4" name="Straight Connector 3">
          <a:extLst xmlns:a="http://schemas.openxmlformats.org/drawingml/2006/main">
            <a:ext uri="{FF2B5EF4-FFF2-40B4-BE49-F238E27FC236}">
              <a16:creationId xmlns:a16="http://schemas.microsoft.com/office/drawing/2014/main" id="{C6EF06A0-790F-B730-952E-689C70797364}"/>
            </a:ext>
          </a:extLst>
        </cdr:cNvPr>
        <cdr:cNvCxnSpPr/>
      </cdr:nvCxnSpPr>
      <cdr:spPr>
        <a:xfrm xmlns:a="http://schemas.openxmlformats.org/drawingml/2006/main">
          <a:off x="2139276" y="0"/>
          <a:ext cx="0" cy="2252000"/>
        </a:xfrm>
        <a:prstGeom xmlns:a="http://schemas.openxmlformats.org/drawingml/2006/main" prst="line">
          <a:avLst/>
        </a:prstGeom>
        <a:ln xmlns:a="http://schemas.openxmlformats.org/drawingml/2006/main" w="9525">
          <a:solidFill>
            <a:schemeClr val="bg1">
              <a:lumMod val="85000"/>
            </a:schemeClr>
          </a:solidFill>
        </a:ln>
      </cdr:spPr>
      <cdr:style>
        <a:lnRef xmlns:a="http://schemas.openxmlformats.org/drawingml/2006/main" idx="1">
          <a:schemeClr val="accent6"/>
        </a:lnRef>
        <a:fillRef xmlns:a="http://schemas.openxmlformats.org/drawingml/2006/main" idx="0">
          <a:schemeClr val="accent6"/>
        </a:fillRef>
        <a:effectRef xmlns:a="http://schemas.openxmlformats.org/drawingml/2006/main" idx="0">
          <a:schemeClr val="accent6"/>
        </a:effectRef>
        <a:fontRef xmlns:a="http://schemas.openxmlformats.org/drawingml/2006/main" idx="minor">
          <a:schemeClr val="tx1"/>
        </a:fontRef>
      </cdr:style>
    </cdr:cxnSp>
  </cdr:relSizeAnchor>
  <cdr:relSizeAnchor xmlns:cdr="http://schemas.openxmlformats.org/drawingml/2006/chartDrawing">
    <cdr:from>
      <cdr:x>0.44927</cdr:x>
      <cdr:y>0</cdr:y>
    </cdr:from>
    <cdr:to>
      <cdr:x>0.44927</cdr:x>
      <cdr:y>0.83334</cdr:y>
    </cdr:to>
    <cdr:cxnSp macro="">
      <cdr:nvCxnSpPr>
        <cdr:cNvPr id="5" name="Straight Connector 4">
          <a:extLst xmlns:a="http://schemas.openxmlformats.org/drawingml/2006/main">
            <a:ext uri="{FF2B5EF4-FFF2-40B4-BE49-F238E27FC236}">
              <a16:creationId xmlns:a16="http://schemas.microsoft.com/office/drawing/2014/main" id="{D21A57CA-FD58-6D52-37F8-DFF29006447C}"/>
            </a:ext>
          </a:extLst>
        </cdr:cNvPr>
        <cdr:cNvCxnSpPr/>
      </cdr:nvCxnSpPr>
      <cdr:spPr>
        <a:xfrm xmlns:a="http://schemas.openxmlformats.org/drawingml/2006/main">
          <a:off x="3032789" y="0"/>
          <a:ext cx="0" cy="2252000"/>
        </a:xfrm>
        <a:prstGeom xmlns:a="http://schemas.openxmlformats.org/drawingml/2006/main" prst="line">
          <a:avLst/>
        </a:prstGeom>
        <a:ln xmlns:a="http://schemas.openxmlformats.org/drawingml/2006/main" w="9525">
          <a:solidFill>
            <a:schemeClr val="bg1">
              <a:lumMod val="85000"/>
            </a:schemeClr>
          </a:solidFill>
        </a:ln>
      </cdr:spPr>
      <cdr:style>
        <a:lnRef xmlns:a="http://schemas.openxmlformats.org/drawingml/2006/main" idx="1">
          <a:schemeClr val="accent6"/>
        </a:lnRef>
        <a:fillRef xmlns:a="http://schemas.openxmlformats.org/drawingml/2006/main" idx="0">
          <a:schemeClr val="accent6"/>
        </a:fillRef>
        <a:effectRef xmlns:a="http://schemas.openxmlformats.org/drawingml/2006/main" idx="0">
          <a:schemeClr val="accent6"/>
        </a:effectRef>
        <a:fontRef xmlns:a="http://schemas.openxmlformats.org/drawingml/2006/main" idx="minor">
          <a:schemeClr val="tx1"/>
        </a:fontRef>
      </cdr:style>
    </cdr:cxnSp>
  </cdr:relSizeAnchor>
  <cdr:relSizeAnchor xmlns:cdr="http://schemas.openxmlformats.org/drawingml/2006/chartDrawing">
    <cdr:from>
      <cdr:x>0.57788</cdr:x>
      <cdr:y>0</cdr:y>
    </cdr:from>
    <cdr:to>
      <cdr:x>0.57788</cdr:x>
      <cdr:y>0.83334</cdr:y>
    </cdr:to>
    <cdr:cxnSp macro="">
      <cdr:nvCxnSpPr>
        <cdr:cNvPr id="6" name="Straight Connector 5">
          <a:extLst xmlns:a="http://schemas.openxmlformats.org/drawingml/2006/main">
            <a:ext uri="{FF2B5EF4-FFF2-40B4-BE49-F238E27FC236}">
              <a16:creationId xmlns:a16="http://schemas.microsoft.com/office/drawing/2014/main" id="{324AB272-9FD8-0B27-678E-A963EFC3AB6D}"/>
            </a:ext>
          </a:extLst>
        </cdr:cNvPr>
        <cdr:cNvCxnSpPr/>
      </cdr:nvCxnSpPr>
      <cdr:spPr>
        <a:xfrm xmlns:a="http://schemas.openxmlformats.org/drawingml/2006/main">
          <a:off x="3900973" y="0"/>
          <a:ext cx="0" cy="2251999"/>
        </a:xfrm>
        <a:prstGeom xmlns:a="http://schemas.openxmlformats.org/drawingml/2006/main" prst="line">
          <a:avLst/>
        </a:prstGeom>
        <a:ln xmlns:a="http://schemas.openxmlformats.org/drawingml/2006/main" w="9525">
          <a:solidFill>
            <a:schemeClr val="bg1">
              <a:lumMod val="85000"/>
            </a:schemeClr>
          </a:solidFill>
        </a:ln>
      </cdr:spPr>
      <cdr:style>
        <a:lnRef xmlns:a="http://schemas.openxmlformats.org/drawingml/2006/main" idx="1">
          <a:schemeClr val="accent6"/>
        </a:lnRef>
        <a:fillRef xmlns:a="http://schemas.openxmlformats.org/drawingml/2006/main" idx="0">
          <a:schemeClr val="accent6"/>
        </a:fillRef>
        <a:effectRef xmlns:a="http://schemas.openxmlformats.org/drawingml/2006/main" idx="0">
          <a:schemeClr val="accent6"/>
        </a:effectRef>
        <a:fontRef xmlns:a="http://schemas.openxmlformats.org/drawingml/2006/main" idx="minor">
          <a:schemeClr val="tx1"/>
        </a:fontRef>
      </cdr:style>
    </cdr:cxnSp>
  </cdr:relSizeAnchor>
  <cdr:relSizeAnchor xmlns:cdr="http://schemas.openxmlformats.org/drawingml/2006/chartDrawing">
    <cdr:from>
      <cdr:x>0.05176</cdr:x>
      <cdr:y>0.07356</cdr:y>
    </cdr:from>
    <cdr:to>
      <cdr:x>0.1853</cdr:x>
      <cdr:y>0.25759</cdr:y>
    </cdr:to>
    <cdr:sp macro="" textlink="Fact3b!$Q$4">
      <cdr:nvSpPr>
        <cdr:cNvPr id="7" name="TextBox 6">
          <a:extLst xmlns:a="http://schemas.openxmlformats.org/drawingml/2006/main">
            <a:ext uri="{FF2B5EF4-FFF2-40B4-BE49-F238E27FC236}">
              <a16:creationId xmlns:a16="http://schemas.microsoft.com/office/drawing/2014/main" id="{B8559820-20A8-0A8C-A1BD-21B15BC2E758}"/>
            </a:ext>
          </a:extLst>
        </cdr:cNvPr>
        <cdr:cNvSpPr txBox="1"/>
      </cdr:nvSpPr>
      <cdr:spPr>
        <a:xfrm xmlns:a="http://schemas.openxmlformats.org/drawingml/2006/main">
          <a:off x="350439" y="208796"/>
          <a:ext cx="904128" cy="52236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fld id="{E8C5CF2E-9EF8-4708-AA41-02B0EB5963F5}" type="TxLink">
            <a:rPr lang="en-US" sz="800" b="1" i="0" u="none" strike="noStrike">
              <a:solidFill>
                <a:srgbClr val="000000"/>
              </a:solidFill>
              <a:latin typeface="Arial" panose="020B0604020202020204" pitchFamily="34" charset="0"/>
              <a:ea typeface="Calibri"/>
              <a:cs typeface="Arial" panose="020B0604020202020204" pitchFamily="34" charset="0"/>
            </a:rPr>
            <a:pPr algn="ctr"/>
            <a:t>Afro-descendant people</a:t>
          </a:fld>
          <a:endParaRPr lang="en-US" sz="8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0.17778</cdr:x>
      <cdr:y>0.07107</cdr:y>
    </cdr:from>
    <cdr:to>
      <cdr:x>0.33616</cdr:x>
      <cdr:y>0.25579</cdr:y>
    </cdr:to>
    <cdr:sp macro="" textlink="Fact3b!$Q$5">
      <cdr:nvSpPr>
        <cdr:cNvPr id="8" name="TextBox 7">
          <a:extLst xmlns:a="http://schemas.openxmlformats.org/drawingml/2006/main">
            <a:ext uri="{FF2B5EF4-FFF2-40B4-BE49-F238E27FC236}">
              <a16:creationId xmlns:a16="http://schemas.microsoft.com/office/drawing/2014/main" id="{AEB81650-C7FA-732D-1BDB-57CD235A36B0}"/>
            </a:ext>
          </a:extLst>
        </cdr:cNvPr>
        <cdr:cNvSpPr txBox="1"/>
      </cdr:nvSpPr>
      <cdr:spPr>
        <a:xfrm xmlns:a="http://schemas.openxmlformats.org/drawingml/2006/main">
          <a:off x="1200131" y="192057"/>
          <a:ext cx="1069087" cy="4991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indent="0" algn="ctr"/>
          <a:fld id="{28B112BC-1223-44C6-8948-E5414D2F6FC7}" type="TxLink">
            <a:rPr lang="en-US" sz="800" b="1" i="0" u="none" strike="noStrike">
              <a:solidFill>
                <a:srgbClr val="000000"/>
              </a:solidFill>
              <a:latin typeface="Arial" panose="020B0604020202020204" pitchFamily="34" charset="0"/>
              <a:ea typeface="Calibri"/>
              <a:cs typeface="Arial" panose="020B0604020202020204" pitchFamily="34" charset="0"/>
            </a:rPr>
            <a:pPr marL="0" indent="0" algn="ctr"/>
            <a:t>Indigenous people</a:t>
          </a:fld>
          <a:endParaRPr lang="en-US" sz="800" b="1" i="0" u="none" strike="noStrike">
            <a:solidFill>
              <a:srgbClr val="000000"/>
            </a:solidFill>
            <a:latin typeface="Arial" panose="020B0604020202020204" pitchFamily="34" charset="0"/>
            <a:ea typeface="Calibri"/>
            <a:cs typeface="Arial" panose="020B0604020202020204" pitchFamily="34" charset="0"/>
          </a:endParaRPr>
        </a:p>
      </cdr:txBody>
    </cdr:sp>
  </cdr:relSizeAnchor>
  <cdr:relSizeAnchor xmlns:cdr="http://schemas.openxmlformats.org/drawingml/2006/chartDrawing">
    <cdr:from>
      <cdr:x>0.32347</cdr:x>
      <cdr:y>0.07399</cdr:y>
    </cdr:from>
    <cdr:to>
      <cdr:x>0.45172</cdr:x>
      <cdr:y>0.21118</cdr:y>
    </cdr:to>
    <cdr:sp macro="" textlink="Fact3b!$Q$6">
      <cdr:nvSpPr>
        <cdr:cNvPr id="9" name="TextBox 8">
          <a:extLst xmlns:a="http://schemas.openxmlformats.org/drawingml/2006/main">
            <a:ext uri="{FF2B5EF4-FFF2-40B4-BE49-F238E27FC236}">
              <a16:creationId xmlns:a16="http://schemas.microsoft.com/office/drawing/2014/main" id="{88FD5452-8B3C-86A5-B011-F3D037D18BD4}"/>
            </a:ext>
          </a:extLst>
        </cdr:cNvPr>
        <cdr:cNvSpPr txBox="1"/>
      </cdr:nvSpPr>
      <cdr:spPr>
        <a:xfrm xmlns:a="http://schemas.openxmlformats.org/drawingml/2006/main">
          <a:off x="2183561" y="199948"/>
          <a:ext cx="865801" cy="37073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indent="0" algn="ctr"/>
          <a:fld id="{EF1C4EF6-A6B8-40A8-97E4-F6B8F2060570}" type="TxLink">
            <a:rPr lang="en-US" sz="800" b="1" i="0" u="none" strike="noStrike">
              <a:solidFill>
                <a:srgbClr val="000000"/>
              </a:solidFill>
              <a:latin typeface="Arial" panose="020B0604020202020204" pitchFamily="34" charset="0"/>
              <a:ea typeface="Calibri"/>
              <a:cs typeface="Arial" panose="020B0604020202020204" pitchFamily="34" charset="0"/>
            </a:rPr>
            <a:pPr marL="0" indent="0" algn="ctr"/>
            <a:t>People with disabilities</a:t>
          </a:fld>
          <a:endParaRPr lang="en-US" sz="800" b="1" i="0" u="none" strike="noStrike">
            <a:solidFill>
              <a:srgbClr val="000000"/>
            </a:solidFill>
            <a:latin typeface="Arial" panose="020B0604020202020204" pitchFamily="34" charset="0"/>
            <a:ea typeface="Calibri"/>
            <a:cs typeface="Arial" panose="020B0604020202020204" pitchFamily="34" charset="0"/>
          </a:endParaRPr>
        </a:p>
      </cdr:txBody>
    </cdr:sp>
  </cdr:relSizeAnchor>
  <cdr:relSizeAnchor xmlns:cdr="http://schemas.openxmlformats.org/drawingml/2006/chartDrawing">
    <cdr:from>
      <cdr:x>0.4584</cdr:x>
      <cdr:y>0.07735</cdr:y>
    </cdr:from>
    <cdr:to>
      <cdr:x>0.56729</cdr:x>
      <cdr:y>0.18194</cdr:y>
    </cdr:to>
    <cdr:sp macro="" textlink="Fact3b!$Q$7">
      <cdr:nvSpPr>
        <cdr:cNvPr id="10" name="TextBox 9">
          <a:extLst xmlns:a="http://schemas.openxmlformats.org/drawingml/2006/main">
            <a:ext uri="{FF2B5EF4-FFF2-40B4-BE49-F238E27FC236}">
              <a16:creationId xmlns:a16="http://schemas.microsoft.com/office/drawing/2014/main" id="{8DFE2DA0-71D1-772B-AA9A-DD48079973FA}"/>
            </a:ext>
          </a:extLst>
        </cdr:cNvPr>
        <cdr:cNvSpPr txBox="1"/>
      </cdr:nvSpPr>
      <cdr:spPr>
        <a:xfrm xmlns:a="http://schemas.openxmlformats.org/drawingml/2006/main">
          <a:off x="3094418" y="209020"/>
          <a:ext cx="735087" cy="28265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indent="0" algn="ctr"/>
          <a:fld id="{BFADDF10-9B8F-45F2-A1BD-30C466F4AC11}" type="TxLink">
            <a:rPr lang="en-US" sz="800" b="1" i="0" u="none" strike="noStrike">
              <a:solidFill>
                <a:srgbClr val="000000"/>
              </a:solidFill>
              <a:latin typeface="Arial" panose="020B0604020202020204" pitchFamily="34" charset="0"/>
              <a:ea typeface="Calibri"/>
              <a:cs typeface="Arial" panose="020B0604020202020204" pitchFamily="34" charset="0"/>
            </a:rPr>
            <a:pPr marL="0" indent="0" algn="ctr"/>
            <a:t>Migrants</a:t>
          </a:fld>
          <a:endParaRPr lang="en-US" sz="800" b="1" i="0" u="none" strike="noStrike">
            <a:solidFill>
              <a:srgbClr val="000000"/>
            </a:solidFill>
            <a:latin typeface="Arial" panose="020B0604020202020204" pitchFamily="34" charset="0"/>
            <a:ea typeface="Calibri"/>
            <a:cs typeface="Arial" panose="020B0604020202020204" pitchFamily="34" charset="0"/>
          </a:endParaRPr>
        </a:p>
      </cdr:txBody>
    </cdr:sp>
  </cdr:relSizeAnchor>
  <cdr:relSizeAnchor xmlns:cdr="http://schemas.openxmlformats.org/drawingml/2006/chartDrawing">
    <cdr:from>
      <cdr:x>0.57395</cdr:x>
      <cdr:y>0.07735</cdr:y>
    </cdr:from>
    <cdr:to>
      <cdr:x>0.71377</cdr:x>
      <cdr:y>0.16516</cdr:y>
    </cdr:to>
    <cdr:sp macro="" textlink="Fact3b!$Q$8">
      <cdr:nvSpPr>
        <cdr:cNvPr id="11" name="TextBox 10">
          <a:extLst xmlns:a="http://schemas.openxmlformats.org/drawingml/2006/main">
            <a:ext uri="{FF2B5EF4-FFF2-40B4-BE49-F238E27FC236}">
              <a16:creationId xmlns:a16="http://schemas.microsoft.com/office/drawing/2014/main" id="{EFAADC0C-3438-C0C9-2454-4CADD41D1E17}"/>
            </a:ext>
          </a:extLst>
        </cdr:cNvPr>
        <cdr:cNvSpPr txBox="1"/>
      </cdr:nvSpPr>
      <cdr:spPr>
        <a:xfrm xmlns:a="http://schemas.openxmlformats.org/drawingml/2006/main">
          <a:off x="3874486" y="209019"/>
          <a:ext cx="943805" cy="23729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indent="0" algn="ctr"/>
          <a:fld id="{583A81EC-5F0D-4C9E-83A5-7AEEB8508DB2}" type="TxLink">
            <a:rPr lang="en-US" sz="800" b="1" i="0" u="none" strike="noStrike">
              <a:solidFill>
                <a:srgbClr val="000000"/>
              </a:solidFill>
              <a:latin typeface="Arial" panose="020B0604020202020204" pitchFamily="34" charset="0"/>
              <a:ea typeface="Calibri"/>
              <a:cs typeface="Arial" panose="020B0604020202020204" pitchFamily="34" charset="0"/>
            </a:rPr>
            <a:pPr marL="0" indent="0" algn="ctr"/>
            <a:t>Women</a:t>
          </a:fld>
          <a:endParaRPr lang="en-US" sz="800" b="1" i="0" u="none" strike="noStrike">
            <a:solidFill>
              <a:srgbClr val="000000"/>
            </a:solidFill>
            <a:latin typeface="Arial" panose="020B0604020202020204" pitchFamily="34" charset="0"/>
            <a:ea typeface="Calibri"/>
            <a:cs typeface="Arial" panose="020B0604020202020204" pitchFamily="34" charset="0"/>
          </a:endParaRPr>
        </a:p>
      </cdr:txBody>
    </cdr:sp>
  </cdr:relSizeAnchor>
  <cdr:relSizeAnchor xmlns:cdr="http://schemas.openxmlformats.org/drawingml/2006/chartDrawing">
    <cdr:from>
      <cdr:x>0.7078</cdr:x>
      <cdr:y>0</cdr:y>
    </cdr:from>
    <cdr:to>
      <cdr:x>0.7078</cdr:x>
      <cdr:y>0.83334</cdr:y>
    </cdr:to>
    <cdr:cxnSp macro="">
      <cdr:nvCxnSpPr>
        <cdr:cNvPr id="2" name="Straight Connector 1">
          <a:extLst xmlns:a="http://schemas.openxmlformats.org/drawingml/2006/main">
            <a:ext uri="{FF2B5EF4-FFF2-40B4-BE49-F238E27FC236}">
              <a16:creationId xmlns:a16="http://schemas.microsoft.com/office/drawing/2014/main" id="{50B653E0-D5BF-404C-1622-A099A8B75B11}"/>
            </a:ext>
          </a:extLst>
        </cdr:cNvPr>
        <cdr:cNvCxnSpPr/>
      </cdr:nvCxnSpPr>
      <cdr:spPr>
        <a:xfrm xmlns:a="http://schemas.openxmlformats.org/drawingml/2006/main">
          <a:off x="4778039" y="0"/>
          <a:ext cx="0" cy="2251999"/>
        </a:xfrm>
        <a:prstGeom xmlns:a="http://schemas.openxmlformats.org/drawingml/2006/main" prst="line">
          <a:avLst/>
        </a:prstGeom>
        <a:ln xmlns:a="http://schemas.openxmlformats.org/drawingml/2006/main" w="9525">
          <a:solidFill>
            <a:schemeClr val="bg1">
              <a:lumMod val="85000"/>
            </a:schemeClr>
          </a:solidFill>
        </a:ln>
      </cdr:spPr>
      <cdr:style>
        <a:lnRef xmlns:a="http://schemas.openxmlformats.org/drawingml/2006/main" idx="1">
          <a:schemeClr val="accent6"/>
        </a:lnRef>
        <a:fillRef xmlns:a="http://schemas.openxmlformats.org/drawingml/2006/main" idx="0">
          <a:schemeClr val="accent6"/>
        </a:fillRef>
        <a:effectRef xmlns:a="http://schemas.openxmlformats.org/drawingml/2006/main" idx="0">
          <a:schemeClr val="accent6"/>
        </a:effectRef>
        <a:fontRef xmlns:a="http://schemas.openxmlformats.org/drawingml/2006/main" idx="minor">
          <a:schemeClr val="tx1"/>
        </a:fontRef>
      </cdr:style>
    </cdr:cxnSp>
  </cdr:relSizeAnchor>
  <cdr:relSizeAnchor xmlns:cdr="http://schemas.openxmlformats.org/drawingml/2006/chartDrawing">
    <cdr:from>
      <cdr:x>0.8396</cdr:x>
      <cdr:y>0</cdr:y>
    </cdr:from>
    <cdr:to>
      <cdr:x>0.8396</cdr:x>
      <cdr:y>0.83334</cdr:y>
    </cdr:to>
    <cdr:cxnSp macro="">
      <cdr:nvCxnSpPr>
        <cdr:cNvPr id="12" name="Straight Connector 11">
          <a:extLst xmlns:a="http://schemas.openxmlformats.org/drawingml/2006/main">
            <a:ext uri="{FF2B5EF4-FFF2-40B4-BE49-F238E27FC236}">
              <a16:creationId xmlns:a16="http://schemas.microsoft.com/office/drawing/2014/main" id="{8B7A26E0-B0CA-E220-2333-495473B4B031}"/>
            </a:ext>
          </a:extLst>
        </cdr:cNvPr>
        <cdr:cNvCxnSpPr/>
      </cdr:nvCxnSpPr>
      <cdr:spPr>
        <a:xfrm xmlns:a="http://schemas.openxmlformats.org/drawingml/2006/main">
          <a:off x="5667730" y="0"/>
          <a:ext cx="0" cy="2251999"/>
        </a:xfrm>
        <a:prstGeom xmlns:a="http://schemas.openxmlformats.org/drawingml/2006/main" prst="line">
          <a:avLst/>
        </a:prstGeom>
        <a:ln xmlns:a="http://schemas.openxmlformats.org/drawingml/2006/main" w="9525">
          <a:solidFill>
            <a:schemeClr val="bg1">
              <a:lumMod val="85000"/>
            </a:schemeClr>
          </a:solidFill>
        </a:ln>
      </cdr:spPr>
      <cdr:style>
        <a:lnRef xmlns:a="http://schemas.openxmlformats.org/drawingml/2006/main" idx="1">
          <a:schemeClr val="accent6"/>
        </a:lnRef>
        <a:fillRef xmlns:a="http://schemas.openxmlformats.org/drawingml/2006/main" idx="0">
          <a:schemeClr val="accent6"/>
        </a:fillRef>
        <a:effectRef xmlns:a="http://schemas.openxmlformats.org/drawingml/2006/main" idx="0">
          <a:schemeClr val="accent6"/>
        </a:effectRef>
        <a:fontRef xmlns:a="http://schemas.openxmlformats.org/drawingml/2006/main" idx="minor">
          <a:schemeClr val="tx1"/>
        </a:fontRef>
      </cdr:style>
    </cdr:cxnSp>
  </cdr:relSizeAnchor>
  <cdr:relSizeAnchor xmlns:cdr="http://schemas.openxmlformats.org/drawingml/2006/chartDrawing">
    <cdr:from>
      <cdr:x>0.70362</cdr:x>
      <cdr:y>0.07399</cdr:y>
    </cdr:from>
    <cdr:to>
      <cdr:x>0.83606</cdr:x>
      <cdr:y>0.25915</cdr:y>
    </cdr:to>
    <cdr:sp macro="" textlink="Fact3b!$Q$9">
      <cdr:nvSpPr>
        <cdr:cNvPr id="13" name="TextBox 12">
          <a:extLst xmlns:a="http://schemas.openxmlformats.org/drawingml/2006/main">
            <a:ext uri="{FF2B5EF4-FFF2-40B4-BE49-F238E27FC236}">
              <a16:creationId xmlns:a16="http://schemas.microsoft.com/office/drawing/2014/main" id="{7610D0C3-27BF-49B9-9D8F-DA50DBF8D379}"/>
            </a:ext>
          </a:extLst>
        </cdr:cNvPr>
        <cdr:cNvSpPr txBox="1"/>
      </cdr:nvSpPr>
      <cdr:spPr>
        <a:xfrm xmlns:a="http://schemas.openxmlformats.org/drawingml/2006/main">
          <a:off x="4763862" y="210024"/>
          <a:ext cx="896644" cy="52555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indent="0" algn="ctr"/>
          <a:fld id="{D41DF393-8376-41AC-9E6B-1AEA390D0C30}" type="TxLink">
            <a:rPr lang="en-US" sz="800" b="1" i="0" u="none" strike="noStrike">
              <a:solidFill>
                <a:srgbClr val="000000"/>
              </a:solidFill>
              <a:latin typeface="Arial" panose="020B0604020202020204" pitchFamily="34" charset="0"/>
              <a:ea typeface="Calibri"/>
              <a:cs typeface="Arial" panose="020B0604020202020204" pitchFamily="34" charset="0"/>
            </a:rPr>
            <a:pPr marL="0" indent="0" algn="ctr"/>
            <a:t>People aged 0-15 years old</a:t>
          </a:fld>
          <a:endParaRPr lang="en-US" sz="800" b="1" i="0" u="none" strike="noStrike">
            <a:solidFill>
              <a:srgbClr val="000000"/>
            </a:solidFill>
            <a:latin typeface="Arial" panose="020B0604020202020204" pitchFamily="34" charset="0"/>
            <a:ea typeface="Calibri"/>
            <a:cs typeface="Arial" panose="020B0604020202020204" pitchFamily="34" charset="0"/>
          </a:endParaRPr>
        </a:p>
      </cdr:txBody>
    </cdr:sp>
  </cdr:relSizeAnchor>
  <cdr:relSizeAnchor xmlns:cdr="http://schemas.openxmlformats.org/drawingml/2006/chartDrawing">
    <cdr:from>
      <cdr:x>0.83012</cdr:x>
      <cdr:y>0.07064</cdr:y>
    </cdr:from>
    <cdr:to>
      <cdr:x>0.97427</cdr:x>
      <cdr:y>0.2039</cdr:y>
    </cdr:to>
    <cdr:sp macro="" textlink="Fact3b!$Q$10">
      <cdr:nvSpPr>
        <cdr:cNvPr id="14" name="TextBox 13">
          <a:extLst xmlns:a="http://schemas.openxmlformats.org/drawingml/2006/main">
            <a:ext uri="{FF2B5EF4-FFF2-40B4-BE49-F238E27FC236}">
              <a16:creationId xmlns:a16="http://schemas.microsoft.com/office/drawing/2014/main" id="{12F43102-FFE8-0DFA-5FCC-7297E0C543CA}"/>
            </a:ext>
          </a:extLst>
        </cdr:cNvPr>
        <cdr:cNvSpPr txBox="1"/>
      </cdr:nvSpPr>
      <cdr:spPr>
        <a:xfrm xmlns:a="http://schemas.openxmlformats.org/drawingml/2006/main">
          <a:off x="5634790" y="192088"/>
          <a:ext cx="978509" cy="36239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indent="0" algn="ctr"/>
          <a:fld id="{F0DEE1E7-D03B-4704-8A14-931EA2919554}" type="TxLink">
            <a:rPr lang="en-US" sz="800" b="1" i="0" u="none" strike="noStrike">
              <a:solidFill>
                <a:srgbClr val="000000"/>
              </a:solidFill>
              <a:latin typeface="Arial" panose="020B0604020202020204" pitchFamily="34" charset="0"/>
              <a:ea typeface="Calibri"/>
              <a:cs typeface="Arial" panose="020B0604020202020204" pitchFamily="34" charset="0"/>
            </a:rPr>
            <a:pPr marL="0" indent="0" algn="ctr"/>
            <a:t>People aged 65+ years old</a:t>
          </a:fld>
          <a:endParaRPr lang="en-US" sz="800" b="1" i="0" u="none" strike="noStrike">
            <a:solidFill>
              <a:srgbClr val="000000"/>
            </a:solidFill>
            <a:latin typeface="Arial" panose="020B0604020202020204" pitchFamily="34" charset="0"/>
            <a:ea typeface="Calibri"/>
            <a:cs typeface="Arial" panose="020B0604020202020204" pitchFamily="34" charset="0"/>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0.18215</cdr:x>
      <cdr:y>0.03559</cdr:y>
    </cdr:from>
    <cdr:to>
      <cdr:x>0.18366</cdr:x>
      <cdr:y>0.98045</cdr:y>
    </cdr:to>
    <cdr:cxnSp macro="">
      <cdr:nvCxnSpPr>
        <cdr:cNvPr id="3" name="Straight Connector 2">
          <a:extLst xmlns:a="http://schemas.openxmlformats.org/drawingml/2006/main">
            <a:ext uri="{FF2B5EF4-FFF2-40B4-BE49-F238E27FC236}">
              <a16:creationId xmlns:a16="http://schemas.microsoft.com/office/drawing/2014/main" id="{E10F44CE-0B1C-B4C8-60F3-2A5CDF80AEBF}"/>
            </a:ext>
          </a:extLst>
        </cdr:cNvPr>
        <cdr:cNvCxnSpPr/>
      </cdr:nvCxnSpPr>
      <cdr:spPr>
        <a:xfrm xmlns:a="http://schemas.openxmlformats.org/drawingml/2006/main" flipH="1" flipV="1">
          <a:off x="1294305" y="108447"/>
          <a:ext cx="10730" cy="2878970"/>
        </a:xfrm>
        <a:prstGeom xmlns:a="http://schemas.openxmlformats.org/drawingml/2006/main" prst="line">
          <a:avLst/>
        </a:prstGeom>
        <a:ln xmlns:a="http://schemas.openxmlformats.org/drawingml/2006/main" w="9525">
          <a:solidFill>
            <a:schemeClr val="bg1">
              <a:lumMod val="75000"/>
            </a:schemeClr>
          </a:solidFill>
        </a:ln>
      </cdr:spPr>
      <cdr:style>
        <a:lnRef xmlns:a="http://schemas.openxmlformats.org/drawingml/2006/main" idx="1">
          <a:schemeClr val="accent6"/>
        </a:lnRef>
        <a:fillRef xmlns:a="http://schemas.openxmlformats.org/drawingml/2006/main" idx="0">
          <a:schemeClr val="accent6"/>
        </a:fillRef>
        <a:effectRef xmlns:a="http://schemas.openxmlformats.org/drawingml/2006/main" idx="0">
          <a:schemeClr val="accent6"/>
        </a:effectRef>
        <a:fontRef xmlns:a="http://schemas.openxmlformats.org/drawingml/2006/main" idx="minor">
          <a:schemeClr val="tx1"/>
        </a:fontRef>
      </cdr:style>
    </cdr:cxnSp>
  </cdr:relSizeAnchor>
  <cdr:relSizeAnchor xmlns:cdr="http://schemas.openxmlformats.org/drawingml/2006/chartDrawing">
    <cdr:from>
      <cdr:x>0.31674</cdr:x>
      <cdr:y>0.02666</cdr:y>
    </cdr:from>
    <cdr:to>
      <cdr:x>0.31825</cdr:x>
      <cdr:y>0.97152</cdr:y>
    </cdr:to>
    <cdr:cxnSp macro="">
      <cdr:nvCxnSpPr>
        <cdr:cNvPr id="4" name="Straight Connector 3">
          <a:extLst xmlns:a="http://schemas.openxmlformats.org/drawingml/2006/main">
            <a:ext uri="{FF2B5EF4-FFF2-40B4-BE49-F238E27FC236}">
              <a16:creationId xmlns:a16="http://schemas.microsoft.com/office/drawing/2014/main" id="{B0E2DF75-42A8-72AF-B203-3D7E02F152C9}"/>
            </a:ext>
          </a:extLst>
        </cdr:cNvPr>
        <cdr:cNvCxnSpPr/>
      </cdr:nvCxnSpPr>
      <cdr:spPr>
        <a:xfrm xmlns:a="http://schemas.openxmlformats.org/drawingml/2006/main" flipH="1" flipV="1">
          <a:off x="2250704" y="81232"/>
          <a:ext cx="10730" cy="2878970"/>
        </a:xfrm>
        <a:prstGeom xmlns:a="http://schemas.openxmlformats.org/drawingml/2006/main" prst="line">
          <a:avLst/>
        </a:prstGeom>
        <a:ln xmlns:a="http://schemas.openxmlformats.org/drawingml/2006/main" w="9525">
          <a:solidFill>
            <a:schemeClr val="bg1">
              <a:lumMod val="75000"/>
            </a:schemeClr>
          </a:solidFill>
        </a:ln>
      </cdr:spPr>
      <cdr:style>
        <a:lnRef xmlns:a="http://schemas.openxmlformats.org/drawingml/2006/main" idx="1">
          <a:schemeClr val="accent6"/>
        </a:lnRef>
        <a:fillRef xmlns:a="http://schemas.openxmlformats.org/drawingml/2006/main" idx="0">
          <a:schemeClr val="accent6"/>
        </a:fillRef>
        <a:effectRef xmlns:a="http://schemas.openxmlformats.org/drawingml/2006/main" idx="0">
          <a:schemeClr val="accent6"/>
        </a:effectRef>
        <a:fontRef xmlns:a="http://schemas.openxmlformats.org/drawingml/2006/main" idx="minor">
          <a:schemeClr val="tx1"/>
        </a:fontRef>
      </cdr:style>
    </cdr:cxnSp>
  </cdr:relSizeAnchor>
  <cdr:relSizeAnchor xmlns:cdr="http://schemas.openxmlformats.org/drawingml/2006/chartDrawing">
    <cdr:from>
      <cdr:x>0.45285</cdr:x>
      <cdr:y>0.05514</cdr:y>
    </cdr:from>
    <cdr:to>
      <cdr:x>0.45436</cdr:x>
      <cdr:y>1</cdr:y>
    </cdr:to>
    <cdr:cxnSp macro="">
      <cdr:nvCxnSpPr>
        <cdr:cNvPr id="5" name="Straight Connector 4">
          <a:extLst xmlns:a="http://schemas.openxmlformats.org/drawingml/2006/main">
            <a:ext uri="{FF2B5EF4-FFF2-40B4-BE49-F238E27FC236}">
              <a16:creationId xmlns:a16="http://schemas.microsoft.com/office/drawing/2014/main" id="{7491DDD3-43EA-B8BF-3B43-33E2F4E2C0C5}"/>
            </a:ext>
          </a:extLst>
        </cdr:cNvPr>
        <cdr:cNvCxnSpPr/>
      </cdr:nvCxnSpPr>
      <cdr:spPr>
        <a:xfrm xmlns:a="http://schemas.openxmlformats.org/drawingml/2006/main" flipH="1" flipV="1">
          <a:off x="3217834" y="168010"/>
          <a:ext cx="10730" cy="2878970"/>
        </a:xfrm>
        <a:prstGeom xmlns:a="http://schemas.openxmlformats.org/drawingml/2006/main" prst="line">
          <a:avLst/>
        </a:prstGeom>
        <a:ln xmlns:a="http://schemas.openxmlformats.org/drawingml/2006/main" w="9525">
          <a:solidFill>
            <a:schemeClr val="bg1">
              <a:lumMod val="75000"/>
            </a:schemeClr>
          </a:solidFill>
        </a:ln>
      </cdr:spPr>
      <cdr:style>
        <a:lnRef xmlns:a="http://schemas.openxmlformats.org/drawingml/2006/main" idx="1">
          <a:schemeClr val="accent6"/>
        </a:lnRef>
        <a:fillRef xmlns:a="http://schemas.openxmlformats.org/drawingml/2006/main" idx="0">
          <a:schemeClr val="accent6"/>
        </a:fillRef>
        <a:effectRef xmlns:a="http://schemas.openxmlformats.org/drawingml/2006/main" idx="0">
          <a:schemeClr val="accent6"/>
        </a:effectRef>
        <a:fontRef xmlns:a="http://schemas.openxmlformats.org/drawingml/2006/main" idx="minor">
          <a:schemeClr val="tx1"/>
        </a:fontRef>
      </cdr:style>
    </cdr:cxnSp>
  </cdr:relSizeAnchor>
  <cdr:relSizeAnchor xmlns:cdr="http://schemas.openxmlformats.org/drawingml/2006/chartDrawing">
    <cdr:from>
      <cdr:x>0.58825</cdr:x>
      <cdr:y>0.02627</cdr:y>
    </cdr:from>
    <cdr:to>
      <cdr:x>0.58976</cdr:x>
      <cdr:y>0.97113</cdr:y>
    </cdr:to>
    <cdr:cxnSp macro="">
      <cdr:nvCxnSpPr>
        <cdr:cNvPr id="6" name="Straight Connector 5">
          <a:extLst xmlns:a="http://schemas.openxmlformats.org/drawingml/2006/main">
            <a:ext uri="{FF2B5EF4-FFF2-40B4-BE49-F238E27FC236}">
              <a16:creationId xmlns:a16="http://schemas.microsoft.com/office/drawing/2014/main" id="{92E8ECC1-DCF3-53CE-1F37-813A1965935B}"/>
            </a:ext>
          </a:extLst>
        </cdr:cNvPr>
        <cdr:cNvCxnSpPr/>
      </cdr:nvCxnSpPr>
      <cdr:spPr>
        <a:xfrm xmlns:a="http://schemas.openxmlformats.org/drawingml/2006/main" flipH="1" flipV="1">
          <a:off x="4179987" y="80053"/>
          <a:ext cx="10729" cy="2878970"/>
        </a:xfrm>
        <a:prstGeom xmlns:a="http://schemas.openxmlformats.org/drawingml/2006/main" prst="line">
          <a:avLst/>
        </a:prstGeom>
        <a:ln xmlns:a="http://schemas.openxmlformats.org/drawingml/2006/main" w="9525">
          <a:solidFill>
            <a:schemeClr val="bg1">
              <a:lumMod val="75000"/>
            </a:schemeClr>
          </a:solidFill>
        </a:ln>
      </cdr:spPr>
      <cdr:style>
        <a:lnRef xmlns:a="http://schemas.openxmlformats.org/drawingml/2006/main" idx="1">
          <a:schemeClr val="accent6"/>
        </a:lnRef>
        <a:fillRef xmlns:a="http://schemas.openxmlformats.org/drawingml/2006/main" idx="0">
          <a:schemeClr val="accent6"/>
        </a:fillRef>
        <a:effectRef xmlns:a="http://schemas.openxmlformats.org/drawingml/2006/main" idx="0">
          <a:schemeClr val="accent6"/>
        </a:effectRef>
        <a:fontRef xmlns:a="http://schemas.openxmlformats.org/drawingml/2006/main" idx="minor">
          <a:schemeClr val="tx1"/>
        </a:fontRef>
      </cdr:style>
    </cdr:cxnSp>
  </cdr:relSizeAnchor>
  <cdr:relSizeAnchor xmlns:cdr="http://schemas.openxmlformats.org/drawingml/2006/chartDrawing">
    <cdr:from>
      <cdr:x>0.7223</cdr:x>
      <cdr:y>0.02627</cdr:y>
    </cdr:from>
    <cdr:to>
      <cdr:x>0.72381</cdr:x>
      <cdr:y>0.97113</cdr:y>
    </cdr:to>
    <cdr:cxnSp macro="">
      <cdr:nvCxnSpPr>
        <cdr:cNvPr id="2" name="Straight Connector 1">
          <a:extLst xmlns:a="http://schemas.openxmlformats.org/drawingml/2006/main">
            <a:ext uri="{FF2B5EF4-FFF2-40B4-BE49-F238E27FC236}">
              <a16:creationId xmlns:a16="http://schemas.microsoft.com/office/drawing/2014/main" id="{7D6B8FBC-8DF7-C602-82DD-AF47F9B6097F}"/>
            </a:ext>
          </a:extLst>
        </cdr:cNvPr>
        <cdr:cNvCxnSpPr/>
      </cdr:nvCxnSpPr>
      <cdr:spPr>
        <a:xfrm xmlns:a="http://schemas.openxmlformats.org/drawingml/2006/main" flipH="1" flipV="1">
          <a:off x="5132487" y="80053"/>
          <a:ext cx="10729" cy="2878970"/>
        </a:xfrm>
        <a:prstGeom xmlns:a="http://schemas.openxmlformats.org/drawingml/2006/main" prst="line">
          <a:avLst/>
        </a:prstGeom>
        <a:ln xmlns:a="http://schemas.openxmlformats.org/drawingml/2006/main" w="9525">
          <a:solidFill>
            <a:schemeClr val="bg1">
              <a:lumMod val="75000"/>
            </a:schemeClr>
          </a:solidFill>
        </a:ln>
      </cdr:spPr>
      <cdr:style>
        <a:lnRef xmlns:a="http://schemas.openxmlformats.org/drawingml/2006/main" idx="1">
          <a:schemeClr val="accent6"/>
        </a:lnRef>
        <a:fillRef xmlns:a="http://schemas.openxmlformats.org/drawingml/2006/main" idx="0">
          <a:schemeClr val="accent6"/>
        </a:fillRef>
        <a:effectRef xmlns:a="http://schemas.openxmlformats.org/drawingml/2006/main" idx="0">
          <a:schemeClr val="accent6"/>
        </a:effectRef>
        <a:fontRef xmlns:a="http://schemas.openxmlformats.org/drawingml/2006/main" idx="minor">
          <a:schemeClr val="tx1"/>
        </a:fontRef>
      </cdr:style>
    </cdr:cxnSp>
  </cdr:relSizeAnchor>
  <cdr:relSizeAnchor xmlns:cdr="http://schemas.openxmlformats.org/drawingml/2006/chartDrawing">
    <cdr:from>
      <cdr:x>0.86401</cdr:x>
      <cdr:y>0.01734</cdr:y>
    </cdr:from>
    <cdr:to>
      <cdr:x>0.86551</cdr:x>
      <cdr:y>0.9622</cdr:y>
    </cdr:to>
    <cdr:cxnSp macro="">
      <cdr:nvCxnSpPr>
        <cdr:cNvPr id="7" name="Straight Connector 6">
          <a:extLst xmlns:a="http://schemas.openxmlformats.org/drawingml/2006/main">
            <a:ext uri="{FF2B5EF4-FFF2-40B4-BE49-F238E27FC236}">
              <a16:creationId xmlns:a16="http://schemas.microsoft.com/office/drawing/2014/main" id="{DBA5E8A1-3EEF-9A4F-CD6F-9E9CCABD5251}"/>
            </a:ext>
          </a:extLst>
        </cdr:cNvPr>
        <cdr:cNvCxnSpPr/>
      </cdr:nvCxnSpPr>
      <cdr:spPr>
        <a:xfrm xmlns:a="http://schemas.openxmlformats.org/drawingml/2006/main" flipH="1" flipV="1">
          <a:off x="6139416" y="52839"/>
          <a:ext cx="10729" cy="2878970"/>
        </a:xfrm>
        <a:prstGeom xmlns:a="http://schemas.openxmlformats.org/drawingml/2006/main" prst="line">
          <a:avLst/>
        </a:prstGeom>
        <a:ln xmlns:a="http://schemas.openxmlformats.org/drawingml/2006/main" w="9525">
          <a:solidFill>
            <a:schemeClr val="bg1">
              <a:lumMod val="75000"/>
            </a:schemeClr>
          </a:solidFill>
        </a:ln>
      </cdr:spPr>
      <cdr:style>
        <a:lnRef xmlns:a="http://schemas.openxmlformats.org/drawingml/2006/main" idx="1">
          <a:schemeClr val="accent6"/>
        </a:lnRef>
        <a:fillRef xmlns:a="http://schemas.openxmlformats.org/drawingml/2006/main" idx="0">
          <a:schemeClr val="accent6"/>
        </a:fillRef>
        <a:effectRef xmlns:a="http://schemas.openxmlformats.org/drawingml/2006/main" idx="0">
          <a:schemeClr val="accent6"/>
        </a:effectRef>
        <a:fontRef xmlns:a="http://schemas.openxmlformats.org/drawingml/2006/main" idx="minor">
          <a:schemeClr val="tx1"/>
        </a:fontRef>
      </cdr:style>
    </cdr:cxnSp>
  </cdr:relSizeAnchor>
</c:userShapes>
</file>

<file path=xl/drawings/drawing16.xml><?xml version="1.0" encoding="utf-8"?>
<xdr:wsDr xmlns:xdr="http://schemas.openxmlformats.org/drawingml/2006/spreadsheetDrawing" xmlns:a="http://schemas.openxmlformats.org/drawingml/2006/main">
  <xdr:twoCellAnchor>
    <xdr:from>
      <xdr:col>146</xdr:col>
      <xdr:colOff>83998</xdr:colOff>
      <xdr:row>31</xdr:row>
      <xdr:rowOff>180336</xdr:rowOff>
    </xdr:from>
    <xdr:to>
      <xdr:col>155</xdr:col>
      <xdr:colOff>32165</xdr:colOff>
      <xdr:row>48</xdr:row>
      <xdr:rowOff>26476</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119</xdr:col>
      <xdr:colOff>104305</xdr:colOff>
      <xdr:row>9</xdr:row>
      <xdr:rowOff>21370</xdr:rowOff>
    </xdr:from>
    <xdr:to>
      <xdr:col>124</xdr:col>
      <xdr:colOff>609049</xdr:colOff>
      <xdr:row>16</xdr:row>
      <xdr:rowOff>68996</xdr:rowOff>
    </xdr:to>
    <xdr:graphicFrame macro="">
      <xdr:nvGraphicFramePr>
        <xdr:cNvPr id="9" name="Chart 8">
          <a:extLst>
            <a:ext uri="{FF2B5EF4-FFF2-40B4-BE49-F238E27FC236}">
              <a16:creationId xmlns:a16="http://schemas.microsoft.com/office/drawing/2014/main" id="{00000000-0008-0000-1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97</xdr:col>
      <xdr:colOff>105019</xdr:colOff>
      <xdr:row>8</xdr:row>
      <xdr:rowOff>68608</xdr:rowOff>
    </xdr:from>
    <xdr:to>
      <xdr:col>105</xdr:col>
      <xdr:colOff>166264</xdr:colOff>
      <xdr:row>31</xdr:row>
      <xdr:rowOff>181628</xdr:rowOff>
    </xdr:to>
    <xdr:graphicFrame macro="">
      <xdr:nvGraphicFramePr>
        <xdr:cNvPr id="11" name="Chart 10">
          <a:extLst>
            <a:ext uri="{FF2B5EF4-FFF2-40B4-BE49-F238E27FC236}">
              <a16:creationId xmlns:a16="http://schemas.microsoft.com/office/drawing/2014/main" id="{00000000-0008-0000-1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126</xdr:col>
      <xdr:colOff>262819</xdr:colOff>
      <xdr:row>29</xdr:row>
      <xdr:rowOff>81582</xdr:rowOff>
    </xdr:from>
    <xdr:to>
      <xdr:col>132</xdr:col>
      <xdr:colOff>137142</xdr:colOff>
      <xdr:row>36</xdr:row>
      <xdr:rowOff>25136</xdr:rowOff>
    </xdr:to>
    <xdr:graphicFrame macro="">
      <xdr:nvGraphicFramePr>
        <xdr:cNvPr id="14" name="Chart 13">
          <a:extLst>
            <a:ext uri="{FF2B5EF4-FFF2-40B4-BE49-F238E27FC236}">
              <a16:creationId xmlns:a16="http://schemas.microsoft.com/office/drawing/2014/main" id="{00000000-0008-0000-1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119</xdr:col>
      <xdr:colOff>80021</xdr:colOff>
      <xdr:row>30</xdr:row>
      <xdr:rowOff>10586</xdr:rowOff>
    </xdr:from>
    <xdr:to>
      <xdr:col>125</xdr:col>
      <xdr:colOff>53121</xdr:colOff>
      <xdr:row>36</xdr:row>
      <xdr:rowOff>160955</xdr:rowOff>
    </xdr:to>
    <xdr:graphicFrame macro="">
      <xdr:nvGraphicFramePr>
        <xdr:cNvPr id="15" name="Chart 14">
          <a:extLst>
            <a:ext uri="{FF2B5EF4-FFF2-40B4-BE49-F238E27FC236}">
              <a16:creationId xmlns:a16="http://schemas.microsoft.com/office/drawing/2014/main" id="{00000000-0008-0000-1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119</xdr:col>
      <xdr:colOff>297658</xdr:colOff>
      <xdr:row>2</xdr:row>
      <xdr:rowOff>138908</xdr:rowOff>
    </xdr:from>
    <xdr:to>
      <xdr:col>125</xdr:col>
      <xdr:colOff>114211</xdr:colOff>
      <xdr:row>8</xdr:row>
      <xdr:rowOff>30868</xdr:rowOff>
    </xdr:to>
    <xdr:graphicFrame macro="">
      <xdr:nvGraphicFramePr>
        <xdr:cNvPr id="16" name="Chart 15">
          <a:extLst>
            <a:ext uri="{FF2B5EF4-FFF2-40B4-BE49-F238E27FC236}">
              <a16:creationId xmlns:a16="http://schemas.microsoft.com/office/drawing/2014/main" id="{00000000-0008-0000-1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120</xdr:col>
      <xdr:colOff>6919</xdr:colOff>
      <xdr:row>45</xdr:row>
      <xdr:rowOff>92264</xdr:rowOff>
    </xdr:from>
    <xdr:to>
      <xdr:col>125</xdr:col>
      <xdr:colOff>462272</xdr:colOff>
      <xdr:row>52</xdr:row>
      <xdr:rowOff>174758</xdr:rowOff>
    </xdr:to>
    <xdr:graphicFrame macro="">
      <xdr:nvGraphicFramePr>
        <xdr:cNvPr id="17" name="Chart 16">
          <a:extLst>
            <a:ext uri="{FF2B5EF4-FFF2-40B4-BE49-F238E27FC236}">
              <a16:creationId xmlns:a16="http://schemas.microsoft.com/office/drawing/2014/main" id="{00000000-0008-0000-1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126</xdr:col>
      <xdr:colOff>283919</xdr:colOff>
      <xdr:row>46</xdr:row>
      <xdr:rowOff>181648</xdr:rowOff>
    </xdr:from>
    <xdr:to>
      <xdr:col>132</xdr:col>
      <xdr:colOff>124896</xdr:colOff>
      <xdr:row>54</xdr:row>
      <xdr:rowOff>56816</xdr:rowOff>
    </xdr:to>
    <xdr:graphicFrame macro="">
      <xdr:nvGraphicFramePr>
        <xdr:cNvPr id="18" name="Chart 17">
          <a:extLst>
            <a:ext uri="{FF2B5EF4-FFF2-40B4-BE49-F238E27FC236}">
              <a16:creationId xmlns:a16="http://schemas.microsoft.com/office/drawing/2014/main" id="{00000000-0008-0000-11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133</xdr:col>
      <xdr:colOff>0</xdr:colOff>
      <xdr:row>45</xdr:row>
      <xdr:rowOff>167907</xdr:rowOff>
    </xdr:from>
    <xdr:to>
      <xdr:col>138</xdr:col>
      <xdr:colOff>451553</xdr:colOff>
      <xdr:row>53</xdr:row>
      <xdr:rowOff>59869</xdr:rowOff>
    </xdr:to>
    <xdr:graphicFrame macro="">
      <xdr:nvGraphicFramePr>
        <xdr:cNvPr id="19" name="Chart 18">
          <a:extLst>
            <a:ext uri="{FF2B5EF4-FFF2-40B4-BE49-F238E27FC236}">
              <a16:creationId xmlns:a16="http://schemas.microsoft.com/office/drawing/2014/main" id="{00000000-0008-0000-11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120</xdr:col>
      <xdr:colOff>297657</xdr:colOff>
      <xdr:row>74</xdr:row>
      <xdr:rowOff>0</xdr:rowOff>
    </xdr:from>
    <xdr:to>
      <xdr:col>126</xdr:col>
      <xdr:colOff>388937</xdr:colOff>
      <xdr:row>82</xdr:row>
      <xdr:rowOff>22489</xdr:rowOff>
    </xdr:to>
    <xdr:graphicFrame macro="">
      <xdr:nvGraphicFramePr>
        <xdr:cNvPr id="20" name="Chart 19">
          <a:extLst>
            <a:ext uri="{FF2B5EF4-FFF2-40B4-BE49-F238E27FC236}">
              <a16:creationId xmlns:a16="http://schemas.microsoft.com/office/drawing/2014/main" id="{00000000-0008-0000-11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120</xdr:col>
      <xdr:colOff>112346</xdr:colOff>
      <xdr:row>62</xdr:row>
      <xdr:rowOff>169606</xdr:rowOff>
    </xdr:from>
    <xdr:to>
      <xdr:col>125</xdr:col>
      <xdr:colOff>560373</xdr:colOff>
      <xdr:row>70</xdr:row>
      <xdr:rowOff>63771</xdr:rowOff>
    </xdr:to>
    <xdr:graphicFrame macro="">
      <xdr:nvGraphicFramePr>
        <xdr:cNvPr id="21" name="Chart 20">
          <a:extLst>
            <a:ext uri="{FF2B5EF4-FFF2-40B4-BE49-F238E27FC236}">
              <a16:creationId xmlns:a16="http://schemas.microsoft.com/office/drawing/2014/main" id="{00000000-0008-0000-11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127</xdr:col>
      <xdr:colOff>119063</xdr:colOff>
      <xdr:row>74</xdr:row>
      <xdr:rowOff>0</xdr:rowOff>
    </xdr:from>
    <xdr:to>
      <xdr:col>132</xdr:col>
      <xdr:colOff>570617</xdr:colOff>
      <xdr:row>80</xdr:row>
      <xdr:rowOff>155222</xdr:rowOff>
    </xdr:to>
    <xdr:graphicFrame macro="">
      <xdr:nvGraphicFramePr>
        <xdr:cNvPr id="22" name="Chart 21">
          <a:extLst>
            <a:ext uri="{FF2B5EF4-FFF2-40B4-BE49-F238E27FC236}">
              <a16:creationId xmlns:a16="http://schemas.microsoft.com/office/drawing/2014/main" id="{00000000-0008-0000-11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125</xdr:col>
      <xdr:colOff>488462</xdr:colOff>
      <xdr:row>2</xdr:row>
      <xdr:rowOff>59530</xdr:rowOff>
    </xdr:from>
    <xdr:to>
      <xdr:col>131</xdr:col>
      <xdr:colOff>324860</xdr:colOff>
      <xdr:row>7</xdr:row>
      <xdr:rowOff>130084</xdr:rowOff>
    </xdr:to>
    <xdr:graphicFrame macro="">
      <xdr:nvGraphicFramePr>
        <xdr:cNvPr id="23" name="Chart 22">
          <a:extLst>
            <a:ext uri="{FF2B5EF4-FFF2-40B4-BE49-F238E27FC236}">
              <a16:creationId xmlns:a16="http://schemas.microsoft.com/office/drawing/2014/main" id="{00000000-0008-0000-11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119</xdr:col>
      <xdr:colOff>315974</xdr:colOff>
      <xdr:row>38</xdr:row>
      <xdr:rowOff>93114</xdr:rowOff>
    </xdr:from>
    <xdr:to>
      <xdr:col>125</xdr:col>
      <xdr:colOff>132527</xdr:colOff>
      <xdr:row>44</xdr:row>
      <xdr:rowOff>0</xdr:rowOff>
    </xdr:to>
    <xdr:graphicFrame macro="">
      <xdr:nvGraphicFramePr>
        <xdr:cNvPr id="24" name="Chart 23">
          <a:extLst>
            <a:ext uri="{FF2B5EF4-FFF2-40B4-BE49-F238E27FC236}">
              <a16:creationId xmlns:a16="http://schemas.microsoft.com/office/drawing/2014/main" id="{00000000-0008-0000-11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127</xdr:col>
      <xdr:colOff>52917</xdr:colOff>
      <xdr:row>62</xdr:row>
      <xdr:rowOff>35277</xdr:rowOff>
    </xdr:from>
    <xdr:to>
      <xdr:col>132</xdr:col>
      <xdr:colOff>539748</xdr:colOff>
      <xdr:row>72</xdr:row>
      <xdr:rowOff>0</xdr:rowOff>
    </xdr:to>
    <xdr:graphicFrame macro="">
      <xdr:nvGraphicFramePr>
        <xdr:cNvPr id="25" name="Chart 24">
          <a:extLst>
            <a:ext uri="{FF2B5EF4-FFF2-40B4-BE49-F238E27FC236}">
              <a16:creationId xmlns:a16="http://schemas.microsoft.com/office/drawing/2014/main" id="{00000000-0008-0000-1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119</xdr:col>
      <xdr:colOff>219808</xdr:colOff>
      <xdr:row>18</xdr:row>
      <xdr:rowOff>97693</xdr:rowOff>
    </xdr:from>
    <xdr:to>
      <xdr:col>125</xdr:col>
      <xdr:colOff>96061</xdr:colOff>
      <xdr:row>29</xdr:row>
      <xdr:rowOff>25780</xdr:rowOff>
    </xdr:to>
    <xdr:graphicFrame macro="">
      <xdr:nvGraphicFramePr>
        <xdr:cNvPr id="26" name="Chart 25">
          <a:extLst>
            <a:ext uri="{FF2B5EF4-FFF2-40B4-BE49-F238E27FC236}">
              <a16:creationId xmlns:a16="http://schemas.microsoft.com/office/drawing/2014/main" id="{00000000-0008-0000-11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126</xdr:col>
      <xdr:colOff>246944</xdr:colOff>
      <xdr:row>37</xdr:row>
      <xdr:rowOff>88195</xdr:rowOff>
    </xdr:from>
    <xdr:to>
      <xdr:col>132</xdr:col>
      <xdr:colOff>116414</xdr:colOff>
      <xdr:row>44</xdr:row>
      <xdr:rowOff>35278</xdr:rowOff>
    </xdr:to>
    <xdr:graphicFrame macro="">
      <xdr:nvGraphicFramePr>
        <xdr:cNvPr id="27" name="Chart 26">
          <a:extLst>
            <a:ext uri="{FF2B5EF4-FFF2-40B4-BE49-F238E27FC236}">
              <a16:creationId xmlns:a16="http://schemas.microsoft.com/office/drawing/2014/main" id="{00000000-0008-0000-11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132</xdr:col>
      <xdr:colOff>493889</xdr:colOff>
      <xdr:row>37</xdr:row>
      <xdr:rowOff>141111</xdr:rowOff>
    </xdr:from>
    <xdr:to>
      <xdr:col>138</xdr:col>
      <xdr:colOff>363358</xdr:colOff>
      <xdr:row>44</xdr:row>
      <xdr:rowOff>88194</xdr:rowOff>
    </xdr:to>
    <xdr:graphicFrame macro="">
      <xdr:nvGraphicFramePr>
        <xdr:cNvPr id="28" name="Chart 27">
          <a:extLst>
            <a:ext uri="{FF2B5EF4-FFF2-40B4-BE49-F238E27FC236}">
              <a16:creationId xmlns:a16="http://schemas.microsoft.com/office/drawing/2014/main" id="{00000000-0008-0000-11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125</xdr:col>
      <xdr:colOff>553590</xdr:colOff>
      <xdr:row>17</xdr:row>
      <xdr:rowOff>46132</xdr:rowOff>
    </xdr:from>
    <xdr:to>
      <xdr:col>131</xdr:col>
      <xdr:colOff>423060</xdr:colOff>
      <xdr:row>28</xdr:row>
      <xdr:rowOff>188599</xdr:rowOff>
    </xdr:to>
    <xdr:graphicFrame macro="">
      <xdr:nvGraphicFramePr>
        <xdr:cNvPr id="29" name="Chart 28">
          <a:extLst>
            <a:ext uri="{FF2B5EF4-FFF2-40B4-BE49-F238E27FC236}">
              <a16:creationId xmlns:a16="http://schemas.microsoft.com/office/drawing/2014/main" id="{00000000-0008-0000-11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125</xdr:col>
      <xdr:colOff>464037</xdr:colOff>
      <xdr:row>8</xdr:row>
      <xdr:rowOff>48847</xdr:rowOff>
    </xdr:from>
    <xdr:to>
      <xdr:col>131</xdr:col>
      <xdr:colOff>305014</xdr:colOff>
      <xdr:row>15</xdr:row>
      <xdr:rowOff>113050</xdr:rowOff>
    </xdr:to>
    <xdr:graphicFrame macro="">
      <xdr:nvGraphicFramePr>
        <xdr:cNvPr id="8" name="Chart 7">
          <a:extLst>
            <a:ext uri="{FF2B5EF4-FFF2-40B4-BE49-F238E27FC236}">
              <a16:creationId xmlns:a16="http://schemas.microsoft.com/office/drawing/2014/main" id="{00000000-0008-0000-1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156</xdr:col>
      <xdr:colOff>201118</xdr:colOff>
      <xdr:row>29</xdr:row>
      <xdr:rowOff>86830</xdr:rowOff>
    </xdr:from>
    <xdr:to>
      <xdr:col>165</xdr:col>
      <xdr:colOff>259488</xdr:colOff>
      <xdr:row>52</xdr:row>
      <xdr:rowOff>119807</xdr:rowOff>
    </xdr:to>
    <xdr:pic>
      <xdr:nvPicPr>
        <xdr:cNvPr id="41" name="Picture 40">
          <a:extLst>
            <a:ext uri="{FF2B5EF4-FFF2-40B4-BE49-F238E27FC236}">
              <a16:creationId xmlns:a16="http://schemas.microsoft.com/office/drawing/2014/main" id="{00000000-0008-0000-1100-000029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5701368" y="5928830"/>
          <a:ext cx="5487619" cy="4467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170</xdr:col>
      <xdr:colOff>29933</xdr:colOff>
      <xdr:row>74</xdr:row>
      <xdr:rowOff>151800</xdr:rowOff>
    </xdr:from>
    <xdr:to>
      <xdr:col>179</xdr:col>
      <xdr:colOff>30748</xdr:colOff>
      <xdr:row>98</xdr:row>
      <xdr:rowOff>20804</xdr:rowOff>
    </xdr:to>
    <xdr:pic>
      <xdr:nvPicPr>
        <xdr:cNvPr id="43" name="Picture 42">
          <a:extLst>
            <a:ext uri="{FF2B5EF4-FFF2-40B4-BE49-F238E27FC236}">
              <a16:creationId xmlns:a16="http://schemas.microsoft.com/office/drawing/2014/main" id="{00000000-0008-0000-1100-00002B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7730842" y="13602255"/>
          <a:ext cx="5715814" cy="40888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169</xdr:col>
      <xdr:colOff>597797</xdr:colOff>
      <xdr:row>35</xdr:row>
      <xdr:rowOff>294</xdr:rowOff>
    </xdr:from>
    <xdr:to>
      <xdr:col>178</xdr:col>
      <xdr:colOff>500959</xdr:colOff>
      <xdr:row>58</xdr:row>
      <xdr:rowOff>107481</xdr:rowOff>
    </xdr:to>
    <xdr:pic>
      <xdr:nvPicPr>
        <xdr:cNvPr id="45" name="Picture 44">
          <a:extLst>
            <a:ext uri="{FF2B5EF4-FFF2-40B4-BE49-F238E27FC236}">
              <a16:creationId xmlns:a16="http://schemas.microsoft.com/office/drawing/2014/main" id="{00000000-0008-0000-1100-00002D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7663706" y="6696658"/>
          <a:ext cx="5618163" cy="41538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168</xdr:col>
      <xdr:colOff>548656</xdr:colOff>
      <xdr:row>6</xdr:row>
      <xdr:rowOff>91609</xdr:rowOff>
    </xdr:from>
    <xdr:to>
      <xdr:col>177</xdr:col>
      <xdr:colOff>549469</xdr:colOff>
      <xdr:row>30</xdr:row>
      <xdr:rowOff>110349</xdr:rowOff>
    </xdr:to>
    <xdr:pic>
      <xdr:nvPicPr>
        <xdr:cNvPr id="47" name="Picture 46">
          <a:extLst>
            <a:ext uri="{FF2B5EF4-FFF2-40B4-BE49-F238E27FC236}">
              <a16:creationId xmlns:a16="http://schemas.microsoft.com/office/drawing/2014/main" id="{00000000-0008-0000-1100-00002F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76979565" y="1938882"/>
          <a:ext cx="5715814" cy="4220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73</xdr:col>
      <xdr:colOff>74083</xdr:colOff>
      <xdr:row>2</xdr:row>
      <xdr:rowOff>516467</xdr:rowOff>
    </xdr:from>
    <xdr:to>
      <xdr:col>81</xdr:col>
      <xdr:colOff>137584</xdr:colOff>
      <xdr:row>26</xdr:row>
      <xdr:rowOff>8467</xdr:rowOff>
    </xdr:to>
    <xdr:graphicFrame macro="">
      <xdr:nvGraphicFramePr>
        <xdr:cNvPr id="6" name="Chart 5">
          <a:extLst>
            <a:ext uri="{FF2B5EF4-FFF2-40B4-BE49-F238E27FC236}">
              <a16:creationId xmlns:a16="http://schemas.microsoft.com/office/drawing/2014/main" id="{00000000-0008-0000-1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92</xdr:col>
      <xdr:colOff>458483</xdr:colOff>
      <xdr:row>10</xdr:row>
      <xdr:rowOff>28047</xdr:rowOff>
    </xdr:from>
    <xdr:to>
      <xdr:col>100</xdr:col>
      <xdr:colOff>202594</xdr:colOff>
      <xdr:row>26</xdr:row>
      <xdr:rowOff>169335</xdr:rowOff>
    </xdr:to>
    <xdr:graphicFrame macro="">
      <xdr:nvGraphicFramePr>
        <xdr:cNvPr id="5" name="Chart 4">
          <a:extLst>
            <a:ext uri="{FF2B5EF4-FFF2-40B4-BE49-F238E27FC236}">
              <a16:creationId xmlns:a16="http://schemas.microsoft.com/office/drawing/2014/main" id="{3346E3A2-1E42-FBCA-4807-1562C1651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73</xdr:col>
      <xdr:colOff>310242</xdr:colOff>
      <xdr:row>37</xdr:row>
      <xdr:rowOff>50194</xdr:rowOff>
    </xdr:from>
    <xdr:to>
      <xdr:col>81</xdr:col>
      <xdr:colOff>373742</xdr:colOff>
      <xdr:row>63</xdr:row>
      <xdr:rowOff>51707</xdr:rowOff>
    </xdr:to>
    <xdr:graphicFrame macro="">
      <xdr:nvGraphicFramePr>
        <xdr:cNvPr id="7" name="Chart 6">
          <a:extLst>
            <a:ext uri="{FF2B5EF4-FFF2-40B4-BE49-F238E27FC236}">
              <a16:creationId xmlns:a16="http://schemas.microsoft.com/office/drawing/2014/main" id="{03CAA02C-0FA1-4322-B20C-94CA760320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76</xdr:col>
      <xdr:colOff>0</xdr:colOff>
      <xdr:row>67</xdr:row>
      <xdr:rowOff>0</xdr:rowOff>
    </xdr:from>
    <xdr:to>
      <xdr:col>84</xdr:col>
      <xdr:colOff>63500</xdr:colOff>
      <xdr:row>93</xdr:row>
      <xdr:rowOff>10584</xdr:rowOff>
    </xdr:to>
    <xdr:graphicFrame macro="">
      <xdr:nvGraphicFramePr>
        <xdr:cNvPr id="10" name="Chart 9">
          <a:extLst>
            <a:ext uri="{FF2B5EF4-FFF2-40B4-BE49-F238E27FC236}">
              <a16:creationId xmlns:a16="http://schemas.microsoft.com/office/drawing/2014/main" id="{8D3B917E-1FD7-4146-B0B6-FF9FDA7209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editAs="oneCell">
    <xdr:from>
      <xdr:col>82</xdr:col>
      <xdr:colOff>165100</xdr:colOff>
      <xdr:row>4</xdr:row>
      <xdr:rowOff>101600</xdr:rowOff>
    </xdr:from>
    <xdr:to>
      <xdr:col>90</xdr:col>
      <xdr:colOff>233680</xdr:colOff>
      <xdr:row>27</xdr:row>
      <xdr:rowOff>112123</xdr:rowOff>
    </xdr:to>
    <xdr:pic>
      <xdr:nvPicPr>
        <xdr:cNvPr id="3" name="Picture 2">
          <a:extLst>
            <a:ext uri="{FF2B5EF4-FFF2-40B4-BE49-F238E27FC236}">
              <a16:creationId xmlns:a16="http://schemas.microsoft.com/office/drawing/2014/main" id="{47ADE415-3378-93D8-37CB-296053DFC614}"/>
            </a:ext>
          </a:extLst>
        </xdr:cNvPr>
        <xdr:cNvPicPr>
          <a:picLocks noChangeAspect="1"/>
        </xdr:cNvPicPr>
      </xdr:nvPicPr>
      <xdr:blipFill>
        <a:blip xmlns:r="http://schemas.openxmlformats.org/officeDocument/2006/relationships" r:embed="rId29"/>
        <a:stretch>
          <a:fillRect/>
        </a:stretch>
      </xdr:blipFill>
      <xdr:spPr>
        <a:xfrm>
          <a:off x="37388800" y="1231900"/>
          <a:ext cx="4945380" cy="4488180"/>
        </a:xfrm>
        <a:prstGeom prst="rect">
          <a:avLst/>
        </a:prstGeom>
      </xdr:spPr>
    </xdr:pic>
    <xdr:clientData/>
  </xdr:twoCellAnchor>
  <xdr:twoCellAnchor>
    <xdr:from>
      <xdr:col>57</xdr:col>
      <xdr:colOff>480012</xdr:colOff>
      <xdr:row>25</xdr:row>
      <xdr:rowOff>168728</xdr:rowOff>
    </xdr:from>
    <xdr:to>
      <xdr:col>69</xdr:col>
      <xdr:colOff>277282</xdr:colOff>
      <xdr:row>40</xdr:row>
      <xdr:rowOff>133046</xdr:rowOff>
    </xdr:to>
    <xdr:graphicFrame macro="">
      <xdr:nvGraphicFramePr>
        <xdr:cNvPr id="12" name="Chart 11">
          <a:extLst>
            <a:ext uri="{FF2B5EF4-FFF2-40B4-BE49-F238E27FC236}">
              <a16:creationId xmlns:a16="http://schemas.microsoft.com/office/drawing/2014/main" id="{1C01738A-9A5F-D59A-3E04-80788893D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52</xdr:col>
      <xdr:colOff>171450</xdr:colOff>
      <xdr:row>65</xdr:row>
      <xdr:rowOff>95250</xdr:rowOff>
    </xdr:from>
    <xdr:to>
      <xdr:col>63</xdr:col>
      <xdr:colOff>578320</xdr:colOff>
      <xdr:row>79</xdr:row>
      <xdr:rowOff>104018</xdr:rowOff>
    </xdr:to>
    <xdr:graphicFrame macro="">
      <xdr:nvGraphicFramePr>
        <xdr:cNvPr id="13" name="Chart 12">
          <a:extLst>
            <a:ext uri="{FF2B5EF4-FFF2-40B4-BE49-F238E27FC236}">
              <a16:creationId xmlns:a16="http://schemas.microsoft.com/office/drawing/2014/main" id="{767244BA-AF39-45DB-A32A-CE9979688D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57</xdr:col>
      <xdr:colOff>0</xdr:colOff>
      <xdr:row>44</xdr:row>
      <xdr:rowOff>0</xdr:rowOff>
    </xdr:from>
    <xdr:to>
      <xdr:col>68</xdr:col>
      <xdr:colOff>406870</xdr:colOff>
      <xdr:row>58</xdr:row>
      <xdr:rowOff>8768</xdr:rowOff>
    </xdr:to>
    <xdr:graphicFrame macro="">
      <xdr:nvGraphicFramePr>
        <xdr:cNvPr id="30" name="Chart 29">
          <a:extLst>
            <a:ext uri="{FF2B5EF4-FFF2-40B4-BE49-F238E27FC236}">
              <a16:creationId xmlns:a16="http://schemas.microsoft.com/office/drawing/2014/main" id="{EBB6D776-B751-4212-8223-D466715C8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0.90209</cdr:x>
      <cdr:y>0.36146</cdr:y>
    </cdr:from>
    <cdr:to>
      <cdr:x>1</cdr:x>
      <cdr:y>0.41277</cdr:y>
    </cdr:to>
    <cdr:sp macro="" textlink="">
      <cdr:nvSpPr>
        <cdr:cNvPr id="2" name="TextBox 1">
          <a:extLst xmlns:a="http://schemas.openxmlformats.org/drawingml/2006/main">
            <a:ext uri="{FF2B5EF4-FFF2-40B4-BE49-F238E27FC236}">
              <a16:creationId xmlns:a16="http://schemas.microsoft.com/office/drawing/2014/main" id="{464B05AA-23B4-E640-CA66-C43412B3E187}"/>
            </a:ext>
          </a:extLst>
        </cdr:cNvPr>
        <cdr:cNvSpPr txBox="1"/>
      </cdr:nvSpPr>
      <cdr:spPr>
        <a:xfrm xmlns:a="http://schemas.openxmlformats.org/drawingml/2006/main">
          <a:off x="4443488" y="1557492"/>
          <a:ext cx="482299" cy="22111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solidFill>
                <a:schemeClr val="bg1">
                  <a:lumMod val="75000"/>
                </a:schemeClr>
              </a:solidFill>
            </a:rPr>
            <a:t>VEN</a:t>
          </a:r>
        </a:p>
      </cdr:txBody>
    </cdr:sp>
  </cdr:relSizeAnchor>
</c:userShapes>
</file>

<file path=xl/drawings/drawing18.xml><?xml version="1.0" encoding="utf-8"?>
<c:userShapes xmlns:c="http://schemas.openxmlformats.org/drawingml/2006/chart">
  <cdr:relSizeAnchor xmlns:cdr="http://schemas.openxmlformats.org/drawingml/2006/chartDrawing">
    <cdr:from>
      <cdr:x>0.90243</cdr:x>
      <cdr:y>0.22677</cdr:y>
    </cdr:from>
    <cdr:to>
      <cdr:x>1</cdr:x>
      <cdr:y>0.29514</cdr:y>
    </cdr:to>
    <cdr:sp macro="" textlink="">
      <cdr:nvSpPr>
        <cdr:cNvPr id="2" name="TextBox 1">
          <a:extLst xmlns:a="http://schemas.openxmlformats.org/drawingml/2006/main">
            <a:ext uri="{FF2B5EF4-FFF2-40B4-BE49-F238E27FC236}">
              <a16:creationId xmlns:a16="http://schemas.microsoft.com/office/drawing/2014/main" id="{464B05AA-23B4-E640-CA66-C43412B3E187}"/>
            </a:ext>
          </a:extLst>
        </cdr:cNvPr>
        <cdr:cNvSpPr txBox="1"/>
      </cdr:nvSpPr>
      <cdr:spPr>
        <a:xfrm xmlns:a="http://schemas.openxmlformats.org/drawingml/2006/main">
          <a:off x="4445174" y="1080340"/>
          <a:ext cx="480612" cy="32573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solidFill>
                <a:schemeClr val="bg1">
                  <a:lumMod val="75000"/>
                </a:schemeClr>
              </a:solidFill>
            </a:rPr>
            <a:t>VEN</a:t>
          </a:r>
        </a:p>
      </cdr:txBody>
    </cdr:sp>
  </cdr:relSizeAnchor>
</c:userShapes>
</file>

<file path=xl/drawings/drawing19.xml><?xml version="1.0" encoding="utf-8"?>
<c:userShapes xmlns:c="http://schemas.openxmlformats.org/drawingml/2006/chart">
  <cdr:relSizeAnchor xmlns:cdr="http://schemas.openxmlformats.org/drawingml/2006/chartDrawing">
    <cdr:from>
      <cdr:x>0.51566</cdr:x>
      <cdr:y>0.26526</cdr:y>
    </cdr:from>
    <cdr:to>
      <cdr:x>0.70215</cdr:x>
      <cdr:y>0.43379</cdr:y>
    </cdr:to>
    <cdr:sp macro="" textlink="">
      <cdr:nvSpPr>
        <cdr:cNvPr id="2" name="Rectangle 1">
          <a:extLst xmlns:a="http://schemas.openxmlformats.org/drawingml/2006/main">
            <a:ext uri="{FF2B5EF4-FFF2-40B4-BE49-F238E27FC236}">
              <a16:creationId xmlns:a16="http://schemas.microsoft.com/office/drawing/2014/main" id="{943853DF-73BF-CCB6-C796-B1C679538000}"/>
            </a:ext>
          </a:extLst>
        </cdr:cNvPr>
        <cdr:cNvSpPr/>
      </cdr:nvSpPr>
      <cdr:spPr>
        <a:xfrm xmlns:a="http://schemas.openxmlformats.org/drawingml/2006/main">
          <a:off x="3684744" y="715646"/>
          <a:ext cx="1332540" cy="454691"/>
        </a:xfrm>
        <a:prstGeom xmlns:a="http://schemas.openxmlformats.org/drawingml/2006/main" prst="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t>2016 cambio</a:t>
          </a:r>
          <a:r>
            <a:rPr lang="en-US" baseline="0"/>
            <a:t> encuesta</a:t>
          </a:r>
          <a:r>
            <a:rPr lang="en-US"/>
            <a:t>por VEN</a:t>
          </a:r>
        </a:p>
      </cdr:txBody>
    </cdr:sp>
  </cdr:relSizeAnchor>
  <cdr:relSizeAnchor xmlns:cdr="http://schemas.openxmlformats.org/drawingml/2006/chartDrawing">
    <cdr:from>
      <cdr:x>0.85026</cdr:x>
      <cdr:y>0.12869</cdr:y>
    </cdr:from>
    <cdr:to>
      <cdr:x>0.94022</cdr:x>
      <cdr:y>0.30012</cdr:y>
    </cdr:to>
    <cdr:sp macro="" textlink="">
      <cdr:nvSpPr>
        <cdr:cNvPr id="3" name="Rectangle 2">
          <a:extLst xmlns:a="http://schemas.openxmlformats.org/drawingml/2006/main">
            <a:ext uri="{FF2B5EF4-FFF2-40B4-BE49-F238E27FC236}">
              <a16:creationId xmlns:a16="http://schemas.microsoft.com/office/drawing/2014/main" id="{41FC5E8E-73E9-412E-CDCA-DEC45BA9A4CD}"/>
            </a:ext>
          </a:extLst>
        </cdr:cNvPr>
        <cdr:cNvSpPr/>
      </cdr:nvSpPr>
      <cdr:spPr>
        <a:xfrm xmlns:a="http://schemas.openxmlformats.org/drawingml/2006/main">
          <a:off x="6075618" y="347190"/>
          <a:ext cx="642839" cy="462531"/>
        </a:xfrm>
        <a:prstGeom xmlns:a="http://schemas.openxmlformats.org/drawingml/2006/main" prst="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t>2020</a:t>
          </a:r>
          <a:r>
            <a:rPr lang="en-US" baseline="0"/>
            <a:t> COVID</a:t>
          </a:r>
          <a:endParaRPr lang="en-US"/>
        </a:p>
      </cdr:txBody>
    </cdr:sp>
  </cdr:relSizeAnchor>
</c:userShapes>
</file>

<file path=xl/drawings/drawing20.xml><?xml version="1.0" encoding="utf-8"?>
<c:userShapes xmlns:c="http://schemas.openxmlformats.org/drawingml/2006/chart">
  <cdr:relSizeAnchor xmlns:cdr="http://schemas.openxmlformats.org/drawingml/2006/chartDrawing">
    <cdr:from>
      <cdr:x>0.51566</cdr:x>
      <cdr:y>0.26526</cdr:y>
    </cdr:from>
    <cdr:to>
      <cdr:x>0.70215</cdr:x>
      <cdr:y>0.43379</cdr:y>
    </cdr:to>
    <cdr:sp macro="" textlink="">
      <cdr:nvSpPr>
        <cdr:cNvPr id="2" name="Rectangle 1">
          <a:extLst xmlns:a="http://schemas.openxmlformats.org/drawingml/2006/main">
            <a:ext uri="{FF2B5EF4-FFF2-40B4-BE49-F238E27FC236}">
              <a16:creationId xmlns:a16="http://schemas.microsoft.com/office/drawing/2014/main" id="{943853DF-73BF-CCB6-C796-B1C679538000}"/>
            </a:ext>
          </a:extLst>
        </cdr:cNvPr>
        <cdr:cNvSpPr/>
      </cdr:nvSpPr>
      <cdr:spPr>
        <a:xfrm xmlns:a="http://schemas.openxmlformats.org/drawingml/2006/main">
          <a:off x="3684744" y="715646"/>
          <a:ext cx="1332540" cy="454691"/>
        </a:xfrm>
        <a:prstGeom xmlns:a="http://schemas.openxmlformats.org/drawingml/2006/main" prst="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t>2016 cambio</a:t>
          </a:r>
          <a:r>
            <a:rPr lang="en-US" baseline="0"/>
            <a:t> encuesta</a:t>
          </a:r>
          <a:r>
            <a:rPr lang="en-US"/>
            <a:t>por VEN</a:t>
          </a:r>
        </a:p>
      </cdr:txBody>
    </cdr:sp>
  </cdr:relSizeAnchor>
  <cdr:relSizeAnchor xmlns:cdr="http://schemas.openxmlformats.org/drawingml/2006/chartDrawing">
    <cdr:from>
      <cdr:x>0.85026</cdr:x>
      <cdr:y>0.12869</cdr:y>
    </cdr:from>
    <cdr:to>
      <cdr:x>0.94022</cdr:x>
      <cdr:y>0.30012</cdr:y>
    </cdr:to>
    <cdr:sp macro="" textlink="">
      <cdr:nvSpPr>
        <cdr:cNvPr id="3" name="Rectangle 2">
          <a:extLst xmlns:a="http://schemas.openxmlformats.org/drawingml/2006/main">
            <a:ext uri="{FF2B5EF4-FFF2-40B4-BE49-F238E27FC236}">
              <a16:creationId xmlns:a16="http://schemas.microsoft.com/office/drawing/2014/main" id="{41FC5E8E-73E9-412E-CDCA-DEC45BA9A4CD}"/>
            </a:ext>
          </a:extLst>
        </cdr:cNvPr>
        <cdr:cNvSpPr/>
      </cdr:nvSpPr>
      <cdr:spPr>
        <a:xfrm xmlns:a="http://schemas.openxmlformats.org/drawingml/2006/main">
          <a:off x="6075618" y="347190"/>
          <a:ext cx="642839" cy="462531"/>
        </a:xfrm>
        <a:prstGeom xmlns:a="http://schemas.openxmlformats.org/drawingml/2006/main" prst="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t>2020</a:t>
          </a:r>
          <a:r>
            <a:rPr lang="en-US" baseline="0"/>
            <a:t> COVID</a:t>
          </a:r>
          <a:endParaRPr lang="en-US"/>
        </a:p>
      </cdr:txBody>
    </cdr:sp>
  </cdr:relSizeAnchor>
</c:userShapes>
</file>

<file path=xl/drawings/drawing21.xml><?xml version="1.0" encoding="utf-8"?>
<c:userShapes xmlns:c="http://schemas.openxmlformats.org/drawingml/2006/chart">
  <cdr:relSizeAnchor xmlns:cdr="http://schemas.openxmlformats.org/drawingml/2006/chartDrawing">
    <cdr:from>
      <cdr:x>0.51566</cdr:x>
      <cdr:y>0.26526</cdr:y>
    </cdr:from>
    <cdr:to>
      <cdr:x>0.70215</cdr:x>
      <cdr:y>0.43379</cdr:y>
    </cdr:to>
    <cdr:sp macro="" textlink="">
      <cdr:nvSpPr>
        <cdr:cNvPr id="2" name="Rectangle 1">
          <a:extLst xmlns:a="http://schemas.openxmlformats.org/drawingml/2006/main">
            <a:ext uri="{FF2B5EF4-FFF2-40B4-BE49-F238E27FC236}">
              <a16:creationId xmlns:a16="http://schemas.microsoft.com/office/drawing/2014/main" id="{943853DF-73BF-CCB6-C796-B1C679538000}"/>
            </a:ext>
          </a:extLst>
        </cdr:cNvPr>
        <cdr:cNvSpPr/>
      </cdr:nvSpPr>
      <cdr:spPr>
        <a:xfrm xmlns:a="http://schemas.openxmlformats.org/drawingml/2006/main">
          <a:off x="3684744" y="715646"/>
          <a:ext cx="1332540" cy="454691"/>
        </a:xfrm>
        <a:prstGeom xmlns:a="http://schemas.openxmlformats.org/drawingml/2006/main" prst="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t>2016 cambio</a:t>
          </a:r>
          <a:r>
            <a:rPr lang="en-US" baseline="0"/>
            <a:t> encuesta</a:t>
          </a:r>
          <a:r>
            <a:rPr lang="en-US"/>
            <a:t>por VEN</a:t>
          </a:r>
        </a:p>
      </cdr:txBody>
    </cdr:sp>
  </cdr:relSizeAnchor>
  <cdr:relSizeAnchor xmlns:cdr="http://schemas.openxmlformats.org/drawingml/2006/chartDrawing">
    <cdr:from>
      <cdr:x>0.85026</cdr:x>
      <cdr:y>0.12869</cdr:y>
    </cdr:from>
    <cdr:to>
      <cdr:x>0.94022</cdr:x>
      <cdr:y>0.30012</cdr:y>
    </cdr:to>
    <cdr:sp macro="" textlink="">
      <cdr:nvSpPr>
        <cdr:cNvPr id="3" name="Rectangle 2">
          <a:extLst xmlns:a="http://schemas.openxmlformats.org/drawingml/2006/main">
            <a:ext uri="{FF2B5EF4-FFF2-40B4-BE49-F238E27FC236}">
              <a16:creationId xmlns:a16="http://schemas.microsoft.com/office/drawing/2014/main" id="{41FC5E8E-73E9-412E-CDCA-DEC45BA9A4CD}"/>
            </a:ext>
          </a:extLst>
        </cdr:cNvPr>
        <cdr:cNvSpPr/>
      </cdr:nvSpPr>
      <cdr:spPr>
        <a:xfrm xmlns:a="http://schemas.openxmlformats.org/drawingml/2006/main">
          <a:off x="6075618" y="347190"/>
          <a:ext cx="642839" cy="462531"/>
        </a:xfrm>
        <a:prstGeom xmlns:a="http://schemas.openxmlformats.org/drawingml/2006/main" prst="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t>2020</a:t>
          </a:r>
          <a:r>
            <a:rPr lang="en-US" baseline="0"/>
            <a:t> COVID</a:t>
          </a:r>
          <a:endParaRPr lang="en-US"/>
        </a:p>
      </cdr:txBody>
    </cdr:sp>
  </cdr:relSizeAnchor>
</c:userShapes>
</file>

<file path=xl/drawings/drawing22.xml><?xml version="1.0" encoding="utf-8"?>
<xdr:wsDr xmlns:xdr="http://schemas.openxmlformats.org/drawingml/2006/spreadsheetDrawing" xmlns:a="http://schemas.openxmlformats.org/drawingml/2006/main">
  <xdr:twoCellAnchor>
    <xdr:from>
      <xdr:col>52</xdr:col>
      <xdr:colOff>179387</xdr:colOff>
      <xdr:row>34</xdr:row>
      <xdr:rowOff>45508</xdr:rowOff>
    </xdr:from>
    <xdr:to>
      <xdr:col>59</xdr:col>
      <xdr:colOff>492125</xdr:colOff>
      <xdr:row>47</xdr:row>
      <xdr:rowOff>158750</xdr:rowOff>
    </xdr:to>
    <xdr:graphicFrame macro="">
      <xdr:nvGraphicFramePr>
        <xdr:cNvPr id="10" name="Chart 9">
          <a:extLst>
            <a:ext uri="{FF2B5EF4-FFF2-40B4-BE49-F238E27FC236}">
              <a16:creationId xmlns:a16="http://schemas.microsoft.com/office/drawing/2014/main" id="{777BF014-257A-FB50-273C-06AAA4FEDB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118683</xdr:colOff>
      <xdr:row>16</xdr:row>
      <xdr:rowOff>120651</xdr:rowOff>
    </xdr:from>
    <xdr:to>
      <xdr:col>57</xdr:col>
      <xdr:colOff>489857</xdr:colOff>
      <xdr:row>31</xdr:row>
      <xdr:rowOff>165100</xdr:rowOff>
    </xdr:to>
    <xdr:graphicFrame macro="">
      <xdr:nvGraphicFramePr>
        <xdr:cNvPr id="12" name="Chart 11">
          <a:extLst>
            <a:ext uri="{FF2B5EF4-FFF2-40B4-BE49-F238E27FC236}">
              <a16:creationId xmlns:a16="http://schemas.microsoft.com/office/drawing/2014/main" id="{7F563994-9024-CC1C-4A73-E7C46B367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117927</xdr:colOff>
      <xdr:row>18</xdr:row>
      <xdr:rowOff>179918</xdr:rowOff>
    </xdr:from>
    <xdr:to>
      <xdr:col>57</xdr:col>
      <xdr:colOff>371927</xdr:colOff>
      <xdr:row>32</xdr:row>
      <xdr:rowOff>9072</xdr:rowOff>
    </xdr:to>
    <xdr:sp macro="" textlink="">
      <xdr:nvSpPr>
        <xdr:cNvPr id="13" name="Rectangle 12">
          <a:extLst>
            <a:ext uri="{FF2B5EF4-FFF2-40B4-BE49-F238E27FC236}">
              <a16:creationId xmlns:a16="http://schemas.microsoft.com/office/drawing/2014/main" id="{AAB3E9EC-2616-8863-91FC-0678B55C41DB}"/>
            </a:ext>
          </a:extLst>
        </xdr:cNvPr>
        <xdr:cNvSpPr/>
      </xdr:nvSpPr>
      <xdr:spPr>
        <a:xfrm flipH="1">
          <a:off x="25980570" y="3445632"/>
          <a:ext cx="1469571" cy="2369154"/>
        </a:xfrm>
        <a:prstGeom prst="rect">
          <a:avLst/>
        </a:prstGeom>
        <a:solidFill>
          <a:schemeClr val="accent1">
            <a:lumMod val="60000"/>
            <a:lumOff val="40000"/>
            <a:alpha val="19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31751</xdr:colOff>
      <xdr:row>16</xdr:row>
      <xdr:rowOff>127000</xdr:rowOff>
    </xdr:from>
    <xdr:to>
      <xdr:col>63</xdr:col>
      <xdr:colOff>402924</xdr:colOff>
      <xdr:row>31</xdr:row>
      <xdr:rowOff>171449</xdr:rowOff>
    </xdr:to>
    <xdr:graphicFrame macro="">
      <xdr:nvGraphicFramePr>
        <xdr:cNvPr id="14" name="Chart 13">
          <a:extLst>
            <a:ext uri="{FF2B5EF4-FFF2-40B4-BE49-F238E27FC236}">
              <a16:creationId xmlns:a16="http://schemas.microsoft.com/office/drawing/2014/main" id="{133C0123-B5D3-49F2-8DD0-462CA13B40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64</xdr:col>
      <xdr:colOff>23813</xdr:colOff>
      <xdr:row>16</xdr:row>
      <xdr:rowOff>95251</xdr:rowOff>
    </xdr:from>
    <xdr:to>
      <xdr:col>69</xdr:col>
      <xdr:colOff>394986</xdr:colOff>
      <xdr:row>31</xdr:row>
      <xdr:rowOff>139700</xdr:rowOff>
    </xdr:to>
    <xdr:graphicFrame macro="">
      <xdr:nvGraphicFramePr>
        <xdr:cNvPr id="15" name="Chart 14">
          <a:extLst>
            <a:ext uri="{FF2B5EF4-FFF2-40B4-BE49-F238E27FC236}">
              <a16:creationId xmlns:a16="http://schemas.microsoft.com/office/drawing/2014/main" id="{C0454871-5F28-4EF8-8D8D-722A5D066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61</xdr:col>
      <xdr:colOff>512234</xdr:colOff>
      <xdr:row>52</xdr:row>
      <xdr:rowOff>69850</xdr:rowOff>
    </xdr:from>
    <xdr:to>
      <xdr:col>72</xdr:col>
      <xdr:colOff>569384</xdr:colOff>
      <xdr:row>68</xdr:row>
      <xdr:rowOff>48683</xdr:rowOff>
    </xdr:to>
    <xdr:pic>
      <xdr:nvPicPr>
        <xdr:cNvPr id="2" name="Picture 1">
          <a:extLst>
            <a:ext uri="{FF2B5EF4-FFF2-40B4-BE49-F238E27FC236}">
              <a16:creationId xmlns:a16="http://schemas.microsoft.com/office/drawing/2014/main" id="{F6CCB314-9550-0145-8BEC-E839185E69B6}"/>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2305434" y="9404350"/>
          <a:ext cx="6762750" cy="30204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61</xdr:col>
      <xdr:colOff>0</xdr:colOff>
      <xdr:row>35</xdr:row>
      <xdr:rowOff>42334</xdr:rowOff>
    </xdr:from>
    <xdr:to>
      <xdr:col>72</xdr:col>
      <xdr:colOff>11643</xdr:colOff>
      <xdr:row>51</xdr:row>
      <xdr:rowOff>33866</xdr:rowOff>
    </xdr:to>
    <xdr:graphicFrame macro="">
      <xdr:nvGraphicFramePr>
        <xdr:cNvPr id="3" name="Chart 2">
          <a:extLst>
            <a:ext uri="{FF2B5EF4-FFF2-40B4-BE49-F238E27FC236}">
              <a16:creationId xmlns:a16="http://schemas.microsoft.com/office/drawing/2014/main" id="{9E85EB41-6212-458B-BFAE-25E3D532E1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0.53419</cdr:x>
      <cdr:y>0.14378</cdr:y>
    </cdr:from>
    <cdr:to>
      <cdr:x>0.97098</cdr:x>
      <cdr:y>0.87873</cdr:y>
    </cdr:to>
    <cdr:sp macro="" textlink="">
      <cdr:nvSpPr>
        <cdr:cNvPr id="2" name="Rectangle 1">
          <a:extLst xmlns:a="http://schemas.openxmlformats.org/drawingml/2006/main">
            <a:ext uri="{FF2B5EF4-FFF2-40B4-BE49-F238E27FC236}">
              <a16:creationId xmlns:a16="http://schemas.microsoft.com/office/drawing/2014/main" id="{AAB3E9EC-2616-8863-91FC-0678B55C41DB}"/>
            </a:ext>
          </a:extLst>
        </cdr:cNvPr>
        <cdr:cNvSpPr/>
      </cdr:nvSpPr>
      <cdr:spPr>
        <a:xfrm xmlns:a="http://schemas.openxmlformats.org/drawingml/2006/main" flipH="1">
          <a:off x="2457731" y="365375"/>
          <a:ext cx="2009588" cy="1867647"/>
        </a:xfrm>
        <a:prstGeom xmlns:a="http://schemas.openxmlformats.org/drawingml/2006/main" prst="rect">
          <a:avLst/>
        </a:prstGeom>
        <a:solidFill xmlns:a="http://schemas.openxmlformats.org/drawingml/2006/main">
          <a:schemeClr val="accent1">
            <a:lumMod val="60000"/>
            <a:lumOff val="40000"/>
            <a:alpha val="19000"/>
          </a:schemeClr>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24.xml><?xml version="1.0" encoding="utf-8"?>
<c:userShapes xmlns:c="http://schemas.openxmlformats.org/drawingml/2006/chart">
  <cdr:relSizeAnchor xmlns:cdr="http://schemas.openxmlformats.org/drawingml/2006/chartDrawing">
    <cdr:from>
      <cdr:x>0.52436</cdr:x>
      <cdr:y>0.1409</cdr:y>
    </cdr:from>
    <cdr:to>
      <cdr:x>0.95516</cdr:x>
      <cdr:y>0.99794</cdr:y>
    </cdr:to>
    <cdr:sp macro="" textlink="">
      <cdr:nvSpPr>
        <cdr:cNvPr id="2" name="Rectangle 1">
          <a:extLst xmlns:a="http://schemas.openxmlformats.org/drawingml/2006/main">
            <a:ext uri="{FF2B5EF4-FFF2-40B4-BE49-F238E27FC236}">
              <a16:creationId xmlns:a16="http://schemas.microsoft.com/office/drawing/2014/main" id="{AAB3E9EC-2616-8863-91FC-0678B55C41DB}"/>
            </a:ext>
          </a:extLst>
        </cdr:cNvPr>
        <cdr:cNvSpPr/>
      </cdr:nvSpPr>
      <cdr:spPr>
        <a:xfrm xmlns:a="http://schemas.openxmlformats.org/drawingml/2006/main" flipH="1">
          <a:off x="1797050" y="392112"/>
          <a:ext cx="1476375" cy="2385029"/>
        </a:xfrm>
        <a:prstGeom xmlns:a="http://schemas.openxmlformats.org/drawingml/2006/main" prst="rect">
          <a:avLst/>
        </a:prstGeom>
        <a:solidFill xmlns:a="http://schemas.openxmlformats.org/drawingml/2006/main">
          <a:schemeClr val="accent1">
            <a:lumMod val="60000"/>
            <a:lumOff val="40000"/>
            <a:alpha val="19000"/>
          </a:schemeClr>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25.xml><?xml version="1.0" encoding="utf-8"?>
<c:userShapes xmlns:c="http://schemas.openxmlformats.org/drawingml/2006/chart">
  <cdr:relSizeAnchor xmlns:cdr="http://schemas.openxmlformats.org/drawingml/2006/chartDrawing">
    <cdr:from>
      <cdr:x>0.52436</cdr:x>
      <cdr:y>0.1409</cdr:y>
    </cdr:from>
    <cdr:to>
      <cdr:x>0.95516</cdr:x>
      <cdr:y>0.99794</cdr:y>
    </cdr:to>
    <cdr:sp macro="" textlink="">
      <cdr:nvSpPr>
        <cdr:cNvPr id="2" name="Rectangle 1">
          <a:extLst xmlns:a="http://schemas.openxmlformats.org/drawingml/2006/main">
            <a:ext uri="{FF2B5EF4-FFF2-40B4-BE49-F238E27FC236}">
              <a16:creationId xmlns:a16="http://schemas.microsoft.com/office/drawing/2014/main" id="{AAB3E9EC-2616-8863-91FC-0678B55C41DB}"/>
            </a:ext>
          </a:extLst>
        </cdr:cNvPr>
        <cdr:cNvSpPr/>
      </cdr:nvSpPr>
      <cdr:spPr>
        <a:xfrm xmlns:a="http://schemas.openxmlformats.org/drawingml/2006/main" flipH="1">
          <a:off x="1797040" y="392109"/>
          <a:ext cx="1476399" cy="2385045"/>
        </a:xfrm>
        <a:prstGeom xmlns:a="http://schemas.openxmlformats.org/drawingml/2006/main" prst="rect">
          <a:avLst/>
        </a:prstGeom>
        <a:solidFill xmlns:a="http://schemas.openxmlformats.org/drawingml/2006/main">
          <a:schemeClr val="accent1">
            <a:lumMod val="60000"/>
            <a:lumOff val="40000"/>
            <a:alpha val="19000"/>
          </a:schemeClr>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26.xml><?xml version="1.0" encoding="utf-8"?>
<c:userShapes xmlns:c="http://schemas.openxmlformats.org/drawingml/2006/chart">
  <cdr:relSizeAnchor xmlns:cdr="http://schemas.openxmlformats.org/drawingml/2006/chartDrawing">
    <cdr:from>
      <cdr:x>0.10824</cdr:x>
      <cdr:y>0.80015</cdr:y>
    </cdr:from>
    <cdr:to>
      <cdr:x>0.49601</cdr:x>
      <cdr:y>0.87021</cdr:y>
    </cdr:to>
    <cdr:sp macro="" textlink="">
      <cdr:nvSpPr>
        <cdr:cNvPr id="3" name="TextBox 2">
          <a:extLst xmlns:a="http://schemas.openxmlformats.org/drawingml/2006/main">
            <a:ext uri="{FF2B5EF4-FFF2-40B4-BE49-F238E27FC236}">
              <a16:creationId xmlns:a16="http://schemas.microsoft.com/office/drawing/2014/main" id="{ABB870F8-3D2A-B253-9CE1-BEE99B2490E7}"/>
            </a:ext>
          </a:extLst>
        </cdr:cNvPr>
        <cdr:cNvSpPr txBox="1"/>
      </cdr:nvSpPr>
      <cdr:spPr>
        <a:xfrm xmlns:a="http://schemas.openxmlformats.org/drawingml/2006/main">
          <a:off x="732130" y="2296583"/>
          <a:ext cx="2622787" cy="201083"/>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r>
            <a:rPr lang="en-US" sz="900">
              <a:latin typeface="Arial" panose="020B0604020202020204" pitchFamily="34" charset="0"/>
              <a:cs typeface="Arial" panose="020B0604020202020204" pitchFamily="34" charset="0"/>
            </a:rPr>
            <a:t>80                 60                  40               </a:t>
          </a:r>
          <a:r>
            <a:rPr lang="en-US" sz="900" baseline="0">
              <a:latin typeface="Arial" panose="020B0604020202020204" pitchFamily="34" charset="0"/>
              <a:cs typeface="Arial" panose="020B0604020202020204" pitchFamily="34" charset="0"/>
            </a:rPr>
            <a:t>  20            </a:t>
          </a:r>
          <a:endParaRPr lang="en-US" sz="900">
            <a:latin typeface="Arial" panose="020B0604020202020204" pitchFamily="34" charset="0"/>
            <a:cs typeface="Arial" panose="020B0604020202020204" pitchFamily="34" charset="0"/>
          </a:endParaRPr>
        </a:p>
      </cdr:txBody>
    </cdr:sp>
  </cdr:relSizeAnchor>
</c:userShapes>
</file>

<file path=xl/drawings/drawing27.xml><?xml version="1.0" encoding="utf-8"?>
<xdr:wsDr xmlns:xdr="http://schemas.openxmlformats.org/drawingml/2006/spreadsheetDrawing" xmlns:a="http://schemas.openxmlformats.org/drawingml/2006/main">
  <xdr:twoCellAnchor>
    <xdr:from>
      <xdr:col>14</xdr:col>
      <xdr:colOff>600075</xdr:colOff>
      <xdr:row>5</xdr:row>
      <xdr:rowOff>139700</xdr:rowOff>
    </xdr:from>
    <xdr:to>
      <xdr:col>22</xdr:col>
      <xdr:colOff>79375</xdr:colOff>
      <xdr:row>20</xdr:row>
      <xdr:rowOff>120650</xdr:rowOff>
    </xdr:to>
    <xdr:graphicFrame macro="">
      <xdr:nvGraphicFramePr>
        <xdr:cNvPr id="2" name="Chart 1">
          <a:extLst>
            <a:ext uri="{FF2B5EF4-FFF2-40B4-BE49-F238E27FC236}">
              <a16:creationId xmlns:a16="http://schemas.microsoft.com/office/drawing/2014/main" id="{59529885-9E2B-20B3-7FBB-39E01C23A7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114300</xdr:colOff>
      <xdr:row>21</xdr:row>
      <xdr:rowOff>88900</xdr:rowOff>
    </xdr:from>
    <xdr:to>
      <xdr:col>18</xdr:col>
      <xdr:colOff>590550</xdr:colOff>
      <xdr:row>36</xdr:row>
      <xdr:rowOff>69850</xdr:rowOff>
    </xdr:to>
    <xdr:graphicFrame macro="">
      <xdr:nvGraphicFramePr>
        <xdr:cNvPr id="3" name="Chart 2">
          <a:extLst>
            <a:ext uri="{FF2B5EF4-FFF2-40B4-BE49-F238E27FC236}">
              <a16:creationId xmlns:a16="http://schemas.microsoft.com/office/drawing/2014/main" id="{11EDD3B2-23A5-48A3-86AA-8F0FA6FC0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301623</xdr:colOff>
      <xdr:row>15</xdr:row>
      <xdr:rowOff>173565</xdr:rowOff>
    </xdr:from>
    <xdr:to>
      <xdr:col>34</xdr:col>
      <xdr:colOff>359833</xdr:colOff>
      <xdr:row>31</xdr:row>
      <xdr:rowOff>38098</xdr:rowOff>
    </xdr:to>
    <xdr:graphicFrame macro="">
      <xdr:nvGraphicFramePr>
        <xdr:cNvPr id="4" name="Chart 3">
          <a:extLst>
            <a:ext uri="{FF2B5EF4-FFF2-40B4-BE49-F238E27FC236}">
              <a16:creationId xmlns:a16="http://schemas.microsoft.com/office/drawing/2014/main" id="{E79C9C22-94A6-E834-83AB-DB8648B2B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35</xdr:col>
      <xdr:colOff>504996</xdr:colOff>
      <xdr:row>4</xdr:row>
      <xdr:rowOff>101600</xdr:rowOff>
    </xdr:from>
    <xdr:to>
      <xdr:col>49</xdr:col>
      <xdr:colOff>271256</xdr:colOff>
      <xdr:row>27</xdr:row>
      <xdr:rowOff>10239</xdr:rowOff>
    </xdr:to>
    <xdr:pic>
      <xdr:nvPicPr>
        <xdr:cNvPr id="5" name="Picture 4">
          <a:extLst>
            <a:ext uri="{FF2B5EF4-FFF2-40B4-BE49-F238E27FC236}">
              <a16:creationId xmlns:a16="http://schemas.microsoft.com/office/drawing/2014/main" id="{3F040FD6-3706-CBB9-8D1F-68A49B01C4F7}"/>
            </a:ext>
          </a:extLst>
        </xdr:cNvPr>
        <xdr:cNvPicPr>
          <a:picLocks noChangeAspect="1"/>
        </xdr:cNvPicPr>
      </xdr:nvPicPr>
      <xdr:blipFill>
        <a:blip xmlns:r="http://schemas.openxmlformats.org/officeDocument/2006/relationships" r:embed="rId4"/>
        <a:stretch>
          <a:fillRect/>
        </a:stretch>
      </xdr:blipFill>
      <xdr:spPr>
        <a:xfrm>
          <a:off x="22514096" y="863600"/>
          <a:ext cx="8300660" cy="4290139"/>
        </a:xfrm>
        <a:prstGeom prst="rect">
          <a:avLst/>
        </a:prstGeom>
      </xdr:spPr>
    </xdr:pic>
    <xdr:clientData/>
  </xdr:twoCellAnchor>
</xdr:wsDr>
</file>

<file path=xl/drawings/drawing28.xml><?xml version="1.0" encoding="utf-8"?>
<c:userShapes xmlns:c="http://schemas.openxmlformats.org/drawingml/2006/chart">
  <cdr:relSizeAnchor xmlns:cdr="http://schemas.openxmlformats.org/drawingml/2006/chartDrawing">
    <cdr:from>
      <cdr:x>0.09416</cdr:x>
      <cdr:y>0.78946</cdr:y>
    </cdr:from>
    <cdr:to>
      <cdr:x>0.95226</cdr:x>
      <cdr:y>0.87048</cdr:y>
    </cdr:to>
    <cdr:sp macro="" textlink="">
      <cdr:nvSpPr>
        <cdr:cNvPr id="3" name="TextBox 2">
          <a:extLst xmlns:a="http://schemas.openxmlformats.org/drawingml/2006/main">
            <a:ext uri="{FF2B5EF4-FFF2-40B4-BE49-F238E27FC236}">
              <a16:creationId xmlns:a16="http://schemas.microsoft.com/office/drawing/2014/main" id="{ABB870F8-3D2A-B253-9CE1-BEE99B2490E7}"/>
            </a:ext>
          </a:extLst>
        </cdr:cNvPr>
        <cdr:cNvSpPr txBox="1"/>
      </cdr:nvSpPr>
      <cdr:spPr>
        <a:xfrm xmlns:a="http://schemas.openxmlformats.org/drawingml/2006/main">
          <a:off x="633927" y="2210202"/>
          <a:ext cx="5777419" cy="226822"/>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r>
            <a:rPr lang="en-US" sz="900"/>
            <a:t>45                       35                      </a:t>
          </a:r>
          <a:r>
            <a:rPr lang="en-US" sz="900" baseline="0"/>
            <a:t>  25                       15                        5       </a:t>
          </a:r>
          <a:r>
            <a:rPr lang="en-US" sz="900"/>
            <a:t>                  5                        15                       25                       35                       45</a:t>
          </a:r>
        </a:p>
      </cdr:txBody>
    </cdr:sp>
  </cdr:relSizeAnchor>
</c:userShapes>
</file>

<file path=xl/drawings/drawing29.xml><?xml version="1.0" encoding="utf-8"?>
<xdr:wsDr xmlns:xdr="http://schemas.openxmlformats.org/drawingml/2006/spreadsheetDrawing" xmlns:a="http://schemas.openxmlformats.org/drawingml/2006/main">
  <xdr:twoCellAnchor editAs="oneCell">
    <xdr:from>
      <xdr:col>7</xdr:col>
      <xdr:colOff>529166</xdr:colOff>
      <xdr:row>28</xdr:row>
      <xdr:rowOff>148167</xdr:rowOff>
    </xdr:from>
    <xdr:to>
      <xdr:col>15</xdr:col>
      <xdr:colOff>1014917</xdr:colOff>
      <xdr:row>38</xdr:row>
      <xdr:rowOff>14327</xdr:rowOff>
    </xdr:to>
    <xdr:pic>
      <xdr:nvPicPr>
        <xdr:cNvPr id="2" name="Picture 1">
          <a:extLst>
            <a:ext uri="{FF2B5EF4-FFF2-40B4-BE49-F238E27FC236}">
              <a16:creationId xmlns:a16="http://schemas.microsoft.com/office/drawing/2014/main" id="{3EA6E5EF-2D6D-DA6B-DB98-34EC6A482CD6}"/>
            </a:ext>
          </a:extLst>
        </xdr:cNvPr>
        <xdr:cNvPicPr>
          <a:picLocks noChangeAspect="1"/>
        </xdr:cNvPicPr>
      </xdr:nvPicPr>
      <xdr:blipFill>
        <a:blip xmlns:r="http://schemas.openxmlformats.org/officeDocument/2006/relationships" r:embed="rId1"/>
        <a:stretch>
          <a:fillRect/>
        </a:stretch>
      </xdr:blipFill>
      <xdr:spPr>
        <a:xfrm>
          <a:off x="5757333" y="5185834"/>
          <a:ext cx="7411484" cy="4067743"/>
        </a:xfrm>
        <a:prstGeom prst="rect">
          <a:avLst/>
        </a:prstGeom>
      </xdr:spPr>
    </xdr:pic>
    <xdr:clientData/>
  </xdr:twoCellAnchor>
  <xdr:twoCellAnchor editAs="oneCell">
    <xdr:from>
      <xdr:col>17</xdr:col>
      <xdr:colOff>211667</xdr:colOff>
      <xdr:row>29</xdr:row>
      <xdr:rowOff>10585</xdr:rowOff>
    </xdr:from>
    <xdr:to>
      <xdr:col>25</xdr:col>
      <xdr:colOff>499564</xdr:colOff>
      <xdr:row>56</xdr:row>
      <xdr:rowOff>39948</xdr:rowOff>
    </xdr:to>
    <xdr:pic>
      <xdr:nvPicPr>
        <xdr:cNvPr id="3" name="Picture 2">
          <a:extLst>
            <a:ext uri="{FF2B5EF4-FFF2-40B4-BE49-F238E27FC236}">
              <a16:creationId xmlns:a16="http://schemas.microsoft.com/office/drawing/2014/main" id="{45C06844-7639-AB2B-526C-943C4AAE261D}"/>
            </a:ext>
          </a:extLst>
        </xdr:cNvPr>
        <xdr:cNvPicPr>
          <a:picLocks noChangeAspect="1"/>
        </xdr:cNvPicPr>
      </xdr:nvPicPr>
      <xdr:blipFill>
        <a:blip xmlns:r="http://schemas.openxmlformats.org/officeDocument/2006/relationships" r:embed="rId2"/>
        <a:stretch>
          <a:fillRect/>
        </a:stretch>
      </xdr:blipFill>
      <xdr:spPr>
        <a:xfrm>
          <a:off x="13895917" y="5228168"/>
          <a:ext cx="5727730" cy="4887113"/>
        </a:xfrm>
        <a:prstGeom prst="rect">
          <a:avLst/>
        </a:prstGeom>
      </xdr:spPr>
    </xdr:pic>
    <xdr:clientData/>
  </xdr:twoCellAnchor>
  <xdr:twoCellAnchor editAs="oneCell">
    <xdr:from>
      <xdr:col>9</xdr:col>
      <xdr:colOff>76200</xdr:colOff>
      <xdr:row>50</xdr:row>
      <xdr:rowOff>88900</xdr:rowOff>
    </xdr:from>
    <xdr:to>
      <xdr:col>15</xdr:col>
      <xdr:colOff>356302</xdr:colOff>
      <xdr:row>65</xdr:row>
      <xdr:rowOff>32141</xdr:rowOff>
    </xdr:to>
    <xdr:pic>
      <xdr:nvPicPr>
        <xdr:cNvPr id="4" name="Picture 3">
          <a:extLst>
            <a:ext uri="{FF2B5EF4-FFF2-40B4-BE49-F238E27FC236}">
              <a16:creationId xmlns:a16="http://schemas.microsoft.com/office/drawing/2014/main" id="{98CC152F-6889-43E6-1D91-96870686D2E3}"/>
            </a:ext>
          </a:extLst>
        </xdr:cNvPr>
        <xdr:cNvPicPr>
          <a:picLocks noChangeAspect="1"/>
        </xdr:cNvPicPr>
      </xdr:nvPicPr>
      <xdr:blipFill>
        <a:blip xmlns:r="http://schemas.openxmlformats.org/officeDocument/2006/relationships" r:embed="rId3"/>
        <a:stretch>
          <a:fillRect/>
        </a:stretch>
      </xdr:blipFill>
      <xdr:spPr>
        <a:xfrm>
          <a:off x="7708900" y="12001500"/>
          <a:ext cx="5029902" cy="2800741"/>
        </a:xfrm>
        <a:prstGeom prst="rect">
          <a:avLst/>
        </a:prstGeom>
      </xdr:spPr>
    </xdr:pic>
    <xdr:clientData/>
  </xdr:twoCellAnchor>
  <xdr:twoCellAnchor editAs="oneCell">
    <xdr:from>
      <xdr:col>0</xdr:col>
      <xdr:colOff>228600</xdr:colOff>
      <xdr:row>50</xdr:row>
      <xdr:rowOff>165100</xdr:rowOff>
    </xdr:from>
    <xdr:to>
      <xdr:col>8</xdr:col>
      <xdr:colOff>1337679</xdr:colOff>
      <xdr:row>64</xdr:row>
      <xdr:rowOff>13051</xdr:rowOff>
    </xdr:to>
    <xdr:pic>
      <xdr:nvPicPr>
        <xdr:cNvPr id="5" name="Picture 4">
          <a:extLst>
            <a:ext uri="{FF2B5EF4-FFF2-40B4-BE49-F238E27FC236}">
              <a16:creationId xmlns:a16="http://schemas.microsoft.com/office/drawing/2014/main" id="{4470A1C5-6C5F-5FE9-4061-2C7567850538}"/>
            </a:ext>
          </a:extLst>
        </xdr:cNvPr>
        <xdr:cNvPicPr>
          <a:picLocks noChangeAspect="1"/>
        </xdr:cNvPicPr>
      </xdr:nvPicPr>
      <xdr:blipFill>
        <a:blip xmlns:r="http://schemas.openxmlformats.org/officeDocument/2006/relationships" r:embed="rId4"/>
        <a:stretch>
          <a:fillRect/>
        </a:stretch>
      </xdr:blipFill>
      <xdr:spPr>
        <a:xfrm>
          <a:off x="228600" y="12077700"/>
          <a:ext cx="7192379" cy="2514951"/>
        </a:xfrm>
        <a:prstGeom prst="rect">
          <a:avLst/>
        </a:prstGeom>
      </xdr:spPr>
    </xdr:pic>
    <xdr:clientData/>
  </xdr:twoCellAnchor>
  <xdr:twoCellAnchor editAs="oneCell">
    <xdr:from>
      <xdr:col>8</xdr:col>
      <xdr:colOff>1037167</xdr:colOff>
      <xdr:row>68</xdr:row>
      <xdr:rowOff>95249</xdr:rowOff>
    </xdr:from>
    <xdr:to>
      <xdr:col>15</xdr:col>
      <xdr:colOff>980725</xdr:colOff>
      <xdr:row>90</xdr:row>
      <xdr:rowOff>69435</xdr:rowOff>
    </xdr:to>
    <xdr:pic>
      <xdr:nvPicPr>
        <xdr:cNvPr id="6" name="Picture 5">
          <a:extLst>
            <a:ext uri="{FF2B5EF4-FFF2-40B4-BE49-F238E27FC236}">
              <a16:creationId xmlns:a16="http://schemas.microsoft.com/office/drawing/2014/main" id="{1166A4CE-8526-0D67-7C94-D28EC737DB1B}"/>
            </a:ext>
          </a:extLst>
        </xdr:cNvPr>
        <xdr:cNvPicPr>
          <a:picLocks noChangeAspect="1"/>
        </xdr:cNvPicPr>
      </xdr:nvPicPr>
      <xdr:blipFill>
        <a:blip xmlns:r="http://schemas.openxmlformats.org/officeDocument/2006/relationships" r:embed="rId5"/>
        <a:stretch>
          <a:fillRect/>
        </a:stretch>
      </xdr:blipFill>
      <xdr:spPr>
        <a:xfrm>
          <a:off x="7133167" y="14731999"/>
          <a:ext cx="6251225" cy="3932353"/>
        </a:xfrm>
        <a:prstGeom prst="rect">
          <a:avLst/>
        </a:prstGeom>
      </xdr:spPr>
    </xdr:pic>
    <xdr:clientData/>
  </xdr:twoCellAnchor>
  <xdr:twoCellAnchor editAs="oneCell">
    <xdr:from>
      <xdr:col>0</xdr:col>
      <xdr:colOff>0</xdr:colOff>
      <xdr:row>71</xdr:row>
      <xdr:rowOff>21166</xdr:rowOff>
    </xdr:from>
    <xdr:to>
      <xdr:col>8</xdr:col>
      <xdr:colOff>1239274</xdr:colOff>
      <xdr:row>81</xdr:row>
      <xdr:rowOff>117739</xdr:rowOff>
    </xdr:to>
    <xdr:pic>
      <xdr:nvPicPr>
        <xdr:cNvPr id="7" name="Picture 6">
          <a:extLst>
            <a:ext uri="{FF2B5EF4-FFF2-40B4-BE49-F238E27FC236}">
              <a16:creationId xmlns:a16="http://schemas.microsoft.com/office/drawing/2014/main" id="{CD482522-2120-673C-B127-22CEE2234527}"/>
            </a:ext>
          </a:extLst>
        </xdr:cNvPr>
        <xdr:cNvPicPr>
          <a:picLocks noChangeAspect="1"/>
        </xdr:cNvPicPr>
      </xdr:nvPicPr>
      <xdr:blipFill>
        <a:blip xmlns:r="http://schemas.openxmlformats.org/officeDocument/2006/relationships" r:embed="rId6"/>
        <a:stretch>
          <a:fillRect/>
        </a:stretch>
      </xdr:blipFill>
      <xdr:spPr>
        <a:xfrm>
          <a:off x="0" y="15197666"/>
          <a:ext cx="7335274" cy="189574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xdr:from>
      <xdr:col>34</xdr:col>
      <xdr:colOff>503464</xdr:colOff>
      <xdr:row>1</xdr:row>
      <xdr:rowOff>170542</xdr:rowOff>
    </xdr:from>
    <xdr:to>
      <xdr:col>43</xdr:col>
      <xdr:colOff>213178</xdr:colOff>
      <xdr:row>16</xdr:row>
      <xdr:rowOff>174171</xdr:rowOff>
    </xdr:to>
    <xdr:graphicFrame macro="">
      <xdr:nvGraphicFramePr>
        <xdr:cNvPr id="3" name="Chart 2">
          <a:extLst>
            <a:ext uri="{FF2B5EF4-FFF2-40B4-BE49-F238E27FC236}">
              <a16:creationId xmlns:a16="http://schemas.microsoft.com/office/drawing/2014/main" id="{0842703C-E42F-F284-D26D-70F05DEF7D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43</xdr:col>
      <xdr:colOff>557893</xdr:colOff>
      <xdr:row>1</xdr:row>
      <xdr:rowOff>170541</xdr:rowOff>
    </xdr:from>
    <xdr:to>
      <xdr:col>51</xdr:col>
      <xdr:colOff>267608</xdr:colOff>
      <xdr:row>16</xdr:row>
      <xdr:rowOff>174170</xdr:rowOff>
    </xdr:to>
    <xdr:graphicFrame macro="">
      <xdr:nvGraphicFramePr>
        <xdr:cNvPr id="6" name="Chart 5">
          <a:extLst>
            <a:ext uri="{FF2B5EF4-FFF2-40B4-BE49-F238E27FC236}">
              <a16:creationId xmlns:a16="http://schemas.microsoft.com/office/drawing/2014/main" id="{988411D7-C599-26D8-534E-8BFBDFAA3A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322036</xdr:colOff>
      <xdr:row>10</xdr:row>
      <xdr:rowOff>97971</xdr:rowOff>
    </xdr:from>
    <xdr:to>
      <xdr:col>29</xdr:col>
      <xdr:colOff>158751</xdr:colOff>
      <xdr:row>25</xdr:row>
      <xdr:rowOff>101600</xdr:rowOff>
    </xdr:to>
    <xdr:graphicFrame macro="">
      <xdr:nvGraphicFramePr>
        <xdr:cNvPr id="8" name="Chart 7">
          <a:extLst>
            <a:ext uri="{FF2B5EF4-FFF2-40B4-BE49-F238E27FC236}">
              <a16:creationId xmlns:a16="http://schemas.microsoft.com/office/drawing/2014/main" id="{D6FD3137-79CA-AEE0-6ECA-3F3B1F3A8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0</xdr:colOff>
      <xdr:row>29</xdr:row>
      <xdr:rowOff>0</xdr:rowOff>
    </xdr:from>
    <xdr:to>
      <xdr:col>29</xdr:col>
      <xdr:colOff>444500</xdr:colOff>
      <xdr:row>44</xdr:row>
      <xdr:rowOff>12700</xdr:rowOff>
    </xdr:to>
    <xdr:graphicFrame macro="">
      <xdr:nvGraphicFramePr>
        <xdr:cNvPr id="9" name="Chart 8">
          <a:extLst>
            <a:ext uri="{FF2B5EF4-FFF2-40B4-BE49-F238E27FC236}">
              <a16:creationId xmlns:a16="http://schemas.microsoft.com/office/drawing/2014/main" id="{41D997C8-F121-4E0D-9092-76715EC30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0</xdr:colOff>
      <xdr:row>18</xdr:row>
      <xdr:rowOff>0</xdr:rowOff>
    </xdr:from>
    <xdr:to>
      <xdr:col>43</xdr:col>
      <xdr:colOff>317500</xdr:colOff>
      <xdr:row>32</xdr:row>
      <xdr:rowOff>166914</xdr:rowOff>
    </xdr:to>
    <xdr:graphicFrame macro="">
      <xdr:nvGraphicFramePr>
        <xdr:cNvPr id="10" name="Chart 9">
          <a:extLst>
            <a:ext uri="{FF2B5EF4-FFF2-40B4-BE49-F238E27FC236}">
              <a16:creationId xmlns:a16="http://schemas.microsoft.com/office/drawing/2014/main" id="{C08151E1-4AE8-4C32-94FC-B3B4ADC462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0</xdr:colOff>
      <xdr:row>18</xdr:row>
      <xdr:rowOff>54428</xdr:rowOff>
    </xdr:from>
    <xdr:to>
      <xdr:col>51</xdr:col>
      <xdr:colOff>317500</xdr:colOff>
      <xdr:row>33</xdr:row>
      <xdr:rowOff>39914</xdr:rowOff>
    </xdr:to>
    <xdr:graphicFrame macro="">
      <xdr:nvGraphicFramePr>
        <xdr:cNvPr id="11" name="Chart 10">
          <a:extLst>
            <a:ext uri="{FF2B5EF4-FFF2-40B4-BE49-F238E27FC236}">
              <a16:creationId xmlns:a16="http://schemas.microsoft.com/office/drawing/2014/main" id="{C072D6A0-2D86-4E51-8712-82B2070E9E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155558</xdr:colOff>
      <xdr:row>10</xdr:row>
      <xdr:rowOff>50800</xdr:rowOff>
    </xdr:from>
    <xdr:to>
      <xdr:col>4</xdr:col>
      <xdr:colOff>216810</xdr:colOff>
      <xdr:row>21</xdr:row>
      <xdr:rowOff>26140</xdr:rowOff>
    </xdr:to>
    <xdr:pic>
      <xdr:nvPicPr>
        <xdr:cNvPr id="3" name="Picture 2">
          <a:extLst>
            <a:ext uri="{FF2B5EF4-FFF2-40B4-BE49-F238E27FC236}">
              <a16:creationId xmlns:a16="http://schemas.microsoft.com/office/drawing/2014/main" id="{32505F1F-CA30-1DE8-6DEF-DDBDF49C9783}"/>
            </a:ext>
          </a:extLst>
        </xdr:cNvPr>
        <xdr:cNvPicPr>
          <a:picLocks noChangeAspect="1"/>
        </xdr:cNvPicPr>
      </xdr:nvPicPr>
      <xdr:blipFill>
        <a:blip xmlns:r="http://schemas.openxmlformats.org/officeDocument/2006/relationships" r:embed="rId1"/>
        <a:stretch>
          <a:fillRect/>
        </a:stretch>
      </xdr:blipFill>
      <xdr:spPr>
        <a:xfrm>
          <a:off x="765158" y="1905000"/>
          <a:ext cx="2464727" cy="2004165"/>
        </a:xfrm>
        <a:prstGeom prst="rect">
          <a:avLst/>
        </a:prstGeom>
      </xdr:spPr>
    </xdr:pic>
    <xdr:clientData/>
  </xdr:twoCellAnchor>
  <xdr:twoCellAnchor>
    <xdr:from>
      <xdr:col>40</xdr:col>
      <xdr:colOff>267155</xdr:colOff>
      <xdr:row>1</xdr:row>
      <xdr:rowOff>178253</xdr:rowOff>
    </xdr:from>
    <xdr:to>
      <xdr:col>47</xdr:col>
      <xdr:colOff>573769</xdr:colOff>
      <xdr:row>16</xdr:row>
      <xdr:rowOff>146503</xdr:rowOff>
    </xdr:to>
    <xdr:graphicFrame macro="">
      <xdr:nvGraphicFramePr>
        <xdr:cNvPr id="5" name="Chart 4">
          <a:extLst>
            <a:ext uri="{FF2B5EF4-FFF2-40B4-BE49-F238E27FC236}">
              <a16:creationId xmlns:a16="http://schemas.microsoft.com/office/drawing/2014/main" id="{4DEA801A-4E9E-8D00-389A-77380BC27C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407308</xdr:colOff>
      <xdr:row>0</xdr:row>
      <xdr:rowOff>124279</xdr:rowOff>
    </xdr:from>
    <xdr:to>
      <xdr:col>39</xdr:col>
      <xdr:colOff>109765</xdr:colOff>
      <xdr:row>15</xdr:row>
      <xdr:rowOff>92530</xdr:rowOff>
    </xdr:to>
    <xdr:graphicFrame macro="">
      <xdr:nvGraphicFramePr>
        <xdr:cNvPr id="6" name="Chart 5">
          <a:extLst>
            <a:ext uri="{FF2B5EF4-FFF2-40B4-BE49-F238E27FC236}">
              <a16:creationId xmlns:a16="http://schemas.microsoft.com/office/drawing/2014/main" id="{A6CEA80F-13CE-48A3-B4A1-4A4689BA7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editAs="oneCell">
    <xdr:from>
      <xdr:col>25</xdr:col>
      <xdr:colOff>585354</xdr:colOff>
      <xdr:row>31</xdr:row>
      <xdr:rowOff>128845</xdr:rowOff>
    </xdr:from>
    <xdr:to>
      <xdr:col>32</xdr:col>
      <xdr:colOff>353999</xdr:colOff>
      <xdr:row>55</xdr:row>
      <xdr:rowOff>26905</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a:stretch>
          <a:fillRect/>
        </a:stretch>
      </xdr:blipFill>
      <xdr:spPr>
        <a:xfrm>
          <a:off x="16354521" y="5706262"/>
          <a:ext cx="4065478" cy="4258394"/>
        </a:xfrm>
        <a:prstGeom prst="rect">
          <a:avLst/>
        </a:prstGeom>
      </xdr:spPr>
    </xdr:pic>
    <xdr:clientData/>
  </xdr:twoCellAnchor>
  <xdr:twoCellAnchor editAs="oneCell">
    <xdr:from>
      <xdr:col>26</xdr:col>
      <xdr:colOff>42332</xdr:colOff>
      <xdr:row>0</xdr:row>
      <xdr:rowOff>0</xdr:rowOff>
    </xdr:from>
    <xdr:to>
      <xdr:col>33</xdr:col>
      <xdr:colOff>423981</xdr:colOff>
      <xdr:row>30</xdr:row>
      <xdr:rowOff>17709</xdr:rowOff>
    </xdr:to>
    <xdr:pic>
      <xdr:nvPicPr>
        <xdr:cNvPr id="4" name="Picture 3">
          <a:extLst>
            <a:ext uri="{FF2B5EF4-FFF2-40B4-BE49-F238E27FC236}">
              <a16:creationId xmlns:a16="http://schemas.microsoft.com/office/drawing/2014/main" id="{00000000-0008-0000-1200-000004000000}"/>
            </a:ext>
          </a:extLst>
        </xdr:cNvPr>
        <xdr:cNvPicPr>
          <a:picLocks noChangeAspect="1"/>
        </xdr:cNvPicPr>
      </xdr:nvPicPr>
      <xdr:blipFill>
        <a:blip xmlns:r="http://schemas.openxmlformats.org/officeDocument/2006/relationships" r:embed="rId2"/>
        <a:stretch>
          <a:fillRect/>
        </a:stretch>
      </xdr:blipFill>
      <xdr:spPr>
        <a:xfrm>
          <a:off x="16425332" y="0"/>
          <a:ext cx="4678483" cy="5436376"/>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13</xdr:col>
      <xdr:colOff>133350</xdr:colOff>
      <xdr:row>4</xdr:row>
      <xdr:rowOff>9525</xdr:rowOff>
    </xdr:from>
    <xdr:to>
      <xdr:col>26</xdr:col>
      <xdr:colOff>426597</xdr:colOff>
      <xdr:row>23</xdr:row>
      <xdr:rowOff>149725</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8058150" y="746125"/>
          <a:ext cx="8218047" cy="3639050"/>
        </a:xfrm>
        <a:prstGeom prst="rect">
          <a:avLst/>
        </a:prstGeom>
      </xdr:spPr>
    </xdr:pic>
    <xdr:clientData/>
  </xdr:twoCellAnchor>
  <xdr:twoCellAnchor editAs="oneCell">
    <xdr:from>
      <xdr:col>1</xdr:col>
      <xdr:colOff>247650</xdr:colOff>
      <xdr:row>2</xdr:row>
      <xdr:rowOff>104775</xdr:rowOff>
    </xdr:from>
    <xdr:to>
      <xdr:col>12</xdr:col>
      <xdr:colOff>353887</xdr:colOff>
      <xdr:row>22</xdr:row>
      <xdr:rowOff>39013</xdr:rowOff>
    </xdr:to>
    <xdr:pic>
      <xdr:nvPicPr>
        <xdr:cNvPr id="3" name="Picture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2"/>
        <a:stretch>
          <a:fillRect/>
        </a:stretch>
      </xdr:blipFill>
      <xdr:spPr>
        <a:xfrm>
          <a:off x="857250" y="473075"/>
          <a:ext cx="6811837" cy="3617238"/>
        </a:xfrm>
        <a:prstGeom prst="rect">
          <a:avLst/>
        </a:prstGeom>
      </xdr:spPr>
    </xdr:pic>
    <xdr:clientData/>
  </xdr:twoCellAnchor>
  <xdr:twoCellAnchor editAs="oneCell">
    <xdr:from>
      <xdr:col>1</xdr:col>
      <xdr:colOff>495300</xdr:colOff>
      <xdr:row>26</xdr:row>
      <xdr:rowOff>83600</xdr:rowOff>
    </xdr:from>
    <xdr:to>
      <xdr:col>10</xdr:col>
      <xdr:colOff>482600</xdr:colOff>
      <xdr:row>43</xdr:row>
      <xdr:rowOff>38931</xdr:rowOff>
    </xdr:to>
    <xdr:pic>
      <xdr:nvPicPr>
        <xdr:cNvPr id="4" name="Picture 3">
          <a:extLst>
            <a:ext uri="{FF2B5EF4-FFF2-40B4-BE49-F238E27FC236}">
              <a16:creationId xmlns:a16="http://schemas.microsoft.com/office/drawing/2014/main" id="{00000000-0008-0000-1600-000004000000}"/>
            </a:ext>
          </a:extLst>
        </xdr:cNvPr>
        <xdr:cNvPicPr>
          <a:picLocks noChangeAspect="1"/>
        </xdr:cNvPicPr>
      </xdr:nvPicPr>
      <xdr:blipFill>
        <a:blip xmlns:r="http://schemas.openxmlformats.org/officeDocument/2006/relationships" r:embed="rId3"/>
        <a:stretch>
          <a:fillRect/>
        </a:stretch>
      </xdr:blipFill>
      <xdr:spPr>
        <a:xfrm>
          <a:off x="1104900" y="4871500"/>
          <a:ext cx="5473700" cy="3085881"/>
        </a:xfrm>
        <a:prstGeom prst="rect">
          <a:avLst/>
        </a:prstGeom>
      </xdr:spPr>
    </xdr:pic>
    <xdr:clientData/>
  </xdr:twoCellAnchor>
  <xdr:twoCellAnchor editAs="oneCell">
    <xdr:from>
      <xdr:col>2</xdr:col>
      <xdr:colOff>196850</xdr:colOff>
      <xdr:row>48</xdr:row>
      <xdr:rowOff>141581</xdr:rowOff>
    </xdr:from>
    <xdr:to>
      <xdr:col>11</xdr:col>
      <xdr:colOff>468250</xdr:colOff>
      <xdr:row>65</xdr:row>
      <xdr:rowOff>96052</xdr:rowOff>
    </xdr:to>
    <xdr:pic>
      <xdr:nvPicPr>
        <xdr:cNvPr id="5" name="Picture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4"/>
        <a:stretch>
          <a:fillRect/>
        </a:stretch>
      </xdr:blipFill>
      <xdr:spPr>
        <a:xfrm>
          <a:off x="1416050" y="8980781"/>
          <a:ext cx="5757800" cy="3085021"/>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34</xdr:col>
      <xdr:colOff>243416</xdr:colOff>
      <xdr:row>9</xdr:row>
      <xdr:rowOff>141815</xdr:rowOff>
    </xdr:from>
    <xdr:to>
      <xdr:col>45</xdr:col>
      <xdr:colOff>460374</xdr:colOff>
      <xdr:row>37</xdr:row>
      <xdr:rowOff>105833</xdr:rowOff>
    </xdr:to>
    <xdr:graphicFrame macro="">
      <xdr:nvGraphicFramePr>
        <xdr:cNvPr id="2" name="Chart 1">
          <a:extLst>
            <a:ext uri="{FF2B5EF4-FFF2-40B4-BE49-F238E27FC236}">
              <a16:creationId xmlns:a16="http://schemas.microsoft.com/office/drawing/2014/main" id="{ADF47119-D05A-B676-1693-906177FCD6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idbg-my.sharepoint.com/personal/jilliec_iadb_org/Documents/2023/IADB_2023/Latinobar&#243;metro/DIA_cap12_2023/0_LB2023_socialnorms_policy_2023_06_30.xlsx" TargetMode="External"/><Relationship Id="rId1" Type="http://schemas.openxmlformats.org/officeDocument/2006/relationships/externalLinkPath" Target="/personal/jilliec_iadb_org/Documents/2023/IADB_2023/Latinobar&#243;metro/DIA_cap12_2023/0_LB2023_socialnorms_policy_2023_06_3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eguntas"/>
      <sheetName val="Questions"/>
      <sheetName val="LGTBQ+"/>
      <sheetName val="GenderEquality "/>
      <sheetName val="SocialNorms_Policies"/>
      <sheetName val="WBLyLB_15countries"/>
      <sheetName val="Regresiones"/>
      <sheetName val="OTRAS"/>
      <sheetName val="LGTBQ+_desagregado"/>
      <sheetName val="WBL_DIA"/>
      <sheetName val="Sheet4"/>
      <sheetName val="Fact2"/>
    </sheetNames>
    <sheetDataSet>
      <sheetData sheetId="0"/>
      <sheetData sheetId="1"/>
      <sheetData sheetId="2">
        <row r="3">
          <cell r="B3" t="str">
            <v>Same-sex couples adopt children</v>
          </cell>
        </row>
        <row r="18">
          <cell r="G18" t="str">
            <v>LGTBQ+ Inclusion policies</v>
          </cell>
        </row>
      </sheetData>
      <sheetData sheetId="3"/>
      <sheetData sheetId="4"/>
      <sheetData sheetId="5"/>
      <sheetData sheetId="6"/>
      <sheetData sheetId="7"/>
      <sheetData sheetId="8"/>
      <sheetData sheetId="9"/>
      <sheetData sheetId="10"/>
      <sheetData sheetId="1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CL" refreshedDate="45437.847757754629" createdVersion="8" refreshedVersion="8" minRefreshableVersion="3" recordCount="362" xr:uid="{BB6B8B70-5AE2-42F7-A716-F3587A542F2B}">
  <cacheSource type="worksheet">
    <worksheetSource ref="A1:N1048576" sheet="Fact2_data"/>
  </cacheSource>
  <cacheFields count="14">
    <cacheField name="isoalpha3" numFmtId="0">
      <sharedItems containsBlank="1" count="25">
        <s v="ARG"/>
        <s v="BHS"/>
        <s v="BLZ"/>
        <s v="BOL"/>
        <s v="BRA"/>
        <s v="BRB"/>
        <s v="CHL"/>
        <s v="COL"/>
        <s v="CRI"/>
        <s v="DOM"/>
        <s v="ECU"/>
        <s v="GTM"/>
        <s v="GUY"/>
        <s v="HND"/>
        <s v="JAM"/>
        <s v="MEX"/>
        <s v="NIC"/>
        <s v="PAN"/>
        <s v="PER"/>
        <s v="PRY"/>
        <s v="SLV"/>
        <s v="TTO"/>
        <s v="URY"/>
        <s v="VEN"/>
        <m/>
      </sharedItems>
    </cacheField>
    <cacheField name="year" numFmtId="0">
      <sharedItems containsString="0" containsBlank="1" containsNumber="1" containsInteger="1" minValue="2003" maxValue="2023" count="22">
        <n v="2003"/>
        <n v="2004"/>
        <n v="2005"/>
        <n v="2006"/>
        <n v="2007"/>
        <n v="2008"/>
        <n v="2009"/>
        <n v="2010"/>
        <n v="2011"/>
        <n v="2012"/>
        <n v="2013"/>
        <n v="2014"/>
        <n v="2015"/>
        <n v="2016"/>
        <n v="2017"/>
        <n v="2018"/>
        <n v="2019"/>
        <n v="2020"/>
        <n v="2021"/>
        <n v="2022"/>
        <n v="2023"/>
        <m/>
      </sharedItems>
    </cacheField>
    <cacheField name="survey" numFmtId="0">
      <sharedItems containsBlank="1"/>
    </cacheField>
    <cacheField name="valuepobreza31" numFmtId="0">
      <sharedItems containsString="0" containsBlank="1" containsNumber="1" minValue="0.417115718126297" maxValue="98.908035278320313"/>
    </cacheField>
    <cacheField name="valuepobreza" numFmtId="0">
      <sharedItems containsString="0" containsBlank="1" containsNumber="1" minValue="0.46551507711410522" maxValue="100"/>
    </cacheField>
    <cacheField name="valuevulnerable" numFmtId="0">
      <sharedItems containsString="0" containsBlank="1" containsNumber="1" minValue="0.52292656898498535" maxValue="48.162082672119141"/>
    </cacheField>
    <cacheField name="valuemiddle" numFmtId="0">
      <sharedItems containsString="0" containsBlank="1" containsNumber="1" minValue="0.1035190522670746" maxValue="78.701469421386719"/>
    </cacheField>
    <cacheField name="valuerich" numFmtId="0">
      <sharedItems containsString="0" containsBlank="1" containsNumber="1" minValue="9.7051665186882019E-2" maxValue="31.167537689208981"/>
    </cacheField>
    <cacheField name="levelpobreza31" numFmtId="0">
      <sharedItems containsString="0" containsBlank="1" containsNumber="1" minValue="974.00371932983398" maxValue="58062070.347421199"/>
    </cacheField>
    <cacheField name="levelpobreza" numFmtId="0">
      <sharedItems containsString="0" containsBlank="1" containsNumber="1" minValue="217.40674209594701" maxValue="30033657"/>
    </cacheField>
    <cacheField name="levelmiddle" numFmtId="0">
      <sharedItems containsString="0" containsBlank="1" containsNumber="1" minValue="20510.127452850302" maxValue="84127799.026073501"/>
    </cacheField>
    <cacheField name="levelvulnerable" numFmtId="0">
      <sharedItems containsString="0" containsBlank="1" containsNumber="1" minValue="9614.3001108169592" maxValue="77827664"/>
    </cacheField>
    <cacheField name="levelrich" numFmtId="0">
      <sharedItems containsString="0" containsBlank="1" containsNumber="1" minValue="1415.67893218994" maxValue="8368774.2333335904"/>
    </cacheField>
    <cacheField name="levelpob_total" numFmtId="0">
      <sharedItems containsString="0" containsBlank="1" containsNumber="1" minValue="5417.0060997009296" maxValue="214153641.0320839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CL" refreshedDate="45446.624740740743" createdVersion="8" refreshedVersion="8" minRefreshableVersion="3" recordCount="366" xr:uid="{A8E83F4C-4870-4225-BB32-375DFCC850E4}">
  <cacheSource type="worksheet">
    <worksheetSource ref="A1:P367" sheet="Fact2_data"/>
  </cacheSource>
  <cacheFields count="16">
    <cacheField name="isoalpha3" numFmtId="0">
      <sharedItems count="24">
        <s v="ARG"/>
        <s v="BHS"/>
        <s v="BLZ"/>
        <s v="BOL"/>
        <s v="BRA"/>
        <s v="BRB"/>
        <s v="CHL"/>
        <s v="COL"/>
        <s v="CRI"/>
        <s v="DOM"/>
        <s v="ECU"/>
        <s v="GTM"/>
        <s v="GUY"/>
        <s v="HND"/>
        <s v="JAM"/>
        <s v="MEX"/>
        <s v="NIC"/>
        <s v="PAN"/>
        <s v="PER"/>
        <s v="PRY"/>
        <s v="SLV"/>
        <s v="TTO"/>
        <s v="URY"/>
        <s v="VEN"/>
      </sharedItems>
    </cacheField>
    <cacheField name="year" numFmtId="1">
      <sharedItems containsSemiMixedTypes="0" containsString="0" containsNumber="1" containsInteger="1" minValue="2003" maxValue="2023" count="21">
        <n v="2003"/>
        <n v="2004"/>
        <n v="2005"/>
        <n v="2006"/>
        <n v="2007"/>
        <n v="2008"/>
        <n v="2009"/>
        <n v="2010"/>
        <n v="2011"/>
        <n v="2012"/>
        <n v="2013"/>
        <n v="2014"/>
        <n v="2015"/>
        <n v="2016"/>
        <n v="2017"/>
        <n v="2018"/>
        <n v="2019"/>
        <n v="2020"/>
        <n v="2021"/>
        <n v="2022"/>
        <n v="2023"/>
      </sharedItems>
    </cacheField>
    <cacheField name="survey" numFmtId="0">
      <sharedItems/>
    </cacheField>
    <cacheField name="valuepobreza31" numFmtId="1">
      <sharedItems containsString="0" containsBlank="1" containsNumber="1" minValue="0.417115718126297" maxValue="98.908035278320313" count="363">
        <n v="43.503746032714837"/>
        <n v="35.645278930664063"/>
        <n v="29.37149620056152"/>
        <n v="23.232328414916989"/>
        <n v="16.700082778930661"/>
        <n v="13.379194259643549"/>
        <n v="11.47798442840576"/>
        <n v="7.6527528762817383"/>
        <n v="4.2303776741027832"/>
        <n v="3.4424736499786381"/>
        <n v="2.526459693908691"/>
        <n v="2.662331342697144"/>
        <n v="2.948365449905396"/>
        <n v="4.5267486572265634"/>
        <n v="4.2431745529174796"/>
        <n v="4.5074429512023926"/>
        <n v="5.6630678176879883"/>
        <n v="6.3377118110656738"/>
        <n v="5.7765898704528809"/>
        <n v="5.0950345993041992"/>
        <n v="1.5577710866928101"/>
        <n v="1.157953023910522"/>
        <n v="1.4279829263687129"/>
        <n v="0.78499734401702881"/>
        <n v="0.95234501361846924"/>
        <n v="1.1501230001449581"/>
        <n v="1.8478395938873291"/>
        <n v="2.6079261302947998"/>
        <n v="3.507896900177002"/>
        <n v="2.8519854545593262"/>
        <n v="4.2082076072692871"/>
        <n v="5.5798177719116211"/>
        <n v="6.859896183013916"/>
        <n v="4.7977628707885742"/>
        <m/>
        <n v="28.440328598022461"/>
        <n v="34.526645660400391"/>
        <n v="32.696773529052727"/>
        <n v="31.143205642700199"/>
        <n v="23.658063888549801"/>
        <n v="21.13117790222168"/>
        <n v="16.912851333618161"/>
        <n v="18.19255447387695"/>
        <n v="15.807085037231451"/>
        <n v="15.583621025085449"/>
        <n v="14.94226741790771"/>
        <n v="16.2106819152832"/>
        <n v="15.84268379211426"/>
        <n v="14.29046058654785"/>
        <n v="10.55163669586182"/>
        <n v="13.775515556335449"/>
        <n v="10.729448318481451"/>
        <n v="26.882663726806641"/>
        <n v="24.336030960083011"/>
        <n v="22.255535125732418"/>
        <n v="20.59036827087402"/>
        <n v="17.899656295776371"/>
        <n v="15.4569845199585"/>
        <n v="14.771352767944339"/>
        <n v="12.61227607727051"/>
        <n v="10.36298084259033"/>
        <n v="10.08380603790283"/>
        <n v="8.9850425720214844"/>
        <n v="10.47846031188965"/>
        <n v="10.29215240478516"/>
        <n v="10.56212043762207"/>
        <n v="11.011074066162109"/>
        <n v="10.81781005859375"/>
        <n v="8.7505693435668945"/>
        <n v="12.504270553588871"/>
        <n v="27.230558395385739"/>
        <n v="1.097913980484009"/>
        <n v="0.60790646076202393"/>
        <n v="0.91326802968978882"/>
        <n v="0.42966911196708679"/>
        <n v="0.417115718126297"/>
        <n v="0.42837858200073242"/>
        <n v="0.44993036985397339"/>
        <n v="1.4251377582550051"/>
        <n v="1.1928062438964839"/>
        <n v="1.10283374786377"/>
        <n v="1.544919371604919"/>
        <n v="1.2044996023178101"/>
        <n v="1.318590402603149"/>
        <n v="4.2792253494262704"/>
        <n v="2.951407670974731"/>
        <n v="2.8435864448547359"/>
        <n v="2.6124217510223389"/>
        <n v="5.9314579963684082"/>
        <n v="2.4686059951782231"/>
        <n v="33.785720825195313"/>
        <n v="36.559562683105469"/>
        <n v="30.690914154052731"/>
        <n v="37.132072448730469"/>
        <n v="34.816349029541023"/>
        <n v="27.393928527832031"/>
        <n v="26.627218246459961"/>
        <n v="23.670475006103519"/>
        <n v="20.811540603637699"/>
        <n v="21.383562088012699"/>
        <n v="18.494846343994141"/>
        <n v="17.931743621826168"/>
        <n v="17.137582778930661"/>
        <n v="16.112834930419918"/>
        <n v="15.19743824005127"/>
        <n v="16.431619644165039"/>
        <n v="17.20904541015625"/>
        <n v="18.877180099487301"/>
        <n v="18.317903518676761"/>
        <n v="15.331151008605961"/>
        <n v="13.507688522338871"/>
        <n v="13.04631519317627"/>
        <n v="11.1018009185791"/>
        <n v="11.243692398071291"/>
        <n v="7.9773797988891602"/>
        <n v="7.2203068733215332"/>
        <n v="7.2418012619018546"/>
        <n v="7.4444270133972168"/>
        <n v="9.9805707931518555"/>
        <n v="7.7240409851074219"/>
        <n v="7.7379322052001953"/>
        <n v="7.0614500045776367"/>
        <n v="6.9559202194213867"/>
        <n v="6.6667861938476563"/>
        <n v="5.9417562484741211"/>
        <n v="6.5881414413452148"/>
        <n v="6.4698486328125"/>
        <n v="11.554224967956539"/>
        <n v="7.1364259719848633"/>
        <n v="6.5097131729125977"/>
        <n v="24.77912521362305"/>
        <n v="30.830488204956051"/>
        <n v="25.072673797607418"/>
        <n v="22.604122161865231"/>
        <n v="20.97090911865234"/>
        <n v="20.305610656738281"/>
        <n v="19.61470794677734"/>
        <n v="20.06291389465332"/>
        <n v="18.16949462890625"/>
        <n v="18.642196655273441"/>
        <n v="17.458456039428711"/>
        <n v="15.16470336914063"/>
        <n v="12.28875827789307"/>
        <n v="11.59282875061035"/>
        <n v="7.9110331535339364"/>
        <n v="7.110903263092041"/>
        <n v="5.6388921737670898"/>
        <n v="9.804844856262207"/>
        <n v="8.2898464202880859"/>
        <n v="35.612312316894531"/>
        <n v="30.96855354309082"/>
        <n v="28.68865966796875"/>
        <n v="24.27210807800293"/>
        <n v="23.503471374511719"/>
        <n v="22.633157730102539"/>
        <n v="22.626482009887699"/>
        <n v="19.453071594238281"/>
        <n v="16.569992065429691"/>
        <n v="16.20944976806641"/>
        <n v="14.07280445098877"/>
        <n v="12.1289005279541"/>
        <n v="13.18162727355957"/>
        <n v="13.3827657699585"/>
        <n v="12.6421365737915"/>
        <n v="13.2944450378418"/>
        <n v="14.58908653259277"/>
        <n v="20.180145263671879"/>
        <n v="14.99002838134766"/>
        <n v="14.07956504821777"/>
        <n v="14.717245101928709"/>
        <n v="31.92470741271973"/>
        <n v="42.750816345214837"/>
        <n v="32.477008819580078"/>
        <n v="52.325172424316413"/>
        <n v="50.882720947265632"/>
        <n v="41.568264007568359"/>
        <n v="37.114704132080078"/>
        <n v="36.166351318359382"/>
        <n v="33.821208953857422"/>
        <n v="36.47344970703125"/>
        <n v="36.468379974365227"/>
        <n v="37.705657958984382"/>
        <n v="35.945957183837891"/>
        <n v="37.083316802978523"/>
        <n v="35.165290832519531"/>
        <n v="27.490753173828129"/>
        <n v="29.046255111694339"/>
        <n v="30.615865707397461"/>
        <n v="30.095169067382809"/>
        <n v="43.357471466064453"/>
        <n v="47.253574371337891"/>
        <n v="45.237472534179688"/>
        <n v="41.996662139892578"/>
        <n v="37.364398956298828"/>
        <n v="33.635871887207031"/>
        <n v="33.5762939453125"/>
        <n v="36.291343688964837"/>
        <n v="38.587127685546882"/>
        <n v="43.847217559814453"/>
        <n v="40.749618530273438"/>
        <n v="35.960578918457031"/>
        <n v="36.526371002197273"/>
        <n v="35.803943634033203"/>
        <n v="37.913703918457031"/>
        <n v="37.924839019775391"/>
        <n v="40.106243133544922"/>
        <n v="36.770912170410163"/>
        <n v="41.435615539550781"/>
        <n v="26.734224319458011"/>
        <n v="23.122091293334961"/>
        <n v="50.281196594238281"/>
        <n v="46.646015167236328"/>
        <n v="73.65960693359375"/>
        <n v="49.645416259765632"/>
        <n v="54.248546600341797"/>
        <n v="55.362216949462891"/>
        <n v="57.384223937988281"/>
        <n v="53.023029327392578"/>
        <n v="20.42608642578125"/>
        <n v="21.205144882202148"/>
        <n v="16.94674110412598"/>
        <n v="19.722103118896481"/>
        <n v="20.41583251953125"/>
        <n v="19.528644561767582"/>
        <n v="17.427690505981449"/>
        <n v="12.440018653869631"/>
        <n v="11.17940616607666"/>
        <n v="13.492470741271971"/>
        <n v="9.2186393737792969"/>
        <n v="45.163490295410163"/>
        <n v="41.487712860107422"/>
        <n v="35.061046600341797"/>
        <n v="31.86544227600098"/>
        <n v="29.367706298828129"/>
        <n v="30.053598403930661"/>
        <n v="21.998605728149411"/>
        <n v="21.795700073242191"/>
        <n v="21.950811386108398"/>
        <n v="21.410114288330082"/>
        <n v="18.662240982055661"/>
        <n v="18.254377365112301"/>
        <n v="16.73192024230957"/>
        <n v="16.285737991333011"/>
        <n v="14.4019889831543"/>
        <n v="11.336173057556151"/>
        <n v="12.387502670288089"/>
        <n v="11.177858352661129"/>
        <n v="11.54407787322998"/>
        <n v="9.7546300888061523"/>
        <n v="9.3945789337158203"/>
        <n v="9.5784540176391602"/>
        <n v="9.7022390365600586"/>
        <n v="10.51132297515869"/>
        <n v="29.823457717895511"/>
        <n v="30.34487152099609"/>
        <n v="32.994579315185547"/>
        <n v="30.25068283081055"/>
        <n v="24.16429328918457"/>
        <n v="20.763992309570309"/>
        <n v="14.57886219024658"/>
        <n v="12.65718460083008"/>
        <n v="14.54866981506348"/>
        <n v="13.49451351165771"/>
        <n v="12.471981048583981"/>
        <n v="11.774998664855961"/>
        <n v="11.31841373443604"/>
        <n v="11.061295509338381"/>
        <n v="11.115810394287109"/>
        <n v="9.4185323715209961"/>
        <n v="8.5306901931762695"/>
        <n v="18.40530967712402"/>
        <n v="10.50717735290527"/>
        <n v="8.7742443084716797"/>
        <n v="27.564638137817379"/>
        <n v="24.30778884887695"/>
        <n v="20.53481483459473"/>
        <n v="25.568475723266602"/>
        <n v="20.48846435546875"/>
        <n v="20.300596237182621"/>
        <n v="18.974185943603519"/>
        <n v="17.984113693237301"/>
        <n v="17.15206146240234"/>
        <n v="17.595949172973629"/>
        <n v="12.60821056365967"/>
        <n v="12.166818618774411"/>
        <n v="12.6596212387085"/>
        <n v="14.633926391601561"/>
        <n v="13.43122005462646"/>
        <n v="11.535055160522459"/>
        <n v="8.4913644790649414"/>
        <n v="10.429679870605471"/>
        <n v="10.791000366210939"/>
        <n v="26.588907241821289"/>
        <n v="26.34280967712402"/>
        <n v="30.0060920715332"/>
        <n v="26.056558609008789"/>
        <n v="22.305818557739261"/>
        <n v="25.263080596923832"/>
        <n v="25.466213226318359"/>
        <n v="25.543012619018551"/>
        <n v="24.149957656860352"/>
        <n v="22.710748672485352"/>
        <n v="19.80598258972168"/>
        <n v="19.53895378112793"/>
        <n v="17.193393707275391"/>
        <n v="17.92717361450195"/>
        <n v="15.693478584289551"/>
        <n v="13.943062782287599"/>
        <n v="12.03313159942627"/>
        <n v="16.161752700805661"/>
        <n v="15.231667518615721"/>
        <n v="14.33075523376465"/>
        <n v="4.9652872085571289"/>
        <n v="4.8261566162109384"/>
        <n v="4.7926030158996582"/>
        <n v="3.8298957347869869"/>
        <n v="3.398322582244873"/>
        <n v="3.044145822525024"/>
        <n v="1.1948690414428711"/>
        <n v="4.5850396156311044"/>
        <n v="2.967337846755981"/>
        <n v="4.0208382606506348"/>
        <n v="3.3040471076965332"/>
        <n v="4.291785717010498"/>
        <n v="3.910485982894897"/>
        <n v="8.708867073059082"/>
        <n v="10.4431209564209"/>
        <n v="10.04344272613525"/>
        <n v="21.66141510009766"/>
        <n v="7.419367790222168"/>
        <n v="3.8168859481811519"/>
        <n v="4.6674151420593262"/>
        <n v="3.734623908996582"/>
        <n v="3.374965906143188"/>
        <n v="3.6356945037841801"/>
        <n v="3.1676244735717769"/>
        <n v="2.9678220748901372"/>
        <n v="3.229756355285645"/>
        <n v="3.0332193374633789"/>
        <n v="2.6357100009918208"/>
        <n v="2.4117670059204102"/>
        <n v="2.5264053344726558"/>
        <n v="3.837445735931396"/>
        <n v="3.6391007900238042"/>
        <n v="3.2235615253448491"/>
        <n v="34.508411407470703"/>
        <n v="24.668582916259769"/>
        <n v="22.87045860290527"/>
        <n v="13.49704074859619"/>
        <n v="10.08500862121582"/>
        <n v="9.0231599807739258"/>
        <n v="8.0190935134887695"/>
        <n v="7.9902091026306152"/>
        <n v="8.338841438293457"/>
        <n v="8.4395532608032227"/>
        <n v="7.9188055992126456"/>
        <n v="6.1240224838256836"/>
        <n v="8.6381149291992188"/>
        <n v="19.373945236206051"/>
        <n v="45.502246856689453"/>
        <n v="78.4765625"/>
        <n v="98.908035278320313"/>
        <n v="76.042854309082031"/>
      </sharedItems>
    </cacheField>
    <cacheField name="valuepobreza" numFmtId="1">
      <sharedItems containsString="0" containsBlank="1" containsNumber="1" minValue="0.46551507711410522" maxValue="100"/>
    </cacheField>
    <cacheField name="valuevulnerable" numFmtId="1">
      <sharedItems containsString="0" containsBlank="1" containsNumber="1" minValue="0.52292656898498535" maxValue="48.162082672119141"/>
    </cacheField>
    <cacheField name="valuemiddle" numFmtId="1">
      <sharedItems containsString="0" containsBlank="1" containsNumber="1" minValue="0.1035190522670746" maxValue="78.701469421386719"/>
    </cacheField>
    <cacheField name="valuerich" numFmtId="1">
      <sharedItems containsString="0" containsBlank="1" containsNumber="1" minValue="9.7051665186882019E-2" maxValue="31.167537689208981"/>
    </cacheField>
    <cacheField name="levelpobreza31" numFmtId="1">
      <sharedItems containsString="0" containsBlank="1" containsNumber="1" minValue="974.00371932983398" maxValue="58062070.347421199"/>
    </cacheField>
    <cacheField name="levelpobreza" numFmtId="1">
      <sharedItems containsString="0" containsBlank="1" containsNumber="1" minValue="217.40674209594701" maxValue="30033657"/>
    </cacheField>
    <cacheField name="levelmiddle" numFmtId="1">
      <sharedItems containsString="0" containsBlank="1" containsNumber="1" minValue="20510.127452850302" maxValue="84127799.026073501"/>
    </cacheField>
    <cacheField name="levelvulnerable" numFmtId="1">
      <sharedItems containsString="0" containsBlank="1" containsNumber="1" minValue="9614.3001108169592" maxValue="77827664"/>
    </cacheField>
    <cacheField name="levelrich" numFmtId="1">
      <sharedItems containsString="0" containsBlank="1" containsNumber="1" minValue="1415.67893218994" maxValue="8368774.2333335904"/>
    </cacheField>
    <cacheField name="levelpob_total" numFmtId="1">
      <sharedItems containsSemiMixedTypes="0" containsString="0" containsNumber="1" minValue="5417.0060997009296" maxValue="214153641.03208399"/>
    </cacheField>
    <cacheField name="valuepobreza_under5" numFmtId="1">
      <sharedItems containsString="0" containsBlank="1" containsNumber="1" minValue="1.551929712295532" maxValue="100"/>
    </cacheField>
    <cacheField name="levelpobreza_under5" numFmtId="1">
      <sharedItems containsString="0" containsBlank="1" containsNumber="1" minValue="217.40674209594701" maxValue="83459239.58088639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CL" refreshedDate="45448.542719907404" createdVersion="8" refreshedVersion="8" minRefreshableVersion="3" recordCount="267" xr:uid="{35317F30-315B-4C43-A3CD-6E5EFE252692}">
  <cacheSource type="worksheet">
    <worksheetSource ref="B4:J271" sheet="Groups&amp;Population"/>
  </cacheSource>
  <cacheFields count="9">
    <cacheField name="isoalpha3" numFmtId="0">
      <sharedItems containsBlank="1" count="267">
        <m/>
        <s v="ABW"/>
        <s v="AFE"/>
        <s v="AFG"/>
        <s v="AFW"/>
        <s v="AGO"/>
        <s v="ALB"/>
        <s v="AND"/>
        <s v="ARB"/>
        <s v="ARE"/>
        <s v="ARG"/>
        <s v="ARM"/>
        <s v="ASM"/>
        <s v="ATG"/>
        <s v="AUS"/>
        <s v="AUT"/>
        <s v="AZE"/>
        <s v="BDI"/>
        <s v="BEL"/>
        <s v="BEN"/>
        <s v="BFA"/>
        <s v="BGD"/>
        <s v="BGR"/>
        <s v="BHR"/>
        <s v="BHS"/>
        <s v="BIH"/>
        <s v="BLR"/>
        <s v="BLZ"/>
        <s v="BMU"/>
        <s v="BOL"/>
        <s v="BRA"/>
        <s v="BRB"/>
        <s v="BRN"/>
        <s v="BTN"/>
        <s v="BWA"/>
        <s v="CAF"/>
        <s v="CAN"/>
        <s v="CEB"/>
        <s v="CHE"/>
        <s v="CHI"/>
        <s v="CHL"/>
        <s v="CHN"/>
        <s v="CIV"/>
        <s v="CMR"/>
        <s v="COD"/>
        <s v="COG"/>
        <s v="COL"/>
        <s v="COM"/>
        <s v="CPV"/>
        <s v="CRI"/>
        <s v="CSS"/>
        <s v="CUB"/>
        <s v="CUW"/>
        <s v="CYM"/>
        <s v="CYP"/>
        <s v="CZE"/>
        <s v="DEU"/>
        <s v="DJI"/>
        <s v="DMA"/>
        <s v="DNK"/>
        <s v="DOM"/>
        <s v="DZA"/>
        <s v="EAP"/>
        <s v="EAR"/>
        <s v="EAS"/>
        <s v="ECA"/>
        <s v="ECS"/>
        <s v="ECU"/>
        <s v="EGY"/>
        <s v="EMU"/>
        <s v="ERI"/>
        <s v="ESP"/>
        <s v="EST"/>
        <s v="ETH"/>
        <s v="EUU"/>
        <s v="FCS"/>
        <s v="FIN"/>
        <s v="FJI"/>
        <s v="FRA"/>
        <s v="FRO"/>
        <s v="FSM"/>
        <s v="GAB"/>
        <s v="GBR"/>
        <s v="GEO"/>
        <s v="GHA"/>
        <s v="GIB"/>
        <s v="GIN"/>
        <s v="GMB"/>
        <s v="GNB"/>
        <s v="GNQ"/>
        <s v="GRC"/>
        <s v="GRD"/>
        <s v="GRL"/>
        <s v="GTM"/>
        <s v="GUM"/>
        <s v="GUY"/>
        <s v="HIC"/>
        <s v="HKG"/>
        <s v="HND"/>
        <s v="HPC"/>
        <s v="HRV"/>
        <s v="HTI"/>
        <s v="HUN"/>
        <s v="IBD"/>
        <s v="IBT"/>
        <s v="IDA"/>
        <s v="IDB"/>
        <s v="IDN"/>
        <s v="IDX"/>
        <s v="IMN"/>
        <s v="IND"/>
        <s v="INX"/>
        <s v="IRL"/>
        <s v="IRN"/>
        <s v="IRQ"/>
        <s v="ISL"/>
        <s v="ISR"/>
        <s v="ITA"/>
        <s v="JAM"/>
        <s v="JOR"/>
        <s v="JPN"/>
        <s v="KAZ"/>
        <s v="KEN"/>
        <s v="KGZ"/>
        <s v="KHM"/>
        <s v="KIR"/>
        <s v="KNA"/>
        <s v="KOR"/>
        <s v="KWT"/>
        <s v="LAC"/>
        <s v="LAO"/>
        <s v="LBN"/>
        <s v="LBR"/>
        <s v="LBY"/>
        <s v="LCA"/>
        <s v="LCN"/>
        <s v="LDC"/>
        <s v="LIC"/>
        <s v="LIE"/>
        <s v="LKA"/>
        <s v="LMC"/>
        <s v="LMY"/>
        <s v="LSO"/>
        <s v="LTE"/>
        <s v="LTU"/>
        <s v="LUX"/>
        <s v="LVA"/>
        <s v="MAC"/>
        <s v="MAF"/>
        <s v="MAR"/>
        <s v="MCO"/>
        <s v="MDA"/>
        <s v="MDG"/>
        <s v="MDV"/>
        <s v="MEA"/>
        <s v="MEX"/>
        <s v="MHL"/>
        <s v="MIC"/>
        <s v="MKD"/>
        <s v="MLI"/>
        <s v="MLT"/>
        <s v="MMR"/>
        <s v="MNA"/>
        <s v="MNE"/>
        <s v="MNG"/>
        <s v="MNP"/>
        <s v="MOZ"/>
        <s v="MRT"/>
        <s v="MUS"/>
        <s v="MWI"/>
        <s v="MYS"/>
        <s v="NAC"/>
        <s v="NAM"/>
        <s v="NCL"/>
        <s v="NER"/>
        <s v="NGA"/>
        <s v="NIC"/>
        <s v="NLD"/>
        <s v="NOR"/>
        <s v="NPL"/>
        <s v="NRU"/>
        <s v="NZL"/>
        <s v="OED"/>
        <s v="OMN"/>
        <s v="OSS"/>
        <s v="PAK"/>
        <s v="PAN"/>
        <s v="PER"/>
        <s v="PHL"/>
        <s v="PLW"/>
        <s v="PNG"/>
        <s v="POL"/>
        <s v="PRE"/>
        <s v="PRI"/>
        <s v="PRK"/>
        <s v="PRT"/>
        <s v="PRY"/>
        <s v="PSE"/>
        <s v="PSS"/>
        <s v="PST"/>
        <s v="PYF"/>
        <s v="QAT"/>
        <s v="ROU"/>
        <s v="RUS"/>
        <s v="RWA"/>
        <s v="SAS"/>
        <s v="SAU"/>
        <s v="SDN"/>
        <s v="SEN"/>
        <s v="SGP"/>
        <s v="SLB"/>
        <s v="SLE"/>
        <s v="SLV"/>
        <s v="SMR"/>
        <s v="SOM"/>
        <s v="SRB"/>
        <s v="SSA"/>
        <s v="SSD"/>
        <s v="SSF"/>
        <s v="SST"/>
        <s v="STP"/>
        <s v="SUR"/>
        <s v="SVK"/>
        <s v="SVN"/>
        <s v="SWE"/>
        <s v="SWZ"/>
        <s v="SXM"/>
        <s v="SYC"/>
        <s v="SYR"/>
        <s v="TCA"/>
        <s v="TCD"/>
        <s v="TEA"/>
        <s v="TEC"/>
        <s v="TGO"/>
        <s v="THA"/>
        <s v="TJK"/>
        <s v="TKM"/>
        <s v="TLA"/>
        <s v="TLS"/>
        <s v="TMN"/>
        <s v="TON"/>
        <s v="TSA"/>
        <s v="TSS"/>
        <s v="TTO"/>
        <s v="TUN"/>
        <s v="TUR"/>
        <s v="TUV"/>
        <s v="TZA"/>
        <s v="UGA"/>
        <s v="UKR"/>
        <s v="UMC"/>
        <s v="URY"/>
        <s v="USA"/>
        <s v="UZB"/>
        <s v="VCT"/>
        <s v="VEN"/>
        <s v="VGB"/>
        <s v="VIR"/>
        <s v="VNM"/>
        <s v="VUT"/>
        <s v="WSM"/>
        <s v="XKX"/>
        <s v="YEM"/>
        <s v="ZAF"/>
        <s v="ZMB"/>
        <s v="ZWE"/>
        <s v="TWN"/>
      </sharedItems>
    </cacheField>
    <cacheField name="Name" numFmtId="0">
      <sharedItems/>
    </cacheField>
    <cacheField name="High Income" numFmtId="0">
      <sharedItems/>
    </cacheField>
    <cacheField name="LAC" numFmtId="0">
      <sharedItems containsBlank="1" count="4">
        <s v="2/"/>
        <s v=""/>
        <s v="Latin America and the Caribbean"/>
        <m/>
      </sharedItems>
    </cacheField>
    <cacheField name="OECD" numFmtId="0">
      <sharedItems containsBlank="1"/>
    </cacheField>
    <cacheField name="POP2022WB" numFmtId="0">
      <sharedItems containsBlank="1" containsMixedTypes="1" containsNumber="1" containsInteger="1" minValue="11312" maxValue="6754029970"/>
    </cacheField>
    <cacheField name="POP2021UN" numFmtId="0">
      <sharedItems containsMixedTypes="1" containsNumber="1" minValue="11203.500000000004" maxValue="1425893464.4999986"/>
    </cacheField>
    <cacheField name="POP2022UN" numFmtId="0">
      <sharedItems containsMixedTypes="1" containsNumber="1" minValue="11311.5" maxValue="1425887337" count="219">
        <s v="6/"/>
        <n v="106444.99999999999"/>
        <s v=""/>
        <n v="41128771.000000037"/>
        <n v="35588987.00000003"/>
        <n v="2842321"/>
        <n v="79824"/>
        <n v="9441128.5000000019"/>
        <n v="45510317.999999993"/>
        <n v="2780469.0000000005"/>
        <n v="44272.5"/>
        <n v="93763.000000000029"/>
        <n v="26177413.500000004"/>
        <n v="8939617"/>
        <n v="10358073.999999994"/>
        <n v="12889576.499999994"/>
        <n v="11655930.000000007"/>
        <n v="13352864"/>
        <n v="22673762.000000007"/>
        <n v="171186372.49999997"/>
        <n v="6781952.9999999981"/>
        <n v="1472233.0000000002"/>
        <n v="409983.99999999983"/>
        <n v="3233526.4999999991"/>
        <n v="9534954.4999999981"/>
        <n v="405272.50000000006"/>
        <n v="64184.000000000029"/>
        <n v="12224109.999999994"/>
        <n v="215313497.99999994"/>
        <n v="281634.99999999988"/>
        <n v="449001.49999999959"/>
        <n v="782454.99999999965"/>
        <n v="2630296.0000000019"/>
        <n v="5579143.5000000047"/>
        <n v="38454327"/>
        <n v="8740472"/>
        <n v="19603732.999999996"/>
        <n v="1425887337"/>
        <n v="28160542.500000004"/>
        <n v="27914536.499999989"/>
        <n v="99010212"/>
        <n v="5970424.0000000009"/>
        <n v="51874024.000000007"/>
        <n v="836773.49999999977"/>
        <n v="593149.50000000012"/>
        <n v="5180829.0000000028"/>
        <n v="11212190.999999998"/>
        <n v="191163.49999999997"/>
        <n v="68705.499999999985"/>
        <n v="1251488.5"/>
        <n v="10493986"/>
        <n v="83369843.00000003"/>
        <n v="1120848.5000000005"/>
        <n v="72737.5"/>
        <n v="5882261.4999999981"/>
        <n v="11228821.000000002"/>
        <n v="44903225.000000007"/>
        <n v="18000999.999999996"/>
        <n v="110990102.99999997"/>
        <n v="3684031.5000000019"/>
        <n v="47558629.500000022"/>
        <n v="1326062.0000000007"/>
        <n v="123379924.50000004"/>
        <n v="5540745.5000000009"/>
        <n v="929766.00000000035"/>
        <n v="64626628"/>
        <n v="53089.499999999978"/>
        <n v="114164"/>
        <n v="2388992.5000000005"/>
        <n v="67508935.499999985"/>
        <n v="3744385.5000000005"/>
        <n v="33475870.500000011"/>
        <n v="32649"/>
        <n v="13859340.500000006"/>
        <n v="2705991.9999999995"/>
        <n v="2105565.4999999991"/>
        <n v="1674908"/>
        <n v="10384971"/>
        <n v="125437.50000000003"/>
        <n v="56465.999999999985"/>
        <n v="17843908.000000007"/>
        <n v="171774.49999999994"/>
        <n v="808725.49999999988"/>
        <n v="7488865.0000000009"/>
        <n v="10432859.5"/>
        <n v="4030357.5"/>
        <n v="11584995.499999994"/>
        <n v="9967307.4999999981"/>
        <n v="275501339.00000012"/>
        <n v="84519.5"/>
        <n v="1417173172.5000005"/>
        <n v="5023108.5"/>
        <n v="88550570.00000003"/>
        <n v="44496121.5"/>
        <n v="372898.5"/>
        <n v="9038309.0000000019"/>
        <n v="59037473.999999978"/>
        <n v="2827377.0000000009"/>
        <n v="11285868.500000004"/>
        <n v="123951692.00000003"/>
        <n v="19397997.999999993"/>
        <n v="54027486.999999985"/>
        <n v="6630623"/>
        <n v="16767842.499999998"/>
        <n v="131231.49999999997"/>
        <n v="47657.500000000022"/>
        <n v="51815809.499999993"/>
        <n v="4268873"/>
        <n v="7529474.9999999991"/>
        <n v="5489739.5000000047"/>
        <n v="5302681.0000000028"/>
        <n v="6812341.0000000019"/>
        <n v="179857.50000000003"/>
        <n v="39326.999999999993"/>
        <n v="21832143.000000004"/>
        <n v="2305825.5000000019"/>
        <n v="2750055.0000000005"/>
        <n v="647599.00000000012"/>
        <n v="1850650.9999999993"/>
        <n v="695168.49999999953"/>
        <n v="31790.999999999996"/>
        <n v="37457970.5"/>
        <n v="36469"/>
        <n v="3272995.9999999986"/>
        <n v="29611714.000000004"/>
        <n v="523786.99999999971"/>
        <n v="127504125.49999999"/>
        <n v="41569.000000000007"/>
        <n v="2093598.5"/>
        <n v="22593590.500000022"/>
        <n v="533286"/>
        <n v="54179305.999999985"/>
        <n v="627082.5"/>
        <n v="3398366.0000000005"/>
        <n v="49550.999999999985"/>
        <n v="32969518.500000007"/>
        <n v="4736138.9999999991"/>
        <n v="1299468.9999999986"/>
        <n v="20405316.500000019"/>
        <n v="33938221.499999993"/>
        <n v="2567012.4999999995"/>
        <n v="289950.49999999988"/>
        <n v="26207976.5"/>
        <n v="218541211.50000003"/>
        <n v="6948392"/>
        <n v="17564014.000000007"/>
        <n v="5434318.9999999981"/>
        <n v="30547579.999999996"/>
        <n v="12668.000000000009"/>
        <n v="5185288.5"/>
        <n v="4576297.9999999991"/>
        <n v="235824862.50000012"/>
        <n v="4408580.5"/>
        <n v="34049588.499999993"/>
        <n v="115559008.99999996"/>
        <n v="18054.5"/>
        <n v="10142618.5"/>
        <n v="39857145.499999985"/>
        <n v="3252407.0000000005"/>
        <n v="26069416.500000004"/>
        <n v="10270865.000000004"/>
        <n v="6780744"/>
        <n v="5250071.9999999981"/>
        <n v="306279.00000000012"/>
        <n v="2695122.0000000005"/>
        <n v="19659266.499999985"/>
        <n v="144713314"/>
        <n v="13776697.499999994"/>
        <n v="36408819.999999993"/>
        <n v="46874203.999999985"/>
        <n v="17316449"/>
        <n v="5975688.5000000028"/>
        <n v="724272.49999999953"/>
        <n v="8605718.0000000056"/>
        <n v="6336392.0000000009"/>
        <n v="33660.500000000007"/>
        <n v="17597510.999999993"/>
        <n v="7221365.5000000019"/>
        <n v="10913163.5"/>
        <n v="227379.5"/>
        <n v="618040.5"/>
        <n v="5643452.9999999991"/>
        <n v="2119843.9999999991"/>
        <n v="10549347"/>
        <n v="1201670.4999999995"/>
        <n v="44175.000000000015"/>
        <n v="107118.5"/>
        <n v="22125248.499999989"/>
        <n v="45702.500000000029"/>
        <n v="17723314.500000004"/>
        <n v="8848698.5000000019"/>
        <n v="71697029.500000015"/>
        <n v="9952786.9999999981"/>
        <n v="6430770.5000000028"/>
        <n v="1341296.0000000002"/>
        <n v="106857.5"/>
        <n v="1531044.4999999998"/>
        <n v="12356117.000000004"/>
        <n v="85341241.000000015"/>
        <n v="11311.5"/>
        <n v="65497748.000000045"/>
        <n v="47249584.999999978"/>
        <n v="39701738.999999993"/>
        <n v="3422793.5"/>
        <n v="338289856.99999982"/>
        <n v="34627652.500000022"/>
        <n v="103947.50000000001"/>
        <n v="28301695.500000004"/>
        <n v="31304.500000000007"/>
        <n v="99464.999999999985"/>
        <n v="98186855.999999955"/>
        <n v="326740.49999999977"/>
        <n v="222382.00000000006"/>
        <n v="1659713.5000000007"/>
        <n v="33696613.999999993"/>
        <n v="59893885.5"/>
        <n v="20017675.000000004"/>
        <n v="16320536.999999996"/>
        <n v="23893394.500000007"/>
      </sharedItems>
    </cacheField>
    <cacheField name="POP2023UN" numFmtId="0">
      <sharedItems containsMixedTypes="1" containsNumber="1" minValue="11395.999999999993" maxValue="1428627663"/>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llie" refreshedDate="45555.697535300926" createdVersion="8" refreshedVersion="8" minRefreshableVersion="3" recordCount="72" xr:uid="{CB799283-DD55-430E-91C6-BABA62F2033D}">
  <cacheSource type="worksheet">
    <worksheetSource ref="B2:O74" sheet="fact6a"/>
  </cacheSource>
  <cacheFields count="14">
    <cacheField name="pais_c" numFmtId="0">
      <sharedItems count="18">
        <s v="ARG"/>
        <s v="BOL"/>
        <s v="BRA"/>
        <s v="CHL"/>
        <s v="COL"/>
        <s v="CRI"/>
        <s v="DOM"/>
        <s v="ECU"/>
        <s v="GTM"/>
        <s v="GUY"/>
        <s v="HND"/>
        <s v="MEX"/>
        <s v="PAN"/>
        <s v="PER"/>
        <s v="PRY"/>
        <s v="SLV"/>
        <s v="URY"/>
        <s v="VEN"/>
      </sharedItems>
    </cacheField>
    <cacheField name="anio_c" numFmtId="1">
      <sharedItems containsSemiMixedTypes="0" containsString="0" containsNumber="1" containsInteger="1" minValue="2021" maxValue="2023" count="3">
        <n v="2022"/>
        <n v="2023"/>
        <n v="2021"/>
      </sharedItems>
    </cacheField>
    <cacheField name="niv_ingreso_g" numFmtId="1">
      <sharedItems containsSemiMixedTypes="0" containsString="0" containsNumber="1" containsInteger="1" minValue="1" maxValue="100" count="4">
        <n v="1"/>
        <n v="2"/>
        <n v="3"/>
        <n v="100"/>
      </sharedItems>
    </cacheField>
    <cacheField name="ratio_dependecy" numFmtId="1">
      <sharedItems containsSemiMixedTypes="0" containsString="0" containsNumber="1" minValue="0" maxValue="1"/>
    </cacheField>
    <cacheField name="nhijos_ch" numFmtId="1">
      <sharedItems containsSemiMixedTypes="0" containsString="0" containsNumber="1" containsInteger="1" minValue="1" maxValue="3"/>
    </cacheField>
    <cacheField name="nmiembros" numFmtId="1">
      <sharedItems containsSemiMixedTypes="0" containsString="0" containsNumber="1" containsInteger="1" minValue="2" maxValue="5"/>
    </cacheField>
    <cacheField name="hacinamiento_ch" numFmtId="1">
      <sharedItems containsString="0" containsBlank="1" containsNumber="1" minValue="0.57142859697341919" maxValue="2"/>
    </cacheField>
    <cacheField name="mean_ratio_dependecy" numFmtId="1">
      <sharedItems containsSemiMixedTypes="0" containsString="0" containsNumber="1" minValue="0.38622787594795227" maxValue="1.3164106607437134"/>
    </cacheField>
    <cacheField name="mean_nhijos_ch" numFmtId="1">
      <sharedItems containsSemiMixedTypes="0" containsString="0" containsNumber="1" minValue="0.77709269523620605" maxValue="2.7435836791992188"/>
    </cacheField>
    <cacheField name="mean_nmiembros" numFmtId="1">
      <sharedItems containsSemiMixedTypes="0" containsString="0" containsNumber="1" minValue="2.6780471801757813" maxValue="5.161564826965332"/>
    </cacheField>
    <cacheField name="ratio_edad_00_14" numFmtId="1">
      <sharedItems containsSemiMixedTypes="0" containsString="0" containsNumber="1" minValue="0.10146980732679367" maxValue="0.42916524410247803"/>
    </cacheField>
    <cacheField name="ratio_edad_15_64" numFmtId="1">
      <sharedItems containsSemiMixedTypes="0" containsString="0" containsNumber="1" minValue="0.48472318053245544" maxValue="0.74115836620330811"/>
    </cacheField>
    <cacheField name="ratio_65_mas" numFmtId="1">
      <sharedItems containsSemiMixedTypes="0" containsString="0" containsNumber="1" minValue="1.3787428848445415E-2" maxValue="0.24727636575698853"/>
    </cacheField>
    <cacheField name="ratio_joven_viejo" numFmtId="1">
      <sharedItems containsSemiMixedTypes="0" containsString="0" containsNumber="1" minValue="0.1007654070854187" maxValue="1.719003796577453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2">
  <r>
    <x v="0"/>
    <x v="0"/>
    <s v="EPHC"/>
    <n v="43.503746032714837"/>
    <n v="18.428762435913089"/>
    <n v="27.78891563415527"/>
    <n v="10.04930591583252"/>
    <n v="0.22926786541938779"/>
    <n v="9679754"/>
    <n v="4100472"/>
    <n v="2236010"/>
    <n v="6183143"/>
    <n v="51013"/>
    <n v="22989713"/>
  </r>
  <r>
    <x v="0"/>
    <x v="1"/>
    <s v="EPHC"/>
    <n v="35.645278930664063"/>
    <n v="19.233291625976559"/>
    <n v="31.81321907043457"/>
    <n v="13.078493118286129"/>
    <n v="0.22971388697624209"/>
    <n v="8072850"/>
    <n v="4355906"/>
    <n v="2961983"/>
    <n v="7204975"/>
    <n v="52025"/>
    <n v="23205243"/>
  </r>
  <r>
    <x v="0"/>
    <x v="2"/>
    <s v="EPHC"/>
    <n v="29.37149620056152"/>
    <n v="19.24742317199707"/>
    <n v="35.648269653320313"/>
    <n v="15.41817474365234"/>
    <n v="0.31463450193405151"/>
    <n v="6750596"/>
    <n v="4423730"/>
    <n v="3543635"/>
    <n v="8193218"/>
    <n v="72314"/>
    <n v="23432992"/>
  </r>
  <r>
    <x v="0"/>
    <x v="3"/>
    <s v="EPHC"/>
    <n v="23.232328414916989"/>
    <n v="19.674831390380859"/>
    <n v="37.496974945068359"/>
    <n v="19.205451965332031"/>
    <n v="0.39041313529014587"/>
    <n v="5490774"/>
    <n v="4649988"/>
    <n v="4539054"/>
    <n v="8862108"/>
    <n v="92271"/>
    <n v="24040273"/>
  </r>
  <r>
    <x v="0"/>
    <x v="4"/>
    <s v="EPHC"/>
    <n v="16.700082778930661"/>
    <n v="15.753981590271"/>
    <n v="39.865486145019531"/>
    <n v="27.073442459106449"/>
    <n v="0.60700643062591553"/>
    <n v="4002970"/>
    <n v="3776192"/>
    <n v="6489440"/>
    <n v="9555662"/>
    <n v="145498"/>
    <n v="24335542"/>
  </r>
  <r>
    <x v="0"/>
    <x v="5"/>
    <s v="EPHC"/>
    <n v="13.379194259643549"/>
    <n v="13.975114822387701"/>
    <n v="40.764858245849609"/>
    <n v="31.087142944335941"/>
    <n v="0.79368865489959717"/>
    <n v="3229393"/>
    <n v="3373233"/>
    <n v="7503636"/>
    <n v="9839588"/>
    <n v="191576"/>
    <n v="24512245"/>
  </r>
  <r>
    <x v="0"/>
    <x v="6"/>
    <s v="EPHC"/>
    <n v="11.47798442840576"/>
    <n v="11.4199333190918"/>
    <n v="39.68206787109375"/>
    <n v="36.33160400390625"/>
    <n v="1.0884110927581789"/>
    <n v="2795774"/>
    <n v="2781634"/>
    <n v="8849546"/>
    <n v="9665642"/>
    <n v="265112"/>
    <n v="24746009"/>
  </r>
  <r>
    <x v="0"/>
    <x v="7"/>
    <s v="EPHC"/>
    <n v="7.6527528762817383"/>
    <n v="10.444282531738279"/>
    <n v="38.843883514404297"/>
    <n v="41.503044128417969"/>
    <n v="1.5560358762741091"/>
    <n v="1888111"/>
    <n v="2576846"/>
    <n v="10239760"/>
    <n v="9583684"/>
    <n v="383910"/>
    <n v="24977604"/>
  </r>
  <r>
    <x v="0"/>
    <x v="8"/>
    <s v="EPHC"/>
    <n v="4.2303776741027832"/>
    <n v="7.7680439949035636"/>
    <n v="33.982086181640632"/>
    <n v="51.45159912109375"/>
    <n v="2.5678904056549068"/>
    <n v="1052526"/>
    <n v="1932704"/>
    <n v="12801255"/>
    <n v="8454807"/>
    <n v="638896"/>
    <n v="25207395"/>
  </r>
  <r>
    <x v="0"/>
    <x v="9"/>
    <s v="EPHC"/>
    <n v="3.4424736499786381"/>
    <n v="5.5917901992797852"/>
    <n v="30.7811164855957"/>
    <n v="57.06158447265625"/>
    <n v="3.1230382919311519"/>
    <n v="865114"/>
    <n v="1405250"/>
    <n v="14339913"/>
    <n v="7735477"/>
    <n v="784838"/>
    <n v="25436130"/>
  </r>
  <r>
    <x v="0"/>
    <x v="10"/>
    <s v="EPHC"/>
    <n v="2.526459693908691"/>
    <n v="4.014979362487793"/>
    <n v="26.864274978637699"/>
    <n v="61.915184020996087"/>
    <n v="4.6791019439697266"/>
    <n v="644832"/>
    <n v="1024749"/>
    <n v="15802703"/>
    <n v="6856608"/>
    <n v="1194254"/>
    <n v="25863462"/>
  </r>
  <r>
    <x v="0"/>
    <x v="11"/>
    <s v="EPHC"/>
    <n v="2.662331342697144"/>
    <n v="5.2521066665649414"/>
    <n v="29.070192337036129"/>
    <n v="59.169830322265632"/>
    <n v="3.8455381393432622"/>
    <n v="703016"/>
    <n v="1386873"/>
    <n v="15624404"/>
    <n v="7676284"/>
    <n v="1015454"/>
    <n v="26723166"/>
  </r>
  <r>
    <x v="0"/>
    <x v="12"/>
    <s v="EPHC"/>
    <n v="2.948365449905396"/>
    <n v="6.3062963485717773"/>
    <n v="33.196823120117188"/>
    <n v="55.128986358642578"/>
    <n v="2.4195289611816411"/>
    <n v="783794"/>
    <n v="1676467"/>
    <n v="14655500"/>
    <n v="8825049"/>
    <n v="643208"/>
    <n v="26847484"/>
  </r>
  <r>
    <x v="0"/>
    <x v="13"/>
    <s v="EPHC"/>
    <n v="4.5267486572265634"/>
    <n v="4.3117814064025879"/>
    <n v="25.512241363525391"/>
    <n v="59.209495544433587"/>
    <n v="6.439732551574707"/>
    <n v="1094628"/>
    <n v="1042646"/>
    <n v="14317643"/>
    <n v="6169199"/>
    <n v="1557213"/>
    <n v="27338254"/>
  </r>
  <r>
    <x v="0"/>
    <x v="14"/>
    <s v="EPHC"/>
    <n v="4.2431745529174796"/>
    <n v="3.533710241317749"/>
    <n v="22.9582405090332"/>
    <n v="61.872642517089837"/>
    <n v="7.3922314643859863"/>
    <n v="1052438"/>
    <n v="876469"/>
    <n v="15346321"/>
    <n v="5694351"/>
    <n v="1833501"/>
    <n v="27622841"/>
  </r>
  <r>
    <x v="0"/>
    <x v="15"/>
    <s v="EPHC"/>
    <n v="4.5074429512023926"/>
    <n v="4.1537117958068848"/>
    <n v="24.623636245727539"/>
    <n v="60.354202270507813"/>
    <n v="6.3610048294067383"/>
    <n v="1133362"/>
    <n v="1044419"/>
    <n v="15175603"/>
    <n v="6191425"/>
    <n v="1599426"/>
    <n v="27905843"/>
  </r>
  <r>
    <x v="0"/>
    <x v="16"/>
    <s v="EPHC"/>
    <n v="5.6630678176879883"/>
    <n v="4.8496789932250977"/>
    <n v="25.703767776489261"/>
    <n v="57.495689392089837"/>
    <n v="6.2877974510192871"/>
    <n v="1455430"/>
    <n v="1246386"/>
    <n v="14776611"/>
    <n v="6605966"/>
    <n v="1615988"/>
    <n v="28258336"/>
  </r>
  <r>
    <x v="0"/>
    <x v="17"/>
    <s v="EPHC"/>
    <n v="6.3377118110656738"/>
    <n v="5.9375991821289063"/>
    <n v="32.762149810791023"/>
    <n v="51.003253936767578"/>
    <n v="3.9592850208282471"/>
    <n v="1629251"/>
    <n v="1526393"/>
    <n v="13111530"/>
    <n v="8422245"/>
    <n v="1017823"/>
    <n v="28644818"/>
  </r>
  <r>
    <x v="0"/>
    <x v="18"/>
    <s v="EPHC"/>
    <n v="5.7765898704528809"/>
    <n v="5.2957901954650879"/>
    <n v="29.22017860412598"/>
    <n v="55.329807281494141"/>
    <n v="4.3776369094848633"/>
    <n v="1437325"/>
    <n v="1317693"/>
    <n v="13767104"/>
    <n v="7270534"/>
    <n v="1089239"/>
    <n v="28997492"/>
  </r>
  <r>
    <x v="0"/>
    <x v="19"/>
    <s v="EPHC"/>
    <n v="5.0950345993041992"/>
    <n v="5.1863579750061044"/>
    <n v="28.843498229980469"/>
    <n v="56.133304595947273"/>
    <n v="4.7418022155761719"/>
    <n v="1300269"/>
    <n v="1323575"/>
    <n v="14325397"/>
    <n v="7360952"/>
    <n v="1210123"/>
    <n v="29261262"/>
  </r>
  <r>
    <x v="1"/>
    <x v="0"/>
    <s v="LFS"/>
    <n v="1.5577710866928101"/>
    <n v="1.6294320821762081"/>
    <n v="14.71910190582275"/>
    <n v="68.708839416503906"/>
    <n v="13.38485050201416"/>
    <n v="3304.0486392974899"/>
    <n v="3456.04222488403"/>
    <n v="145732.172616959"/>
    <n v="31219.367206573501"/>
    <n v="28389.406194686901"/>
    <n v="230811.11952400199"/>
  </r>
  <r>
    <x v="1"/>
    <x v="1"/>
    <s v="LFS"/>
    <n v="1.157953023910522"/>
    <n v="1.966961264610291"/>
    <n v="14.11469745635986"/>
    <n v="67.842254638671875"/>
    <n v="14.91812896728516"/>
    <n v="2554.97560501099"/>
    <n v="4340.0191726684598"/>
    <n v="149691.151119232"/>
    <n v="31143.4989776611"/>
    <n v="32916.238079071001"/>
    <n v="240075.55133438099"/>
  </r>
  <r>
    <x v="1"/>
    <x v="2"/>
    <s v="LFS"/>
    <n v="1.4279829263687129"/>
    <n v="1.7987092733383181"/>
    <n v="15.63915920257568"/>
    <n v="68.694221496582031"/>
    <n v="12.43992900848389"/>
    <n v="4308.1622314453098"/>
    <n v="5426.62742614746"/>
    <n v="207247.45811462399"/>
    <n v="47182.6613616943"/>
    <n v="37530.720977783203"/>
    <n v="329035.89042663598"/>
  </r>
  <r>
    <x v="1"/>
    <x v="3"/>
    <s v="LFS"/>
    <n v="0.78499734401702881"/>
    <n v="1.4437084197998049"/>
    <n v="8.996525764465332"/>
    <n v="64.665092468261719"/>
    <n v="24.109678268432621"/>
    <n v="1258.39675521851"/>
    <n v="2314.3490676879901"/>
    <n v="103661.925680161"/>
    <n v="14421.958032607999"/>
    <n v="38649.226280212402"/>
    <n v="188407.297224045"/>
  </r>
  <r>
    <x v="1"/>
    <x v="4"/>
    <s v="LFS"/>
    <n v="0.95234501361846924"/>
    <n v="1.2543520927429199"/>
    <n v="9.1205101013183594"/>
    <n v="64.313591003417969"/>
    <n v="24.35920524597168"/>
    <n v="2166.8114891052201"/>
    <n v="2853.94922447205"/>
    <n v="146328.70694541899"/>
    <n v="20751.328571319598"/>
    <n v="55422.983951568604"/>
    <n v="282523.88866424601"/>
  </r>
  <r>
    <x v="1"/>
    <x v="5"/>
    <s v="LFS"/>
    <n v="1.1501230001449581"/>
    <n v="1.6538616418838501"/>
    <n v="11.48530292510986"/>
    <n v="64.127815246582031"/>
    <n v="21.58289909362793"/>
    <n v="2319.3823528289799"/>
    <n v="3335.24096298218"/>
    <n v="129322.612808228"/>
    <n v="23161.703756332401"/>
    <n v="43524.905891418501"/>
    <n v="255519.74636268601"/>
  </r>
  <r>
    <x v="1"/>
    <x v="6"/>
    <s v="LFS"/>
    <n v="1.8478395938873291"/>
    <n v="1.725050568580627"/>
    <n v="13.09401702880859"/>
    <n v="64.149002075195313"/>
    <n v="19.18409538269043"/>
    <n v="2856.90141057968"/>
    <n v="2667.0601525306702"/>
    <n v="99179.256139755205"/>
    <n v="20244.353202819799"/>
    <n v="29660.0818552971"/>
    <n v="192849.80586195001"/>
  </r>
  <r>
    <x v="1"/>
    <x v="8"/>
    <s v="LFS"/>
    <n v="2.6079261302947998"/>
    <n v="2.366342306137085"/>
    <n v="15.054390907287599"/>
    <n v="62.022579193115227"/>
    <n v="17.948762893676761"/>
    <n v="3934.03713226318"/>
    <n v="3569.60961532593"/>
    <n v="93560.594585418701"/>
    <n v="22709.436489105199"/>
    <n v="27075.575092315699"/>
    <n v="191850.17926025399"/>
  </r>
  <r>
    <x v="1"/>
    <x v="10"/>
    <s v="LFS"/>
    <n v="3.507896900177002"/>
    <n v="3.397483348846436"/>
    <n v="16.795806884765629"/>
    <n v="63.046234130859382"/>
    <n v="13.252578735351561"/>
    <n v="5013.5268955230704"/>
    <n v="4855.7226905822799"/>
    <n v="90106.406280517607"/>
    <n v="24004.761735916101"/>
    <n v="18940.7379627228"/>
    <n v="195597.122680664"/>
  </r>
  <r>
    <x v="1"/>
    <x v="11"/>
    <s v="LFS"/>
    <n v="2.8519854545593262"/>
    <n v="2.3542170524597168"/>
    <n v="18.330509185791019"/>
    <n v="63.479984283447273"/>
    <n v="12.983303070068359"/>
    <n v="5605.9004783630398"/>
    <n v="4627.4807205200204"/>
    <n v="124777.10425567599"/>
    <n v="36030.694053649902"/>
    <n v="25520.152339935299"/>
    <n v="257561.78163528399"/>
  </r>
  <r>
    <x v="2"/>
    <x v="0"/>
    <s v="LFS"/>
    <n v="4.2082076072692871"/>
    <n v="1.2667415142059331"/>
    <n v="7.7259697914123544"/>
    <n v="55.631542205810547"/>
    <n v="31.167537689208981"/>
    <n v="5236.7500667572003"/>
    <n v="1576.3500232696499"/>
    <n v="69228.640570640593"/>
    <n v="9614.3001108169592"/>
    <n v="38785.300334930398"/>
    <n v="270974.48251915001"/>
  </r>
  <r>
    <x v="2"/>
    <x v="1"/>
    <s v="LFS"/>
    <n v="5.5798177719116211"/>
    <n v="3.5664670467376709"/>
    <n v="16.850263595581051"/>
    <n v="55.024349212646477"/>
    <n v="18.97910118103027"/>
    <n v="11871.722994804401"/>
    <n v="7588.0806608200101"/>
    <n v="117070.821193695"/>
    <n v="35850.929381370501"/>
    <n v="40380.283828735402"/>
    <n v="283042.16042137099"/>
  </r>
  <r>
    <x v="2"/>
    <x v="2"/>
    <s v="LFS"/>
    <n v="6.859896183013916"/>
    <n v="3.143701314926147"/>
    <n v="16.47970008850098"/>
    <n v="54.183780670166023"/>
    <n v="19.33292388916016"/>
    <n v="15749.5414609909"/>
    <n v="7217.5807647705096"/>
    <n v="124399.78722763099"/>
    <n v="37835.5151414871"/>
    <n v="44386.190942764297"/>
    <n v="289799.65305328398"/>
  </r>
  <r>
    <x v="2"/>
    <x v="4"/>
    <s v="LFS"/>
    <n v="4.7977628707885742"/>
    <n v="3.2236132621765141"/>
    <n v="13.184389114379879"/>
    <n v="52.518550872802727"/>
    <n v="26.27568244934082"/>
    <n v="11531.101905822799"/>
    <n v="7747.7389011383102"/>
    <n v="126224.827344894"/>
    <n v="31687.8005752563"/>
    <n v="63151.849889755198"/>
    <n v="313812.44288826"/>
  </r>
  <r>
    <x v="2"/>
    <x v="15"/>
    <s v="LFS"/>
    <m/>
    <m/>
    <m/>
    <m/>
    <m/>
    <m/>
    <m/>
    <m/>
    <m/>
    <m/>
    <n v="395881.99903106701"/>
  </r>
  <r>
    <x v="3"/>
    <x v="0"/>
    <s v="ECH"/>
    <n v="28.440328598022461"/>
    <n v="17.624982833862301"/>
    <n v="31.88190841674805"/>
    <n v="19.86305999755859"/>
    <n v="2.1897192001342769"/>
    <n v="2583025"/>
    <n v="1600747"/>
    <n v="1804015"/>
    <n v="2895598"/>
    <n v="198876"/>
    <n v="9192549"/>
  </r>
  <r>
    <x v="3"/>
    <x v="2"/>
    <s v="ECH"/>
    <n v="34.526645660400391"/>
    <n v="17.971855163574219"/>
    <n v="29.14015007019043"/>
    <n v="17.383096694946289"/>
    <n v="0.97825199365615845"/>
    <n v="3213292"/>
    <n v="1672587"/>
    <n v="1617793"/>
    <n v="2711987"/>
    <n v="91043"/>
    <n v="9408006"/>
  </r>
  <r>
    <x v="3"/>
    <x v="3"/>
    <s v="ECH"/>
    <n v="32.696773529052727"/>
    <n v="15.742021560668951"/>
    <n v="31.683137893676761"/>
    <n v="18.671638488769531"/>
    <n v="1.2064288854598999"/>
    <n v="3060696"/>
    <n v="1473587"/>
    <n v="1747824"/>
    <n v="2965811"/>
    <n v="112932"/>
    <n v="9627078"/>
  </r>
  <r>
    <x v="3"/>
    <x v="4"/>
    <s v="ECH"/>
    <n v="31.143205642700199"/>
    <n v="15.546554565429689"/>
    <n v="33.306415557861328"/>
    <n v="18.881147384643551"/>
    <n v="1.1226793527603149"/>
    <n v="3022558"/>
    <n v="1508848"/>
    <n v="1832482"/>
    <n v="3232505"/>
    <n v="108960"/>
    <n v="9902633"/>
  </r>
  <r>
    <x v="3"/>
    <x v="5"/>
    <s v="ECH"/>
    <n v="23.658063888549801"/>
    <n v="15.52672672271729"/>
    <n v="37.818790435791023"/>
    <n v="21.844228744506839"/>
    <n v="1.152190089225769"/>
    <n v="2350201"/>
    <n v="1542431"/>
    <n v="2170014"/>
    <n v="3756933"/>
    <n v="114459"/>
    <n v="10027973"/>
  </r>
  <r>
    <x v="3"/>
    <x v="6"/>
    <s v="ECH"/>
    <n v="21.13117790222168"/>
    <n v="14.396773338317869"/>
    <n v="39.353515625"/>
    <n v="24.24270057678223"/>
    <n v="0.87583202123641968"/>
    <n v="2152295"/>
    <n v="1466369"/>
    <n v="2469216"/>
    <n v="4008313"/>
    <n v="89207"/>
    <n v="10301614"/>
  </r>
  <r>
    <x v="3"/>
    <x v="8"/>
    <s v="ECH"/>
    <n v="16.912851333618161"/>
    <n v="12.61470794677734"/>
    <n v="40.099613189697273"/>
    <n v="29.452899932861332"/>
    <n v="0.91992747783660889"/>
    <n v="1723684"/>
    <n v="1285636"/>
    <n v="3001711"/>
    <n v="4086778"/>
    <n v="93755"/>
    <n v="10259943"/>
  </r>
  <r>
    <x v="3"/>
    <x v="9"/>
    <s v="ECH"/>
    <n v="18.19255447387695"/>
    <n v="12.1422176361084"/>
    <n v="37.368236541748047"/>
    <n v="31.49201583862305"/>
    <n v="0.80497831106185913"/>
    <n v="1843961"/>
    <n v="1230711"/>
    <n v="3191968"/>
    <n v="3787570"/>
    <n v="81591"/>
    <n v="10241111"/>
  </r>
  <r>
    <x v="3"/>
    <x v="10"/>
    <s v="ECH"/>
    <n v="15.807085037231451"/>
    <n v="11.39907646179199"/>
    <n v="37.760395050048828"/>
    <n v="33.510261535644531"/>
    <n v="1.5231801271438601"/>
    <n v="1633427"/>
    <n v="1177925"/>
    <n v="3462787"/>
    <n v="3901975"/>
    <n v="157398"/>
    <n v="10421813"/>
  </r>
  <r>
    <x v="3"/>
    <x v="11"/>
    <s v="ECH"/>
    <n v="15.583621025085449"/>
    <n v="11.83006381988525"/>
    <n v="38.3743896484375"/>
    <n v="32.924407958984382"/>
    <n v="1.287516713142395"/>
    <n v="1635805"/>
    <n v="1241796"/>
    <n v="3456059"/>
    <n v="4028141"/>
    <n v="135150"/>
    <n v="10573567"/>
  </r>
  <r>
    <x v="3"/>
    <x v="12"/>
    <s v="ECH"/>
    <n v="14.94226741790771"/>
    <n v="13.090939521789551"/>
    <n v="38.537948608398438"/>
    <n v="32.441177368164063"/>
    <n v="0.98766767978668213"/>
    <n v="1611857"/>
    <n v="1412150"/>
    <n v="3499505"/>
    <n v="4157178"/>
    <n v="106542"/>
    <n v="10896290"/>
  </r>
  <r>
    <x v="3"/>
    <x v="13"/>
    <s v="ECH"/>
    <n v="16.2106819152832"/>
    <n v="11.073623657226561"/>
    <n v="37.950313568115227"/>
    <n v="33.833763122558587"/>
    <n v="0.93161797523498535"/>
    <n v="1768437"/>
    <n v="1208031"/>
    <n v="3690954"/>
    <n v="4140032"/>
    <n v="101631"/>
    <n v="11046400"/>
  </r>
  <r>
    <x v="3"/>
    <x v="14"/>
    <s v="ECH"/>
    <n v="15.84268379211426"/>
    <n v="11.68980121612549"/>
    <n v="38.284725189208977"/>
    <n v="33.407009124755859"/>
    <n v="0.77578264474868774"/>
    <n v="1753476"/>
    <n v="1293833"/>
    <n v="3697504"/>
    <n v="4237372"/>
    <n v="85864"/>
    <n v="11216272"/>
  </r>
  <r>
    <x v="3"/>
    <x v="15"/>
    <s v="ECH"/>
    <n v="14.29046058654785"/>
    <n v="11.579615592956539"/>
    <n v="40.782779693603523"/>
    <n v="32.75738525390625"/>
    <n v="0.58975887298583984"/>
    <n v="1616409.12286377"/>
    <n v="1309782.62458038"/>
    <n v="3705222.6336288499"/>
    <n v="4612983.4566116296"/>
    <n v="66708.2526702881"/>
    <n v="11370509.8318405"/>
  </r>
  <r>
    <x v="3"/>
    <x v="16"/>
    <s v="ECH"/>
    <n v="10.55163669586182"/>
    <n v="11.16826915740967"/>
    <n v="42.218605041503913"/>
    <n v="35.249076843261719"/>
    <n v="0.8124116063117981"/>
    <n v="1210005.40800095"/>
    <n v="1280717.48106384"/>
    <n v="4042176.1039733901"/>
    <n v="4841404.5240535699"/>
    <n v="93163.0233383179"/>
    <n v="11533265.995273599"/>
  </r>
  <r>
    <x v="3"/>
    <x v="17"/>
    <s v="ECH"/>
    <n v="13.775515556335449"/>
    <n v="12.376527786254879"/>
    <n v="41.008033752441413"/>
    <n v="31.861057281494141"/>
    <n v="0.97886407375335693"/>
    <n v="1607529.7941694299"/>
    <n v="1444275.39198971"/>
    <n v="3718017.05097675"/>
    <n v="4785420.7243289901"/>
    <n v="114228.267101288"/>
    <n v="11749037.9950953"/>
  </r>
  <r>
    <x v="3"/>
    <x v="18"/>
    <s v="ECH"/>
    <n v="10.729448318481451"/>
    <n v="13.18068313598633"/>
    <n v="42.15826416015625"/>
    <n v="33.264591217041023"/>
    <n v="0.66701406240463257"/>
    <n v="1272703.84488201"/>
    <n v="1563463.96713638"/>
    <n v="3945773.5057067899"/>
    <n v="5000721.47926044"/>
    <n v="79119.758918762207"/>
    <n v="11903957.9894905"/>
  </r>
  <r>
    <x v="4"/>
    <x v="0"/>
    <s v="PNAD"/>
    <n v="26.882663726806641"/>
    <n v="16.578367233276371"/>
    <n v="32.908821105957031"/>
    <n v="21.46091270446777"/>
    <n v="2.1692335605621338"/>
    <n v="45339009"/>
    <n v="27960276"/>
    <n v="36194945"/>
    <n v="55502435"/>
    <n v="3658525"/>
    <n v="175374186"/>
  </r>
  <r>
    <x v="4"/>
    <x v="1"/>
    <s v="PNAD"/>
    <n v="24.336030960083011"/>
    <n v="17.450204849243161"/>
    <n v="33.660606384277337"/>
    <n v="22.431009292602539"/>
    <n v="2.122148990631104"/>
    <n v="41721510"/>
    <n v="29916500"/>
    <n v="38455552"/>
    <n v="57707492"/>
    <n v="3638196"/>
    <n v="177592322"/>
  </r>
  <r>
    <x v="4"/>
    <x v="2"/>
    <s v="PNAD"/>
    <n v="22.255535125732418"/>
    <n v="16.690193176269531"/>
    <n v="35.177764892578132"/>
    <n v="23.487339019775391"/>
    <n v="2.3891687393188481"/>
    <n v="38731555"/>
    <n v="29046130"/>
    <n v="40875278"/>
    <n v="61220253"/>
    <n v="4157897"/>
    <n v="179793052"/>
  </r>
  <r>
    <x v="4"/>
    <x v="3"/>
    <s v="PNAD"/>
    <n v="20.59036827087402"/>
    <n v="15.5819091796875"/>
    <n v="36.058906555175781"/>
    <n v="25.11628532409668"/>
    <n v="2.652532815933228"/>
    <n v="37075472"/>
    <n v="28057130"/>
    <n v="45224936"/>
    <n v="64928459"/>
    <n v="4776209"/>
    <n v="185751656"/>
  </r>
  <r>
    <x v="4"/>
    <x v="4"/>
    <s v="PNAD"/>
    <n v="17.899656295776371"/>
    <n v="16.591470718383789"/>
    <n v="36.372222900390632"/>
    <n v="26.576498031616211"/>
    <n v="2.5601527690887451"/>
    <n v="32401716"/>
    <n v="30033657"/>
    <n v="48108420"/>
    <n v="65840508"/>
    <n v="4634354"/>
    <n v="187575208"/>
  </r>
  <r>
    <x v="4"/>
    <x v="5"/>
    <s v="PNAD"/>
    <n v="15.4569845199585"/>
    <n v="15.39009380340576"/>
    <n v="37.138717651367188"/>
    <n v="29.134452819824219"/>
    <n v="2.8797504901885991"/>
    <n v="28417291"/>
    <n v="28294312"/>
    <n v="53562981"/>
    <n v="68278625"/>
    <n v="5294351"/>
    <n v="189540125"/>
  </r>
  <r>
    <x v="4"/>
    <x v="6"/>
    <s v="PNAD"/>
    <n v="14.771352767944339"/>
    <n v="13.222831726074221"/>
    <n v="38.949356079101563"/>
    <n v="30.125385284423832"/>
    <n v="2.9310767650604248"/>
    <n v="27357657"/>
    <n v="24489679"/>
    <n v="55794483"/>
    <n v="72137138"/>
    <n v="5428575"/>
    <n v="191475633"/>
  </r>
  <r>
    <x v="4"/>
    <x v="8"/>
    <s v="PNAD"/>
    <n v="12.61227607727051"/>
    <n v="12.715085029602051"/>
    <n v="38.355098724365227"/>
    <n v="33.154945373535163"/>
    <n v="3.162594079971313"/>
    <n v="23577877"/>
    <n v="23770073"/>
    <n v="61981135"/>
    <n v="71702512"/>
    <n v="5912276"/>
    <n v="194778930"/>
  </r>
  <r>
    <x v="4"/>
    <x v="9"/>
    <s v="PNAD"/>
    <n v="10.36298084259033"/>
    <n v="11.806771278381349"/>
    <n v="38.365131378173828"/>
    <n v="36.012905120849609"/>
    <n v="3.4522109031677251"/>
    <n v="19924911"/>
    <n v="22700886"/>
    <n v="69242034"/>
    <n v="73764661"/>
    <n v="6637568"/>
    <n v="199319204"/>
  </r>
  <r>
    <x v="4"/>
    <x v="10"/>
    <s v="PNAD"/>
    <n v="10.08380603790283"/>
    <n v="11.03363704681396"/>
    <n v="37.679294586181641"/>
    <n v="37.434680938720703"/>
    <n v="3.7685856819152832"/>
    <n v="19475138"/>
    <n v="21309573"/>
    <n v="72298648"/>
    <n v="72771076"/>
    <n v="7278375"/>
    <n v="201020101"/>
  </r>
  <r>
    <x v="4"/>
    <x v="11"/>
    <s v="PNAD"/>
    <n v="8.9850425720214844"/>
    <n v="10.39490413665771"/>
    <n v="37.895679473876953"/>
    <n v="38.841976165771477"/>
    <n v="3.8823950290679932"/>
    <n v="17670324"/>
    <n v="20443011"/>
    <n v="76388103"/>
    <n v="74527076"/>
    <n v="7635265"/>
    <n v="201776821"/>
  </r>
  <r>
    <x v="4"/>
    <x v="12"/>
    <s v="PNAD"/>
    <n v="10.47846031188965"/>
    <n v="10.95146369934082"/>
    <n v="38.986915588378913"/>
    <n v="36.270542144775391"/>
    <n v="3.3126189708709721"/>
    <n v="20917637"/>
    <n v="21861870"/>
    <n v="72405100"/>
    <n v="77827664"/>
    <n v="6612819"/>
    <n v="204243936"/>
  </r>
  <r>
    <x v="4"/>
    <x v="13"/>
    <s v="PNADC"/>
    <n v="10.29215240478516"/>
    <n v="11.67286205291748"/>
    <n v="34.873538970947273"/>
    <n v="39.197250366210938"/>
    <n v="3.9641954898834229"/>
    <n v="20735973.22614"/>
    <n v="23517737.807407402"/>
    <n v="78972122.638198897"/>
    <n v="70260985.592682794"/>
    <n v="7986808.0117034903"/>
    <n v="205511395.09188101"/>
  </r>
  <r>
    <x v="4"/>
    <x v="14"/>
    <s v="PNADC"/>
    <n v="10.56212043762207"/>
    <n v="11.117711067199711"/>
    <n v="35.084526062011719"/>
    <n v="39.310886383056641"/>
    <n v="3.924757719039917"/>
    <n v="21417462.666503899"/>
    <n v="22544068.172523499"/>
    <n v="79713110.986876503"/>
    <n v="71143056.416087195"/>
    <n v="7958472.8693790399"/>
    <n v="207087566.956117"/>
  </r>
  <r>
    <x v="4"/>
    <x v="15"/>
    <s v="PNADC"/>
    <n v="11.011074066162109"/>
    <n v="11.42869186401367"/>
    <n v="33.974967956542969"/>
    <n v="39.526435852050781"/>
    <n v="4.0588283538818359"/>
    <n v="22414305.091758698"/>
    <n v="23264415.256094899"/>
    <n v="80460601.611889407"/>
    <n v="69159956.598434001"/>
    <n v="8262212.06142521"/>
    <n v="207853292.971771"/>
  </r>
  <r>
    <x v="4"/>
    <x v="16"/>
    <s v="PNADC"/>
    <n v="10.81781005859375"/>
    <n v="11.081619262695311"/>
    <n v="33.063316345214837"/>
    <n v="40.962440490722663"/>
    <n v="4.0748171806335449"/>
    <n v="22217391.483596802"/>
    <n v="22759196.4787254"/>
    <n v="84127799.026073501"/>
    <n v="67904746.046874002"/>
    <n v="8368774.2333335904"/>
    <n v="209496462.977604"/>
  </r>
  <r>
    <x v="4"/>
    <x v="17"/>
    <s v="PNADC"/>
    <n v="8.7505693435668945"/>
    <n v="11.26315498352051"/>
    <n v="37.306159973144531"/>
    <n v="39.191524505615227"/>
    <n v="3.4885942935943599"/>
    <n v="18030183.6760941"/>
    <n v="23207263.132851601"/>
    <n v="80752505.421770096"/>
    <n v="76867793.386194199"/>
    <n v="7188103.4894142197"/>
    <n v="211096452.99566099"/>
  </r>
  <r>
    <x v="4"/>
    <x v="18"/>
    <s v="PNADC"/>
    <n v="12.504270553588871"/>
    <n v="12.42942047119141"/>
    <n v="35.166000366210938"/>
    <n v="36.536918640136719"/>
    <n v="3.3633906841278081"/>
    <n v="25909475.569019299"/>
    <n v="25754381.272228699"/>
    <n v="75706319.784206897"/>
    <n v="72865710.300332993"/>
    <n v="6969113.6604809798"/>
    <n v="212650323.435341"/>
  </r>
  <r>
    <x v="4"/>
    <x v="19"/>
    <s v="PNADC"/>
    <n v="27.230558395385739"/>
    <n v="11.91102981567383"/>
    <n v="30.286922454833981"/>
    <n v="27.98276519775391"/>
    <n v="2.5887255668640141"/>
    <n v="58062070.347421199"/>
    <n v="25397169.233465198"/>
    <n v="59665959.988497302"/>
    <n v="64578973.175574303"/>
    <n v="5519782.9862976102"/>
    <n v="214153641.03208399"/>
  </r>
  <r>
    <x v="5"/>
    <x v="1"/>
    <s v="CLFS"/>
    <n v="1.097913980484009"/>
    <n v="1.303924679756165"/>
    <n v="11.17212963104248"/>
    <n v="75.199615478515625"/>
    <n v="11.226412773132321"/>
    <n v="2519.35984420776"/>
    <n v="2992.0882968902602"/>
    <n v="172558.969192505"/>
    <n v="25636.449827194199"/>
    <n v="25761.0110816956"/>
    <n v="273164.62449073797"/>
  </r>
  <r>
    <x v="5"/>
    <x v="2"/>
    <s v="CLFS"/>
    <n v="0.60790646076202393"/>
    <n v="1.433279395103455"/>
    <n v="10.36022472381592"/>
    <n v="76.992698669433594"/>
    <n v="10.60589122772217"/>
    <n v="1396.05650901794"/>
    <n v="3291.5244541168199"/>
    <n v="176813.64409637501"/>
    <n v="23792.243318557699"/>
    <n v="24356.4171981812"/>
    <n v="274769.34506607102"/>
  </r>
  <r>
    <x v="5"/>
    <x v="3"/>
    <s v="CLFS"/>
    <n v="0.91326802968978882"/>
    <n v="1.2398673295974729"/>
    <n v="11.467569351196291"/>
    <n v="77.575454711914063"/>
    <n v="8.8038406372070313"/>
    <n v="2116.31199264526"/>
    <n v="2873.1389694213899"/>
    <n v="179765.256715775"/>
    <n v="26573.7477531433"/>
    <n v="20401.101428985599"/>
    <n v="277097.60037231399"/>
  </r>
  <r>
    <x v="5"/>
    <x v="4"/>
    <s v="CLFS"/>
    <n v="0.42966911196708679"/>
    <n v="1.122260570526123"/>
    <n v="10.881087303161619"/>
    <n v="78.701469421386719"/>
    <n v="8.8655118942260742"/>
    <n v="995.58591079711903"/>
    <n v="2600.3890628814702"/>
    <n v="182359.111822128"/>
    <n v="25212.557374954202"/>
    <n v="20542.270532607999"/>
    <n v="278308.37018394499"/>
  </r>
  <r>
    <x v="5"/>
    <x v="5"/>
    <s v="CLFS"/>
    <n v="0.417115718126297"/>
    <n v="1.2451881170272829"/>
    <n v="14.34257888793945"/>
    <n v="76.514244079589844"/>
    <n v="7.4808740615844727"/>
    <n v="974.00371932983398"/>
    <n v="2907.6292457580598"/>
    <n v="178667.821496964"/>
    <n v="33491.2479476929"/>
    <n v="17468.531187057499"/>
    <n v="279537.85638427699"/>
  </r>
  <r>
    <x v="5"/>
    <x v="6"/>
    <s v="CLFS"/>
    <n v="0.42837858200073242"/>
    <n v="1.4806568622589109"/>
    <n v="14.65506076812744"/>
    <n v="76.147857666015625"/>
    <n v="7.2880468368530273"/>
    <n v="993.98382186889603"/>
    <n v="3435.62673568726"/>
    <n v="176688.88631820699"/>
    <n v="34004.7176742554"/>
    <n v="16910.7441864014"/>
    <n v="280748.53178024298"/>
  </r>
  <r>
    <x v="5"/>
    <x v="7"/>
    <s v="CLFS"/>
    <n v="0.44993036985397339"/>
    <n v="1.326457619667053"/>
    <n v="17.358823776245121"/>
    <n v="74.500091552734375"/>
    <n v="6.3647007942199707"/>
    <n v="1034.18858528137"/>
    <n v="3048.9325294494602"/>
    <n v="171242.37576103199"/>
    <n v="39900.167577743501"/>
    <n v="14629.599855422999"/>
    <n v="277997.55162620498"/>
  </r>
  <r>
    <x v="5"/>
    <x v="8"/>
    <s v="CLFS"/>
    <n v="1.4251377582550051"/>
    <n v="1.70607602596283"/>
    <n v="18.36710357666016"/>
    <n v="73.972412109375"/>
    <n v="4.5292673110961914"/>
    <n v="3348.7134380340599"/>
    <n v="4008.8477478027298"/>
    <n v="173816.47952079799"/>
    <n v="43158.054296493501"/>
    <n v="10642.633604049701"/>
    <n v="282655.41966628999"/>
  </r>
  <r>
    <x v="5"/>
    <x v="9"/>
    <s v="CLFS"/>
    <n v="1.1928062438964839"/>
    <n v="2.716577291488647"/>
    <n v="19.463800430297852"/>
    <n v="72.299125671386719"/>
    <n v="4.3276896476745614"/>
    <n v="2792.20164871216"/>
    <n v="6359.1475391387903"/>
    <n v="169242.680521011"/>
    <n v="45562.178110122702"/>
    <n v="10130.5478973389"/>
    <n v="283248.981403351"/>
  </r>
  <r>
    <x v="5"/>
    <x v="10"/>
    <s v="CLFS"/>
    <n v="1.10283374786377"/>
    <n v="3.0149750709533691"/>
    <n v="19.228275299072269"/>
    <n v="71.99945068359375"/>
    <n v="4.6544685363769531"/>
    <n v="2498.7091732025101"/>
    <n v="6831.0803146362296"/>
    <n v="163130.371326447"/>
    <n v="43565.830636978098"/>
    <n v="10545.7086658478"/>
    <n v="273155.88590049703"/>
  </r>
  <r>
    <x v="5"/>
    <x v="11"/>
    <s v="CLFS"/>
    <n v="1.544919371604919"/>
    <n v="3.3507406711578369"/>
    <n v="23.348236083984379"/>
    <n v="67.710182189941406"/>
    <n v="4.0459156036376953"/>
    <n v="3470.1895046234099"/>
    <n v="7526.4151611328098"/>
    <n v="152090.25302696199"/>
    <n v="52444.680641174302"/>
    <n v="9087.9133663177508"/>
    <n v="278736.62063026399"/>
  </r>
  <r>
    <x v="5"/>
    <x v="12"/>
    <s v="CLFS"/>
    <n v="1.2044996023178101"/>
    <n v="2.4350101947784419"/>
    <n v="22.960317611694339"/>
    <n v="69.225807189941406"/>
    <n v="4.1743640899658203"/>
    <n v="2765.5499286651602"/>
    <n v="5590.8216304779098"/>
    <n v="158943.545326233"/>
    <n v="52717.250711440996"/>
    <n v="9584.4053344726599"/>
    <n v="278828.03951835597"/>
  </r>
  <r>
    <x v="5"/>
    <x v="13"/>
    <s v="CLFS"/>
    <n v="1.318590402603149"/>
    <n v="3.045061588287354"/>
    <n v="22.900686264038089"/>
    <n v="68.994155883789063"/>
    <n v="3.7415015697479248"/>
    <n v="3165.3712005615198"/>
    <n v="7309.8897743225098"/>
    <n v="165625.450702667"/>
    <n v="54974.743675231897"/>
    <n v="8981.7438659668005"/>
    <n v="285529.09096145601"/>
  </r>
  <r>
    <x v="6"/>
    <x v="8"/>
    <s v="CASEN"/>
    <n v="4.2792253494262704"/>
    <n v="8.2943115234375"/>
    <n v="39.928169250488281"/>
    <n v="42.174709320068359"/>
    <n v="5.3235855102539063"/>
    <n v="712618"/>
    <n v="1381249"/>
    <n v="7023341"/>
    <n v="6649225"/>
    <n v="886535"/>
    <n v="16926085"/>
  </r>
  <r>
    <x v="6"/>
    <x v="10"/>
    <s v="CASEN"/>
    <n v="2.951407670974731"/>
    <n v="5.5222945213317871"/>
    <n v="35.953624725341797"/>
    <n v="48.78814697265625"/>
    <n v="6.7845292091369629"/>
    <n v="502953"/>
    <n v="941061"/>
    <n v="8314048"/>
    <n v="6126901"/>
    <n v="1156160"/>
    <n v="17273117"/>
  </r>
  <r>
    <x v="6"/>
    <x v="12"/>
    <s v="CASEN"/>
    <n v="2.8435864448547359"/>
    <n v="5.7582740783691406"/>
    <n v="37.91693115234375"/>
    <n v="48.528133392333977"/>
    <n v="4.9530739784240723"/>
    <n v="492281"/>
    <n v="996871"/>
    <n v="8401179"/>
    <n v="6564170"/>
    <n v="857475"/>
    <n v="17552505"/>
  </r>
  <r>
    <x v="6"/>
    <x v="14"/>
    <s v="CASEN"/>
    <n v="2.6124217510223389"/>
    <n v="4.8546633720397949"/>
    <n v="35.562549591064453"/>
    <n v="51.095573425292969"/>
    <n v="5.8747920989990234"/>
    <n v="457636"/>
    <n v="850425"/>
    <n v="8950765"/>
    <n v="6229738"/>
    <n v="1029128"/>
    <n v="17807414"/>
  </r>
  <r>
    <x v="6"/>
    <x v="17"/>
    <s v="CASEN"/>
    <n v="5.9314579963684082"/>
    <n v="5.962651252746582"/>
    <n v="35.322189331054688"/>
    <n v="46.454299926757813"/>
    <n v="6.3294014930725098"/>
    <n v="1132354"/>
    <n v="1138309"/>
    <n v="8868429"/>
    <n v="6743236"/>
    <n v="1208324"/>
    <n v="19545799"/>
  </r>
  <r>
    <x v="7"/>
    <x v="0"/>
    <s v="ECH"/>
    <n v="33.785720825195313"/>
    <n v="21.450372695922852"/>
    <n v="29.416757583618161"/>
    <n v="14.251363754272459"/>
    <n v="1.095783948898315"/>
    <n v="13269910.2826891"/>
    <n v="8424995.1665296592"/>
    <n v="5597462.3197422"/>
    <n v="11553926.3823252"/>
    <n v="430387.53610038798"/>
    <n v="40742012.642754599"/>
  </r>
  <r>
    <x v="7"/>
    <x v="1"/>
    <s v="ECH"/>
    <n v="36.559562683105469"/>
    <n v="19.42778205871582"/>
    <n v="28.07063102722168"/>
    <n v="14.516758918762211"/>
    <n v="1.425265431404114"/>
    <n v="14645503.343723301"/>
    <n v="7782632.9991893796"/>
    <n v="5815311.8238019897"/>
    <n v="11244898.525153199"/>
    <n v="570951.32580375695"/>
    <n v="41245479.6413908"/>
  </r>
  <r>
    <x v="7"/>
    <x v="2"/>
    <s v="ECH"/>
    <n v="30.690914154052731"/>
    <n v="20.39874267578125"/>
    <n v="31.294479370117191"/>
    <n v="16.189128875732418"/>
    <n v="1.426736116409302"/>
    <n v="12430116.892936699"/>
    <n v="8261687.8169450797"/>
    <n v="6556753.4344844799"/>
    <n v="12674567.107225399"/>
    <n v="577841.96168422699"/>
    <n v="41749361.680352204"/>
  </r>
  <r>
    <x v="7"/>
    <x v="3"/>
    <s v="GEIH"/>
    <n v="37.132072448730469"/>
    <n v="17.275575637817379"/>
    <n v="29.398960113525391"/>
    <n v="14.900266647338871"/>
    <n v="1.2931245565414431"/>
    <n v="14031600.5"/>
    <n v="6528156"/>
    <n v="5630566"/>
    <n v="11109384"/>
    <n v="488650.5"/>
    <n v="45395684"/>
  </r>
  <r>
    <x v="7"/>
    <x v="4"/>
    <s v="GEIH"/>
    <n v="34.816349029541023"/>
    <n v="18.247989654541019"/>
    <n v="29.722988128662109"/>
    <n v="15.83721923828125"/>
    <n v="1.375455498695374"/>
    <n v="14243296"/>
    <n v="7465215"/>
    <n v="6478974"/>
    <n v="12159613"/>
    <n v="562696"/>
    <n v="46065458"/>
  </r>
  <r>
    <x v="7"/>
    <x v="5"/>
    <s v="GEIH"/>
    <n v="27.393928527832031"/>
    <n v="16.760372161865231"/>
    <n v="32.997444152832031"/>
    <n v="20.964113235473629"/>
    <n v="1.8841408491134639"/>
    <n v="11460071"/>
    <n v="7011593"/>
    <n v="8770200"/>
    <n v="13804266"/>
    <n v="788218"/>
    <n v="43258255"/>
  </r>
  <r>
    <x v="7"/>
    <x v="6"/>
    <s v="GEIH"/>
    <n v="26.627218246459961"/>
    <n v="17.2227897644043"/>
    <n v="32.987533569335938"/>
    <n v="21.25846099853516"/>
    <n v="1.903993964195251"/>
    <n v="11333036"/>
    <n v="7330338"/>
    <n v="9047994"/>
    <n v="14040105"/>
    <n v="810375"/>
    <n v="43768631"/>
  </r>
  <r>
    <x v="7"/>
    <x v="7"/>
    <s v="GEIH"/>
    <n v="23.670475006103519"/>
    <n v="17.138362884521481"/>
    <n v="34.144748687744141"/>
    <n v="22.95339202880859"/>
    <n v="2.0930273532867432"/>
    <n v="10183317"/>
    <n v="7373125"/>
    <n v="9874819"/>
    <n v="14689472"/>
    <n v="900445"/>
    <n v="44281530"/>
  </r>
  <r>
    <x v="7"/>
    <x v="8"/>
    <s v="GEIH"/>
    <n v="20.811540603637699"/>
    <n v="16.33931922912598"/>
    <n v="35.636627197265632"/>
    <n v="24.969467163085941"/>
    <n v="2.2430448532104492"/>
    <n v="9100649"/>
    <n v="7144998"/>
    <n v="10918863"/>
    <n v="15583491"/>
    <n v="980858"/>
    <n v="44800048"/>
  </r>
  <r>
    <x v="7"/>
    <x v="9"/>
    <s v="GEIH"/>
    <n v="21.383562088012699"/>
    <n v="15.776493072509769"/>
    <n v="35.264823913574219"/>
    <n v="25.412515640258789"/>
    <n v="2.1626067161560059"/>
    <n v="9428077.2167978305"/>
    <n v="6955903.9230756797"/>
    <n v="11204455.465009499"/>
    <n v="15548368.2423234"/>
    <n v="953499.92660236405"/>
    <n v="45318603.641373403"/>
  </r>
  <r>
    <x v="7"/>
    <x v="10"/>
    <s v="GEIH"/>
    <n v="18.494846343994141"/>
    <n v="15.359811782836911"/>
    <n v="35.947818756103523"/>
    <n v="27.886539459228519"/>
    <n v="2.3109865188598628"/>
    <n v="8256563.5353159904"/>
    <n v="6857005.4323983202"/>
    <n v="12449252.2407894"/>
    <n v="16048008.5325513"/>
    <n v="1031682.51675797"/>
    <n v="45839413.340590499"/>
  </r>
  <r>
    <x v="7"/>
    <x v="11"/>
    <s v="GEIH"/>
    <n v="17.931743621826168"/>
    <n v="14.42107009887695"/>
    <n v="36.559597015380859"/>
    <n v="28.34195518493652"/>
    <n v="2.745639324188232"/>
    <n v="8085894.6746349297"/>
    <n v="6502839.5982408496"/>
    <n v="12780132.8388777"/>
    <n v="16485684.031756399"/>
    <n v="1238081.03189659"/>
    <n v="46361295.323515899"/>
  </r>
  <r>
    <x v="7"/>
    <x v="12"/>
    <s v="GEIH"/>
    <n v="17.137582778930661"/>
    <n v="14.882448196411129"/>
    <n v="36.995853424072273"/>
    <n v="28.8254508972168"/>
    <n v="2.1586682796478271"/>
    <n v="7836180.9085130701"/>
    <n v="6805018.3067398099"/>
    <n v="13180472.4447923"/>
    <n v="16916399.6345887"/>
    <n v="987053.792746544"/>
    <n v="46884054.657387704"/>
  </r>
  <r>
    <x v="7"/>
    <x v="13"/>
    <s v="GEIH"/>
    <n v="16.112834930419918"/>
    <n v="15.76649284362793"/>
    <n v="37.986774444580078"/>
    <n v="27.929561614990231"/>
    <n v="2.2043323516845699"/>
    <n v="7431297.2227416001"/>
    <n v="7271562.9900388699"/>
    <n v="12881215.045144999"/>
    <n v="17519637.7399945"/>
    <n v="1016645.9684186"/>
    <n v="47409163.306086503"/>
  </r>
  <r>
    <x v="7"/>
    <x v="14"/>
    <s v="GEIH"/>
    <n v="15.19743824005127"/>
    <n v="15.377158164978029"/>
    <n v="38.722126007080078"/>
    <n v="28.423610687255859"/>
    <n v="2.279667854309082"/>
    <n v="7087042.6405649204"/>
    <n v="7170851.6698503504"/>
    <n v="13254822.171536401"/>
    <n v="18057343.251583099"/>
    <n v="1063080.7861633301"/>
    <n v="47933321.646894"/>
  </r>
  <r>
    <x v="7"/>
    <x v="15"/>
    <s v="GEIH"/>
    <n v="16.431619644165039"/>
    <n v="15.281833648681641"/>
    <n v="37.806240081787109"/>
    <n v="28.21540451049805"/>
    <n v="2.2649013996124272"/>
    <n v="7742200.7698755302"/>
    <n v="7200448.6324291201"/>
    <n v="13294450.3733902"/>
    <n v="17813431.042604402"/>
    <n v="1067169.4747390701"/>
    <n v="48455853.971370697"/>
  </r>
  <r>
    <x v="7"/>
    <x v="16"/>
    <s v="GEIH"/>
    <n v="17.20904541015625"/>
    <n v="15.086044311523439"/>
    <n v="36.422977447509773"/>
    <n v="28.93488693237305"/>
    <n v="2.3470432758331299"/>
    <n v="8161155.5089988699"/>
    <n v="7154351.0062971096"/>
    <n v="13721976.190817401"/>
    <n v="17273100.317189701"/>
    <n v="1113053.30992126"/>
    <n v="48975426.328559399"/>
  </r>
  <r>
    <x v="7"/>
    <x v="17"/>
    <s v="GEIH"/>
    <n v="18.877180099487301"/>
    <n v="16.585809707641602"/>
    <n v="37.205436706542969"/>
    <n v="25.199827194213871"/>
    <n v="2.131744384765625"/>
    <n v="9117332.1172618903"/>
    <n v="8010642.4344053296"/>
    <n v="12171055.578891801"/>
    <n v="17969545.086634599"/>
    <n v="1029593.45837498"/>
    <n v="49620239.657057799"/>
  </r>
  <r>
    <x v="7"/>
    <x v="18"/>
    <s v="GEIH"/>
    <n v="18.317903518676761"/>
    <n v="15.564961433410639"/>
    <n v="37.681587219238281"/>
    <n v="26.318386077880859"/>
    <n v="2.1171619892120361"/>
    <n v="8946728.7335834503"/>
    <n v="7602152.4560909299"/>
    <n v="12854280.8565474"/>
    <n v="18404230.702789299"/>
    <n v="1034052.5167675"/>
    <n v="50008961.6972818"/>
  </r>
  <r>
    <x v="8"/>
    <x v="0"/>
    <s v="EHPM"/>
    <n v="13.507688522338871"/>
    <n v="13.43195629119873"/>
    <n v="38.303905487060547"/>
    <n v="32.71832275390625"/>
    <n v="2.0381264686584468"/>
    <n v="467842"/>
    <n v="465219"/>
    <n v="1133207"/>
    <n v="1326665"/>
    <n v="70591"/>
    <n v="4088773"/>
  </r>
  <r>
    <x v="8"/>
    <x v="1"/>
    <s v="EHPM"/>
    <n v="13.04631519317627"/>
    <n v="14.926150321960449"/>
    <n v="40.398525238037109"/>
    <n v="29.885696411132809"/>
    <n v="1.743309378623962"/>
    <n v="471874"/>
    <n v="539866"/>
    <n v="1080940"/>
    <n v="1461180"/>
    <n v="63054"/>
    <n v="4178755"/>
  </r>
  <r>
    <x v="8"/>
    <x v="2"/>
    <s v="EHPM"/>
    <n v="11.1018009185791"/>
    <n v="13.71992206573486"/>
    <n v="41.892566680908203"/>
    <n v="31.723567962646481"/>
    <n v="1.5621416568756099"/>
    <n v="431801"/>
    <n v="533632"/>
    <n v="1233878"/>
    <n v="1629398"/>
    <n v="60759"/>
    <n v="4253159"/>
  </r>
  <r>
    <x v="8"/>
    <x v="3"/>
    <s v="EHPM"/>
    <n v="11.243692398071291"/>
    <n v="13.37557888031006"/>
    <n v="41.638545989990227"/>
    <n v="31.710601806640629"/>
    <n v="2.031579732894897"/>
    <n v="439519"/>
    <n v="522855"/>
    <n v="1239576"/>
    <n v="1627662"/>
    <n v="79415"/>
    <n v="4353843"/>
  </r>
  <r>
    <x v="8"/>
    <x v="4"/>
    <s v="EHPM"/>
    <n v="7.9773797988891602"/>
    <n v="11.99295043945313"/>
    <n v="41.6732177734375"/>
    <n v="35.422767639160163"/>
    <n v="2.9336810111999512"/>
    <n v="325705"/>
    <n v="489655"/>
    <n v="1446261"/>
    <n v="1701458"/>
    <n v="119778"/>
    <n v="4443100"/>
  </r>
  <r>
    <x v="8"/>
    <x v="5"/>
    <s v="EHPM"/>
    <n v="7.2203068733215332"/>
    <n v="11.63913726806641"/>
    <n v="41.413162231445313"/>
    <n v="37.053874969482422"/>
    <n v="2.6735177040100102"/>
    <n v="286928"/>
    <n v="462528"/>
    <n v="1472485"/>
    <n v="1645719"/>
    <n v="106243"/>
    <n v="4533162"/>
  </r>
  <r>
    <x v="8"/>
    <x v="6"/>
    <s v="EHPM"/>
    <n v="7.2418012619018546"/>
    <n v="11.109384536743161"/>
    <n v="39.362323760986328"/>
    <n v="38.116783142089837"/>
    <n v="4.1697063446044922"/>
    <n v="309832"/>
    <n v="475302"/>
    <n v="1630782"/>
    <n v="1684071"/>
    <n v="178396"/>
    <n v="4620482"/>
  </r>
  <r>
    <x v="8"/>
    <x v="7"/>
    <s v="ENAHO"/>
    <n v="7.4444270133972168"/>
    <n v="11.181607246398929"/>
    <n v="39.104446411132813"/>
    <n v="38.925945281982422"/>
    <n v="3.3435730934143071"/>
    <n v="334521"/>
    <n v="502454"/>
    <n v="1749167"/>
    <n v="1757188"/>
    <n v="150246"/>
    <n v="4562087"/>
  </r>
  <r>
    <x v="8"/>
    <x v="8"/>
    <s v="ENAHO"/>
    <n v="9.9805707931518555"/>
    <n v="10.00956344604492"/>
    <n v="35.420974731445313"/>
    <n v="40.150745391845703"/>
    <n v="4.4381484985351563"/>
    <n v="447523"/>
    <n v="448823"/>
    <n v="1800336"/>
    <n v="1588256"/>
    <n v="199004"/>
    <n v="4614498"/>
  </r>
  <r>
    <x v="8"/>
    <x v="9"/>
    <s v="ENAHO"/>
    <n v="7.7240409851074219"/>
    <n v="10.057268142700201"/>
    <n v="36.247135162353523"/>
    <n v="41.860786437988281"/>
    <n v="4.1107692718505859"/>
    <n v="355354"/>
    <n v="462697"/>
    <n v="1925857"/>
    <n v="1667594"/>
    <n v="189121"/>
    <n v="4667076"/>
  </r>
  <r>
    <x v="8"/>
    <x v="10"/>
    <s v="ENAHO"/>
    <n v="7.7379322052001953"/>
    <n v="9.7225341796875"/>
    <n v="36.844211578369141"/>
    <n v="41.356788635253913"/>
    <n v="4.3385357856750488"/>
    <n v="359732"/>
    <n v="451995"/>
    <n v="1922653"/>
    <n v="1712866"/>
    <n v="201696"/>
    <n v="4717681"/>
  </r>
  <r>
    <x v="8"/>
    <x v="11"/>
    <s v="ENAHO"/>
    <n v="7.0614500045776367"/>
    <n v="9.7870368957519531"/>
    <n v="35.268478393554688"/>
    <n v="42.925323486328132"/>
    <n v="4.9577131271362296"/>
    <n v="331265"/>
    <n v="459127"/>
    <n v="2013702"/>
    <n v="1654506"/>
    <n v="232575"/>
    <n v="4772098"/>
  </r>
  <r>
    <x v="8"/>
    <x v="12"/>
    <s v="ENAHO"/>
    <n v="6.9559202194213867"/>
    <n v="8.8358926773071289"/>
    <n v="36.993080139160163"/>
    <n v="42.350048065185547"/>
    <n v="4.8650569915771484"/>
    <n v="331188"/>
    <n v="420698"/>
    <n v="2016387"/>
    <n v="1761329"/>
    <n v="231637"/>
    <n v="4833752"/>
  </r>
  <r>
    <x v="8"/>
    <x v="13"/>
    <s v="ENAHO"/>
    <n v="6.6667861938476563"/>
    <n v="8.6118192672729492"/>
    <n v="35.852138519287109"/>
    <n v="43.684364318847663"/>
    <n v="5.1848964691162109"/>
    <n v="320583"/>
    <n v="414113"/>
    <n v="2100632"/>
    <n v="1724007"/>
    <n v="249324"/>
    <n v="4889762"/>
  </r>
  <r>
    <x v="8"/>
    <x v="14"/>
    <s v="ENAHO"/>
    <n v="5.9417562484741211"/>
    <n v="8.7676811218261719"/>
    <n v="36.310676574707031"/>
    <n v="43.797733306884773"/>
    <n v="5.182152271270752"/>
    <n v="289663"/>
    <n v="427428"/>
    <n v="2135157"/>
    <n v="1770160"/>
    <n v="252632"/>
    <n v="4946700"/>
  </r>
  <r>
    <x v="8"/>
    <x v="15"/>
    <s v="ENAHO"/>
    <n v="6.5881414413452148"/>
    <n v="8.8515110015869141"/>
    <n v="35.908866882324219"/>
    <n v="43.788074493408203"/>
    <n v="4.8634061813354492"/>
    <n v="323430"/>
    <n v="434545"/>
    <n v="2149677"/>
    <n v="1762865"/>
    <n v="238758"/>
    <n v="5003673"/>
  </r>
  <r>
    <x v="8"/>
    <x v="16"/>
    <s v="ENAHO"/>
    <n v="6.4698486328125"/>
    <n v="9.0233392715454102"/>
    <n v="37.006095886230469"/>
    <n v="42.605804443359382"/>
    <n v="4.8949098587036133"/>
    <n v="322437"/>
    <n v="449695"/>
    <n v="2123340"/>
    <n v="1844268"/>
    <n v="243947"/>
    <n v="5059730"/>
  </r>
  <r>
    <x v="8"/>
    <x v="17"/>
    <s v="ENAHO"/>
    <n v="11.554224967956539"/>
    <n v="11.97983455657959"/>
    <n v="36.801063537597663"/>
    <n v="35.863864898681641"/>
    <n v="3.80101466178894"/>
    <n v="576639"/>
    <n v="597880"/>
    <n v="1789865"/>
    <n v="1836638"/>
    <n v="189698"/>
    <n v="5111405"/>
  </r>
  <r>
    <x v="8"/>
    <x v="18"/>
    <s v="ENAHO"/>
    <n v="7.1364259719848633"/>
    <n v="10.305916786193849"/>
    <n v="36.757926940917969"/>
    <n v="41.395103454589837"/>
    <n v="4.4046263694763184"/>
    <n v="363987"/>
    <n v="525644"/>
    <n v="2111320"/>
    <n v="1874805"/>
    <n v="224654"/>
    <n v="5163413"/>
  </r>
  <r>
    <x v="8"/>
    <x v="19"/>
    <s v="ENAHO"/>
    <n v="6.5097131729125977"/>
    <n v="9.6623334884643555"/>
    <n v="37.176841735839837"/>
    <n v="42.531070709228523"/>
    <n v="4.1200428009033203"/>
    <n v="335558"/>
    <n v="498067"/>
    <n v="2192361"/>
    <n v="1916365"/>
    <n v="212377"/>
    <n v="5213480"/>
  </r>
  <r>
    <x v="9"/>
    <x v="0"/>
    <s v="ENFT"/>
    <n v="24.77912521362305"/>
    <n v="19.005546569824219"/>
    <n v="36.134231567382813"/>
    <n v="18.728010177612301"/>
    <n v="1.3530857563018801"/>
    <n v="2106898"/>
    <n v="1615987"/>
    <n v="1592389"/>
    <n v="3072390"/>
    <n v="115049"/>
    <n v="8704161"/>
  </r>
  <r>
    <x v="9"/>
    <x v="1"/>
    <s v="ENFT"/>
    <n v="30.830488204956051"/>
    <n v="21.191116333007809"/>
    <n v="32.257335662841797"/>
    <n v="14.889102935791019"/>
    <n v="0.83195751905441284"/>
    <n v="2688504"/>
    <n v="1847924"/>
    <n v="1298371"/>
    <n v="2812929"/>
    <n v="72549"/>
    <n v="8861162"/>
  </r>
  <r>
    <x v="9"/>
    <x v="2"/>
    <s v="ENFT"/>
    <n v="25.072673797607418"/>
    <n v="18.74977874755859"/>
    <n v="35.427734375"/>
    <n v="19.507160186767582"/>
    <n v="1.2426497936248779"/>
    <n v="2195254"/>
    <n v="1641649"/>
    <n v="1707962"/>
    <n v="3101898"/>
    <n v="108801"/>
    <n v="8954468"/>
  </r>
  <r>
    <x v="9"/>
    <x v="3"/>
    <s v="ENFT"/>
    <n v="22.604122161865231"/>
    <n v="18.460550308227539"/>
    <n v="35.372550964355469"/>
    <n v="22.130681991577148"/>
    <n v="1.432097434997559"/>
    <n v="2026230"/>
    <n v="1654801"/>
    <n v="1983791"/>
    <n v="3170790"/>
    <n v="128373"/>
    <n v="9165930"/>
  </r>
  <r>
    <x v="9"/>
    <x v="4"/>
    <s v="ENFT"/>
    <n v="20.97090911865234"/>
    <n v="17.813213348388668"/>
    <n v="39.643035888671882"/>
    <n v="20.375518798828129"/>
    <n v="1.197324395179749"/>
    <n v="1923021"/>
    <n v="1633462"/>
    <n v="1868424"/>
    <n v="3635245"/>
    <n v="109794"/>
    <n v="9344669"/>
  </r>
  <r>
    <x v="9"/>
    <x v="5"/>
    <s v="ENFT"/>
    <n v="20.305610656738281"/>
    <n v="19.298763275146481"/>
    <n v="38.030647277832031"/>
    <n v="21.279069900512699"/>
    <n v="1.085908055305481"/>
    <n v="1904906"/>
    <n v="1810452"/>
    <n v="1996228"/>
    <n v="3567724"/>
    <n v="101871"/>
    <n v="9537603"/>
  </r>
  <r>
    <x v="9"/>
    <x v="6"/>
    <s v="ENFT"/>
    <n v="19.61470794677734"/>
    <n v="18.623910903930661"/>
    <n v="39.066608428955078"/>
    <n v="21.60551643371582"/>
    <n v="1.089255094528198"/>
    <n v="1867499"/>
    <n v="1773166"/>
    <n v="2057042"/>
    <n v="3719497"/>
    <n v="103707"/>
    <n v="9680943"/>
  </r>
  <r>
    <x v="9"/>
    <x v="7"/>
    <s v="ENFT"/>
    <n v="20.06291389465332"/>
    <n v="17.946538925170898"/>
    <n v="38.221019744873047"/>
    <n v="23.032854080200199"/>
    <n v="0.73667061328887939"/>
    <n v="1942697"/>
    <n v="1737768"/>
    <n v="2230277"/>
    <n v="3700951"/>
    <n v="71332"/>
    <n v="9823020"/>
  </r>
  <r>
    <x v="9"/>
    <x v="8"/>
    <s v="ENFT"/>
    <n v="18.16949462890625"/>
    <n v="18.72796630859375"/>
    <n v="39.484130859375"/>
    <n v="22.5043830871582"/>
    <n v="1.1140221357345581"/>
    <n v="1774818"/>
    <n v="1829370"/>
    <n v="2198255"/>
    <n v="3856857"/>
    <n v="108819"/>
    <n v="9949005"/>
  </r>
  <r>
    <x v="9"/>
    <x v="9"/>
    <s v="ENFT"/>
    <n v="18.642196655273441"/>
    <n v="18.86502647399902"/>
    <n v="41.544853210449219"/>
    <n v="20.099470138549801"/>
    <n v="0.84845244884490967"/>
    <n v="1847164"/>
    <n v="1869243"/>
    <n v="1991558"/>
    <n v="4116476"/>
    <n v="84069"/>
    <n v="10076635"/>
  </r>
  <r>
    <x v="9"/>
    <x v="10"/>
    <s v="ENFT"/>
    <n v="17.458456039428711"/>
    <n v="19.326894760131839"/>
    <n v="40.563018798828132"/>
    <n v="21.400026321411129"/>
    <n v="1.2516055107116699"/>
    <n v="1754779"/>
    <n v="1942579"/>
    <n v="2150953"/>
    <n v="4077058"/>
    <n v="125801"/>
    <n v="10206124"/>
  </r>
  <r>
    <x v="9"/>
    <x v="11"/>
    <s v="ENFT"/>
    <n v="15.16470336914063"/>
    <n v="16.758039474487301"/>
    <n v="40.949531555175781"/>
    <n v="26.286533355712891"/>
    <n v="0.84119254350662231"/>
    <n v="1545959"/>
    <n v="1708391"/>
    <n v="2679769"/>
    <n v="4174582"/>
    <n v="85755"/>
    <n v="10337027"/>
  </r>
  <r>
    <x v="9"/>
    <x v="12"/>
    <s v="ENFT"/>
    <n v="12.28875827789307"/>
    <n v="16.25643348693848"/>
    <n v="41.862739562988281"/>
    <n v="28.334756851196289"/>
    <n v="1.2573075294494629"/>
    <n v="1268091"/>
    <n v="1677520"/>
    <n v="2923896"/>
    <n v="4319864"/>
    <n v="129743"/>
    <n v="10469248"/>
  </r>
  <r>
    <x v="9"/>
    <x v="13"/>
    <s v="ENFT"/>
    <n v="11.59282875061035"/>
    <n v="15.18127346038818"/>
    <n v="40.528881072998047"/>
    <n v="30.851522445678711"/>
    <n v="1.845492839813232"/>
    <n v="1211168"/>
    <n v="1586073"/>
    <n v="3223232"/>
    <n v="4234280"/>
    <n v="192809"/>
    <n v="10578059"/>
  </r>
  <r>
    <x v="9"/>
    <x v="14"/>
    <s v="ENCFT"/>
    <n v="7.9110331535339364"/>
    <n v="12.58048248291016"/>
    <n v="47.420425415039063"/>
    <n v="30.87873458862305"/>
    <n v="1.2093222141265869"/>
    <n v="794397.83049011196"/>
    <n v="1263287.3012695301"/>
    <n v="3100732.8879394499"/>
    <n v="4761790.8586578397"/>
    <n v="121435.8331604"/>
    <n v="10205331.022933999"/>
  </r>
  <r>
    <x v="9"/>
    <x v="15"/>
    <s v="ENCFT"/>
    <n v="7.110903263092041"/>
    <n v="11.309403419494631"/>
    <n v="44.634132385253913"/>
    <n v="35.422088623046882"/>
    <n v="1.523474454879761"/>
    <n v="721804.21084594703"/>
    <n v="1147979.98908997"/>
    <n v="3595578.5819091802"/>
    <n v="4530662.5040893601"/>
    <n v="154642.82917785601"/>
    <n v="10300522.0509491"/>
  </r>
  <r>
    <x v="9"/>
    <x v="16"/>
    <s v="ENCFT"/>
    <n v="5.6388921737670898"/>
    <n v="10.62331008911133"/>
    <n v="44.225223541259773"/>
    <n v="37.971229553222663"/>
    <n v="1.5413403511047361"/>
    <n v="576239.62686157203"/>
    <n v="1085598.4376068099"/>
    <n v="3880288.57452393"/>
    <n v="4519385.4180908203"/>
    <n v="157509.913345337"/>
    <n v="10391952.920745799"/>
  </r>
  <r>
    <x v="9"/>
    <x v="17"/>
    <s v="ENCFT"/>
    <n v="9.804844856262207"/>
    <n v="14.304606437683111"/>
    <n v="46.331375122070313"/>
    <n v="28.903585433959961"/>
    <n v="0.65558707714080811"/>
    <n v="1008726.3510284401"/>
    <n v="1471663.67982483"/>
    <n v="2973612.3939666701"/>
    <n v="4766590.6735076904"/>
    <n v="67447.061248779297"/>
    <n v="10480963.9946442"/>
  </r>
  <r>
    <x v="9"/>
    <x v="18"/>
    <s v="ENCFT"/>
    <n v="8.2898464202880859"/>
    <n v="11.93636417388916"/>
    <n v="46.568672180175781"/>
    <n v="32.488998413085938"/>
    <n v="0.71611630916595459"/>
    <n v="861125.02537536598"/>
    <n v="1239914.7063140899"/>
    <n v="3374862.5348205599"/>
    <n v="4837418.0092315702"/>
    <n v="74388.0735015869"/>
    <n v="10568344.2144241"/>
  </r>
  <r>
    <x v="10"/>
    <x v="0"/>
    <s v="ENEMDU"/>
    <n v="35.612312316894531"/>
    <n v="20.169120788574219"/>
    <n v="29.61040115356445"/>
    <n v="13.685965538024901"/>
    <n v="0.92219895124435425"/>
    <n v="4495149.0364227304"/>
    <n v="2545838.6593437199"/>
    <n v="1727505.22278404"/>
    <n v="3737560.39641571"/>
    <n v="116404.1751194"/>
    <n v="12985997.6677284"/>
  </r>
  <r>
    <x v="10"/>
    <x v="1"/>
    <s v="ENEMDU"/>
    <n v="30.96855354309082"/>
    <n v="19.079233169555661"/>
    <n v="32.212047576904297"/>
    <n v="16.386962890625"/>
    <n v="1.35319995880127"/>
    <n v="4002644.9944534302"/>
    <n v="2465965.9473533598"/>
    <n v="2117993.4996166201"/>
    <n v="4163365.28980446"/>
    <n v="174899.31809043899"/>
    <n v="13243984.081993099"/>
  </r>
  <r>
    <x v="10"/>
    <x v="2"/>
    <s v="ENEMDU"/>
    <n v="28.68865966796875"/>
    <n v="19.386516571044918"/>
    <n v="32.983173370361328"/>
    <n v="17.65989875793457"/>
    <n v="1.2817525863647461"/>
    <n v="3720856.1707267798"/>
    <n v="2514388.6458091699"/>
    <n v="2290449.9669532799"/>
    <n v="4277844.9242877997"/>
    <n v="166240.49698448199"/>
    <n v="13289987.010791801"/>
  </r>
  <r>
    <x v="10"/>
    <x v="3"/>
    <s v="ENEMDU"/>
    <n v="24.27210807800293"/>
    <n v="19.497943878173832"/>
    <n v="35.042510986328132"/>
    <n v="20.033901214599609"/>
    <n v="1.153535723686218"/>
    <n v="3205633.4503126098"/>
    <n v="2575106.4103717799"/>
    <n v="2645890.77647781"/>
    <n v="4628087.5323801003"/>
    <n v="152348.234741211"/>
    <n v="13483988.046083501"/>
  </r>
  <r>
    <x v="10"/>
    <x v="4"/>
    <s v="ENEMDU"/>
    <n v="23.503471374511719"/>
    <n v="19.78593826293945"/>
    <n v="34.2484130859375"/>
    <n v="20.88481521606445"/>
    <n v="1.57736599445343"/>
    <n v="3133263.58029842"/>
    <n v="2637676.5919685401"/>
    <n v="2784168.62593651"/>
    <n v="4565678.7633991204"/>
    <n v="210279.71550178499"/>
    <n v="13682302.007292699"/>
  </r>
  <r>
    <x v="10"/>
    <x v="5"/>
    <s v="ENEMDU"/>
    <n v="22.633157730102539"/>
    <n v="18.02584266662598"/>
    <n v="37.177082061767578"/>
    <n v="20.967094421386719"/>
    <n v="1.196821928024292"/>
    <n v="3078281.57134056"/>
    <n v="2451651.5307159401"/>
    <n v="2851684.3501472501"/>
    <n v="5056366.1132488297"/>
    <n v="162776.88088226301"/>
    <n v="13878703.524519"/>
  </r>
  <r>
    <x v="10"/>
    <x v="6"/>
    <s v="ENEMDU"/>
    <n v="22.626482009887699"/>
    <n v="19.948171615600589"/>
    <n v="37.239501953125"/>
    <n v="19.203035354614261"/>
    <n v="0.98281252384185791"/>
    <n v="3093001.2624507002"/>
    <n v="2726880.7448997502"/>
    <n v="2625022.01518011"/>
    <n v="5090575.8938331604"/>
    <n v="134348.78120803801"/>
    <n v="14081059.9973273"/>
  </r>
  <r>
    <x v="10"/>
    <x v="7"/>
    <s v="ENEMDU"/>
    <n v="19.453071594238281"/>
    <n v="19.282241821289059"/>
    <n v="38.225929260253913"/>
    <n v="21.854106903076168"/>
    <n v="1.18464732170105"/>
    <n v="2713025.8630161299"/>
    <n v="2689200.7947034799"/>
    <n v="3047886.3688182798"/>
    <n v="5331185.4671764402"/>
    <n v="165217.02745628401"/>
    <n v="14279685.3035402"/>
  </r>
  <r>
    <x v="10"/>
    <x v="8"/>
    <s v="ENEMDU"/>
    <n v="16.569992065429691"/>
    <n v="18.125978469848629"/>
    <n v="39.543941497802727"/>
    <n v="24.94828033447266"/>
    <n v="0.81180727481842041"/>
    <n v="2348302.8309907899"/>
    <n v="2568817.6772928201"/>
    <n v="3535675.9486885099"/>
    <n v="5604176.2004661597"/>
    <n v="115049.50200271601"/>
    <n v="14478129.297245"/>
  </r>
  <r>
    <x v="10"/>
    <x v="9"/>
    <s v="ENEMDU"/>
    <n v="16.20944976806641"/>
    <n v="16.38578987121582"/>
    <n v="40.517055511474609"/>
    <n v="26.042598724365231"/>
    <n v="0.84510648250579834"/>
    <n v="2318682.1338028898"/>
    <n v="2343906.7593350401"/>
    <n v="3725266.0822739601"/>
    <n v="5795766.4326181402"/>
    <n v="120888.342422485"/>
    <n v="14682556.486605201"/>
  </r>
  <r>
    <x v="10"/>
    <x v="10"/>
    <s v="ENEMDU"/>
    <n v="14.07280445098877"/>
    <n v="16.931503295898441"/>
    <n v="41.660137176513672"/>
    <n v="26.07082366943359"/>
    <n v="1.264731764793396"/>
    <n v="2200496.2611985202"/>
    <n v="2647497.1196806398"/>
    <n v="4076568.86552143"/>
    <n v="6514194.0969958296"/>
    <n v="197759.99030590101"/>
    <n v="15872754.987891"/>
  </r>
  <r>
    <x v="10"/>
    <x v="11"/>
    <s v="ENEMDU"/>
    <n v="12.1289005279541"/>
    <n v="15.677738189697269"/>
    <n v="43.528018951416023"/>
    <n v="27.492839813232418"/>
    <n v="1.1725039482116699"/>
    <n v="1935872.8599877399"/>
    <n v="2502296.7632498699"/>
    <n v="4388084.6531152697"/>
    <n v="6947431.6914753905"/>
    <n v="187141.33139181099"/>
    <n v="16148647.9393778"/>
  </r>
  <r>
    <x v="10"/>
    <x v="12"/>
    <s v="ENEMDU"/>
    <n v="13.18162727355957"/>
    <n v="15.04703330993652"/>
    <n v="42.586639404296882"/>
    <n v="27.972232818603519"/>
    <n v="1.212465643882751"/>
    <n v="2122856.41077042"/>
    <n v="2423273.8182697301"/>
    <n v="4504833.2544288598"/>
    <n v="6858434.25201225"/>
    <n v="195263.484207153"/>
    <n v="16404530.611703901"/>
  </r>
  <r>
    <x v="10"/>
    <x v="13"/>
    <s v="ENEMDU"/>
    <n v="13.3827657699585"/>
    <n v="15.158933639526371"/>
    <n v="43.524215698242188"/>
    <n v="26.922771453857418"/>
    <n v="1.0113149881362919"/>
    <n v="2205639.44774342"/>
    <n v="2498373.0584049202"/>
    <n v="4437193.8207368897"/>
    <n v="7173309.6579179801"/>
    <n v="166676.76633739501"/>
    <n v="16714928.9878569"/>
  </r>
  <r>
    <x v="10"/>
    <x v="14"/>
    <s v="ENEMDU"/>
    <n v="12.6421365737915"/>
    <n v="14.52404117584229"/>
    <n v="42.992527008056641"/>
    <n v="28.84212493896484"/>
    <n v="0.99917066097259521"/>
    <n v="2117216.3159217802"/>
    <n v="2432384.7661905298"/>
    <n v="4830276.9659357099"/>
    <n v="7200087.3883905401"/>
    <n v="167334.09640789"/>
    <n v="16961926.50389"/>
  </r>
  <r>
    <x v="10"/>
    <x v="15"/>
    <s v="ENEMDU"/>
    <n v="13.2944450378418"/>
    <n v="15.01742458343506"/>
    <n v="43.107555389404297"/>
    <n v="27.52277755737305"/>
    <n v="1.057797431945801"/>
    <n v="2248907.0976734199"/>
    <n v="2540368.9254851299"/>
    <n v="4655792.26684976"/>
    <n v="7292135.1489911098"/>
    <n v="178938.52595710801"/>
    <n v="17223542.011615999"/>
  </r>
  <r>
    <x v="10"/>
    <x v="16"/>
    <s v="ENEMDU"/>
    <n v="14.58908653259277"/>
    <n v="15.957821846008301"/>
    <n v="41.279407501220703"/>
    <n v="27.165594100952148"/>
    <n v="1.008087038993835"/>
    <n v="2504541.7585697202"/>
    <n v="2739515.5523424102"/>
    <n v="4663579.8048114805"/>
    <n v="7086530.3241834603"/>
    <n v="173060.59532928499"/>
    <n v="17454559.9956083"/>
  </r>
  <r>
    <x v="10"/>
    <x v="17"/>
    <s v="ENEMDU"/>
    <n v="20.180145263671879"/>
    <n v="17.766218185424801"/>
    <n v="40.1890869140625"/>
    <n v="20.971450805664059"/>
    <n v="0.89309978485107422"/>
    <n v="3508889.0758857699"/>
    <n v="3089159.7221736899"/>
    <n v="3646479.9123229999"/>
    <n v="6988010.0110874204"/>
    <n v="155290.66939353899"/>
    <n v="17695544.9899044"/>
  </r>
  <r>
    <x v="10"/>
    <x v="18"/>
    <s v="ENEMDU"/>
    <n v="14.99002838134766"/>
    <n v="17.49417877197266"/>
    <n v="41.557033538818359"/>
    <n v="24.790241241455082"/>
    <n v="1.168519973754883"/>
    <n v="2634790.6801147498"/>
    <n v="3074944.2721843701"/>
    <n v="4357369.7700367002"/>
    <n v="7304461.1553573599"/>
    <n v="205390.24163246201"/>
    <n v="17937815.019006699"/>
  </r>
  <r>
    <x v="10"/>
    <x v="19"/>
    <s v="ENEMDU"/>
    <n v="14.07956504821777"/>
    <n v="16.90212249755859"/>
    <n v="42.174228668212891"/>
    <n v="25.992034912109379"/>
    <n v="0.85204792022705078"/>
    <n v="2520057.2041130099"/>
    <n v="3025258.1605987502"/>
    <n v="4652233.1252241097"/>
    <n v="7548633.7599935504"/>
    <n v="152505.393774033"/>
    <n v="18183482.972761199"/>
  </r>
  <r>
    <x v="11"/>
    <x v="0"/>
    <s v="ENEI"/>
    <n v="31.92470741271973"/>
    <n v="14.7770938873291"/>
    <n v="31.60947227478027"/>
    <n v="20.5557861328125"/>
    <n v="1.1329420804977419"/>
    <n v="2226700"/>
    <n v="1030680"/>
    <n v="1433735"/>
    <n v="2204713"/>
    <n v="79021"/>
    <n v="9265804"/>
  </r>
  <r>
    <x v="11"/>
    <x v="1"/>
    <s v="ENEI"/>
    <n v="42.750816345214837"/>
    <n v="18.133790969848629"/>
    <n v="25.731307983398441"/>
    <n v="12.632743835449221"/>
    <n v="0.75134372711181641"/>
    <n v="4019916.56237602"/>
    <n v="1705144.7882747699"/>
    <n v="1187873.8601493801"/>
    <n v="2419549.54333591"/>
    <n v="70649.862897872896"/>
    <n v="12496064.0889511"/>
  </r>
  <r>
    <x v="11"/>
    <x v="3"/>
    <s v="ENCOVI"/>
    <n v="32.477008819580078"/>
    <n v="16.777177810668949"/>
    <n v="33.078353881835938"/>
    <n v="16.420364379882809"/>
    <n v="1.247094511985779"/>
    <n v="4185403.7902221698"/>
    <n v="2162122.3936157199"/>
    <n v="2116138.7998962398"/>
    <n v="4262900.8522643996"/>
    <n v="160716.592071533"/>
    <n v="12987828.9983215"/>
  </r>
  <r>
    <x v="11"/>
    <x v="7"/>
    <s v="ENEI"/>
    <n v="52.325172424316413"/>
    <n v="17.000375747680661"/>
    <n v="21.6969108581543"/>
    <n v="8.6646604537963867"/>
    <n v="0.31288355588912958"/>
    <n v="7033080"/>
    <n v="2285038"/>
    <n v="1164626"/>
    <n v="2916304"/>
    <n v="42055"/>
    <n v="14468094"/>
  </r>
  <r>
    <x v="11"/>
    <x v="8"/>
    <s v="ENEI"/>
    <n v="50.882720947265632"/>
    <n v="15.67674446105957"/>
    <n v="24.6759033203125"/>
    <n v="8.4416007995605469"/>
    <n v="0.32303294539451599"/>
    <n v="6353275.5637435904"/>
    <n v="1957416.5964355499"/>
    <n v="1054028.11841583"/>
    <n v="3081061.8735427898"/>
    <n v="40334.268310546897"/>
    <n v="14609124.975570699"/>
  </r>
  <r>
    <x v="11"/>
    <x v="9"/>
    <s v="ENEI"/>
    <n v="41.568264007568359"/>
    <n v="16.781803131103519"/>
    <n v="28.73579216003418"/>
    <n v="12.43524074554443"/>
    <n v="0.47889953851699829"/>
    <n v="6296960"/>
    <n v="2542188"/>
    <n v="1883750"/>
    <n v="4353036"/>
    <n v="72546"/>
    <n v="15168875"/>
  </r>
  <r>
    <x v="11"/>
    <x v="10"/>
    <s v="ENEI"/>
    <n v="37.114704132080078"/>
    <n v="19.215597152709961"/>
    <n v="31.199398040771481"/>
    <n v="12.00249195098877"/>
    <n v="0.46781092882156372"/>
    <n v="5786125"/>
    <n v="2995682"/>
    <n v="1871170"/>
    <n v="4863938"/>
    <n v="72931"/>
    <n v="15676682"/>
  </r>
  <r>
    <x v="11"/>
    <x v="11"/>
    <s v="ENEI"/>
    <n v="36.166351318359382"/>
    <n v="18.20998573303223"/>
    <n v="29.7943000793457"/>
    <n v="15.32267475128174"/>
    <n v="0.50669002532958984"/>
    <n v="5780734"/>
    <n v="2910636"/>
    <n v="2449136"/>
    <n v="4762242"/>
    <n v="80988"/>
    <n v="16077852"/>
  </r>
  <r>
    <x v="11"/>
    <x v="12"/>
    <s v="ENEI"/>
    <n v="33.821208953857422"/>
    <n v="19.99460411071777"/>
    <n v="31.894027709960941"/>
    <n v="13.92366313934326"/>
    <n v="0.3664928674697876"/>
    <n v="5504336"/>
    <n v="3254083"/>
    <n v="2266049"/>
    <n v="5190691"/>
    <n v="59646"/>
    <n v="16309282"/>
  </r>
  <r>
    <x v="11"/>
    <x v="13"/>
    <s v="ENEI"/>
    <n v="36.47344970703125"/>
    <n v="17.927999496459961"/>
    <n v="31.433559417724609"/>
    <n v="13.743953704833981"/>
    <n v="0.42103767395019531"/>
    <n v="6071550"/>
    <n v="2984383"/>
    <n v="2287886"/>
    <n v="5232585"/>
    <n v="70088"/>
    <n v="16678659"/>
  </r>
  <r>
    <x v="11"/>
    <x v="14"/>
    <s v="ENEI"/>
    <n v="36.468379974365227"/>
    <n v="18.550958633422852"/>
    <n v="30.405525207519531"/>
    <n v="14.2359676361084"/>
    <n v="0.33916983008384699"/>
    <n v="6123728"/>
    <n v="3115055"/>
    <n v="2390487"/>
    <n v="5105660"/>
    <n v="56953"/>
    <n v="16813274"/>
  </r>
  <r>
    <x v="11"/>
    <x v="15"/>
    <s v="ENEI"/>
    <n v="37.705657958984382"/>
    <n v="19.734224319458011"/>
    <n v="29.391628265380859"/>
    <n v="12.80094051361084"/>
    <n v="0.36754739284515381"/>
    <n v="6470893"/>
    <n v="3386708"/>
    <n v="2196846"/>
    <n v="5044073"/>
    <n v="63077"/>
    <n v="17190460"/>
  </r>
  <r>
    <x v="11"/>
    <x v="16"/>
    <s v="ENEI"/>
    <n v="35.945957183837891"/>
    <n v="20.19001388549805"/>
    <n v="30.3579216003418"/>
    <n v="13.067765235900881"/>
    <n v="0.43834015727043152"/>
    <n v="6291156"/>
    <n v="3533597"/>
    <n v="2287082"/>
    <n v="5313154"/>
    <n v="76717"/>
    <n v="17553214"/>
  </r>
  <r>
    <x v="11"/>
    <x v="18"/>
    <s v="ENEI"/>
    <n v="37.083316802978523"/>
    <n v="20.68605995178223"/>
    <n v="30.32961463928223"/>
    <n v="11.63055324554443"/>
    <n v="0.2704581618309021"/>
    <n v="6360532"/>
    <n v="3548074"/>
    <n v="1994873"/>
    <n v="5202137"/>
    <n v="46389"/>
    <n v="17207129"/>
  </r>
  <r>
    <x v="11"/>
    <x v="19"/>
    <s v="ENEI"/>
    <n v="35.165290832519531"/>
    <n v="18.647357940673832"/>
    <n v="31.308904647827148"/>
    <n v="14.363029479980471"/>
    <n v="0.51541680097579956"/>
    <n v="5803380"/>
    <n v="3077401"/>
    <n v="2370352"/>
    <n v="5166955"/>
    <n v="85060"/>
    <n v="17372881"/>
  </r>
  <r>
    <x v="12"/>
    <x v="14"/>
    <s v="LFS"/>
    <n v="27.490753173828129"/>
    <n v="17.945743560791019"/>
    <n v="36.301952362060547"/>
    <n v="17.472236633300781"/>
    <n v="0.78931522369384766"/>
    <n v="193677.87811756099"/>
    <n v="126431.365859032"/>
    <n v="123095.41934108701"/>
    <n v="255754.538229942"/>
    <n v="5560.8847837448102"/>
    <n v="758498.99869346595"/>
  </r>
  <r>
    <x v="12"/>
    <x v="15"/>
    <s v="LFS"/>
    <n v="29.046255111694339"/>
    <n v="18.165519714355469"/>
    <n v="37.316822052001953"/>
    <n v="14.934468269348139"/>
    <n v="0.53693443536758423"/>
    <n v="191345.39869308501"/>
    <n v="119667.361372948"/>
    <n v="98382.451427459702"/>
    <n v="245828.67691802999"/>
    <n v="3537.1146755218501"/>
    <n v="739471.93426418304"/>
  </r>
  <r>
    <x v="12"/>
    <x v="16"/>
    <s v="LFS"/>
    <n v="30.615865707397461"/>
    <n v="17.996454238891602"/>
    <n v="36.615242004394531"/>
    <n v="14.12249183654785"/>
    <n v="0.64994466304779053"/>
    <n v="187933.22211933101"/>
    <n v="110469.902623177"/>
    <n v="86689.873502731294"/>
    <n v="224759.96435260799"/>
    <n v="3989.6373023986798"/>
    <n v="744018.53438282001"/>
  </r>
  <r>
    <x v="12"/>
    <x v="18"/>
    <s v="LFS"/>
    <n v="30.095169067382809"/>
    <n v="16.780179977416989"/>
    <n v="37.502220153808587"/>
    <n v="15.09584808349609"/>
    <n v="0.52658224105834961"/>
    <n v="186240.96175193801"/>
    <n v="103842.471796036"/>
    <n v="93419.148094177202"/>
    <n v="232078.76742744399"/>
    <n v="3258.7016334533701"/>
    <n v="769931.03933906602"/>
  </r>
  <r>
    <x v="13"/>
    <x v="0"/>
    <s v="EPHPM"/>
    <n v="43.357471466064453"/>
    <n v="18.99089241027832"/>
    <n v="25.923421859741211"/>
    <n v="11.109420776367189"/>
    <n v="0.61879426240921021"/>
    <n v="2857651.8750987099"/>
    <n v="1251672.6160311699"/>
    <n v="732211.93771672202"/>
    <n v="1708589.4384172"/>
    <n v="40784.171196937597"/>
    <n v="6800935.46250486"/>
  </r>
  <r>
    <x v="13"/>
    <x v="1"/>
    <s v="EPHPM"/>
    <n v="47.253574371337891"/>
    <n v="16.433115005493161"/>
    <n v="23.67368316650391"/>
    <n v="11.99209022521973"/>
    <n v="0.6475365161895752"/>
    <n v="3189842.1508712801"/>
    <n v="1109313.8011589099"/>
    <n v="809523.40146255505"/>
    <n v="1598086.84138107"/>
    <n v="43711.809614181497"/>
    <n v="6999782.8447094001"/>
  </r>
  <r>
    <x v="13"/>
    <x v="2"/>
    <s v="EPHPM"/>
    <n v="45.237472534179688"/>
    <n v="16.40240478515625"/>
    <n v="25.143926620483398"/>
    <n v="12.319693565368651"/>
    <n v="0.89650368690490723"/>
    <n v="3153917.7597961398"/>
    <n v="1143561.5823669401"/>
    <n v="858918.51051330601"/>
    <n v="1753013.0466918901"/>
    <n v="62503.466308593801"/>
    <n v="7254088.7914733896"/>
  </r>
  <r>
    <x v="13"/>
    <x v="3"/>
    <s v="EPHPM"/>
    <n v="41.996662139892578"/>
    <n v="16.580715179443359"/>
    <n v="27.591396331787109"/>
    <n v="12.96242618560791"/>
    <n v="0.86879861354827881"/>
    <n v="2997254.4180374099"/>
    <n v="1183346.9088935901"/>
    <n v="925113.71828460705"/>
    <n v="1969166.5903587299"/>
    <n v="62005.171752929702"/>
    <n v="7415971.8806571998"/>
  </r>
  <r>
    <x v="13"/>
    <x v="4"/>
    <s v="EPHPM"/>
    <n v="37.364398956298828"/>
    <n v="16.691757202148441"/>
    <n v="29.967132568359379"/>
    <n v="15.1533317565918"/>
    <n v="0.82338124513626099"/>
    <n v="2748516.7615013099"/>
    <n v="1227841.8439331099"/>
    <n v="1114675.6838951099"/>
    <n v="2204375.4159774799"/>
    <n v="60567.743110656702"/>
    <n v="7585154.5603866596"/>
  </r>
  <r>
    <x v="13"/>
    <x v="5"/>
    <s v="EPHPM"/>
    <n v="33.635871887207031"/>
    <n v="18.95635986328125"/>
    <n v="31.468524932861332"/>
    <n v="15.08543014526367"/>
    <n v="0.85381102561950684"/>
    <n v="2509786.4062118498"/>
    <n v="1414454.58126068"/>
    <n v="1125619.8829574599"/>
    <n v="2348066.8533172598"/>
    <n v="63708.2686538696"/>
    <n v="7748230.0978774996"/>
  </r>
  <r>
    <x v="13"/>
    <x v="6"/>
    <s v="EPHPM"/>
    <n v="33.5762939453125"/>
    <n v="17.78608322143555"/>
    <n v="31.916172027587891"/>
    <n v="16.081375122070309"/>
    <n v="0.64007925987243652"/>
    <n v="2574732.97692871"/>
    <n v="1363891.2751007101"/>
    <n v="1233169.00371552"/>
    <n v="2447429.6064910898"/>
    <n v="49083.2403640747"/>
    <n v="7912982.54237366"/>
  </r>
  <r>
    <x v="13"/>
    <x v="7"/>
    <s v="EPHPM"/>
    <n v="36.291343688964837"/>
    <n v="18.25330924987793"/>
    <n v="29.445060729980469"/>
    <n v="15.19481372833252"/>
    <n v="0.81547254323959351"/>
    <n v="2834022.0370178199"/>
    <n v="1425416.53242493"/>
    <n v="1186576.11528015"/>
    <n v="2299390.1790008498"/>
    <n v="63680.953292846702"/>
    <n v="8041654.2415008498"/>
  </r>
  <r>
    <x v="13"/>
    <x v="8"/>
    <s v="EPHPM"/>
    <n v="38.587127685546882"/>
    <n v="18.55600547790527"/>
    <n v="28.744510650634769"/>
    <n v="13.3066520690918"/>
    <n v="0.80570310354232788"/>
    <n v="3063030.77424622"/>
    <n v="1472968.23974609"/>
    <n v="1056276.6416168199"/>
    <n v="2281727.64422607"/>
    <n v="63956.3879241943"/>
    <n v="8218755.0334014902"/>
  </r>
  <r>
    <x v="13"/>
    <x v="9"/>
    <s v="EPHPM"/>
    <n v="43.847217559814453"/>
    <n v="18.187421798706051"/>
    <n v="26.382673263549801"/>
    <n v="10.926749229431151"/>
    <n v="0.65593969821929932"/>
    <n v="3538938.9967346201"/>
    <n v="1467919.3096618699"/>
    <n v="881905.37411499"/>
    <n v="2129363.5147705101"/>
    <n v="52941.342315673799"/>
    <n v="8303399.2579956101"/>
  </r>
  <r>
    <x v="13"/>
    <x v="10"/>
    <s v="EPHPM"/>
    <n v="40.749618530273438"/>
    <n v="19.290254592895511"/>
    <n v="28.04293251037598"/>
    <n v="11.32446193695068"/>
    <n v="0.59273183345794678"/>
    <n v="3370217.8393554701"/>
    <n v="1595410.31263733"/>
    <n v="936595.33624267601"/>
    <n v="2319305.0337371798"/>
    <n v="49022.186874389598"/>
    <n v="8535691.5024566706"/>
  </r>
  <r>
    <x v="13"/>
    <x v="11"/>
    <s v="EPHPM"/>
    <n v="35.960578918457031"/>
    <n v="19.83022308349609"/>
    <n v="30.83901405334473"/>
    <n v="12.91817474365234"/>
    <n v="0.45201224088668818"/>
    <n v="2895750.2108612098"/>
    <n v="1596842.2315216099"/>
    <n v="1040244.8028717"/>
    <n v="2483332.7354888902"/>
    <n v="36398.596527099602"/>
    <n v="8308416.9132232703"/>
  </r>
  <r>
    <x v="13"/>
    <x v="12"/>
    <s v="EPHPM"/>
    <n v="36.526371002197273"/>
    <n v="18.897665023803711"/>
    <n v="31.925699234008789"/>
    <n v="12.336165428161619"/>
    <n v="0.31410014629364008"/>
    <n v="3031978.5563354502"/>
    <n v="1568656.0656433101"/>
    <n v="1023999.5798034701"/>
    <n v="2650086.1753082299"/>
    <n v="26072.801956176801"/>
    <n v="8570153.49926758"/>
  </r>
  <r>
    <x v="13"/>
    <x v="13"/>
    <s v="EPHPM"/>
    <n v="35.803943634033203"/>
    <n v="17.569879531860352"/>
    <n v="32.617687225341797"/>
    <n v="13.601809501647949"/>
    <n v="0.40668076276779169"/>
    <n v="3026206.4118652302"/>
    <n v="1485034.07479858"/>
    <n v="1149646.6595916699"/>
    <n v="2756898.8461608901"/>
    <n v="34373.3046264648"/>
    <n v="8714641.6778106708"/>
  </r>
  <r>
    <x v="13"/>
    <x v="14"/>
    <s v="EPHPM"/>
    <n v="37.913703918457031"/>
    <n v="18.625698089599609"/>
    <n v="30.844306945800781"/>
    <n v="12.2984504699707"/>
    <n v="0.31784301996231079"/>
    <n v="3258060.37663269"/>
    <n v="1600572.94146729"/>
    <n v="1056849.94413757"/>
    <n v="2650561.71807861"/>
    <n v="27313.391021728501"/>
    <n v="8859980.0251312293"/>
  </r>
  <r>
    <x v="13"/>
    <x v="15"/>
    <s v="EPHPM"/>
    <n v="37.924839019775391"/>
    <n v="18.10594367980957"/>
    <n v="30.644039154052731"/>
    <n v="12.849184989929199"/>
    <n v="0.47599473595619202"/>
    <n v="3279874.3692779499"/>
    <n v="1565866.1110534701"/>
    <n v="1111243.0695342999"/>
    <n v="2650205.1038055401"/>
    <n v="41165.7090454102"/>
    <n v="9023838.0598907508"/>
  </r>
  <r>
    <x v="13"/>
    <x v="16"/>
    <s v="EPHPM"/>
    <n v="40.106243133544922"/>
    <n v="17.302227020263668"/>
    <n v="29.988639831542969"/>
    <n v="12.14588069915771"/>
    <n v="0.45700874924659729"/>
    <n v="3414855.9678993202"/>
    <n v="1473202.3699836701"/>
    <n v="1034163.9773368801"/>
    <n v="2553390.1664962801"/>
    <n v="38912.120647430398"/>
    <n v="8982988.1067733802"/>
  </r>
  <r>
    <x v="13"/>
    <x v="20"/>
    <s v="EPHPM"/>
    <n v="36.770912170410163"/>
    <n v="18.651859283447269"/>
    <n v="31.015815734863281"/>
    <n v="13.3341817855835"/>
    <n v="0.22723065316677091"/>
    <n v="3398208.4919738802"/>
    <n v="1723724.0951232901"/>
    <n v="1232287.3836669901"/>
    <n v="2866347.3126983601"/>
    <n v="20999.673400878899"/>
    <n v="9744744.4627990704"/>
  </r>
  <r>
    <x v="14"/>
    <x v="0"/>
    <s v="LFS"/>
    <m/>
    <n v="100"/>
    <m/>
    <m/>
    <m/>
    <m/>
    <n v="217.40674209594701"/>
    <m/>
    <m/>
    <m/>
    <n v="5417.0060997009296"/>
  </r>
  <r>
    <x v="14"/>
    <x v="1"/>
    <s v="LFS"/>
    <n v="41.435615539550781"/>
    <n v="23.698226928710941"/>
    <n v="24.455141067504879"/>
    <n v="9.7667627334594727"/>
    <n v="0.64425337314605713"/>
    <n v="325302.57032012899"/>
    <n v="186049.94288253799"/>
    <n v="76676.860778808594"/>
    <n v="191992.31238555899"/>
    <n v="5057.9017791748001"/>
    <n v="2713000.9996299702"/>
  </r>
  <r>
    <x v="14"/>
    <x v="2"/>
    <s v="LFS"/>
    <n v="26.734224319458011"/>
    <n v="19.1706428527832"/>
    <n v="34.455810546875"/>
    <n v="18.575395584106449"/>
    <n v="1.063926219940186"/>
    <n v="412299.79163360602"/>
    <n v="295652.941017151"/>
    <n v="286472.92944908101"/>
    <n v="531383.44845581101"/>
    <n v="16408.053707122799"/>
    <n v="2736513.0003814702"/>
  </r>
  <r>
    <x v="14"/>
    <x v="3"/>
    <s v="LFS"/>
    <n v="23.122091293334961"/>
    <n v="16.9876594543457"/>
    <n v="38.093856811523438"/>
    <n v="20.917852401733398"/>
    <n v="0.87854218482971191"/>
    <n v="391820.70823669399"/>
    <n v="287868.28565788298"/>
    <n v="354468.27125740098"/>
    <n v="645528.17172241199"/>
    <n v="14887.538059234599"/>
    <n v="2759614.0003948198"/>
  </r>
  <r>
    <x v="14"/>
    <x v="4"/>
    <s v="LFS"/>
    <n v="50.281196594238281"/>
    <n v="18.231321334838871"/>
    <n v="20.933547973632809"/>
    <n v="10.21808528900146"/>
    <n v="0.33584624528884888"/>
    <n v="348492.15354919399"/>
    <n v="126358.80960464499"/>
    <n v="70820.160228729204"/>
    <n v="145087.577436447"/>
    <n v="2327.70459747314"/>
    <n v="2782221.0015125298"/>
  </r>
  <r>
    <x v="14"/>
    <x v="5"/>
    <s v="LFS"/>
    <n v="46.646015167236328"/>
    <n v="16.937387466430661"/>
    <n v="24.927946090698239"/>
    <n v="10.559083938598629"/>
    <n v="0.92957091331481934"/>
    <n v="703767.99322509801"/>
    <n v="255541.48034668001"/>
    <n v="159309.32649612401"/>
    <n v="376098.387992859"/>
    <n v="14024.827190399201"/>
    <n v="2684681.99536133"/>
  </r>
  <r>
    <x v="14"/>
    <x v="6"/>
    <s v="LFS"/>
    <n v="73.65960693359375"/>
    <n v="11.42033100128174"/>
    <n v="11.64299488067627"/>
    <n v="3.013206958770752"/>
    <n v="0.26385700702667242"/>
    <n v="501382.08775329601"/>
    <n v="77735.267696380601"/>
    <n v="20510.127452850302"/>
    <n v="79250.878795623794"/>
    <n v="1796.0069885253899"/>
    <n v="2693970.00054741"/>
  </r>
  <r>
    <x v="14"/>
    <x v="7"/>
    <s v="LFS"/>
    <n v="49.645416259765632"/>
    <n v="20.05839729309082"/>
    <n v="22.017459869384769"/>
    <n v="8.0848541259765625"/>
    <n v="0.19387564063072199"/>
    <n v="616144.39789199806"/>
    <n v="248942.81163787801"/>
    <n v="100340.332263947"/>
    <n v="273256.53469467198"/>
    <n v="2406.1717681884802"/>
    <n v="2700114.0056400299"/>
  </r>
  <r>
    <x v="14"/>
    <x v="9"/>
    <s v="LFS"/>
    <n v="54.248546600341797"/>
    <n v="16.634771347045898"/>
    <n v="20.826204299926761"/>
    <n v="8.1086597442626953"/>
    <n v="0.18181489408016199"/>
    <n v="677538.77868270897"/>
    <n v="207760.452850342"/>
    <n v="101273.33647537199"/>
    <n v="260109.47241592401"/>
    <n v="2270.7823791503902"/>
    <n v="2710202.9745006599"/>
  </r>
  <r>
    <x v="14"/>
    <x v="10"/>
    <s v="LFS"/>
    <n v="55.362216949462891"/>
    <n v="16.315006256103519"/>
    <n v="20.260906219482418"/>
    <n v="7.7450709342956543"/>
    <n v="0.31679859757423401"/>
    <n v="651862.71120071399"/>
    <n v="192101.12608337399"/>
    <n v="91194.374549865694"/>
    <n v="238562.148296356"/>
    <n v="3730.1465759277298"/>
    <n v="2713313.0081138602"/>
  </r>
  <r>
    <x v="14"/>
    <x v="11"/>
    <s v="LFS"/>
    <n v="57.384223937988281"/>
    <n v="15.79684638977051"/>
    <n v="16.67045783996582"/>
    <n v="9.8045635223388672"/>
    <n v="0.34391236305236822"/>
    <n v="693549.12774276698"/>
    <n v="190921.63525772101"/>
    <n v="118498.537246704"/>
    <n v="201480.15470504799"/>
    <n v="4156.5456161498996"/>
    <n v="2719619.7452201801"/>
  </r>
  <r>
    <x v="14"/>
    <x v="13"/>
    <s v="LFS"/>
    <n v="53.023029327392578"/>
    <n v="18.887947082519531"/>
    <n v="19.854312896728519"/>
    <n v="8.1066083908081055"/>
    <n v="0.12810344994068151"/>
    <n v="585960.69236755394"/>
    <n v="208731.86124420201"/>
    <n v="89586.614509582505"/>
    <n v="219411.219608307"/>
    <n v="1415.67893218994"/>
    <n v="2728906.9962234502"/>
  </r>
  <r>
    <x v="14"/>
    <x v="16"/>
    <s v="LFS"/>
    <m/>
    <m/>
    <m/>
    <m/>
    <m/>
    <m/>
    <m/>
    <m/>
    <m/>
    <m/>
    <n v="2727553.4627342201"/>
  </r>
  <r>
    <x v="14"/>
    <x v="17"/>
    <s v="LFS"/>
    <m/>
    <m/>
    <m/>
    <m/>
    <m/>
    <m/>
    <m/>
    <m/>
    <m/>
    <m/>
    <n v="2727078.3382377601"/>
  </r>
  <r>
    <x v="15"/>
    <x v="1"/>
    <s v="ENIGH"/>
    <n v="20.42608642578125"/>
    <n v="20.559732437133789"/>
    <n v="38.693321228027337"/>
    <n v="19.2747688293457"/>
    <n v="1.046091556549072"/>
    <n v="20953925"/>
    <n v="21091025"/>
    <n v="19772856"/>
    <n v="39693209"/>
    <n v="1073124"/>
    <n v="103241293"/>
  </r>
  <r>
    <x v="15"/>
    <x v="2"/>
    <s v="ENIGH"/>
    <n v="21.205144882202148"/>
    <n v="18.581110000610352"/>
    <n v="39.205574035644531"/>
    <n v="19.904245376586911"/>
    <n v="1.1039232015609739"/>
    <n v="21942263"/>
    <n v="19227014"/>
    <n v="20596143"/>
    <n v="40568412"/>
    <n v="1142297"/>
    <n v="104178867"/>
  </r>
  <r>
    <x v="15"/>
    <x v="3"/>
    <s v="ENIGH"/>
    <n v="16.94674110412598"/>
    <n v="18.123445510864261"/>
    <n v="41.3363037109375"/>
    <n v="22.114971160888668"/>
    <n v="1.4785376787185669"/>
    <n v="17695742"/>
    <n v="18924453"/>
    <n v="23092394"/>
    <n v="43163258"/>
    <n v="1543885"/>
    <n v="105044520"/>
  </r>
  <r>
    <x v="15"/>
    <x v="5"/>
    <s v="ENIGH"/>
    <n v="19.722103118896481"/>
    <n v="18.021440505981449"/>
    <n v="38.529853820800781"/>
    <n v="22.289463043212891"/>
    <n v="1.437141418457031"/>
    <n v="21942668"/>
    <n v="20050522"/>
    <n v="24799091"/>
    <n v="42868029"/>
    <n v="1598953"/>
    <n v="111760640"/>
  </r>
  <r>
    <x v="15"/>
    <x v="7"/>
    <s v="ENIGH"/>
    <n v="20.41583251953125"/>
    <n v="19.915048599243161"/>
    <n v="39.239509582519531"/>
    <n v="19.488157272338871"/>
    <n v="0.94145143032073975"/>
    <n v="23256686"/>
    <n v="22686220"/>
    <n v="22199926"/>
    <n v="44699673"/>
    <n v="1072454"/>
    <n v="114700757"/>
  </r>
  <r>
    <x v="15"/>
    <x v="9"/>
    <s v="ENIGH"/>
    <n v="19.528644561767582"/>
    <n v="18.9006462097168"/>
    <n v="39.246025085449219"/>
    <n v="20.93746376037598"/>
    <n v="1.387221217155457"/>
    <n v="22756237"/>
    <n v="22024448"/>
    <n v="24397900"/>
    <n v="45732407"/>
    <n v="1616494"/>
    <n v="117449649"/>
  </r>
  <r>
    <x v="15"/>
    <x v="11"/>
    <s v="ENIGH"/>
    <n v="17.427690505981449"/>
    <n v="20.374544143676761"/>
    <n v="40.83453369140625"/>
    <n v="19.90834999084473"/>
    <n v="1.454882740974426"/>
    <n v="20825301"/>
    <n v="24346658"/>
    <n v="23789577"/>
    <n v="48795421"/>
    <n v="1738519"/>
    <n v="120089882"/>
  </r>
  <r>
    <x v="15"/>
    <x v="13"/>
    <s v="ENIGH"/>
    <n v="12.440018653869631"/>
    <n v="16.606313705444339"/>
    <n v="44.258777618408203"/>
    <n v="25.18498611450195"/>
    <n v="1.5099029541015629"/>
    <n v="15193256"/>
    <n v="20281638"/>
    <n v="30758949"/>
    <n v="54054175"/>
    <n v="1844076"/>
    <n v="122760869"/>
  </r>
  <r>
    <x v="15"/>
    <x v="15"/>
    <s v="ENIGH"/>
    <n v="11.17940616607666"/>
    <n v="15.770194053649901"/>
    <n v="45.422531127929688"/>
    <n v="26.224485397338871"/>
    <n v="1.403385281562805"/>
    <n v="13921828"/>
    <n v="19638782"/>
    <n v="32657617"/>
    <n v="56565138"/>
    <n v="1747650"/>
    <n v="125189618"/>
  </r>
  <r>
    <x v="15"/>
    <x v="17"/>
    <s v="ENIGH"/>
    <n v="13.492470741271971"/>
    <n v="17.13117790222168"/>
    <n v="43.418716430664063"/>
    <n v="24.803056716918949"/>
    <n v="1.1545765399932859"/>
    <n v="17017407"/>
    <n v="21606734"/>
    <n v="31282908"/>
    <n v="54761946"/>
    <n v="1456212"/>
    <n v="126838467"/>
  </r>
  <r>
    <x v="16"/>
    <x v="2"/>
    <s v="EMNV"/>
    <n v="45.163490295410163"/>
    <n v="20.367141723632809"/>
    <n v="26.317192077636719"/>
    <n v="7.6499128341674796"/>
    <n v="0.50226128101348877"/>
    <n v="2291478.0732355099"/>
    <n v="1033375.8569211999"/>
    <n v="388136.68206691701"/>
    <n v="1335265.7871933"/>
    <n v="25483.431823730501"/>
    <n v="6008999.2322998"/>
  </r>
  <r>
    <x v="16"/>
    <x v="6"/>
    <s v="EMNV"/>
    <n v="41.487712860107422"/>
    <n v="21.373996734619141"/>
    <n v="28.734615325927731"/>
    <n v="8.0216360092163086"/>
    <n v="0.38204047083854681"/>
    <n v="2253696.6214885698"/>
    <n v="1161078.88897896"/>
    <n v="435751.535312653"/>
    <n v="1560922.6940336199"/>
    <n v="20753.212882995598"/>
    <n v="5736248.5073804902"/>
  </r>
  <r>
    <x v="16"/>
    <x v="7"/>
    <s v="ECH"/>
    <n v="35.061046600341797"/>
    <n v="24.63046836853027"/>
    <n v="31.253952026367191"/>
    <n v="8.7493114471435547"/>
    <n v="0.30521968007087708"/>
    <n v="2022131.5374908401"/>
    <n v="1420552.21701431"/>
    <n v="504612.95820617699"/>
    <n v="1802558.9467392"/>
    <n v="17603.4189147949"/>
    <n v="5824340.0026817303"/>
  </r>
  <r>
    <x v="16"/>
    <x v="8"/>
    <s v="ECH"/>
    <n v="31.86544227600098"/>
    <n v="24.8259162902832"/>
    <n v="32.922492980957031"/>
    <n v="10.09846115112305"/>
    <n v="0.28768900036811829"/>
    <n v="1861630.8129119901"/>
    <n v="1450370.2853546101"/>
    <n v="589968.49306869495"/>
    <n v="1923385.31494522"/>
    <n v="16807.259063720699"/>
    <n v="5897806.0045356797"/>
  </r>
  <r>
    <x v="16"/>
    <x v="9"/>
    <s v="ECH"/>
    <n v="29.367706298828129"/>
    <n v="23.011495590209961"/>
    <n v="36.335700988769531"/>
    <n v="10.90583419799805"/>
    <n v="0.37926292419433588"/>
    <n v="1769952.9114952099"/>
    <n v="1386872.49882889"/>
    <n v="657280.24832534802"/>
    <n v="2189904.84228516"/>
    <n v="22857.6756973267"/>
    <n v="6078631.9958076496"/>
  </r>
  <r>
    <x v="16"/>
    <x v="11"/>
    <s v="EMNV"/>
    <n v="30.053598403930661"/>
    <n v="20.682804107666019"/>
    <n v="35.728244781494141"/>
    <n v="12.66737747192383"/>
    <n v="0.86797410249710083"/>
    <n v="1783675.8111410099"/>
    <n v="1227520.80372357"/>
    <n v="751806.60147857701"/>
    <n v="2120465.0837109098"/>
    <n v="51514.109104156501"/>
    <n v="6240907.8596110297"/>
  </r>
  <r>
    <x v="17"/>
    <x v="0"/>
    <s v="EH"/>
    <n v="21.998605728149411"/>
    <n v="13.6907901763916"/>
    <n v="32.845577239990227"/>
    <n v="28.599761962890629"/>
    <n v="2.8652622699737549"/>
    <n v="661702"/>
    <n v="411809"/>
    <n v="860260"/>
    <n v="987971"/>
    <n v="86185"/>
    <n v="3056899"/>
  </r>
  <r>
    <x v="17"/>
    <x v="1"/>
    <s v="EH"/>
    <n v="21.795700073242191"/>
    <n v="13.396562576293951"/>
    <n v="32.602699279785163"/>
    <n v="29.202497482299801"/>
    <n v="3.0025403499603271"/>
    <n v="664671"/>
    <n v="408535"/>
    <n v="890545"/>
    <n v="994236"/>
    <n v="91564"/>
    <n v="3109379"/>
  </r>
  <r>
    <x v="17"/>
    <x v="2"/>
    <s v="EH"/>
    <n v="21.950811386108398"/>
    <n v="13.519631385803221"/>
    <n v="32.378974914550781"/>
    <n v="29.492973327636719"/>
    <n v="2.657606840133667"/>
    <n v="685449"/>
    <n v="422172"/>
    <n v="920965"/>
    <n v="1011085"/>
    <n v="82988"/>
    <n v="3183605"/>
  </r>
  <r>
    <x v="17"/>
    <x v="3"/>
    <s v="EH"/>
    <n v="21.410114288330082"/>
    <n v="13.221476554870611"/>
    <n v="33.359779357910163"/>
    <n v="29.21098518371582"/>
    <n v="2.7976422309875488"/>
    <n v="681117"/>
    <n v="420613"/>
    <n v="929285"/>
    <n v="1061270"/>
    <n v="89001"/>
    <n v="3238450"/>
  </r>
  <r>
    <x v="17"/>
    <x v="4"/>
    <s v="EH"/>
    <n v="18.662240982055661"/>
    <n v="12.397670745849609"/>
    <n v="34.140499114990227"/>
    <n v="31.959482192993161"/>
    <n v="2.840110063552856"/>
    <n v="608970"/>
    <n v="404550"/>
    <n v="1042874"/>
    <n v="1114043"/>
    <n v="92676"/>
    <n v="3293239"/>
  </r>
  <r>
    <x v="17"/>
    <x v="5"/>
    <s v="EH"/>
    <n v="18.254377365112301"/>
    <n v="11.00737857818604"/>
    <n v="33.898975372314453"/>
    <n v="33.972835540771477"/>
    <n v="2.866432905197144"/>
    <n v="599858"/>
    <n v="361714"/>
    <n v="1116383"/>
    <n v="1113956"/>
    <n v="94194"/>
    <n v="3347904"/>
  </r>
  <r>
    <x v="17"/>
    <x v="6"/>
    <s v="EH"/>
    <n v="16.73192024230957"/>
    <n v="11.492081642150881"/>
    <n v="34.826583862304688"/>
    <n v="34.026729583740227"/>
    <n v="2.9226832389831539"/>
    <n v="560789"/>
    <n v="385170"/>
    <n v="1140444"/>
    <n v="1167252"/>
    <n v="97957"/>
    <n v="3402243"/>
  </r>
  <r>
    <x v="17"/>
    <x v="7"/>
    <s v="EH"/>
    <n v="16.285737991333011"/>
    <n v="9.9277286529541016"/>
    <n v="34.66156005859375"/>
    <n v="35.999794006347663"/>
    <n v="3.1251742839813228"/>
    <n v="548348"/>
    <n v="334271"/>
    <n v="1212129"/>
    <n v="1167070"/>
    <n v="105226"/>
    <n v="3413381"/>
  </r>
  <r>
    <x v="17"/>
    <x v="8"/>
    <s v="EHPM"/>
    <n v="14.4019889831543"/>
    <n v="10.85994720458984"/>
    <n v="36.968341827392578"/>
    <n v="35.170600891113281"/>
    <n v="2.5991208553314209"/>
    <n v="496139"/>
    <n v="374118"/>
    <n v="1211604"/>
    <n v="1273535"/>
    <n v="89538"/>
    <n v="3491457"/>
  </r>
  <r>
    <x v="17"/>
    <x v="9"/>
    <s v="EHPM"/>
    <n v="11.336173057556151"/>
    <n v="9.9304876327514648"/>
    <n v="33.6300048828125"/>
    <n v="41.176193237304688"/>
    <n v="3.9271421432495122"/>
    <n v="412758"/>
    <n v="361576"/>
    <n v="1499254"/>
    <n v="1224492"/>
    <n v="142990"/>
    <n v="3676519"/>
  </r>
  <r>
    <x v="17"/>
    <x v="10"/>
    <s v="EHPM"/>
    <n v="12.387502670288089"/>
    <n v="9.5639066696166992"/>
    <n v="33.967384338378913"/>
    <n v="40.360633850097663"/>
    <n v="3.72057032585144"/>
    <n v="457688"/>
    <n v="353363"/>
    <n v="1491227"/>
    <n v="1255012"/>
    <n v="137466"/>
    <n v="3754362"/>
  </r>
  <r>
    <x v="17"/>
    <x v="11"/>
    <s v="EHPM"/>
    <n v="11.177858352661129"/>
    <n v="8.6860523223876953"/>
    <n v="32.619243621826172"/>
    <n v="44.027606964111328"/>
    <n v="3.4892385005950932"/>
    <n v="419274"/>
    <n v="325808"/>
    <n v="1651446"/>
    <n v="1223526"/>
    <n v="130879"/>
    <n v="3821452"/>
  </r>
  <r>
    <x v="17"/>
    <x v="12"/>
    <s v="EHPM"/>
    <n v="11.54407787322998"/>
    <n v="8.616215705871582"/>
    <n v="30.51290130615234"/>
    <n v="45.646862030029297"/>
    <n v="3.6799430847167969"/>
    <n v="442465"/>
    <n v="330245"/>
    <n v="1749567"/>
    <n v="1169508"/>
    <n v="141046"/>
    <n v="3894765"/>
  </r>
  <r>
    <x v="17"/>
    <x v="13"/>
    <s v="EHPM"/>
    <n v="9.7546300888061523"/>
    <n v="7.9352936744689941"/>
    <n v="30.062433242797852"/>
    <n v="47.970806121826172"/>
    <n v="4.2768383026123047"/>
    <n v="382151"/>
    <n v="310876"/>
    <n v="1879322"/>
    <n v="1177737"/>
    <n v="167551"/>
    <n v="3978117"/>
  </r>
  <r>
    <x v="17"/>
    <x v="14"/>
    <s v="EHPM"/>
    <n v="9.3945789337158203"/>
    <n v="7.6518840789794922"/>
    <n v="30.016523361206051"/>
    <n v="48.203117370605469"/>
    <n v="4.7338967323303223"/>
    <n v="374043"/>
    <n v="304658"/>
    <n v="1919196"/>
    <n v="1195101"/>
    <n v="188479"/>
    <n v="4050033"/>
  </r>
  <r>
    <x v="17"/>
    <x v="15"/>
    <s v="EHPM"/>
    <n v="9.5784540176391602"/>
    <n v="6.8351902961730957"/>
    <n v="29.086940765380859"/>
    <n v="49.046607971191413"/>
    <n v="5.4528045654296884"/>
    <n v="389697"/>
    <n v="278088"/>
    <n v="1995449"/>
    <n v="1183395"/>
    <n v="221846"/>
    <n v="4128681"/>
  </r>
  <r>
    <x v="17"/>
    <x v="16"/>
    <s v="EHPM"/>
    <n v="9.7022390365600586"/>
    <n v="6.7567834854125977"/>
    <n v="28.160917282104489"/>
    <n v="49.283073425292969"/>
    <n v="6.0969886779785156"/>
    <n v="400092"/>
    <n v="278630"/>
    <n v="2032290"/>
    <n v="1161274"/>
    <n v="251422"/>
    <n v="4199236"/>
  </r>
  <r>
    <x v="17"/>
    <x v="19"/>
    <s v="EHPM"/>
    <n v="10.51132297515869"/>
    <n v="7.6252713203430176"/>
    <n v="31.496793746948239"/>
    <n v="45.690479278564453"/>
    <n v="4.6761317253112793"/>
    <n v="460851"/>
    <n v="334317"/>
    <n v="2003221"/>
    <n v="1380923"/>
    <n v="205017"/>
    <n v="4447596"/>
  </r>
  <r>
    <x v="18"/>
    <x v="0"/>
    <s v="ENAHO"/>
    <n v="29.823457717895511"/>
    <n v="19.528596878051761"/>
    <n v="33.698966979980469"/>
    <n v="15.563167572021481"/>
    <n v="1.3858098983764651"/>
    <n v="8031597.3538379697"/>
    <n v="5259142.9860248603"/>
    <n v="4191234.4404621101"/>
    <n v="9075290.8609008808"/>
    <n v="373205.12145233201"/>
    <n v="27753562.281660099"/>
  </r>
  <r>
    <x v="18"/>
    <x v="1"/>
    <s v="ENAHO"/>
    <n v="30.34487152099609"/>
    <n v="18.84700775146484"/>
    <n v="35.044315338134773"/>
    <n v="14.978349685668951"/>
    <n v="0.78545713424682617"/>
    <n v="8335375.4065094003"/>
    <n v="5177049.3238410903"/>
    <n v="4114374.79236412"/>
    <n v="9626256.7843170203"/>
    <n v="215755.739688873"/>
    <n v="28382368.158327099"/>
  </r>
  <r>
    <x v="18"/>
    <x v="2"/>
    <s v="ENAHO"/>
    <n v="32.994579315185547"/>
    <n v="19.048976898193359"/>
    <n v="33.861370086669922"/>
    <n v="13.26636409759521"/>
    <n v="0.82871246337890625"/>
    <n v="9160687.3221940994"/>
    <n v="5288799.85284233"/>
    <n v="3683302.1683282899"/>
    <n v="9401344.6648197193"/>
    <n v="230085.54909419999"/>
    <n v="28690901.208372101"/>
  </r>
  <r>
    <x v="18"/>
    <x v="3"/>
    <s v="ENAHO"/>
    <n v="30.25068283081055"/>
    <n v="18.250856399536129"/>
    <n v="34.531982421875"/>
    <n v="16.173944473266602"/>
    <n v="0.79253727197647095"/>
    <n v="8563451.7829456292"/>
    <n v="5166505.5855255099"/>
    <n v="4578567.6466560401"/>
    <n v="9775414.1452007294"/>
    <n v="224353.769920349"/>
    <n v="29236538.521587402"/>
  </r>
  <r>
    <x v="18"/>
    <x v="4"/>
    <s v="ENAHO"/>
    <n v="24.16429328918457"/>
    <n v="16.188541412353519"/>
    <n v="37.175865173339837"/>
    <n v="21.332155227661129"/>
    <n v="1.139145493507385"/>
    <n v="6875560.0894722901"/>
    <n v="4606188.3034882499"/>
    <n v="6069720.5522568198"/>
    <n v="10577792.2295532"/>
    <n v="324125.48040389997"/>
    <n v="29434487.001244999"/>
  </r>
  <r>
    <x v="18"/>
    <x v="5"/>
    <s v="ENAHO"/>
    <n v="20.763992309570309"/>
    <n v="15.68081569671631"/>
    <n v="38.701839447021477"/>
    <n v="23.8468017578125"/>
    <n v="1.006550788879395"/>
    <n v="6042327.5384731302"/>
    <n v="4563121.4453492202"/>
    <n v="6939426.1123861102"/>
    <n v="11262246.3771448"/>
    <n v="292906.571380615"/>
    <n v="29979715.696387202"/>
  </r>
  <r>
    <x v="18"/>
    <x v="6"/>
    <s v="ENAHO"/>
    <n v="14.57886219024658"/>
    <n v="13.8523416519165"/>
    <n v="37.052028656005859"/>
    <n v="32.74249267578125"/>
    <n v="1.7742713689804079"/>
    <n v="4294427.5614839802"/>
    <n v="4080419.6923092599"/>
    <n v="9644804.1313207094"/>
    <n v="10914244.122378699"/>
    <n v="522638.853645325"/>
    <n v="30330019.313418001"/>
  </r>
  <r>
    <x v="18"/>
    <x v="7"/>
    <s v="ENAHO"/>
    <n v="12.65718460083008"/>
    <n v="12.383623123168951"/>
    <n v="38.118862152099609"/>
    <n v="35.287918090820313"/>
    <n v="1.552408814430237"/>
    <n v="3792530.3621249199"/>
    <n v="3710561.76210737"/>
    <n v="10573480.9512897"/>
    <n v="11421728.988952201"/>
    <n v="465155.36233902001"/>
    <n v="30777183.580204699"/>
  </r>
  <r>
    <x v="18"/>
    <x v="8"/>
    <s v="ENAHO"/>
    <n v="14.54866981506348"/>
    <n v="14.380205154418951"/>
    <n v="41.379501342773438"/>
    <n v="28.39359283447266"/>
    <n v="1.29803478717804"/>
    <n v="4405468.1075744601"/>
    <n v="4354455.3492374402"/>
    <n v="8597835.5560150109"/>
    <n v="12530084.7765388"/>
    <n v="393056.64657592803"/>
    <n v="30974349.593172099"/>
  </r>
  <r>
    <x v="18"/>
    <x v="9"/>
    <s v="ENAHO"/>
    <n v="13.49451351165771"/>
    <n v="13.01988410949707"/>
    <n v="41.177188873291023"/>
    <n v="31.165092468261719"/>
    <n v="1.1433185338973999"/>
    <n v="4169770.2682666802"/>
    <n v="4023111.1257724799"/>
    <n v="9629934.7318210602"/>
    <n v="12723646.8325291"/>
    <n v="353282.50688934303"/>
    <n v="31534072.023166701"/>
  </r>
  <r>
    <x v="18"/>
    <x v="10"/>
    <s v="ENAHO"/>
    <n v="12.471981048583981"/>
    <n v="13.30855083465576"/>
    <n v="41.495258331298828"/>
    <n v="31.62180137634277"/>
    <n v="1.102409362792969"/>
    <n v="3907954.6689071702"/>
    <n v="4170084.1208496098"/>
    <n v="9908335.2831563894"/>
    <n v="13002070.8371372"/>
    <n v="345427.57219266897"/>
    <n v="31878104.673604999"/>
  </r>
  <r>
    <x v="18"/>
    <x v="11"/>
    <s v="ENAHO"/>
    <n v="11.774998664855961"/>
    <n v="13.061398506164551"/>
    <n v="42.056751251220703"/>
    <n v="31.898073196411129"/>
    <n v="1.2087773084640501"/>
    <n v="3723827.2164931302"/>
    <n v="4130649.3866939498"/>
    <n v="10087721.7728839"/>
    <n v="13300389.7081354"/>
    <n v="382274.167756557"/>
    <n v="32180218.222010899"/>
  </r>
  <r>
    <x v="18"/>
    <x v="12"/>
    <s v="ENAHO"/>
    <n v="11.31841373443604"/>
    <n v="12.477542877197269"/>
    <n v="43.528598785400391"/>
    <n v="31.52985954284668"/>
    <n v="1.1455849409103389"/>
    <n v="3618853.5976047502"/>
    <n v="3989463.7575612101"/>
    <n v="10081089.566888999"/>
    <n v="13917465.2783983"/>
    <n v="366279.61973524099"/>
    <n v="32413341.390269499"/>
  </r>
  <r>
    <x v="18"/>
    <x v="13"/>
    <s v="ENAHO"/>
    <n v="11.061295509338381"/>
    <n v="12.79964637756348"/>
    <n v="41.709465026855469"/>
    <n v="33.146800994873047"/>
    <n v="1.282792329788208"/>
    <n v="3563083.2908322802"/>
    <n v="4123043.5241220002"/>
    <n v="10677303.8088348"/>
    <n v="13435523.2636445"/>
    <n v="413215.23130392999"/>
    <n v="32672472.4448824"/>
  </r>
  <r>
    <x v="18"/>
    <x v="14"/>
    <s v="ENAHO"/>
    <n v="11.115810394287109"/>
    <n v="12.699130058288571"/>
    <n v="41.964893341064453"/>
    <n v="33.098396301269531"/>
    <n v="1.1217691898345949"/>
    <n v="3619702.81564999"/>
    <n v="4135288.4048807598"/>
    <n v="10778014.595191499"/>
    <n v="13665260.723663799"/>
    <n v="365287.92586278898"/>
    <n v="32966303.1405182"/>
  </r>
  <r>
    <x v="18"/>
    <x v="15"/>
    <s v="ENAHO"/>
    <n v="9.4185323715209961"/>
    <n v="12.61367607116699"/>
    <n v="42.904521942138672"/>
    <n v="33.759017944335938"/>
    <n v="1.30424976348877"/>
    <n v="3060140.3400278101"/>
    <n v="4098262.6037638201"/>
    <n v="10968517.1106412"/>
    <n v="13939949.049866401"/>
    <n v="423758.93122601497"/>
    <n v="33262775.856571902"/>
  </r>
  <r>
    <x v="18"/>
    <x v="16"/>
    <s v="ENAHO"/>
    <n v="8.5306901931762695"/>
    <n v="11.934299468994141"/>
    <n v="43.499042510986328"/>
    <n v="34.872566223144531"/>
    <n v="1.1634024381637571"/>
    <n v="2836598.77765512"/>
    <n v="3968356.2085394901"/>
    <n v="11595717.2317567"/>
    <n v="14464166.7108359"/>
    <n v="386850.98355388601"/>
    <n v="33627986.699950904"/>
  </r>
  <r>
    <x v="18"/>
    <x v="17"/>
    <s v="ENAHO"/>
    <n v="18.40530967712402"/>
    <n v="16.994180679321289"/>
    <n v="41.046623229980469"/>
    <n v="22.855264663696289"/>
    <n v="0.69862455129623413"/>
    <n v="6174714.31280482"/>
    <n v="5701300.4124686699"/>
    <n v="7667609.3959115697"/>
    <n v="13770545.7757781"/>
    <n v="234378.400478005"/>
    <n v="33807969.541607998"/>
  </r>
  <r>
    <x v="18"/>
    <x v="18"/>
    <s v="ENAHO"/>
    <n v="10.50717735290527"/>
    <n v="14.465999603271481"/>
    <n v="46.102321624755859"/>
    <n v="28.16402626037598"/>
    <n v="0.76047664880752563"/>
    <n v="3573087.1990792798"/>
    <n v="4919330.1766127301"/>
    <n v="9577502.2098536491"/>
    <n v="15677627.015443901"/>
    <n v="258608.88046264599"/>
    <n v="34316606.795716897"/>
  </r>
  <r>
    <x v="19"/>
    <x v="0"/>
    <s v="EPH"/>
    <n v="27.564638137817379"/>
    <n v="18.118535995483398"/>
    <n v="33.312458038330078"/>
    <n v="19.36776161193848"/>
    <n v="1.6366027593612671"/>
    <n v="1525120.9782409701"/>
    <n v="1002478.53891945"/>
    <n v="1071596.8247070301"/>
    <n v="1843141.33542442"/>
    <n v="90551.418051719695"/>
    <n v="5670237.61826324"/>
  </r>
  <r>
    <x v="19"/>
    <x v="1"/>
    <s v="EPH"/>
    <n v="24.30778884887695"/>
    <n v="19.8525276184082"/>
    <n v="34.302261352539063"/>
    <n v="20.289947509765629"/>
    <n v="1.247473359107971"/>
    <n v="1352263"/>
    <n v="1104413"/>
    <n v="1128747"/>
    <n v="1908264"/>
    <n v="69398"/>
    <n v="5701675"/>
  </r>
  <r>
    <x v="19"/>
    <x v="2"/>
    <s v="EPH"/>
    <n v="20.53481483459473"/>
    <n v="17.371829986572269"/>
    <n v="36.631572723388672"/>
    <n v="24.11274528503418"/>
    <n v="1.3490345478057859"/>
    <n v="1167471"/>
    <n v="987645"/>
    <n v="1370888"/>
    <n v="2082624"/>
    <n v="76697"/>
    <n v="5837253"/>
  </r>
  <r>
    <x v="19"/>
    <x v="3"/>
    <s v="EPH"/>
    <n v="25.568475723266602"/>
    <n v="16.258794784545898"/>
    <n v="36.250530242919922"/>
    <n v="20.70538330078125"/>
    <n v="1.216816663742065"/>
    <n v="1481619"/>
    <n v="942150"/>
    <n v="1199817"/>
    <n v="2100613"/>
    <n v="70511"/>
    <n v="5946471"/>
  </r>
  <r>
    <x v="19"/>
    <x v="4"/>
    <s v="EPH"/>
    <n v="20.48846435546875"/>
    <n v="17.627744674682621"/>
    <n v="37.852470397949219"/>
    <n v="22.7137336730957"/>
    <n v="1.3175851106643679"/>
    <n v="1210413"/>
    <n v="1041408"/>
    <n v="1341877"/>
    <n v="2236240"/>
    <n v="77840"/>
    <n v="6054976"/>
  </r>
  <r>
    <x v="19"/>
    <x v="5"/>
    <s v="EPH"/>
    <n v="20.300596237182621"/>
    <n v="16.135368347167969"/>
    <n v="37.730400085449219"/>
    <n v="24.297500610351559"/>
    <n v="1.5361349582672119"/>
    <n v="1224510"/>
    <n v="973268"/>
    <n v="1465599"/>
    <n v="2275857"/>
    <n v="92658"/>
    <n v="6163913"/>
  </r>
  <r>
    <x v="19"/>
    <x v="6"/>
    <s v="EPH"/>
    <n v="18.974185943603519"/>
    <n v="13.965662956237789"/>
    <n v="38.477100372314453"/>
    <n v="27.121793746948239"/>
    <n v="1.46125853061676"/>
    <n v="1165336"/>
    <n v="857728"/>
    <n v="1665737"/>
    <n v="2363145"/>
    <n v="89746"/>
    <n v="6273103"/>
  </r>
  <r>
    <x v="19"/>
    <x v="7"/>
    <s v="EPH"/>
    <n v="17.984113693237301"/>
    <n v="14.330594062805179"/>
    <n v="38.330848693847663"/>
    <n v="27.781646728515629"/>
    <n v="1.5727946758270259"/>
    <n v="1119380"/>
    <n v="891975"/>
    <n v="1729205"/>
    <n v="2385816"/>
    <n v="97895"/>
    <n v="6381940"/>
  </r>
  <r>
    <x v="19"/>
    <x v="8"/>
    <s v="EPH"/>
    <n v="17.15206146240234"/>
    <n v="13.788455963134769"/>
    <n v="36.598670959472663"/>
    <n v="30.256376266479489"/>
    <n v="2.204434871673584"/>
    <n v="1091742"/>
    <n v="877646"/>
    <n v="1925842"/>
    <n v="2329534"/>
    <n v="140314"/>
    <n v="6491714"/>
  </r>
  <r>
    <x v="19"/>
    <x v="9"/>
    <s v="EPH"/>
    <n v="17.595949172973629"/>
    <n v="11.83406829833984"/>
    <n v="37.534233093261719"/>
    <n v="31.581026077270511"/>
    <n v="1.454723119735718"/>
    <n v="1140386"/>
    <n v="766961"/>
    <n v="2046753"/>
    <n v="2432578"/>
    <n v="94280"/>
    <n v="6600284"/>
  </r>
  <r>
    <x v="19"/>
    <x v="10"/>
    <s v="EPH"/>
    <n v="12.60821056365967"/>
    <n v="11.92844867706299"/>
    <n v="37.221641540527337"/>
    <n v="36.194164276123047"/>
    <n v="2.0475378036499019"/>
    <n v="827890"/>
    <n v="783255"/>
    <n v="2376609"/>
    <n v="2444076"/>
    <n v="134447"/>
    <n v="6709730"/>
  </r>
  <r>
    <x v="19"/>
    <x v="11"/>
    <s v="EPH"/>
    <n v="12.166818618774411"/>
    <n v="10.627353668212891"/>
    <n v="37.267681121826172"/>
    <n v="37.578018188476563"/>
    <n v="2.3601267337799068"/>
    <n v="817855"/>
    <n v="714372"/>
    <n v="2525999"/>
    <n v="2505138"/>
    <n v="158648"/>
    <n v="6818180"/>
  </r>
  <r>
    <x v="19"/>
    <x v="12"/>
    <s v="EPH"/>
    <n v="12.6596212387085"/>
    <n v="10.432576179504389"/>
    <n v="37.798622131347663"/>
    <n v="36.637477874755859"/>
    <n v="2.471704483032227"/>
    <n v="864691"/>
    <n v="712577"/>
    <n v="2502452"/>
    <n v="2581762"/>
    <n v="168825"/>
    <n v="6926100"/>
  </r>
  <r>
    <x v="19"/>
    <x v="13"/>
    <s v="EPH"/>
    <n v="14.633926391601561"/>
    <n v="12.38923263549805"/>
    <n v="38.729114532470703"/>
    <n v="32.547969818115227"/>
    <n v="1.699756979942322"/>
    <n v="977953"/>
    <n v="827945"/>
    <n v="2175109"/>
    <n v="2588181"/>
    <n v="113591"/>
    <n v="6775786"/>
  </r>
  <r>
    <x v="19"/>
    <x v="14"/>
    <s v="EPH"/>
    <n v="13.43122005462646"/>
    <n v="12.11553859710693"/>
    <n v="39.454280853271477"/>
    <n v="33.029872894287109"/>
    <n v="1.969090461730957"/>
    <n v="911105"/>
    <n v="821856"/>
    <n v="2240577"/>
    <n v="2676376"/>
    <n v="133573"/>
    <n v="6873496"/>
  </r>
  <r>
    <x v="19"/>
    <x v="15"/>
    <s v="EPHC"/>
    <n v="11.535055160522459"/>
    <n v="10.19883823394775"/>
    <n v="40.553443908691413"/>
    <n v="35.517078399658203"/>
    <n v="2.1955842971801758"/>
    <n v="797551"/>
    <n v="705163"/>
    <n v="2455704"/>
    <n v="2803926"/>
    <n v="151806"/>
    <n v="7012027"/>
  </r>
  <r>
    <x v="19"/>
    <x v="17"/>
    <s v="EPHC"/>
    <n v="8.4913644790649414"/>
    <n v="13.297268867492679"/>
    <n v="43.512947082519531"/>
    <n v="33.339694976806641"/>
    <n v="1.358727812767029"/>
    <n v="604770"/>
    <n v="947055"/>
    <n v="2374512"/>
    <n v="3099069"/>
    <n v="96771"/>
    <n v="7221008"/>
  </r>
  <r>
    <x v="19"/>
    <x v="18"/>
    <s v="EPHC"/>
    <n v="10.429679870605471"/>
    <n v="11.865652084350589"/>
    <n v="41.587257385253913"/>
    <n v="34.562656402587891"/>
    <n v="1.5547546148300171"/>
    <n v="751780"/>
    <n v="855286"/>
    <n v="2491305"/>
    <n v="2997644"/>
    <n v="112068"/>
    <n v="7307629"/>
  </r>
  <r>
    <x v="19"/>
    <x v="19"/>
    <s v="EPHC"/>
    <n v="10.791000366210939"/>
    <n v="12.025754928588871"/>
    <n v="40.641674041748047"/>
    <n v="34.724864959716797"/>
    <n v="1.8167048692703249"/>
    <n v="785994"/>
    <n v="875931"/>
    <n v="2529287"/>
    <n v="2960255"/>
    <n v="132325"/>
    <n v="7407035"/>
  </r>
  <r>
    <x v="20"/>
    <x v="0"/>
    <s v="EHPM"/>
    <n v="26.588907241821289"/>
    <n v="19.09395599365234"/>
    <n v="36.306838989257813"/>
    <n v="17.116142272949219"/>
    <n v="0.89415544271469116"/>
    <n v="1650456"/>
    <n v="1185221"/>
    <n v="1062452"/>
    <n v="2253678"/>
    <n v="55503"/>
    <n v="6639010"/>
  </r>
  <r>
    <x v="20"/>
    <x v="1"/>
    <s v="EHPM"/>
    <n v="26.34280967712402"/>
    <n v="21.706541061401371"/>
    <n v="36.073131561279297"/>
    <n v="15.449838638305661"/>
    <n v="0.42767944931983948"/>
    <n v="1677410"/>
    <n v="1382190"/>
    <n v="983787"/>
    <n v="2297000"/>
    <n v="27233"/>
    <n v="6756786"/>
  </r>
  <r>
    <x v="20"/>
    <x v="2"/>
    <s v="EHPM"/>
    <n v="30.0060920715332"/>
    <n v="20.377462387084961"/>
    <n v="35.029838562011719"/>
    <n v="14.120584487915041"/>
    <n v="0.46602264046669012"/>
    <n v="1951911"/>
    <n v="1325564"/>
    <n v="918551"/>
    <n v="2278708"/>
    <n v="30315"/>
    <n v="6864080"/>
  </r>
  <r>
    <x v="20"/>
    <x v="3"/>
    <s v="EHPM"/>
    <n v="26.056558609008789"/>
    <n v="21.1539306640625"/>
    <n v="38.576744079589837"/>
    <n v="13.539631843566889"/>
    <n v="0.67313694953918457"/>
    <n v="1751976"/>
    <n v="1422336"/>
    <n v="910370"/>
    <n v="2593801"/>
    <n v="45260"/>
    <n v="6980279"/>
  </r>
  <r>
    <x v="20"/>
    <x v="4"/>
    <s v="EHPM"/>
    <n v="22.305818557739261"/>
    <n v="21.960081100463871"/>
    <n v="39.525619506835938"/>
    <n v="15.55607318878174"/>
    <n v="0.65240877866744995"/>
    <n v="1237881"/>
    <n v="1218694"/>
    <n v="863298"/>
    <n v="2193509"/>
    <n v="36206"/>
    <n v="5744575"/>
  </r>
  <r>
    <x v="20"/>
    <x v="5"/>
    <s v="EHPM"/>
    <n v="25.263080596923832"/>
    <n v="22.583501815795898"/>
    <n v="36.972831726074219"/>
    <n v="14.76334762573242"/>
    <n v="0.41724011301994318"/>
    <n v="1489785"/>
    <n v="1331768"/>
    <n v="870607"/>
    <n v="2180319"/>
    <n v="24605"/>
    <n v="6122413"/>
  </r>
  <r>
    <x v="20"/>
    <x v="6"/>
    <s v="EHPM"/>
    <n v="25.466213226318359"/>
    <n v="21.921173095703129"/>
    <n v="38.090713500976563"/>
    <n v="14.0238790512085"/>
    <n v="0.49802246689796448"/>
    <n v="1502899"/>
    <n v="1293687"/>
    <n v="827625"/>
    <n v="2247939"/>
    <n v="29391"/>
    <n v="6150953"/>
  </r>
  <r>
    <x v="20"/>
    <x v="7"/>
    <s v="EHPM"/>
    <n v="25.543012619018551"/>
    <n v="21.3896484375"/>
    <n v="37.414699554443359"/>
    <n v="15.29071617126465"/>
    <n v="0.36192372441291809"/>
    <n v="1514907"/>
    <n v="1268579"/>
    <n v="906863"/>
    <n v="2218994"/>
    <n v="21465"/>
    <n v="6181405"/>
  </r>
  <r>
    <x v="20"/>
    <x v="8"/>
    <s v="EHPM"/>
    <n v="24.149957656860352"/>
    <n v="22.658052444458011"/>
    <n v="39.240341186523438"/>
    <n v="13.71337890625"/>
    <n v="0.238270103931427"/>
    <n v="1446240"/>
    <n v="1356896"/>
    <n v="821237"/>
    <n v="2349940"/>
    <n v="14269"/>
    <n v="6213730"/>
  </r>
  <r>
    <x v="20"/>
    <x v="9"/>
    <s v="EHPM"/>
    <n v="22.710748672485352"/>
    <n v="21.197431564331051"/>
    <n v="41.189117431640632"/>
    <n v="14.62412166595459"/>
    <n v="0.27858182787895203"/>
    <n v="1371049"/>
    <n v="1279690"/>
    <n v="882859"/>
    <n v="2486589"/>
    <n v="16818"/>
    <n v="6249262"/>
  </r>
  <r>
    <x v="20"/>
    <x v="10"/>
    <s v="EHPM"/>
    <n v="19.80598258972168"/>
    <n v="20.628053665161129"/>
    <n v="42.251750946044922"/>
    <n v="16.832456588745121"/>
    <n v="0.48175650835037231"/>
    <n v="1204541"/>
    <n v="1254537"/>
    <n v="1023700"/>
    <n v="2569626"/>
    <n v="29299"/>
    <n v="6290420"/>
  </r>
  <r>
    <x v="20"/>
    <x v="11"/>
    <s v="EHPM"/>
    <n v="19.53895378112793"/>
    <n v="20.267389297485352"/>
    <n v="42.715194702148438"/>
    <n v="17.161441802978519"/>
    <n v="0.31702077388763428"/>
    <n v="1213801"/>
    <n v="1259053"/>
    <n v="1066105"/>
    <n v="2653558"/>
    <n v="19694"/>
    <n v="6401415"/>
  </r>
  <r>
    <x v="20"/>
    <x v="12"/>
    <s v="EHPM"/>
    <n v="17.193393707275391"/>
    <n v="20.792169570922852"/>
    <n v="44.77545166015625"/>
    <n v="16.794698715209961"/>
    <n v="0.44428691267967219"/>
    <n v="1084574"/>
    <n v="1311588"/>
    <n v="1059424"/>
    <n v="2824474"/>
    <n v="28026"/>
    <n v="6459911"/>
  </r>
  <r>
    <x v="20"/>
    <x v="13"/>
    <s v="EHPM"/>
    <n v="17.92717361450195"/>
    <n v="18.770994186401371"/>
    <n v="45.144416809082031"/>
    <n v="17.868671417236332"/>
    <n v="0.28874513506889338"/>
    <n v="1148538"/>
    <n v="1202599"/>
    <n v="1144790"/>
    <n v="2892262"/>
    <n v="18499"/>
    <n v="6522419"/>
  </r>
  <r>
    <x v="20"/>
    <x v="14"/>
    <s v="EHPM"/>
    <n v="15.693478584289551"/>
    <n v="19.22854042053223"/>
    <n v="46.998588562011719"/>
    <n v="17.846969604492191"/>
    <n v="0.23242247104644781"/>
    <n v="1012010"/>
    <n v="1239972"/>
    <n v="1150880"/>
    <n v="3030752"/>
    <n v="14988"/>
    <n v="6581860"/>
  </r>
  <r>
    <x v="20"/>
    <x v="15"/>
    <s v="EHPM"/>
    <n v="13.943062782287599"/>
    <n v="17.584136962890629"/>
    <n v="46.996036529541023"/>
    <n v="21.154472351074219"/>
    <n v="0.3222949206829071"/>
    <n v="908498"/>
    <n v="1145742"/>
    <n v="1378377"/>
    <n v="3062154"/>
    <n v="21000"/>
    <n v="6642767"/>
  </r>
  <r>
    <x v="20"/>
    <x v="16"/>
    <s v="EHPM"/>
    <n v="12.03313159942627"/>
    <n v="17.54160308837891"/>
    <n v="48.162082672119141"/>
    <n v="21.897638320922852"/>
    <n v="0.36554312705993652"/>
    <n v="793075.34732246399"/>
    <n v="1156125.72694397"/>
    <n v="1443221.71602345"/>
    <n v="3174249.3398780799"/>
    <n v="24092.086118698098"/>
    <n v="6704864.0078773499"/>
  </r>
  <r>
    <x v="20"/>
    <x v="17"/>
    <s v="EHPM"/>
    <n v="16.161752700805661"/>
    <n v="14.53294467926025"/>
    <n v="45.829341888427727"/>
    <n v="23.00028228759766"/>
    <n v="0.47568050026893621"/>
    <n v="971782.51956558204"/>
    <n v="873844.716535568"/>
    <n v="1382973.2767753601"/>
    <n v="2755651.1200771299"/>
    <n v="28601.9726428986"/>
    <n v="6321041.9938964797"/>
  </r>
  <r>
    <x v="20"/>
    <x v="18"/>
    <s v="EHPM"/>
    <n v="15.231667518615721"/>
    <n v="15.16676235198975"/>
    <n v="44.456855773925781"/>
    <n v="24.761751174926761"/>
    <n v="0.38296246528625488"/>
    <n v="906166.52065944695"/>
    <n v="902305.18160247803"/>
    <n v="1473132.93411732"/>
    <n v="2644839.5738344202"/>
    <n v="22783.308082580599"/>
    <n v="6325827.0136499396"/>
  </r>
  <r>
    <x v="20"/>
    <x v="19"/>
    <s v="EHPM"/>
    <n v="14.33075523376465"/>
    <n v="14.27655029296875"/>
    <n v="45.77606201171875"/>
    <n v="25.281827926635739"/>
    <n v="0.3348051905632019"/>
    <n v="853343.02361774398"/>
    <n v="850115.31159114803"/>
    <n v="1505438.5417110899"/>
    <n v="2725793.6798474798"/>
    <n v="19936.400428772002"/>
    <n v="6330947.0104064904"/>
  </r>
  <r>
    <x v="21"/>
    <x v="0"/>
    <s v="CSSP"/>
    <n v="4.9652872085571289"/>
    <n v="9.4949636459350586"/>
    <n v="36.768306732177727"/>
    <n v="46.586578369140632"/>
    <n v="2.184862375259399"/>
    <n v="51605.429531097398"/>
    <n v="98683.446464538603"/>
    <n v="484185.55507278402"/>
    <n v="382141.91957092303"/>
    <n v="22707.8038101196"/>
    <n v="1284052.0275993301"/>
  </r>
  <r>
    <x v="21"/>
    <x v="1"/>
    <s v="CSSP"/>
    <n v="4.8261566162109384"/>
    <n v="6.9185338020324707"/>
    <n v="36.700691223144531"/>
    <n v="48.989009857177727"/>
    <n v="2.565606832504272"/>
    <n v="49259.804344177202"/>
    <n v="70616.364574432402"/>
    <n v="500022.941017151"/>
    <n v="374598.05831909197"/>
    <n v="26186.735534668001"/>
    <n v="1290535.01996994"/>
  </r>
  <r>
    <x v="21"/>
    <x v="2"/>
    <s v="CSSP"/>
    <n v="4.7926030158996582"/>
    <n v="7.397038459777832"/>
    <n v="35.633243560791023"/>
    <n v="49.546894073486328"/>
    <n v="2.630221843719482"/>
    <n v="48374.709033966101"/>
    <n v="74662.886810302705"/>
    <n v="500107.48386383097"/>
    <n v="359668.37854385399"/>
    <n v="26548.456764221199"/>
    <n v="1296933.01391602"/>
  </r>
  <r>
    <x v="21"/>
    <x v="3"/>
    <s v="CSSP"/>
    <n v="3.8298957347869869"/>
    <n v="7.3063187599182129"/>
    <n v="34.702281951904297"/>
    <n v="51.333721160888672"/>
    <n v="2.827782154083252"/>
    <n v="38919.073974609397"/>
    <n v="74246.187744140596"/>
    <n v="521648.90112304699"/>
    <n v="352641.61889648403"/>
    <n v="28735.681640625"/>
    <n v="1303140.9440917999"/>
  </r>
  <r>
    <x v="21"/>
    <x v="4"/>
    <s v="CSSP"/>
    <n v="3.398322582244873"/>
    <n v="5.631195068359375"/>
    <n v="33.405948638916023"/>
    <n v="54.794322967529297"/>
    <n v="2.7702138423919682"/>
    <n v="34744.333282470703"/>
    <n v="57573.1420097351"/>
    <n v="560215.25416564895"/>
    <n v="341541.25056839001"/>
    <n v="28322.570827484102"/>
    <n v="1309260.0205192601"/>
  </r>
  <r>
    <x v="21"/>
    <x v="5"/>
    <s v="CSSP"/>
    <n v="3.044145822525024"/>
    <n v="5.5041747093200684"/>
    <n v="32.463397979736328"/>
    <n v="56.217472076416023"/>
    <n v="2.7708091735839839"/>
    <n v="30792.6355133057"/>
    <n v="55676.721038818403"/>
    <n v="568660.06100463902"/>
    <n v="328379.02816772502"/>
    <n v="28027.737121581999"/>
    <n v="1315372.0033721901"/>
  </r>
  <r>
    <x v="21"/>
    <x v="6"/>
    <s v="CSSP"/>
    <n v="1.1948690414428711"/>
    <n v="3.3737480640411381"/>
    <n v="30.029872894287109"/>
    <n v="62.537342071533203"/>
    <n v="2.8641715049743648"/>
    <n v="10899.9924316406"/>
    <n v="30776.44921875"/>
    <n v="570486.36859130894"/>
    <n v="273942.456848145"/>
    <n v="26127.923034668001"/>
    <n v="1321624.08233643"/>
  </r>
  <r>
    <x v="21"/>
    <x v="7"/>
    <s v="CSSP"/>
    <n v="4.5850396156311044"/>
    <n v="7.1082243919372559"/>
    <n v="36.18603515625"/>
    <n v="50.280094146728523"/>
    <n v="1.8406063318252559"/>
    <n v="42179.620193481402"/>
    <n v="65391.402969360402"/>
    <n v="462546.738487244"/>
    <n v="332889.87723541301"/>
    <n v="16932.475868225101"/>
    <n v="1328095.06375122"/>
  </r>
  <r>
    <x v="21"/>
    <x v="8"/>
    <s v="CSSP"/>
    <n v="2.967337846755981"/>
    <n v="7.0732226371765137"/>
    <n v="34.448162078857422"/>
    <n v="53.632675170898438"/>
    <n v="1.8786023855209351"/>
    <n v="26776.708580017101"/>
    <n v="63827.454025268598"/>
    <n v="483971.34908294701"/>
    <n v="310853.82790374802"/>
    <n v="16952.160827636701"/>
    <n v="1334790.0269851701"/>
  </r>
  <r>
    <x v="21"/>
    <x v="9"/>
    <s v="CSSP"/>
    <n v="4.0208382606506348"/>
    <n v="8.2121715545654297"/>
    <n v="34.837795257568359"/>
    <n v="51.489459991455078"/>
    <n v="1.4397348165512081"/>
    <n v="35524.9356765747"/>
    <n v="72556.229049682603"/>
    <n v="454920.02435302699"/>
    <n v="307799.089324951"/>
    <n v="12720.353881835899"/>
    <n v="1341578.90184021"/>
  </r>
  <r>
    <x v="21"/>
    <x v="10"/>
    <s v="CSSP"/>
    <n v="3.3040471076965332"/>
    <n v="6.5520143508911133"/>
    <n v="36.022056579589837"/>
    <n v="52.532947540283203"/>
    <n v="1.58893358707428"/>
    <n v="30107.5700798035"/>
    <n v="59704.120582580603"/>
    <n v="478697.588779449"/>
    <n v="328244.90830993699"/>
    <n v="14478.888015747099"/>
    <n v="1348239.9840545701"/>
  </r>
  <r>
    <x v="21"/>
    <x v="11"/>
    <s v="CSSP"/>
    <n v="4.291785717010498"/>
    <n v="6.7587547302246094"/>
    <n v="35.7525634765625"/>
    <n v="51.709323883056641"/>
    <n v="1.4875727891921999"/>
    <n v="39393.737094879201"/>
    <n v="62037.715145111099"/>
    <n v="474633.04553604103"/>
    <n v="328168.06391525298"/>
    <n v="13654.233955383301"/>
    <n v="1354483.0465927101"/>
  </r>
  <r>
    <x v="21"/>
    <x v="12"/>
    <s v="CSSP"/>
    <n v="3.910485982894897"/>
    <n v="7.4028120040893546"/>
    <n v="37.937690734863281"/>
    <n v="49.287750244140632"/>
    <n v="1.461262702941895"/>
    <n v="35018.440288543701"/>
    <n v="66292.253002166704"/>
    <n v="441372.25679779099"/>
    <n v="339732.36547851597"/>
    <n v="13085.621635437001"/>
    <n v="1370327.9436531099"/>
  </r>
  <r>
    <x v="22"/>
    <x v="0"/>
    <s v="ECH"/>
    <n v="8.708867073059082"/>
    <n v="15.05007266998291"/>
    <n v="41.285091400146477"/>
    <n v="33.188079833984382"/>
    <n v="1.767889022827148"/>
    <n v="203952"/>
    <n v="352456"/>
    <n v="777228"/>
    <n v="966851"/>
    <n v="41402"/>
    <n v="2365492"/>
  </r>
  <r>
    <x v="22"/>
    <x v="1"/>
    <s v="ECH"/>
    <n v="10.4431209564209"/>
    <n v="14.115720748901371"/>
    <n v="38.487045288085938"/>
    <n v="35.033622741699219"/>
    <n v="1.9204878807067871"/>
    <n v="244432"/>
    <n v="330393"/>
    <n v="819998"/>
    <n v="900829"/>
    <n v="44951"/>
    <n v="2364322"/>
  </r>
  <r>
    <x v="22"/>
    <x v="2"/>
    <s v="ECH"/>
    <n v="10.04344272613525"/>
    <n v="12.019222259521481"/>
    <n v="39.033100128173828"/>
    <n v="37.071357727050781"/>
    <n v="1.8328782320022581"/>
    <n v="229683"/>
    <n v="274867"/>
    <n v="847783"/>
    <n v="892646"/>
    <n v="41916"/>
    <n v="2309272"/>
  </r>
  <r>
    <x v="22"/>
    <x v="3"/>
    <s v="ECH"/>
    <n v="21.66141510009766"/>
    <n v="14.30898284912109"/>
    <n v="33.343601226806641"/>
    <n v="28.690692901611332"/>
    <n v="1.9953101873397829"/>
    <n v="638603"/>
    <n v="421845"/>
    <n v="845834"/>
    <n v="983007"/>
    <n v="58824"/>
    <n v="3065604"/>
  </r>
  <r>
    <x v="22"/>
    <x v="4"/>
    <s v="ECH"/>
    <n v="7.419367790222168"/>
    <n v="11.05096530914307"/>
    <n v="36.873798370361328"/>
    <n v="41.601772308349609"/>
    <n v="3.054100513458252"/>
    <n v="220244"/>
    <n v="328048"/>
    <n v="1234949"/>
    <n v="1094599"/>
    <n v="90661"/>
    <n v="2999178"/>
  </r>
  <r>
    <x v="22"/>
    <x v="5"/>
    <s v="ECH"/>
    <n v="3.8168859481811519"/>
    <n v="9.3123760223388672"/>
    <n v="37.366096496582031"/>
    <n v="46.244094848632813"/>
    <n v="3.2605431079864502"/>
    <n v="113599"/>
    <n v="277157"/>
    <n v="1376327"/>
    <n v="1112098"/>
    <n v="97041"/>
    <n v="3005572"/>
  </r>
  <r>
    <x v="22"/>
    <x v="6"/>
    <s v="ECH"/>
    <n v="4.6674151420593262"/>
    <n v="8.62933349609375"/>
    <n v="34.199569702148438"/>
    <n v="48.605545043945313"/>
    <n v="3.898138284683228"/>
    <n v="139699"/>
    <n v="258282"/>
    <n v="1454798"/>
    <n v="1023617"/>
    <n v="116674"/>
    <n v="3023656"/>
  </r>
  <r>
    <x v="22"/>
    <x v="7"/>
    <s v="ECH"/>
    <n v="3.734623908996582"/>
    <n v="8.1196403503417969"/>
    <n v="34.620758056640632"/>
    <n v="49.801559448242188"/>
    <n v="3.7234139442443852"/>
    <n v="124598"/>
    <n v="270895"/>
    <n v="1661526"/>
    <n v="1155050"/>
    <n v="124224"/>
    <n v="3368598"/>
  </r>
  <r>
    <x v="22"/>
    <x v="8"/>
    <s v="ECH"/>
    <n v="3.374965906143188"/>
    <n v="6.4255094528198242"/>
    <n v="30.9777946472168"/>
    <n v="55.259288787841797"/>
    <n v="3.9624407291412349"/>
    <n v="112519"/>
    <n v="214222"/>
    <n v="1842306"/>
    <n v="1032778"/>
    <n v="132105"/>
    <n v="3368660"/>
  </r>
  <r>
    <x v="22"/>
    <x v="9"/>
    <s v="ECH"/>
    <n v="3.6356945037841801"/>
    <n v="5.4598422050476074"/>
    <n v="29.86258506774902"/>
    <n v="57.51422119140625"/>
    <n v="3.5276591777801509"/>
    <n v="117718"/>
    <n v="176781"/>
    <n v="1862219"/>
    <n v="966903"/>
    <n v="114220"/>
    <n v="3273317"/>
  </r>
  <r>
    <x v="22"/>
    <x v="10"/>
    <s v="ECH"/>
    <n v="3.1676244735717769"/>
    <n v="5.5547275543212891"/>
    <n v="28.621683120727539"/>
    <n v="58.663909912109382"/>
    <n v="3.9920556545257568"/>
    <n v="106909"/>
    <n v="187475"/>
    <n v="1979938"/>
    <n v="965997"/>
    <n v="134734"/>
    <n v="3405068"/>
  </r>
  <r>
    <x v="22"/>
    <x v="11"/>
    <s v="ECH"/>
    <n v="2.9678220748901372"/>
    <n v="4.8435015678405762"/>
    <n v="27.182903289794918"/>
    <n v="60.613548278808587"/>
    <n v="4.3922228813171387"/>
    <n v="100390"/>
    <n v="163837"/>
    <n v="2050323"/>
    <n v="919493"/>
    <n v="148572"/>
    <n v="3415179"/>
  </r>
  <r>
    <x v="22"/>
    <x v="12"/>
    <s v="ECH"/>
    <n v="3.229756355285645"/>
    <n v="4.9936122894287109"/>
    <n v="26.074140548706051"/>
    <n v="60.926425933837891"/>
    <n v="4.7760639190673828"/>
    <n v="110782"/>
    <n v="171283"/>
    <n v="2089802"/>
    <n v="894354"/>
    <n v="163821"/>
    <n v="3466523"/>
  </r>
  <r>
    <x v="22"/>
    <x v="13"/>
    <s v="ECH"/>
    <n v="3.0332193374633789"/>
    <n v="4.6215548515319824"/>
    <n v="26.567375183105469"/>
    <n v="61.256248474121087"/>
    <n v="4.5216059684753418"/>
    <n v="104517"/>
    <n v="159247"/>
    <n v="2110734"/>
    <n v="915444"/>
    <n v="155803"/>
    <n v="3478642"/>
  </r>
  <r>
    <x v="22"/>
    <x v="14"/>
    <s v="ECH"/>
    <n v="2.6357100009918208"/>
    <n v="4.0887298583984384"/>
    <n v="25.750371932983398"/>
    <n v="62.609493255615227"/>
    <n v="4.9156970977783203"/>
    <n v="91240"/>
    <n v="141539"/>
    <n v="2167344"/>
    <n v="891397"/>
    <n v="170166"/>
    <n v="3493135"/>
  </r>
  <r>
    <x v="22"/>
    <x v="15"/>
    <s v="ECH"/>
    <n v="2.4117670059204102"/>
    <n v="4.4731311798095703"/>
    <n v="26.584991455078129"/>
    <n v="61.851799011230469"/>
    <n v="4.6783099174499512"/>
    <n v="83833"/>
    <n v="155486"/>
    <n v="2149968"/>
    <n v="924094"/>
    <n v="162618"/>
    <n v="3506534"/>
  </r>
  <r>
    <x v="22"/>
    <x v="16"/>
    <s v="ECH"/>
    <n v="2.5264053344726558"/>
    <n v="4.7734603881835938"/>
    <n v="27.358732223510739"/>
    <n v="60.645664215087891"/>
    <n v="4.695737361907959"/>
    <n v="88024"/>
    <n v="166315"/>
    <n v="2112992"/>
    <n v="953222"/>
    <n v="163607"/>
    <n v="3517931"/>
  </r>
  <r>
    <x v="22"/>
    <x v="17"/>
    <s v="ECH"/>
    <n v="3.837445735931396"/>
    <n v="6.0923705101013184"/>
    <n v="28.600553512573239"/>
    <n v="57.174755096435547"/>
    <n v="4.2948765754699707"/>
    <n v="133878.992912769"/>
    <n v="212547.74585771601"/>
    <n v="1994685.8548717501"/>
    <n v="997802.52803444897"/>
    <n v="149837.61164259899"/>
    <n v="3530882.8314890899"/>
  </r>
  <r>
    <x v="22"/>
    <x v="18"/>
    <s v="ECH"/>
    <n v="3.6391007900238042"/>
    <n v="5.5758123397827148"/>
    <n v="28.331466674804691"/>
    <n v="58.344905853271477"/>
    <n v="4.1087117195129386"/>
    <n v="127970"/>
    <n v="196075"/>
    <n v="2051715"/>
    <n v="996284"/>
    <n v="144484"/>
    <n v="3542860"/>
  </r>
  <r>
    <x v="22"/>
    <x v="19"/>
    <s v="ECH"/>
    <n v="3.2235615253448491"/>
    <n v="5.4980168342590332"/>
    <n v="28.05974197387695"/>
    <n v="58.728916168212891"/>
    <n v="4.4897651672363281"/>
    <n v="113583"/>
    <n v="193724"/>
    <n v="2069328"/>
    <n v="988692"/>
    <n v="158198"/>
    <n v="3554802"/>
  </r>
  <r>
    <x v="23"/>
    <x v="0"/>
    <s v="EHM"/>
    <n v="34.508411407470703"/>
    <n v="22.17098236083984"/>
    <n v="32.557411193847663"/>
    <n v="10.564040184021"/>
    <n v="0.19915372133254999"/>
    <n v="8152254"/>
    <n v="5237665"/>
    <n v="2495645"/>
    <n v="7691351"/>
    <n v="47048"/>
    <n v="25625384"/>
  </r>
  <r>
    <x v="23"/>
    <x v="1"/>
    <s v="EHM"/>
    <n v="24.668582916259769"/>
    <n v="21.800750732421879"/>
    <n v="38.088935852050781"/>
    <n v="15.15921688079834"/>
    <n v="0.28251552581787109"/>
    <n v="2931689"/>
    <n v="2590867"/>
    <n v="1801567"/>
    <n v="4526604"/>
    <n v="33575"/>
    <n v="12899159"/>
  </r>
  <r>
    <x v="23"/>
    <x v="2"/>
    <s v="EHM"/>
    <n v="22.87045860290527"/>
    <n v="19.018621444702148"/>
    <n v="40.3934326171875"/>
    <n v="17.184076309204102"/>
    <n v="0.53341162204742432"/>
    <n v="5789178"/>
    <n v="4814166"/>
    <n v="4349789"/>
    <n v="10224752"/>
    <n v="135022"/>
    <n v="27806370"/>
  </r>
  <r>
    <x v="23"/>
    <x v="3"/>
    <s v="EHM"/>
    <n v="13.49704074859619"/>
    <n v="16.227157592773441"/>
    <n v="43.883811950683587"/>
    <n v="25.62089920043945"/>
    <n v="0.77109140157699585"/>
    <n v="3416307"/>
    <n v="4107341"/>
    <n v="6485040"/>
    <n v="11107662"/>
    <n v="195175"/>
    <n v="26951658"/>
  </r>
  <r>
    <x v="23"/>
    <x v="4"/>
    <s v="EHM"/>
    <n v="10.08500862121582"/>
    <n v="13.20516300201416"/>
    <n v="45.270736694335938"/>
    <n v="30.70184326171875"/>
    <n v="0.73724865913391113"/>
    <n v="2625732"/>
    <n v="3438095"/>
    <n v="7993529"/>
    <n v="11786685"/>
    <n v="191950"/>
    <n v="27404078"/>
  </r>
  <r>
    <x v="23"/>
    <x v="5"/>
    <s v="EHM"/>
    <n v="9.0231599807739258"/>
    <n v="11.9956111907959"/>
    <n v="44.631336212158203"/>
    <n v="33.640583038330078"/>
    <n v="0.70931005477905273"/>
    <n v="2372728"/>
    <n v="3154363"/>
    <n v="8846120"/>
    <n v="11736245"/>
    <n v="186520"/>
    <n v="27849360"/>
  </r>
  <r>
    <x v="23"/>
    <x v="6"/>
    <s v="EHM"/>
    <n v="8.0190935134887695"/>
    <n v="12.15221691131592"/>
    <n v="44.888187408447273"/>
    <n v="34.147560119628913"/>
    <n v="0.79294425249099731"/>
    <n v="2155174"/>
    <n v="3265973"/>
    <n v="9177339"/>
    <n v="12063939"/>
    <n v="213108"/>
    <n v="28298170"/>
  </r>
  <r>
    <x v="23"/>
    <x v="7"/>
    <s v="EHM"/>
    <n v="7.9902091026306152"/>
    <n v="12.49177074432373"/>
    <n v="45.929191589355469"/>
    <n v="33.112247467041023"/>
    <n v="0.47657755017280579"/>
    <n v="2173637"/>
    <n v="3398231"/>
    <n v="9007776"/>
    <n v="12494466"/>
    <n v="129647"/>
    <n v="28744685"/>
  </r>
  <r>
    <x v="23"/>
    <x v="8"/>
    <s v="EHM"/>
    <n v="8.338841438293457"/>
    <n v="12.306576728820801"/>
    <n v="45.775836944580078"/>
    <n v="33.10076904296875"/>
    <n v="0.47797641158103937"/>
    <n v="2298040"/>
    <n v="3391479"/>
    <n v="9121997"/>
    <n v="12615026"/>
    <n v="131722"/>
    <n v="29186358"/>
  </r>
  <r>
    <x v="23"/>
    <x v="9"/>
    <s v="EHM"/>
    <n v="8.4395532608032227"/>
    <n v="10.831559181213381"/>
    <n v="42.708362579345703"/>
    <n v="37.10107421875"/>
    <n v="0.91945117712020874"/>
    <n v="2302941"/>
    <n v="2955659"/>
    <n v="10123946"/>
    <n v="11654033"/>
    <n v="250895"/>
    <n v="29624668"/>
  </r>
  <r>
    <x v="23"/>
    <x v="10"/>
    <s v="EHM"/>
    <n v="7.9188055992126456"/>
    <n v="12.19217586517334"/>
    <n v="43.146701812744141"/>
    <n v="35.822696685791023"/>
    <n v="0.91961884498596191"/>
    <n v="1781247"/>
    <n v="2742494"/>
    <n v="8057916"/>
    <n v="9705370"/>
    <n v="206858"/>
    <n v="30060754"/>
  </r>
  <r>
    <x v="23"/>
    <x v="11"/>
    <s v="EHM"/>
    <n v="6.1240224838256836"/>
    <n v="10.383420944213871"/>
    <n v="44.218135833740227"/>
    <n v="38.41094970703125"/>
    <n v="0.86347109079360962"/>
    <n v="1772650"/>
    <n v="3005569"/>
    <n v="11118374"/>
    <n v="12799312"/>
    <n v="249939"/>
    <n v="30067613"/>
  </r>
  <r>
    <x v="23"/>
    <x v="12"/>
    <s v="EHM"/>
    <n v="8.6381149291992188"/>
    <n v="13.355215072631839"/>
    <n v="45.919773101806641"/>
    <n v="31.501447677612301"/>
    <n v="0.58545035123825073"/>
    <n v="2484919"/>
    <n v="3841883"/>
    <n v="9061994"/>
    <n v="13209701"/>
    <n v="168416"/>
    <n v="30511483"/>
  </r>
  <r>
    <x v="23"/>
    <x v="13"/>
    <s v="ENCOVI"/>
    <n v="19.373945236206051"/>
    <n v="18.264646530151371"/>
    <n v="45.209789276123047"/>
    <n v="16.709842681884769"/>
    <n v="0.44177696108818049"/>
    <n v="5674301"/>
    <n v="5349406"/>
    <n v="4894030"/>
    <n v="13241183"/>
    <n v="129389"/>
    <n v="31027256"/>
  </r>
  <r>
    <x v="23"/>
    <x v="14"/>
    <s v="ENCOVI"/>
    <n v="45.502246856689453"/>
    <n v="21.104619979858398"/>
    <n v="28.148342132568359"/>
    <n v="5.1477408409118652"/>
    <n v="9.7051665186882019E-2"/>
    <n v="11800375"/>
    <n v="5473190"/>
    <n v="1334995"/>
    <n v="7299881"/>
    <n v="25169"/>
    <n v="31431164"/>
  </r>
  <r>
    <x v="23"/>
    <x v="15"/>
    <s v="ENCOVI"/>
    <n v="78.4765625"/>
    <n v="9.7455730438232422"/>
    <n v="8.1722345352172852"/>
    <n v="3.1779429912567139"/>
    <n v="0.42768591642379761"/>
    <n v="21158726"/>
    <n v="2627586"/>
    <n v="856832"/>
    <n v="2203385"/>
    <n v="115312"/>
    <n v="31766290"/>
  </r>
  <r>
    <x v="23"/>
    <x v="17"/>
    <s v="ENCOVI"/>
    <n v="98.908035278320313"/>
    <n v="0.46551507711410522"/>
    <n v="0.52292656898498535"/>
    <n v="0.1035190522670746"/>
    <m/>
    <n v="27606028"/>
    <n v="129929"/>
    <n v="28893"/>
    <n v="145953"/>
    <m/>
    <n v="29338531"/>
  </r>
  <r>
    <x v="23"/>
    <x v="18"/>
    <s v="ENCOVI"/>
    <n v="76.042854309082031"/>
    <n v="9.8046188354492188"/>
    <n v="10.154538154602051"/>
    <n v="3.6044783592224121"/>
    <n v="0.39350992441177368"/>
    <n v="21206474.5644073"/>
    <n v="2734266.1105423002"/>
    <n v="1005200.00022125"/>
    <n v="2831849.8907241798"/>
    <n v="109740.19828033401"/>
    <n v="28704946.989028901"/>
  </r>
  <r>
    <x v="24"/>
    <x v="21"/>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6">
  <r>
    <x v="0"/>
    <x v="0"/>
    <s v="EPHC"/>
    <x v="0"/>
    <n v="18.428762435913089"/>
    <n v="27.78891563415527"/>
    <n v="10.04930591583252"/>
    <n v="0.22926786541938779"/>
    <n v="9679754"/>
    <n v="4100472"/>
    <n v="2236010"/>
    <n v="6183143"/>
    <n v="51013"/>
    <n v="22989713"/>
    <n v="61.932510375976563"/>
    <n v="13780226"/>
  </r>
  <r>
    <x v="0"/>
    <x v="1"/>
    <s v="EPHC"/>
    <x v="1"/>
    <n v="19.233291625976559"/>
    <n v="31.81321907043457"/>
    <n v="13.078493118286129"/>
    <n v="0.22971388697624209"/>
    <n v="8072850"/>
    <n v="4355906"/>
    <n v="2961983"/>
    <n v="7204975"/>
    <n v="52025"/>
    <n v="23205243"/>
    <n v="54.878574371337891"/>
    <n v="12428756"/>
  </r>
  <r>
    <x v="0"/>
    <x v="2"/>
    <s v="EPHC"/>
    <x v="2"/>
    <n v="19.24742317199707"/>
    <n v="35.648269653320313"/>
    <n v="15.41817474365234"/>
    <n v="0.31463450193405151"/>
    <n v="6750596"/>
    <n v="4423730"/>
    <n v="3543635"/>
    <n v="8193218"/>
    <n v="72314"/>
    <n v="23432992"/>
    <n v="48.618919372558587"/>
    <n v="11174326"/>
  </r>
  <r>
    <x v="0"/>
    <x v="3"/>
    <s v="EPHC"/>
    <x v="3"/>
    <n v="19.674831390380859"/>
    <n v="37.496974945068359"/>
    <n v="19.205451965332031"/>
    <n v="0.39041313529014587"/>
    <n v="5490774"/>
    <n v="4649988"/>
    <n v="4539054"/>
    <n v="8862108"/>
    <n v="92271"/>
    <n v="24040273"/>
    <n v="42.907161712646477"/>
    <n v="10140762"/>
  </r>
  <r>
    <x v="0"/>
    <x v="4"/>
    <s v="EPHC"/>
    <x v="4"/>
    <n v="15.753981590271"/>
    <n v="39.865486145019531"/>
    <n v="27.073442459106449"/>
    <n v="0.60700643062591553"/>
    <n v="4002970"/>
    <n v="3776192"/>
    <n v="6489440"/>
    <n v="9555662"/>
    <n v="145498"/>
    <n v="24335542"/>
    <n v="32.454063415527337"/>
    <n v="7779162"/>
  </r>
  <r>
    <x v="0"/>
    <x v="5"/>
    <s v="EPHC"/>
    <x v="5"/>
    <n v="13.975114822387701"/>
    <n v="40.764858245849609"/>
    <n v="31.087142944335941"/>
    <n v="0.79368865489959717"/>
    <n v="3229393"/>
    <n v="3373233"/>
    <n v="7503636"/>
    <n v="9839588"/>
    <n v="191576"/>
    <n v="24512245"/>
    <n v="27.35430908203125"/>
    <n v="6602626"/>
  </r>
  <r>
    <x v="0"/>
    <x v="6"/>
    <s v="EPHC"/>
    <x v="6"/>
    <n v="11.4199333190918"/>
    <n v="39.68206787109375"/>
    <n v="36.33160400390625"/>
    <n v="1.0884110927581789"/>
    <n v="2795774"/>
    <n v="2781634"/>
    <n v="8849546"/>
    <n v="9665642"/>
    <n v="265112"/>
    <n v="24746009"/>
    <n v="22.897918701171879"/>
    <n v="5577408"/>
  </r>
  <r>
    <x v="0"/>
    <x v="7"/>
    <s v="EPHC"/>
    <x v="7"/>
    <n v="10.444282531738279"/>
    <n v="38.843883514404297"/>
    <n v="41.503044128417969"/>
    <n v="1.5560358762741091"/>
    <n v="1888111"/>
    <n v="2576846"/>
    <n v="10239760"/>
    <n v="9583684"/>
    <n v="383910"/>
    <n v="24977604"/>
    <n v="18.097036361694339"/>
    <n v="4464957"/>
  </r>
  <r>
    <x v="0"/>
    <x v="8"/>
    <s v="EPHC"/>
    <x v="8"/>
    <n v="7.7680439949035636"/>
    <n v="33.982086181640632"/>
    <n v="51.45159912109375"/>
    <n v="2.5678904056549068"/>
    <n v="1052526"/>
    <n v="1932704"/>
    <n v="12801255"/>
    <n v="8454807"/>
    <n v="638896"/>
    <n v="25207395"/>
    <n v="11.998422622680661"/>
    <n v="2985230"/>
  </r>
  <r>
    <x v="0"/>
    <x v="9"/>
    <s v="EPHC"/>
    <x v="9"/>
    <n v="5.5917901992797852"/>
    <n v="30.7811164855957"/>
    <n v="57.06158447265625"/>
    <n v="3.1230382919311519"/>
    <n v="865114"/>
    <n v="1405250"/>
    <n v="14339913"/>
    <n v="7735477"/>
    <n v="784838"/>
    <n v="25436130"/>
    <n v="9.0342636108398438"/>
    <n v="2270364"/>
  </r>
  <r>
    <x v="0"/>
    <x v="10"/>
    <s v="EPHC"/>
    <x v="10"/>
    <n v="4.014979362487793"/>
    <n v="26.864274978637699"/>
    <n v="61.915184020996087"/>
    <n v="4.6791019439697266"/>
    <n v="644832"/>
    <n v="1024749"/>
    <n v="15802703"/>
    <n v="6856608"/>
    <n v="1194254"/>
    <n v="25863462"/>
    <n v="6.5414390563964844"/>
    <n v="1669581"/>
  </r>
  <r>
    <x v="0"/>
    <x v="11"/>
    <s v="EPHC"/>
    <x v="11"/>
    <n v="5.2521066665649414"/>
    <n v="29.070192337036129"/>
    <n v="59.169830322265632"/>
    <n v="3.8455381393432622"/>
    <n v="703016"/>
    <n v="1386873"/>
    <n v="15624404"/>
    <n v="7676284"/>
    <n v="1015454"/>
    <n v="26723166"/>
    <n v="7.9144382476806641"/>
    <n v="2089889"/>
  </r>
  <r>
    <x v="0"/>
    <x v="12"/>
    <s v="EPHC"/>
    <x v="12"/>
    <n v="6.3062963485717773"/>
    <n v="33.196823120117188"/>
    <n v="55.128986358642578"/>
    <n v="2.4195289611816411"/>
    <n v="783794"/>
    <n v="1676467"/>
    <n v="14655500"/>
    <n v="8825049"/>
    <n v="643208"/>
    <n v="26847484"/>
    <n v="9.2546615600585938"/>
    <n v="2460261"/>
  </r>
  <r>
    <x v="0"/>
    <x v="13"/>
    <s v="EPHC"/>
    <x v="13"/>
    <n v="4.3117814064025879"/>
    <n v="25.512241363525391"/>
    <n v="59.209495544433587"/>
    <n v="6.439732551574707"/>
    <n v="1094628"/>
    <n v="1042646"/>
    <n v="14317643"/>
    <n v="6169199"/>
    <n v="1557213"/>
    <n v="27338254"/>
    <n v="8.8385295867919922"/>
    <n v="2137274"/>
  </r>
  <r>
    <x v="0"/>
    <x v="14"/>
    <s v="EPHC"/>
    <x v="14"/>
    <n v="3.533710241317749"/>
    <n v="22.9582405090332"/>
    <n v="61.872642517089837"/>
    <n v="7.3922314643859863"/>
    <n v="1052438"/>
    <n v="876469"/>
    <n v="15346321"/>
    <n v="5694351"/>
    <n v="1833501"/>
    <n v="27622841"/>
    <n v="7.7768845558166504"/>
    <n v="1928907"/>
  </r>
  <r>
    <x v="0"/>
    <x v="15"/>
    <s v="EPHC"/>
    <x v="15"/>
    <n v="4.1537117958068848"/>
    <n v="24.623636245727539"/>
    <n v="60.354202270507813"/>
    <n v="6.3610048294067383"/>
    <n v="1133362"/>
    <n v="1044419"/>
    <n v="15175603"/>
    <n v="6191425"/>
    <n v="1599426"/>
    <n v="27905843"/>
    <n v="8.6611547470092773"/>
    <n v="2177781"/>
  </r>
  <r>
    <x v="0"/>
    <x v="16"/>
    <s v="EPHC"/>
    <x v="16"/>
    <n v="4.8496789932250977"/>
    <n v="25.703767776489261"/>
    <n v="57.495689392089837"/>
    <n v="6.2877974510192871"/>
    <n v="1455430"/>
    <n v="1246386"/>
    <n v="14776611"/>
    <n v="6605966"/>
    <n v="1615988"/>
    <n v="28258336"/>
    <n v="10.512746810913089"/>
    <n v="2701816"/>
  </r>
  <r>
    <x v="0"/>
    <x v="17"/>
    <s v="EPHC"/>
    <x v="17"/>
    <n v="5.9375991821289063"/>
    <n v="32.762149810791023"/>
    <n v="51.003253936767578"/>
    <n v="3.9592850208282471"/>
    <n v="1629251"/>
    <n v="1526393"/>
    <n v="13111530"/>
    <n v="8422245"/>
    <n v="1017823"/>
    <n v="28644818"/>
    <n v="12.27531147003174"/>
    <n v="3155644"/>
  </r>
  <r>
    <x v="0"/>
    <x v="18"/>
    <s v="EPHC"/>
    <x v="18"/>
    <n v="5.2957901954650879"/>
    <n v="29.22017860412598"/>
    <n v="55.329807281494141"/>
    <n v="4.3776369094848633"/>
    <n v="1437325"/>
    <n v="1317693"/>
    <n v="13767104"/>
    <n v="7270534"/>
    <n v="1089239"/>
    <n v="28997492"/>
    <n v="11.072380065917971"/>
    <n v="2755018"/>
  </r>
  <r>
    <x v="0"/>
    <x v="19"/>
    <s v="EPHC"/>
    <x v="19"/>
    <n v="5.1863579750061044"/>
    <n v="28.843498229980469"/>
    <n v="56.133304595947273"/>
    <n v="4.7418022155761719"/>
    <n v="1300269"/>
    <n v="1323575"/>
    <n v="14325397"/>
    <n v="7360952"/>
    <n v="1210123"/>
    <n v="29261262"/>
    <n v="10.281393051147459"/>
    <n v="2623844"/>
  </r>
  <r>
    <x v="1"/>
    <x v="0"/>
    <s v="LFS"/>
    <x v="20"/>
    <n v="1.6294320821762081"/>
    <n v="14.71910190582275"/>
    <n v="68.708839416503906"/>
    <n v="13.38485050201416"/>
    <n v="3304.0486392974899"/>
    <n v="3456.04222488403"/>
    <n v="145732.172616959"/>
    <n v="31219.367206573501"/>
    <n v="28389.406194686901"/>
    <n v="230811.11952400199"/>
    <n v="3.187202930450439"/>
    <n v="6760.0908641815204"/>
  </r>
  <r>
    <x v="1"/>
    <x v="1"/>
    <s v="LFS"/>
    <x v="21"/>
    <n v="1.966961264610291"/>
    <n v="14.11469745635986"/>
    <n v="67.842254638671875"/>
    <n v="14.91812896728516"/>
    <n v="2554.97560501099"/>
    <n v="4340.0191726684598"/>
    <n v="149691.151119232"/>
    <n v="31143.4989776611"/>
    <n v="32916.238079071001"/>
    <n v="240075.55133438099"/>
    <n v="3.124914407730103"/>
    <n v="6894.9947776794397"/>
  </r>
  <r>
    <x v="1"/>
    <x v="2"/>
    <s v="LFS"/>
    <x v="22"/>
    <n v="1.7987092733383181"/>
    <n v="15.63915920257568"/>
    <n v="68.694221496582031"/>
    <n v="12.43992900848389"/>
    <n v="4308.1622314453098"/>
    <n v="5426.62742614746"/>
    <n v="207247.45811462399"/>
    <n v="47182.6613616943"/>
    <n v="37530.720977783203"/>
    <n v="329035.89042663598"/>
    <n v="3.2266921997070308"/>
    <n v="9734.7896575927698"/>
  </r>
  <r>
    <x v="1"/>
    <x v="3"/>
    <s v="LFS"/>
    <x v="23"/>
    <n v="1.4437084197998049"/>
    <n v="8.996525764465332"/>
    <n v="64.665092468261719"/>
    <n v="24.109678268432621"/>
    <n v="1258.39675521851"/>
    <n v="2314.3490676879901"/>
    <n v="103661.925680161"/>
    <n v="14421.958032607999"/>
    <n v="38649.226280212402"/>
    <n v="188407.297224045"/>
    <n v="2.228705883026123"/>
    <n v="3572.74582290649"/>
  </r>
  <r>
    <x v="1"/>
    <x v="4"/>
    <s v="LFS"/>
    <x v="24"/>
    <n v="1.2543520927429199"/>
    <n v="9.1205101013183594"/>
    <n v="64.313591003417969"/>
    <n v="24.35920524597168"/>
    <n v="2166.8114891052201"/>
    <n v="2853.94922447205"/>
    <n v="146328.70694541899"/>
    <n v="20751.328571319598"/>
    <n v="55422.983951568604"/>
    <n v="282523.88866424601"/>
    <n v="2.2066972255706792"/>
    <n v="5020.7607135772696"/>
  </r>
  <r>
    <x v="1"/>
    <x v="5"/>
    <s v="LFS"/>
    <x v="25"/>
    <n v="1.6538616418838501"/>
    <n v="11.48530292510986"/>
    <n v="64.127815246582031"/>
    <n v="21.58289909362793"/>
    <n v="2319.3823528289799"/>
    <n v="3335.24096298218"/>
    <n v="129322.612808228"/>
    <n v="23161.703756332401"/>
    <n v="43524.905891418501"/>
    <n v="255519.74636268601"/>
    <n v="2.803984642028809"/>
    <n v="5654.62331581116"/>
  </r>
  <r>
    <x v="1"/>
    <x v="6"/>
    <s v="LFS"/>
    <x v="26"/>
    <n v="1.725050568580627"/>
    <n v="13.09401702880859"/>
    <n v="64.149002075195313"/>
    <n v="19.18409538269043"/>
    <n v="2856.90141057968"/>
    <n v="2667.0601525306702"/>
    <n v="99179.256139755205"/>
    <n v="20244.353202819799"/>
    <n v="29660.0818552971"/>
    <n v="192849.80586195001"/>
    <n v="3.5728902816772461"/>
    <n v="5523.9615631103497"/>
  </r>
  <r>
    <x v="1"/>
    <x v="8"/>
    <s v="LFS"/>
    <x v="27"/>
    <n v="2.366342306137085"/>
    <n v="15.054390907287599"/>
    <n v="62.022579193115227"/>
    <n v="17.948762893676761"/>
    <n v="3934.03713226318"/>
    <n v="3569.60961532593"/>
    <n v="93560.594585418701"/>
    <n v="22709.436489105199"/>
    <n v="27075.575092315699"/>
    <n v="191850.17926025399"/>
    <n v="4.9742684364318848"/>
    <n v="7503.6467475891104"/>
  </r>
  <r>
    <x v="1"/>
    <x v="10"/>
    <s v="LFS"/>
    <x v="28"/>
    <n v="3.397483348846436"/>
    <n v="16.795806884765629"/>
    <n v="63.046234130859382"/>
    <n v="13.252578735351561"/>
    <n v="5013.5268955230704"/>
    <n v="4855.7226905822799"/>
    <n v="90106.406280517607"/>
    <n v="24004.761735916101"/>
    <n v="18940.7379627228"/>
    <n v="195597.122680664"/>
    <n v="6.9053807258605957"/>
    <n v="9869.2495861053503"/>
  </r>
  <r>
    <x v="1"/>
    <x v="11"/>
    <s v="LFS"/>
    <x v="29"/>
    <n v="2.3542170524597168"/>
    <n v="18.330509185791019"/>
    <n v="63.479984283447273"/>
    <n v="12.983303070068359"/>
    <n v="5605.9004783630398"/>
    <n v="4627.4807205200204"/>
    <n v="124777.10425567599"/>
    <n v="36030.694053649902"/>
    <n v="25520.152339935299"/>
    <n v="257561.78163528399"/>
    <n v="5.206202507019043"/>
    <n v="10233.3811988831"/>
  </r>
  <r>
    <x v="2"/>
    <x v="0"/>
    <s v="LFS"/>
    <x v="30"/>
    <n v="1.2667415142059331"/>
    <n v="7.7259697914123544"/>
    <n v="55.631542205810547"/>
    <n v="31.167537689208981"/>
    <n v="5236.7500667572003"/>
    <n v="1576.3500232696499"/>
    <n v="69228.640570640593"/>
    <n v="9614.3001108169592"/>
    <n v="38785.300334930398"/>
    <n v="270974.48251915001"/>
    <n v="5.4749493598937988"/>
    <n v="6813.10009002686"/>
  </r>
  <r>
    <x v="2"/>
    <x v="1"/>
    <s v="LFS"/>
    <x v="31"/>
    <n v="3.5664670467376709"/>
    <n v="16.850263595581051"/>
    <n v="55.024349212646477"/>
    <n v="18.97910118103027"/>
    <n v="11871.722994804401"/>
    <n v="7588.0806608200101"/>
    <n v="117070.821193695"/>
    <n v="35850.929381370501"/>
    <n v="40380.283828735402"/>
    <n v="283042.16042137099"/>
    <n v="9.1462850570678711"/>
    <n v="19459.803655624401"/>
  </r>
  <r>
    <x v="2"/>
    <x v="2"/>
    <s v="LFS"/>
    <x v="32"/>
    <n v="3.143701314926147"/>
    <n v="16.47970008850098"/>
    <n v="54.183780670166023"/>
    <n v="19.33292388916016"/>
    <n v="15749.5414609909"/>
    <n v="7217.5807647705096"/>
    <n v="124399.78722763099"/>
    <n v="37835.5151414871"/>
    <n v="44386.190942764297"/>
    <n v="289799.65305328398"/>
    <n v="10.003598213195801"/>
    <n v="22967.122225761399"/>
  </r>
  <r>
    <x v="2"/>
    <x v="4"/>
    <s v="LFS"/>
    <x v="33"/>
    <n v="3.2236132621765141"/>
    <n v="13.184389114379879"/>
    <n v="52.518550872802727"/>
    <n v="26.27568244934082"/>
    <n v="11531.101905822799"/>
    <n v="7747.7389011383102"/>
    <n v="126224.827344894"/>
    <n v="31687.8005752563"/>
    <n v="63151.849889755198"/>
    <n v="313812.44288826"/>
    <n v="8.0213756561279297"/>
    <n v="19278.8408069611"/>
  </r>
  <r>
    <x v="2"/>
    <x v="15"/>
    <s v="LFS"/>
    <x v="34"/>
    <m/>
    <m/>
    <m/>
    <m/>
    <m/>
    <m/>
    <m/>
    <m/>
    <m/>
    <n v="395881.99903106701"/>
    <m/>
    <m/>
  </r>
  <r>
    <x v="3"/>
    <x v="0"/>
    <s v="ECH"/>
    <x v="35"/>
    <n v="17.624982833862301"/>
    <n v="31.88190841674805"/>
    <n v="19.86305999755859"/>
    <n v="2.1897192001342769"/>
    <n v="2583025"/>
    <n v="1600747"/>
    <n v="1804015"/>
    <n v="2895598"/>
    <n v="198876"/>
    <n v="9192549"/>
    <n v="46.065311431884773"/>
    <n v="4183772"/>
  </r>
  <r>
    <x v="3"/>
    <x v="2"/>
    <s v="ECH"/>
    <x v="36"/>
    <n v="17.971855163574219"/>
    <n v="29.14015007019043"/>
    <n v="17.383096694946289"/>
    <n v="0.97825199365615845"/>
    <n v="3213292"/>
    <n v="1672587"/>
    <n v="1617793"/>
    <n v="2711987"/>
    <n v="91043"/>
    <n v="9408006"/>
    <n v="52.498500823974609"/>
    <n v="4885879"/>
  </r>
  <r>
    <x v="3"/>
    <x v="3"/>
    <s v="ECH"/>
    <x v="37"/>
    <n v="15.742021560668951"/>
    <n v="31.683137893676761"/>
    <n v="18.671638488769531"/>
    <n v="1.2064288854598999"/>
    <n v="3060696"/>
    <n v="1473587"/>
    <n v="1747824"/>
    <n v="2965811"/>
    <n v="112932"/>
    <n v="9627078"/>
    <n v="48.438796997070313"/>
    <n v="4534283"/>
  </r>
  <r>
    <x v="3"/>
    <x v="4"/>
    <s v="ECH"/>
    <x v="38"/>
    <n v="15.546554565429689"/>
    <n v="33.306415557861328"/>
    <n v="18.881147384643551"/>
    <n v="1.1226793527603149"/>
    <n v="3022558"/>
    <n v="1508848"/>
    <n v="1832482"/>
    <n v="3232505"/>
    <n v="108960"/>
    <n v="9902633"/>
    <n v="46.689762115478523"/>
    <n v="4531406"/>
  </r>
  <r>
    <x v="3"/>
    <x v="5"/>
    <s v="ECH"/>
    <x v="39"/>
    <n v="15.52672672271729"/>
    <n v="37.818790435791023"/>
    <n v="21.844228744506839"/>
    <n v="1.152190089225769"/>
    <n v="2350201"/>
    <n v="1542431"/>
    <n v="2170014"/>
    <n v="3756933"/>
    <n v="114459"/>
    <n v="10027973"/>
    <n v="39.184791564941413"/>
    <n v="3892632"/>
  </r>
  <r>
    <x v="3"/>
    <x v="6"/>
    <s v="ECH"/>
    <x v="40"/>
    <n v="14.396773338317869"/>
    <n v="39.353515625"/>
    <n v="24.24270057678223"/>
    <n v="0.87583202123641968"/>
    <n v="2152295"/>
    <n v="1466369"/>
    <n v="2469216"/>
    <n v="4008313"/>
    <n v="89207"/>
    <n v="10301614"/>
    <n v="35.527950286865227"/>
    <n v="3618664"/>
  </r>
  <r>
    <x v="3"/>
    <x v="8"/>
    <s v="ECH"/>
    <x v="41"/>
    <n v="12.61470794677734"/>
    <n v="40.099613189697273"/>
    <n v="29.452899932861332"/>
    <n v="0.91992747783660889"/>
    <n v="1723684"/>
    <n v="1285636"/>
    <n v="3001711"/>
    <n v="4086778"/>
    <n v="93755"/>
    <n v="10259943"/>
    <n v="29.527557373046879"/>
    <n v="3009320"/>
  </r>
  <r>
    <x v="3"/>
    <x v="9"/>
    <s v="ECH"/>
    <x v="42"/>
    <n v="12.1422176361084"/>
    <n v="37.368236541748047"/>
    <n v="31.49201583862305"/>
    <n v="0.80497831106185913"/>
    <n v="1843961"/>
    <n v="1230711"/>
    <n v="3191968"/>
    <n v="3787570"/>
    <n v="81591"/>
    <n v="10241111"/>
    <n v="30.334770202636719"/>
    <n v="3074672"/>
  </r>
  <r>
    <x v="3"/>
    <x v="10"/>
    <s v="ECH"/>
    <x v="43"/>
    <n v="11.39907646179199"/>
    <n v="37.760395050048828"/>
    <n v="33.510261535644531"/>
    <n v="1.5231801271438601"/>
    <n v="1633427"/>
    <n v="1177925"/>
    <n v="3462787"/>
    <n v="3901975"/>
    <n v="157398"/>
    <n v="10421813"/>
    <n v="27.206161499023441"/>
    <n v="2811352"/>
  </r>
  <r>
    <x v="3"/>
    <x v="11"/>
    <s v="ECH"/>
    <x v="44"/>
    <n v="11.83006381988525"/>
    <n v="38.3743896484375"/>
    <n v="32.924407958984382"/>
    <n v="1.287516713142395"/>
    <n v="1635805"/>
    <n v="1241796"/>
    <n v="3456059"/>
    <n v="4028141"/>
    <n v="135150"/>
    <n v="10573567"/>
    <n v="27.4136848449707"/>
    <n v="2877601"/>
  </r>
  <r>
    <x v="3"/>
    <x v="12"/>
    <s v="ECH"/>
    <x v="45"/>
    <n v="13.090939521789551"/>
    <n v="38.537948608398438"/>
    <n v="32.441177368164063"/>
    <n v="0.98766767978668213"/>
    <n v="1611857"/>
    <n v="1412150"/>
    <n v="3499505"/>
    <n v="4157178"/>
    <n v="106542"/>
    <n v="10896290"/>
    <n v="28.033205032348629"/>
    <n v="3024007"/>
  </r>
  <r>
    <x v="3"/>
    <x v="13"/>
    <s v="ECH"/>
    <x v="46"/>
    <n v="11.073623657226561"/>
    <n v="37.950313568115227"/>
    <n v="33.833763122558587"/>
    <n v="0.93161797523498535"/>
    <n v="1768437"/>
    <n v="1208031"/>
    <n v="3690954"/>
    <n v="4140032"/>
    <n v="101631"/>
    <n v="11046400"/>
    <n v="27.284303665161129"/>
    <n v="2976468"/>
  </r>
  <r>
    <x v="3"/>
    <x v="14"/>
    <s v="ECH"/>
    <x v="47"/>
    <n v="11.68980121612549"/>
    <n v="38.284725189208977"/>
    <n v="33.407009124755859"/>
    <n v="0.77578264474868774"/>
    <n v="1753476"/>
    <n v="1293833"/>
    <n v="3697504"/>
    <n v="4237372"/>
    <n v="85864"/>
    <n v="11216272"/>
    <n v="27.532485961914059"/>
    <n v="3047309"/>
  </r>
  <r>
    <x v="3"/>
    <x v="15"/>
    <s v="ECH"/>
    <x v="48"/>
    <n v="11.579615592956539"/>
    <n v="40.782779693603523"/>
    <n v="32.75738525390625"/>
    <n v="0.58975887298583984"/>
    <n v="1616409.12286377"/>
    <n v="1309782.62458038"/>
    <n v="3705222.6336288499"/>
    <n v="4612983.4566116296"/>
    <n v="66708.2526702881"/>
    <n v="11370509.8318405"/>
    <n v="25.870075225830082"/>
    <n v="2926191.74744415"/>
  </r>
  <r>
    <x v="3"/>
    <x v="16"/>
    <s v="ECH"/>
    <x v="49"/>
    <n v="11.16826915740967"/>
    <n v="42.218605041503913"/>
    <n v="35.249076843261719"/>
    <n v="0.8124116063117981"/>
    <n v="1210005.40800095"/>
    <n v="1280717.48106384"/>
    <n v="4042176.1039733901"/>
    <n v="4841404.5240535699"/>
    <n v="93163.0233383179"/>
    <n v="11533265.995273599"/>
    <n v="21.719905853271481"/>
    <n v="2490722.8890647902"/>
  </r>
  <r>
    <x v="3"/>
    <x v="17"/>
    <s v="ECH"/>
    <x v="50"/>
    <n v="12.376527786254879"/>
    <n v="41.008033752441413"/>
    <n v="31.861057281494141"/>
    <n v="0.97886407375335693"/>
    <n v="1607529.7941694299"/>
    <n v="1444275.39198971"/>
    <n v="3718017.05097675"/>
    <n v="4785420.7243289901"/>
    <n v="114228.267101288"/>
    <n v="11749037.9950953"/>
    <n v="26.152044296264648"/>
    <n v="3051805.1861591302"/>
  </r>
  <r>
    <x v="3"/>
    <x v="18"/>
    <s v="ECH"/>
    <x v="51"/>
    <n v="13.18068313598633"/>
    <n v="42.15826416015625"/>
    <n v="33.264591217041023"/>
    <n v="0.66701406240463257"/>
    <n v="1272703.84488201"/>
    <n v="1563463.96713638"/>
    <n v="3945773.5057067899"/>
    <n v="5000721.47926044"/>
    <n v="79119.758918762207"/>
    <n v="11903957.9894905"/>
    <n v="23.91013145446777"/>
    <n v="2836167.8120183898"/>
  </r>
  <r>
    <x v="4"/>
    <x v="0"/>
    <s v="PNAD"/>
    <x v="52"/>
    <n v="16.578367233276371"/>
    <n v="32.908821105957031"/>
    <n v="21.46091270446777"/>
    <n v="2.1692335605621338"/>
    <n v="45339009"/>
    <n v="27960276"/>
    <n v="36194945"/>
    <n v="55502435"/>
    <n v="3658525"/>
    <n v="175374186"/>
    <n v="43.461029052734382"/>
    <n v="73299285"/>
  </r>
  <r>
    <x v="4"/>
    <x v="1"/>
    <s v="PNAD"/>
    <x v="53"/>
    <n v="17.450204849243161"/>
    <n v="33.660606384277337"/>
    <n v="22.431009292602539"/>
    <n v="2.122148990631104"/>
    <n v="41721510"/>
    <n v="29916500"/>
    <n v="38455552"/>
    <n v="57707492"/>
    <n v="3638196"/>
    <n v="177592322"/>
    <n v="41.786235809326172"/>
    <n v="71638010"/>
  </r>
  <r>
    <x v="4"/>
    <x v="2"/>
    <s v="PNAD"/>
    <x v="54"/>
    <n v="16.690193176269531"/>
    <n v="35.177764892578132"/>
    <n v="23.487339019775391"/>
    <n v="2.3891687393188481"/>
    <n v="38731555"/>
    <n v="29046130"/>
    <n v="40875278"/>
    <n v="61220253"/>
    <n v="4157897"/>
    <n v="179793052"/>
    <n v="38.945728302001953"/>
    <n v="67777685"/>
  </r>
  <r>
    <x v="4"/>
    <x v="3"/>
    <s v="PNAD"/>
    <x v="55"/>
    <n v="15.5819091796875"/>
    <n v="36.058906555175781"/>
    <n v="25.11628532409668"/>
    <n v="2.652532815933228"/>
    <n v="37075472"/>
    <n v="28057130"/>
    <n v="45224936"/>
    <n v="64928459"/>
    <n v="4776209"/>
    <n v="185751656"/>
    <n v="36.172275543212891"/>
    <n v="65132602"/>
  </r>
  <r>
    <x v="4"/>
    <x v="4"/>
    <s v="PNAD"/>
    <x v="56"/>
    <n v="16.591470718383789"/>
    <n v="36.372222900390632"/>
    <n v="26.576498031616211"/>
    <n v="2.5601527690887451"/>
    <n v="32401716"/>
    <n v="30033657"/>
    <n v="48108420"/>
    <n v="65840508"/>
    <n v="4634354"/>
    <n v="187575208"/>
    <n v="34.491127014160163"/>
    <n v="62435373"/>
  </r>
  <r>
    <x v="4"/>
    <x v="5"/>
    <s v="PNAD"/>
    <x v="57"/>
    <n v="15.39009380340576"/>
    <n v="37.138717651367188"/>
    <n v="29.134452819824219"/>
    <n v="2.8797504901885991"/>
    <n v="28417291"/>
    <n v="28294312"/>
    <n v="53562981"/>
    <n v="68278625"/>
    <n v="5294351"/>
    <n v="189540125"/>
    <n v="30.847078323364261"/>
    <n v="56711603"/>
  </r>
  <r>
    <x v="4"/>
    <x v="6"/>
    <s v="PNAD"/>
    <x v="58"/>
    <n v="13.222831726074221"/>
    <n v="38.949356079101563"/>
    <n v="30.125385284423832"/>
    <n v="2.9310767650604248"/>
    <n v="27357657"/>
    <n v="24489679"/>
    <n v="55794483"/>
    <n v="72137138"/>
    <n v="5428575"/>
    <n v="191475633"/>
    <n v="27.994182586669918"/>
    <n v="51847336"/>
  </r>
  <r>
    <x v="4"/>
    <x v="8"/>
    <s v="PNAD"/>
    <x v="59"/>
    <n v="12.715085029602051"/>
    <n v="38.355098724365227"/>
    <n v="33.154945373535163"/>
    <n v="3.162594079971313"/>
    <n v="23577877"/>
    <n v="23770073"/>
    <n v="61981135"/>
    <n v="71702512"/>
    <n v="5912276"/>
    <n v="194778930"/>
    <n v="25.327360153198239"/>
    <n v="47347950"/>
  </r>
  <r>
    <x v="4"/>
    <x v="9"/>
    <s v="PNAD"/>
    <x v="60"/>
    <n v="11.806771278381349"/>
    <n v="38.365131378173828"/>
    <n v="36.012905120849609"/>
    <n v="3.4522109031677251"/>
    <n v="19924911"/>
    <n v="22700886"/>
    <n v="69242034"/>
    <n v="73764661"/>
    <n v="6637568"/>
    <n v="199319204"/>
    <n v="22.16975212097168"/>
    <n v="42625797"/>
  </r>
  <r>
    <x v="4"/>
    <x v="10"/>
    <s v="PNAD"/>
    <x v="61"/>
    <n v="11.03363704681396"/>
    <n v="37.679294586181641"/>
    <n v="37.434680938720703"/>
    <n v="3.7685856819152832"/>
    <n v="19475138"/>
    <n v="21309573"/>
    <n v="72298648"/>
    <n v="72771076"/>
    <n v="7278375"/>
    <n v="201020101"/>
    <n v="21.1174430847168"/>
    <n v="40784711"/>
  </r>
  <r>
    <x v="4"/>
    <x v="11"/>
    <s v="PNAD"/>
    <x v="62"/>
    <n v="10.39490413665771"/>
    <n v="37.895679473876953"/>
    <n v="38.841976165771477"/>
    <n v="3.8823950290679932"/>
    <n v="17670324"/>
    <n v="20443011"/>
    <n v="76388103"/>
    <n v="74527076"/>
    <n v="7635265"/>
    <n v="201776821"/>
    <n v="19.379945755004879"/>
    <n v="38113335"/>
  </r>
  <r>
    <x v="4"/>
    <x v="12"/>
    <s v="PNAD"/>
    <x v="63"/>
    <n v="10.95146369934082"/>
    <n v="38.986915588378913"/>
    <n v="36.270542144775391"/>
    <n v="3.3126189708709721"/>
    <n v="20917637"/>
    <n v="21861870"/>
    <n v="72405100"/>
    <n v="77827664"/>
    <n v="6612819"/>
    <n v="204243936"/>
    <n v="21.429924011230469"/>
    <n v="42779507"/>
  </r>
  <r>
    <x v="4"/>
    <x v="13"/>
    <s v="PNADC"/>
    <x v="64"/>
    <n v="11.67286205291748"/>
    <n v="34.873538970947273"/>
    <n v="39.197250366210938"/>
    <n v="3.9641954898834229"/>
    <n v="20735973.22614"/>
    <n v="23517737.807407402"/>
    <n v="78972122.638198897"/>
    <n v="70260985.592682794"/>
    <n v="7986808.0117034903"/>
    <n v="205511395.09188101"/>
    <n v="21.96501541137695"/>
    <n v="44253711.033547401"/>
  </r>
  <r>
    <x v="4"/>
    <x v="14"/>
    <s v="PNADC"/>
    <x v="65"/>
    <n v="11.117711067199711"/>
    <n v="35.084526062011719"/>
    <n v="39.310886383056641"/>
    <n v="3.924757719039917"/>
    <n v="21417462.666503899"/>
    <n v="22544068.172523499"/>
    <n v="79713110.986876503"/>
    <n v="71143056.416087195"/>
    <n v="7958472.8693790399"/>
    <n v="207087566.956117"/>
    <n v="21.679830551147461"/>
    <n v="43961530.839027397"/>
  </r>
  <r>
    <x v="4"/>
    <x v="15"/>
    <s v="PNADC"/>
    <x v="66"/>
    <n v="11.42869186401367"/>
    <n v="33.974967956542969"/>
    <n v="39.526435852050781"/>
    <n v="4.0588283538818359"/>
    <n v="22414305.091758698"/>
    <n v="23264415.256094899"/>
    <n v="80460601.611889407"/>
    <n v="69159956.598434001"/>
    <n v="8262212.06142521"/>
    <n v="207853292.971771"/>
    <n v="22.439764022827148"/>
    <n v="45678720.347853698"/>
  </r>
  <r>
    <x v="4"/>
    <x v="16"/>
    <s v="PNADC"/>
    <x v="67"/>
    <n v="11.081619262695311"/>
    <n v="33.063316345214837"/>
    <n v="40.962440490722663"/>
    <n v="4.0748171806335449"/>
    <n v="22217391.483596802"/>
    <n v="22759196.4787254"/>
    <n v="84127799.026073501"/>
    <n v="67904746.046874002"/>
    <n v="8368774.2333335904"/>
    <n v="209496462.977604"/>
    <n v="21.899429321289059"/>
    <n v="44976587.962322198"/>
  </r>
  <r>
    <x v="4"/>
    <x v="17"/>
    <s v="PNADC"/>
    <x v="68"/>
    <n v="11.26315498352051"/>
    <n v="37.306159973144531"/>
    <n v="39.191524505615227"/>
    <n v="3.4885942935943599"/>
    <n v="18030183.6760941"/>
    <n v="23207263.132851601"/>
    <n v="80752505.421770096"/>
    <n v="76867793.386194199"/>
    <n v="7188103.4894142197"/>
    <n v="211096452.99566099"/>
    <n v="20.013723373413089"/>
    <n v="41237446.808945701"/>
  </r>
  <r>
    <x v="4"/>
    <x v="18"/>
    <s v="PNADC"/>
    <x v="69"/>
    <n v="12.42942047119141"/>
    <n v="35.166000366210938"/>
    <n v="36.536918640136719"/>
    <n v="3.3633906841278081"/>
    <n v="25909475.569019299"/>
    <n v="25754381.272228699"/>
    <n v="75706319.784206897"/>
    <n v="72865710.300332993"/>
    <n v="6969113.6604809798"/>
    <n v="212650323.435341"/>
    <n v="24.93369293212891"/>
    <n v="51663856.841247998"/>
  </r>
  <r>
    <x v="4"/>
    <x v="19"/>
    <s v="PNADC"/>
    <x v="70"/>
    <n v="11.91102981567383"/>
    <n v="30.286922454833981"/>
    <n v="27.98276519775391"/>
    <n v="2.5887255668640141"/>
    <n v="58062070.347421199"/>
    <n v="25397169.233465198"/>
    <n v="59665959.988497302"/>
    <n v="64578973.175574303"/>
    <n v="5519782.9862976102"/>
    <n v="214153641.03208399"/>
    <n v="39.141586303710938"/>
    <n v="83459239.580886394"/>
  </r>
  <r>
    <x v="5"/>
    <x v="1"/>
    <s v="CLFS"/>
    <x v="71"/>
    <n v="1.303924679756165"/>
    <n v="11.17212963104248"/>
    <n v="75.199615478515625"/>
    <n v="11.226412773132321"/>
    <n v="2519.35984420776"/>
    <n v="2992.0882968902602"/>
    <n v="172558.969192505"/>
    <n v="25636.449827194199"/>
    <n v="25761.0110816956"/>
    <n v="273164.62449073797"/>
    <n v="2.4018385410308838"/>
    <n v="5511.4481410980197"/>
  </r>
  <r>
    <x v="5"/>
    <x v="2"/>
    <s v="CLFS"/>
    <x v="72"/>
    <n v="1.433279395103455"/>
    <n v="10.36022472381592"/>
    <n v="76.992698669433594"/>
    <n v="10.60589122772217"/>
    <n v="1396.05650901794"/>
    <n v="3291.5244541168199"/>
    <n v="176813.64409637501"/>
    <n v="23792.243318557699"/>
    <n v="24356.4171981812"/>
    <n v="274769.34506607102"/>
    <n v="2.041185855865479"/>
    <n v="4687.5809631347702"/>
  </r>
  <r>
    <x v="5"/>
    <x v="3"/>
    <s v="CLFS"/>
    <x v="73"/>
    <n v="1.2398673295974729"/>
    <n v="11.467569351196291"/>
    <n v="77.575454711914063"/>
    <n v="8.8038406372070313"/>
    <n v="2116.31199264526"/>
    <n v="2873.1389694213899"/>
    <n v="179765.256715775"/>
    <n v="26573.7477531433"/>
    <n v="20401.101428985599"/>
    <n v="277097.60037231399"/>
    <n v="2.1531352996826172"/>
    <n v="4989.4509620666504"/>
  </r>
  <r>
    <x v="5"/>
    <x v="4"/>
    <s v="CLFS"/>
    <x v="74"/>
    <n v="1.122260570526123"/>
    <n v="10.881087303161619"/>
    <n v="78.701469421386719"/>
    <n v="8.8655118942260742"/>
    <n v="995.58591079711903"/>
    <n v="2600.3890628814702"/>
    <n v="182359.111822128"/>
    <n v="25212.557374954202"/>
    <n v="20542.270532607999"/>
    <n v="278308.37018394499"/>
    <n v="1.551929712295532"/>
    <n v="3595.9749736785898"/>
  </r>
  <r>
    <x v="5"/>
    <x v="5"/>
    <s v="CLFS"/>
    <x v="75"/>
    <n v="1.2451881170272829"/>
    <n v="14.34257888793945"/>
    <n v="76.514244079589844"/>
    <n v="7.4808740615844727"/>
    <n v="974.00371932983398"/>
    <n v="2907.6292457580598"/>
    <n v="178667.821496964"/>
    <n v="33491.2479476929"/>
    <n v="17468.531187057499"/>
    <n v="279537.85638427699"/>
    <n v="1.6623039245605471"/>
    <n v="3881.6329650878902"/>
  </r>
  <r>
    <x v="5"/>
    <x v="6"/>
    <s v="CLFS"/>
    <x v="76"/>
    <n v="1.4806568622589109"/>
    <n v="14.65506076812744"/>
    <n v="76.147857666015625"/>
    <n v="7.2880468368530273"/>
    <n v="993.98382186889603"/>
    <n v="3435.62673568726"/>
    <n v="176688.88631820699"/>
    <n v="34004.7176742554"/>
    <n v="16910.7441864014"/>
    <n v="280748.53178024298"/>
    <n v="1.909035444259644"/>
    <n v="4429.6105575561496"/>
  </r>
  <r>
    <x v="5"/>
    <x v="7"/>
    <s v="CLFS"/>
    <x v="77"/>
    <n v="1.326457619667053"/>
    <n v="17.358823776245121"/>
    <n v="74.500091552734375"/>
    <n v="6.3647007942199707"/>
    <n v="1034.18858528137"/>
    <n v="3048.9325294494602"/>
    <n v="171242.37576103199"/>
    <n v="39900.167577743501"/>
    <n v="14629.599855422999"/>
    <n v="277997.55162620498"/>
    <n v="1.7763879299163821"/>
    <n v="4083.12111473083"/>
  </r>
  <r>
    <x v="5"/>
    <x v="8"/>
    <s v="CLFS"/>
    <x v="78"/>
    <n v="1.70607602596283"/>
    <n v="18.36710357666016"/>
    <n v="73.972412109375"/>
    <n v="4.5292673110961914"/>
    <n v="3348.7134380340599"/>
    <n v="4008.8477478027298"/>
    <n v="173816.47952079799"/>
    <n v="43158.054296493501"/>
    <n v="10642.633604049701"/>
    <n v="282655.41966628999"/>
    <n v="3.1312136650085449"/>
    <n v="7357.5611858367902"/>
  </r>
  <r>
    <x v="5"/>
    <x v="9"/>
    <s v="CLFS"/>
    <x v="79"/>
    <n v="2.716577291488647"/>
    <n v="19.463800430297852"/>
    <n v="72.299125671386719"/>
    <n v="4.3276896476745614"/>
    <n v="2792.20164871216"/>
    <n v="6359.1475391387903"/>
    <n v="169242.680521011"/>
    <n v="45562.178110122702"/>
    <n v="10130.5478973389"/>
    <n v="283248.981403351"/>
    <n v="3.9093837738037109"/>
    <n v="9151.3491878509503"/>
  </r>
  <r>
    <x v="5"/>
    <x v="10"/>
    <s v="CLFS"/>
    <x v="80"/>
    <n v="3.0149750709533691"/>
    <n v="19.228275299072269"/>
    <n v="71.99945068359375"/>
    <n v="4.6544685363769531"/>
    <n v="2498.7091732025101"/>
    <n v="6831.0803146362296"/>
    <n v="163130.371326447"/>
    <n v="43565.830636978098"/>
    <n v="10545.7086658478"/>
    <n v="273155.88590049703"/>
    <n v="4.1178088188171387"/>
    <n v="9329.7894878387506"/>
  </r>
  <r>
    <x v="5"/>
    <x v="11"/>
    <s v="CLFS"/>
    <x v="81"/>
    <n v="3.3507406711578369"/>
    <n v="23.348236083984379"/>
    <n v="67.710182189941406"/>
    <n v="4.0459156036376953"/>
    <n v="3470.1895046234099"/>
    <n v="7526.4151611328098"/>
    <n v="152090.25302696199"/>
    <n v="52444.680641174302"/>
    <n v="9087.9133663177508"/>
    <n v="278736.62063026399"/>
    <n v="4.8956599235534668"/>
    <n v="10996.6046657562"/>
  </r>
  <r>
    <x v="5"/>
    <x v="12"/>
    <s v="CLFS"/>
    <x v="82"/>
    <n v="2.4350101947784419"/>
    <n v="22.960317611694339"/>
    <n v="69.225807189941406"/>
    <n v="4.1743640899658203"/>
    <n v="2765.5499286651602"/>
    <n v="5590.8216304779098"/>
    <n v="158943.545326233"/>
    <n v="52717.250711440996"/>
    <n v="9584.4053344726599"/>
    <n v="278828.03951835597"/>
    <n v="3.639509916305542"/>
    <n v="8356.37155914307"/>
  </r>
  <r>
    <x v="5"/>
    <x v="13"/>
    <s v="CLFS"/>
    <x v="83"/>
    <n v="3.045061588287354"/>
    <n v="22.900686264038089"/>
    <n v="68.994155883789063"/>
    <n v="3.7415015697479248"/>
    <n v="3165.3712005615198"/>
    <n v="7309.8897743225098"/>
    <n v="165625.450702667"/>
    <n v="54974.743675231897"/>
    <n v="8981.7438659668005"/>
    <n v="285529.09096145601"/>
    <n v="4.3636517524719238"/>
    <n v="10475.260974884"/>
  </r>
  <r>
    <x v="6"/>
    <x v="8"/>
    <s v="CASEN"/>
    <x v="84"/>
    <n v="8.2943115234375"/>
    <n v="39.928169250488281"/>
    <n v="42.174709320068359"/>
    <n v="5.3235855102539063"/>
    <n v="712618"/>
    <n v="1381249"/>
    <n v="7023341"/>
    <n v="6649225"/>
    <n v="886535"/>
    <n v="16926085"/>
    <n v="12.57353591918945"/>
    <n v="2093867"/>
  </r>
  <r>
    <x v="6"/>
    <x v="10"/>
    <s v="CASEN"/>
    <x v="85"/>
    <n v="5.5222945213317871"/>
    <n v="35.953624725341797"/>
    <n v="48.78814697265625"/>
    <n v="6.7845292091369629"/>
    <n v="502953"/>
    <n v="941061"/>
    <n v="8314048"/>
    <n v="6126901"/>
    <n v="1156160"/>
    <n v="17273117"/>
    <n v="8.4737014770507813"/>
    <n v="1444014"/>
  </r>
  <r>
    <x v="6"/>
    <x v="12"/>
    <s v="CASEN"/>
    <x v="86"/>
    <n v="5.7582740783691406"/>
    <n v="37.91693115234375"/>
    <n v="48.528133392333977"/>
    <n v="4.9530739784240723"/>
    <n v="492281"/>
    <n v="996871"/>
    <n v="8401179"/>
    <n v="6564170"/>
    <n v="857475"/>
    <n v="17552505"/>
    <n v="8.6018610000610352"/>
    <n v="1489152"/>
  </r>
  <r>
    <x v="6"/>
    <x v="14"/>
    <s v="CASEN"/>
    <x v="87"/>
    <n v="4.8546633720397949"/>
    <n v="35.562549591064453"/>
    <n v="51.095573425292969"/>
    <n v="5.8747920989990234"/>
    <n v="457636"/>
    <n v="850425"/>
    <n v="8950765"/>
    <n v="6229738"/>
    <n v="1029128"/>
    <n v="17807414"/>
    <n v="7.4670848846435547"/>
    <n v="1308061"/>
  </r>
  <r>
    <x v="6"/>
    <x v="17"/>
    <s v="CASEN"/>
    <x v="88"/>
    <n v="5.962651252746582"/>
    <n v="35.322189331054688"/>
    <n v="46.454299926757813"/>
    <n v="6.3294014930725098"/>
    <n v="1132354"/>
    <n v="1138309"/>
    <n v="8868429"/>
    <n v="6743236"/>
    <n v="1208324"/>
    <n v="19545799"/>
    <n v="11.89410877227783"/>
    <n v="2270663"/>
  </r>
  <r>
    <x v="6"/>
    <x v="19"/>
    <s v="CASEN"/>
    <x v="89"/>
    <n v="2.8378264904022221"/>
    <n v="28.066005706787109"/>
    <n v="58.70184326171875"/>
    <n v="7.925715446472168"/>
    <n v="481559"/>
    <n v="553584"/>
    <n v="11451159"/>
    <n v="5474927"/>
    <n v="1546095"/>
    <n v="19878573"/>
    <n v="5.3064327239990234"/>
    <n v="1035143"/>
  </r>
  <r>
    <x v="7"/>
    <x v="0"/>
    <s v="ECH"/>
    <x v="90"/>
    <n v="21.450372695922852"/>
    <n v="29.416757583618161"/>
    <n v="14.251363754272459"/>
    <n v="1.095783948898315"/>
    <n v="13269910.2826891"/>
    <n v="8424995.1665296592"/>
    <n v="5597462.3197422"/>
    <n v="11553926.3823252"/>
    <n v="430387.53610038798"/>
    <n v="40742012.642754599"/>
    <n v="55.236095428466797"/>
    <n v="21694905.449218798"/>
  </r>
  <r>
    <x v="7"/>
    <x v="1"/>
    <s v="ECH"/>
    <x v="91"/>
    <n v="19.42778205871582"/>
    <n v="28.07063102722168"/>
    <n v="14.516758918762211"/>
    <n v="1.425265431404114"/>
    <n v="14645503.343723301"/>
    <n v="7782632.9991893796"/>
    <n v="5815311.8238019897"/>
    <n v="11244898.525153199"/>
    <n v="570951.32580375695"/>
    <n v="41245479.6413908"/>
    <n v="55.987339019775391"/>
    <n v="22428136.3429127"/>
  </r>
  <r>
    <x v="7"/>
    <x v="2"/>
    <s v="ECH"/>
    <x v="92"/>
    <n v="20.39874267578125"/>
    <n v="31.294479370117191"/>
    <n v="16.189128875732418"/>
    <n v="1.426736116409302"/>
    <n v="12430116.892936699"/>
    <n v="8261687.8169450797"/>
    <n v="6556753.4344844799"/>
    <n v="12674567.107225399"/>
    <n v="577841.96168422699"/>
    <n v="41749361.680352204"/>
    <n v="51.089656829833977"/>
    <n v="20691804.709881801"/>
  </r>
  <r>
    <x v="7"/>
    <x v="3"/>
    <s v="GEIH"/>
    <x v="93"/>
    <n v="17.275575637817379"/>
    <n v="29.398960113525391"/>
    <n v="14.900266647338871"/>
    <n v="1.2931245565414431"/>
    <n v="14031600.5"/>
    <n v="6528156"/>
    <n v="5630566"/>
    <n v="11109384"/>
    <n v="488650.5"/>
    <n v="45395684"/>
    <n v="54.407649993896477"/>
    <n v="20559756.5"/>
  </r>
  <r>
    <x v="7"/>
    <x v="4"/>
    <s v="GEIH"/>
    <x v="94"/>
    <n v="18.247989654541019"/>
    <n v="29.722988128662109"/>
    <n v="15.83721923828125"/>
    <n v="1.375455498695374"/>
    <n v="14243296"/>
    <n v="7465215"/>
    <n v="6478974"/>
    <n v="12159613"/>
    <n v="562696"/>
    <n v="46065458"/>
    <n v="53.064334869384773"/>
    <n v="21708511"/>
  </r>
  <r>
    <x v="7"/>
    <x v="5"/>
    <s v="GEIH"/>
    <x v="95"/>
    <n v="16.760372161865231"/>
    <n v="32.997444152832031"/>
    <n v="20.964113235473629"/>
    <n v="1.8841408491134639"/>
    <n v="11460071"/>
    <n v="7011593"/>
    <n v="8770200"/>
    <n v="13804266"/>
    <n v="788218"/>
    <n v="43258255"/>
    <n v="44.154300689697273"/>
    <n v="18471664"/>
  </r>
  <r>
    <x v="7"/>
    <x v="6"/>
    <s v="GEIH"/>
    <x v="96"/>
    <n v="17.2227897644043"/>
    <n v="32.987533569335938"/>
    <n v="21.25846099853516"/>
    <n v="1.903993964195251"/>
    <n v="11333036"/>
    <n v="7330338"/>
    <n v="9047994"/>
    <n v="14040105"/>
    <n v="810375"/>
    <n v="43768631"/>
    <n v="43.850006103515632"/>
    <n v="18663374"/>
  </r>
  <r>
    <x v="7"/>
    <x v="7"/>
    <s v="GEIH"/>
    <x v="97"/>
    <n v="17.138362884521481"/>
    <n v="34.144748687744141"/>
    <n v="22.95339202880859"/>
    <n v="2.0930273532867432"/>
    <n v="10183317"/>
    <n v="7373125"/>
    <n v="9874819"/>
    <n v="14689472"/>
    <n v="900445"/>
    <n v="44281530"/>
    <n v="40.808834075927727"/>
    <n v="17556442"/>
  </r>
  <r>
    <x v="7"/>
    <x v="8"/>
    <s v="GEIH"/>
    <x v="98"/>
    <n v="16.33931922912598"/>
    <n v="35.636627197265632"/>
    <n v="24.969467163085941"/>
    <n v="2.2430448532104492"/>
    <n v="9100649"/>
    <n v="7144998"/>
    <n v="10918863"/>
    <n v="15583491"/>
    <n v="980858"/>
    <n v="44800048"/>
    <n v="37.150859832763672"/>
    <n v="16245647"/>
  </r>
  <r>
    <x v="7"/>
    <x v="9"/>
    <s v="GEIH"/>
    <x v="99"/>
    <n v="15.776493072509769"/>
    <n v="35.264823913574219"/>
    <n v="25.412515640258789"/>
    <n v="2.1626067161560059"/>
    <n v="9428077.2167978305"/>
    <n v="6955903.9230756797"/>
    <n v="11204455.465009499"/>
    <n v="15548368.2423234"/>
    <n v="953499.92660236405"/>
    <n v="45318603.641373403"/>
    <n v="37.160053253173828"/>
    <n v="16383981.139873501"/>
  </r>
  <r>
    <x v="7"/>
    <x v="10"/>
    <s v="GEIH"/>
    <x v="100"/>
    <n v="15.359811782836911"/>
    <n v="35.947818756103523"/>
    <n v="27.886539459228519"/>
    <n v="2.3109865188598628"/>
    <n v="8256563.5353159904"/>
    <n v="6857005.4323983202"/>
    <n v="12449252.2407894"/>
    <n v="16048008.5325513"/>
    <n v="1031682.51675797"/>
    <n v="45839413.340590499"/>
    <n v="33.854656219482422"/>
    <n v="15113568.9677143"/>
  </r>
  <r>
    <x v="7"/>
    <x v="11"/>
    <s v="GEIH"/>
    <x v="101"/>
    <n v="14.42107009887695"/>
    <n v="36.559597015380859"/>
    <n v="28.34195518493652"/>
    <n v="2.745639324188232"/>
    <n v="8085894.6746349297"/>
    <n v="6502839.5982408496"/>
    <n v="12780132.8388777"/>
    <n v="16485684.031756399"/>
    <n v="1238081.03189659"/>
    <n v="46361295.323515899"/>
    <n v="32.352809906005859"/>
    <n v="14588734.272875801"/>
  </r>
  <r>
    <x v="7"/>
    <x v="12"/>
    <s v="GEIH"/>
    <x v="102"/>
    <n v="14.882448196411129"/>
    <n v="36.995853424072273"/>
    <n v="28.8254508972168"/>
    <n v="2.1586682796478271"/>
    <n v="7836180.9085130701"/>
    <n v="6805018.3067398099"/>
    <n v="13180472.4447923"/>
    <n v="16916399.6345887"/>
    <n v="987053.792746544"/>
    <n v="46884054.657387704"/>
    <n v="32.020030975341797"/>
    <n v="14641199.2152529"/>
  </r>
  <r>
    <x v="7"/>
    <x v="13"/>
    <s v="GEIH"/>
    <x v="103"/>
    <n v="15.76649284362793"/>
    <n v="37.986774444580078"/>
    <n v="27.929561614990231"/>
    <n v="2.2043323516845699"/>
    <n v="7431297.2227416001"/>
    <n v="7271562.9900388699"/>
    <n v="12881215.045144999"/>
    <n v="17519637.7399945"/>
    <n v="1016645.9684186"/>
    <n v="47409163.306086503"/>
    <n v="31.879325866699219"/>
    <n v="14702860.2127805"/>
  </r>
  <r>
    <x v="7"/>
    <x v="14"/>
    <s v="GEIH"/>
    <x v="104"/>
    <n v="15.377158164978029"/>
    <n v="38.722126007080078"/>
    <n v="28.423610687255859"/>
    <n v="2.279667854309082"/>
    <n v="7087042.6405649204"/>
    <n v="7170851.6698503504"/>
    <n v="13254822.171536401"/>
    <n v="18057343.251583099"/>
    <n v="1063080.7861633301"/>
    <n v="47933321.646894"/>
    <n v="30.5745964050293"/>
    <n v="14257894.3104153"/>
  </r>
  <r>
    <x v="7"/>
    <x v="15"/>
    <s v="GEIH"/>
    <x v="105"/>
    <n v="15.281833648681641"/>
    <n v="37.806240081787109"/>
    <n v="28.21540451049805"/>
    <n v="2.2649013996124272"/>
    <n v="7742200.7698755302"/>
    <n v="7200448.6324291201"/>
    <n v="13294450.3733902"/>
    <n v="17813431.042604402"/>
    <n v="1067169.4747390701"/>
    <n v="48455853.971370697"/>
    <n v="31.71345329284668"/>
    <n v="14942649.402304601"/>
  </r>
  <r>
    <x v="7"/>
    <x v="16"/>
    <s v="GEIH"/>
    <x v="106"/>
    <n v="15.086044311523439"/>
    <n v="36.422977447509773"/>
    <n v="28.93488693237305"/>
    <n v="2.3470432758331299"/>
    <n v="8161155.5089988699"/>
    <n v="7154351.0062971096"/>
    <n v="13721976.190817401"/>
    <n v="17273100.317189701"/>
    <n v="1113053.30992126"/>
    <n v="48975426.328559399"/>
    <n v="32.295089721679688"/>
    <n v="15315506.515295999"/>
  </r>
  <r>
    <x v="7"/>
    <x v="17"/>
    <s v="GEIH"/>
    <x v="107"/>
    <n v="16.585809707641602"/>
    <n v="37.205436706542969"/>
    <n v="25.199827194213871"/>
    <n v="2.131744384765625"/>
    <n v="9117332.1172618903"/>
    <n v="8010642.4344053296"/>
    <n v="12171055.578891801"/>
    <n v="17969545.086634599"/>
    <n v="1029593.45837498"/>
    <n v="49620239.657057799"/>
    <n v="35.462989807128913"/>
    <n v="17127974.551667199"/>
  </r>
  <r>
    <x v="7"/>
    <x v="18"/>
    <s v="GEIH"/>
    <x v="108"/>
    <n v="15.564961433410639"/>
    <n v="37.681587219238281"/>
    <n v="26.318386077880859"/>
    <n v="2.1171619892120361"/>
    <n v="8946728.7335834503"/>
    <n v="7602152.4560909299"/>
    <n v="12854280.8565474"/>
    <n v="18404230.702789299"/>
    <n v="1034052.5167675"/>
    <n v="50008961.6972818"/>
    <n v="33.882865905761719"/>
    <n v="16548881.1896744"/>
  </r>
  <r>
    <x v="7"/>
    <x v="19"/>
    <s v="GEIH"/>
    <x v="109"/>
    <n v="12.491384506225589"/>
    <n v="35.269065856933587"/>
    <n v="32.709140777587891"/>
    <n v="4.1992549896240234"/>
    <n v="6763064.8898611097"/>
    <n v="5510352.6471724501"/>
    <n v="14429057.4288311"/>
    <n v="15558321.5095124"/>
    <n v="1852426.6457748399"/>
    <n v="50559092.985396899"/>
    <n v="27.822536468505859"/>
    <n v="12273417.537033601"/>
  </r>
  <r>
    <x v="8"/>
    <x v="0"/>
    <s v="EHPM"/>
    <x v="110"/>
    <n v="13.43195629119873"/>
    <n v="38.303905487060547"/>
    <n v="32.71832275390625"/>
    <n v="2.0381264686584468"/>
    <n v="467842"/>
    <n v="465219"/>
    <n v="1133207"/>
    <n v="1326665"/>
    <n v="70591"/>
    <n v="4088773"/>
    <n v="26.939641952514648"/>
    <n v="933061"/>
  </r>
  <r>
    <x v="8"/>
    <x v="1"/>
    <s v="EHPM"/>
    <x v="111"/>
    <n v="14.926150321960449"/>
    <n v="40.398525238037109"/>
    <n v="29.885696411132809"/>
    <n v="1.743309378623962"/>
    <n v="471874"/>
    <n v="539866"/>
    <n v="1080940"/>
    <n v="1461180"/>
    <n v="63054"/>
    <n v="4178755"/>
    <n v="27.972465515136719"/>
    <n v="1011740"/>
  </r>
  <r>
    <x v="8"/>
    <x v="2"/>
    <s v="EHPM"/>
    <x v="112"/>
    <n v="13.71992206573486"/>
    <n v="41.892566680908203"/>
    <n v="31.723567962646481"/>
    <n v="1.5621416568756099"/>
    <n v="431801"/>
    <n v="533632"/>
    <n v="1233878"/>
    <n v="1629398"/>
    <n v="60759"/>
    <n v="4253159"/>
    <n v="24.821723937988281"/>
    <n v="965433"/>
  </r>
  <r>
    <x v="8"/>
    <x v="3"/>
    <s v="EHPM"/>
    <x v="113"/>
    <n v="13.37557888031006"/>
    <n v="41.638545989990227"/>
    <n v="31.710601806640629"/>
    <n v="2.031579732894897"/>
    <n v="439519"/>
    <n v="522855"/>
    <n v="1239576"/>
    <n v="1627662"/>
    <n v="79415"/>
    <n v="4353843"/>
    <n v="24.619272232055661"/>
    <n v="962374"/>
  </r>
  <r>
    <x v="8"/>
    <x v="4"/>
    <s v="EHPM"/>
    <x v="114"/>
    <n v="11.99295043945313"/>
    <n v="41.6732177734375"/>
    <n v="35.422767639160163"/>
    <n v="2.9336810111999512"/>
    <n v="325705"/>
    <n v="489655"/>
    <n v="1446261"/>
    <n v="1701458"/>
    <n v="119778"/>
    <n v="4443100"/>
    <n v="19.970329284667969"/>
    <n v="815360"/>
  </r>
  <r>
    <x v="8"/>
    <x v="5"/>
    <s v="EHPM"/>
    <x v="115"/>
    <n v="11.63913726806641"/>
    <n v="41.413162231445313"/>
    <n v="37.053874969482422"/>
    <n v="2.6735177040100102"/>
    <n v="286928"/>
    <n v="462528"/>
    <n v="1472485"/>
    <n v="1645719"/>
    <n v="106243"/>
    <n v="4533162"/>
    <n v="18.859443664550781"/>
    <n v="749456"/>
  </r>
  <r>
    <x v="8"/>
    <x v="6"/>
    <s v="EHPM"/>
    <x v="116"/>
    <n v="11.109384536743161"/>
    <n v="39.362323760986328"/>
    <n v="38.116783142089837"/>
    <n v="4.1697063446044922"/>
    <n v="309832"/>
    <n v="475302"/>
    <n v="1630782"/>
    <n v="1684071"/>
    <n v="178396"/>
    <n v="4620482"/>
    <n v="18.3511848449707"/>
    <n v="785134"/>
  </r>
  <r>
    <x v="8"/>
    <x v="7"/>
    <s v="ENAHO"/>
    <x v="117"/>
    <n v="11.181607246398929"/>
    <n v="39.104446411132813"/>
    <n v="38.925945281982422"/>
    <n v="3.3435730934143071"/>
    <n v="334521"/>
    <n v="502454"/>
    <n v="1749167"/>
    <n v="1757188"/>
    <n v="150246"/>
    <n v="4562087"/>
    <n v="18.626033782958981"/>
    <n v="836975"/>
  </r>
  <r>
    <x v="8"/>
    <x v="8"/>
    <s v="ENAHO"/>
    <x v="118"/>
    <n v="10.00956344604492"/>
    <n v="35.420974731445313"/>
    <n v="40.150745391845703"/>
    <n v="4.4381484985351563"/>
    <n v="447523"/>
    <n v="448823"/>
    <n v="1800336"/>
    <n v="1588256"/>
    <n v="199004"/>
    <n v="4614498"/>
    <n v="19.99013519287109"/>
    <n v="896346"/>
  </r>
  <r>
    <x v="8"/>
    <x v="9"/>
    <s v="ENAHO"/>
    <x v="119"/>
    <n v="10.057268142700201"/>
    <n v="36.247135162353523"/>
    <n v="41.860786437988281"/>
    <n v="4.1107692718505859"/>
    <n v="355354"/>
    <n v="462697"/>
    <n v="1925857"/>
    <n v="1667594"/>
    <n v="189121"/>
    <n v="4667076"/>
    <n v="17.781309127807621"/>
    <n v="818051"/>
  </r>
  <r>
    <x v="8"/>
    <x v="10"/>
    <s v="ENAHO"/>
    <x v="120"/>
    <n v="9.7225341796875"/>
    <n v="36.844211578369141"/>
    <n v="41.356788635253913"/>
    <n v="4.3385357856750488"/>
    <n v="359732"/>
    <n v="451995"/>
    <n v="1922653"/>
    <n v="1712866"/>
    <n v="201696"/>
    <n v="4717681"/>
    <n v="17.460466384887699"/>
    <n v="811727"/>
  </r>
  <r>
    <x v="8"/>
    <x v="11"/>
    <s v="ENAHO"/>
    <x v="121"/>
    <n v="9.7870368957519531"/>
    <n v="35.268478393554688"/>
    <n v="42.925323486328132"/>
    <n v="4.9577131271362296"/>
    <n v="331265"/>
    <n v="459127"/>
    <n v="2013702"/>
    <n v="1654506"/>
    <n v="232575"/>
    <n v="4772098"/>
    <n v="16.84848594665527"/>
    <n v="790392"/>
  </r>
  <r>
    <x v="8"/>
    <x v="12"/>
    <s v="ENAHO"/>
    <x v="122"/>
    <n v="8.8358926773071289"/>
    <n v="36.993080139160163"/>
    <n v="42.350048065185547"/>
    <n v="4.8650569915771484"/>
    <n v="331188"/>
    <n v="420698"/>
    <n v="2016387"/>
    <n v="1761329"/>
    <n v="231637"/>
    <n v="4833752"/>
    <n v="15.79181385040283"/>
    <n v="751886"/>
  </r>
  <r>
    <x v="8"/>
    <x v="13"/>
    <s v="ENAHO"/>
    <x v="123"/>
    <n v="8.6118192672729492"/>
    <n v="35.852138519287109"/>
    <n v="43.684364318847663"/>
    <n v="5.1848964691162109"/>
    <n v="320583"/>
    <n v="414113"/>
    <n v="2100632"/>
    <n v="1724007"/>
    <n v="249324"/>
    <n v="4889762"/>
    <n v="15.278604507446291"/>
    <n v="734696"/>
  </r>
  <r>
    <x v="8"/>
    <x v="14"/>
    <s v="ENAHO"/>
    <x v="124"/>
    <n v="8.7676811218261719"/>
    <n v="36.310676574707031"/>
    <n v="43.797733306884773"/>
    <n v="5.182152271270752"/>
    <n v="289663"/>
    <n v="427428"/>
    <n v="2135157"/>
    <n v="1770160"/>
    <n v="252632"/>
    <n v="4946700"/>
    <n v="14.709438323974609"/>
    <n v="717091"/>
  </r>
  <r>
    <x v="8"/>
    <x v="15"/>
    <s v="ENAHO"/>
    <x v="125"/>
    <n v="8.8515110015869141"/>
    <n v="35.908866882324219"/>
    <n v="43.788074493408203"/>
    <n v="4.8634061813354492"/>
    <n v="323430"/>
    <n v="434545"/>
    <n v="2149677"/>
    <n v="1762865"/>
    <n v="238758"/>
    <n v="5003673"/>
    <n v="15.439651489257811"/>
    <n v="757975"/>
  </r>
  <r>
    <x v="8"/>
    <x v="16"/>
    <s v="ENAHO"/>
    <x v="126"/>
    <n v="9.0233392715454102"/>
    <n v="37.006095886230469"/>
    <n v="42.605804443359382"/>
    <n v="4.8949098587036133"/>
    <n v="322437"/>
    <n v="449695"/>
    <n v="2123340"/>
    <n v="1844268"/>
    <n v="243947"/>
    <n v="5059730"/>
    <n v="15.49318885803223"/>
    <n v="772132"/>
  </r>
  <r>
    <x v="8"/>
    <x v="17"/>
    <s v="ENAHO"/>
    <x v="127"/>
    <n v="11.97983455657959"/>
    <n v="36.801063537597663"/>
    <n v="35.863864898681641"/>
    <n v="3.80101466178894"/>
    <n v="576639"/>
    <n v="597880"/>
    <n v="1789865"/>
    <n v="1836638"/>
    <n v="189698"/>
    <n v="5111405"/>
    <n v="23.534059524536129"/>
    <n v="1174519"/>
  </r>
  <r>
    <x v="8"/>
    <x v="18"/>
    <s v="ENAHO"/>
    <x v="128"/>
    <n v="10.305916786193849"/>
    <n v="36.757926940917969"/>
    <n v="41.395103454589837"/>
    <n v="4.4046263694763184"/>
    <n v="363987"/>
    <n v="525644"/>
    <n v="2111320"/>
    <n v="1874805"/>
    <n v="224654"/>
    <n v="5163413"/>
    <n v="17.442342758178711"/>
    <n v="889631"/>
  </r>
  <r>
    <x v="8"/>
    <x v="19"/>
    <s v="ENAHO"/>
    <x v="129"/>
    <n v="9.6623334884643555"/>
    <n v="37.176841735839837"/>
    <n v="42.531070709228523"/>
    <n v="4.1200428009033203"/>
    <n v="335558"/>
    <n v="498067"/>
    <n v="2192361"/>
    <n v="1916365"/>
    <n v="212377"/>
    <n v="5213480"/>
    <n v="16.17204666137695"/>
    <n v="833625"/>
  </r>
  <r>
    <x v="9"/>
    <x v="0"/>
    <s v="ENFT"/>
    <x v="130"/>
    <n v="19.005546569824219"/>
    <n v="36.134231567382813"/>
    <n v="18.728010177612301"/>
    <n v="1.3530857563018801"/>
    <n v="2106898"/>
    <n v="1615987"/>
    <n v="1592389"/>
    <n v="3072390"/>
    <n v="115049"/>
    <n v="8704161"/>
    <n v="43.784671783447273"/>
    <n v="3722885"/>
  </r>
  <r>
    <x v="9"/>
    <x v="1"/>
    <s v="ENFT"/>
    <x v="131"/>
    <n v="21.191116333007809"/>
    <n v="32.257335662841797"/>
    <n v="14.889102935791019"/>
    <n v="0.83195751905441284"/>
    <n v="2688504"/>
    <n v="1847924"/>
    <n v="1298371"/>
    <n v="2812929"/>
    <n v="72549"/>
    <n v="8861162"/>
    <n v="52.0216064453125"/>
    <n v="4536428"/>
  </r>
  <r>
    <x v="9"/>
    <x v="2"/>
    <s v="ENFT"/>
    <x v="132"/>
    <n v="18.74977874755859"/>
    <n v="35.427734375"/>
    <n v="19.507160186767582"/>
    <n v="1.2426497936248779"/>
    <n v="2195254"/>
    <n v="1641649"/>
    <n v="1707962"/>
    <n v="3101898"/>
    <n v="108801"/>
    <n v="8954468"/>
    <n v="43.822456359863281"/>
    <n v="3836903"/>
  </r>
  <r>
    <x v="9"/>
    <x v="3"/>
    <s v="ENFT"/>
    <x v="133"/>
    <n v="18.460550308227539"/>
    <n v="35.372550964355469"/>
    <n v="22.130681991577148"/>
    <n v="1.432097434997559"/>
    <n v="2026230"/>
    <n v="1654801"/>
    <n v="1983791"/>
    <n v="3170790"/>
    <n v="128373"/>
    <n v="9165930"/>
    <n v="41.064670562744141"/>
    <n v="3681031"/>
  </r>
  <r>
    <x v="9"/>
    <x v="4"/>
    <s v="ENFT"/>
    <x v="134"/>
    <n v="17.813213348388668"/>
    <n v="39.643035888671882"/>
    <n v="20.375518798828129"/>
    <n v="1.197324395179749"/>
    <n v="1923021"/>
    <n v="1633462"/>
    <n v="1868424"/>
    <n v="3635245"/>
    <n v="109794"/>
    <n v="9344669"/>
    <n v="38.784122467041023"/>
    <n v="3556483"/>
  </r>
  <r>
    <x v="9"/>
    <x v="5"/>
    <s v="ENFT"/>
    <x v="135"/>
    <n v="19.298763275146481"/>
    <n v="38.030647277832031"/>
    <n v="21.279069900512699"/>
    <n v="1.085908055305481"/>
    <n v="1904906"/>
    <n v="1810452"/>
    <n v="1996228"/>
    <n v="3567724"/>
    <n v="101871"/>
    <n v="9537603"/>
    <n v="39.604373931884773"/>
    <n v="3715358"/>
  </r>
  <r>
    <x v="9"/>
    <x v="6"/>
    <s v="ENFT"/>
    <x v="136"/>
    <n v="18.623910903930661"/>
    <n v="39.066608428955078"/>
    <n v="21.60551643371582"/>
    <n v="1.089255094528198"/>
    <n v="1867499"/>
    <n v="1773166"/>
    <n v="2057042"/>
    <n v="3719497"/>
    <n v="103707"/>
    <n v="9680943"/>
    <n v="38.238620758056641"/>
    <n v="3640665"/>
  </r>
  <r>
    <x v="9"/>
    <x v="7"/>
    <s v="ENFT"/>
    <x v="137"/>
    <n v="17.946538925170898"/>
    <n v="38.221019744873047"/>
    <n v="23.032854080200199"/>
    <n v="0.73667061328887939"/>
    <n v="1942697"/>
    <n v="1737768"/>
    <n v="2230277"/>
    <n v="3700951"/>
    <n v="71332"/>
    <n v="9823020"/>
    <n v="38.009456634521477"/>
    <n v="3680465"/>
  </r>
  <r>
    <x v="9"/>
    <x v="8"/>
    <s v="ENFT"/>
    <x v="138"/>
    <n v="18.72796630859375"/>
    <n v="39.484130859375"/>
    <n v="22.5043830871582"/>
    <n v="1.1140221357345581"/>
    <n v="1774818"/>
    <n v="1829370"/>
    <n v="2198255"/>
    <n v="3856857"/>
    <n v="108819"/>
    <n v="9949005"/>
    <n v="36.8974609375"/>
    <n v="3604188"/>
  </r>
  <r>
    <x v="9"/>
    <x v="9"/>
    <s v="ENFT"/>
    <x v="139"/>
    <n v="18.86502647399902"/>
    <n v="41.544853210449219"/>
    <n v="20.099470138549801"/>
    <n v="0.84845244884490967"/>
    <n v="1847164"/>
    <n v="1869243"/>
    <n v="1991558"/>
    <n v="4116476"/>
    <n v="84069"/>
    <n v="10076635"/>
    <n v="37.507225036621087"/>
    <n v="3716407"/>
  </r>
  <r>
    <x v="9"/>
    <x v="10"/>
    <s v="ENFT"/>
    <x v="140"/>
    <n v="19.326894760131839"/>
    <n v="40.563018798828132"/>
    <n v="21.400026321411129"/>
    <n v="1.2516055107116699"/>
    <n v="1754779"/>
    <n v="1942579"/>
    <n v="2150953"/>
    <n v="4077058"/>
    <n v="125801"/>
    <n v="10206124"/>
    <n v="36.785350799560547"/>
    <n v="3697358"/>
  </r>
  <r>
    <x v="9"/>
    <x v="11"/>
    <s v="ENFT"/>
    <x v="141"/>
    <n v="16.758039474487301"/>
    <n v="40.949531555175781"/>
    <n v="26.286533355712891"/>
    <n v="0.84119254350662231"/>
    <n v="1545959"/>
    <n v="1708391"/>
    <n v="2679769"/>
    <n v="4174582"/>
    <n v="85755"/>
    <n v="10337027"/>
    <n v="31.92274284362793"/>
    <n v="3254350"/>
  </r>
  <r>
    <x v="9"/>
    <x v="12"/>
    <s v="ENFT"/>
    <x v="142"/>
    <n v="16.25643348693848"/>
    <n v="41.862739562988281"/>
    <n v="28.334756851196289"/>
    <n v="1.2573075294494629"/>
    <n v="1268091"/>
    <n v="1677520"/>
    <n v="2923896"/>
    <n v="4319864"/>
    <n v="129743"/>
    <n v="10469248"/>
    <n v="28.545192718505859"/>
    <n v="2945611"/>
  </r>
  <r>
    <x v="9"/>
    <x v="13"/>
    <s v="ENFT"/>
    <x v="143"/>
    <n v="15.18127346038818"/>
    <n v="40.528881072998047"/>
    <n v="30.851522445678711"/>
    <n v="1.845492839813232"/>
    <n v="1211168"/>
    <n v="1586073"/>
    <n v="3223232"/>
    <n v="4234280"/>
    <n v="192809"/>
    <n v="10578059"/>
    <n v="26.774103164672852"/>
    <n v="2797241"/>
  </r>
  <r>
    <x v="9"/>
    <x v="14"/>
    <s v="ENCFT"/>
    <x v="144"/>
    <n v="12.58048248291016"/>
    <n v="47.420425415039063"/>
    <n v="30.87873458862305"/>
    <n v="1.2093222141265869"/>
    <n v="794397.83049011196"/>
    <n v="1263287.3012695301"/>
    <n v="3100732.8879394499"/>
    <n v="4761790.8586578397"/>
    <n v="121435.8331604"/>
    <n v="10205331.022933999"/>
    <n v="20.491514205932621"/>
    <n v="2057685.1317596401"/>
  </r>
  <r>
    <x v="9"/>
    <x v="15"/>
    <s v="ENCFT"/>
    <x v="145"/>
    <n v="11.309403419494631"/>
    <n v="44.634132385253913"/>
    <n v="35.422088623046882"/>
    <n v="1.523474454879761"/>
    <n v="721804.21084594703"/>
    <n v="1147979.98908997"/>
    <n v="3595578.5819091802"/>
    <n v="4530662.5040893601"/>
    <n v="154642.82917785601"/>
    <n v="10300522.0509491"/>
    <n v="18.420307159423832"/>
    <n v="1869784.1999359101"/>
  </r>
  <r>
    <x v="9"/>
    <x v="16"/>
    <s v="ENCFT"/>
    <x v="146"/>
    <n v="10.62331008911133"/>
    <n v="44.225223541259773"/>
    <n v="37.971229553222663"/>
    <n v="1.5413403511047361"/>
    <n v="576239.62686157203"/>
    <n v="1085598.4376068099"/>
    <n v="3880288.57452393"/>
    <n v="4519385.4180908203"/>
    <n v="157509.913345337"/>
    <n v="10391952.920745799"/>
    <n v="16.262201309204102"/>
    <n v="1661838.0644683801"/>
  </r>
  <r>
    <x v="9"/>
    <x v="17"/>
    <s v="ENCFT"/>
    <x v="147"/>
    <n v="14.304606437683111"/>
    <n v="46.331375122070313"/>
    <n v="28.903585433959961"/>
    <n v="0.65558707714080811"/>
    <n v="1008726.3510284401"/>
    <n v="1471663.67982483"/>
    <n v="2973612.3939666701"/>
    <n v="4766590.6735076904"/>
    <n v="67447.061248779297"/>
    <n v="10480963.9946442"/>
    <n v="24.109451293945309"/>
    <n v="2480390.0308532701"/>
  </r>
  <r>
    <x v="9"/>
    <x v="18"/>
    <s v="ENCFT"/>
    <x v="148"/>
    <n v="11.93636417388916"/>
    <n v="46.568672180175781"/>
    <n v="32.488998413085938"/>
    <n v="0.71611630916595459"/>
    <n v="861125.02537536598"/>
    <n v="1239914.7063140899"/>
    <n v="3374862.5348205599"/>
    <n v="4837418.0092315702"/>
    <n v="74388.0735015869"/>
    <n v="10568344.2144241"/>
    <n v="20.22620964050293"/>
    <n v="2101039.7316894499"/>
  </r>
  <r>
    <x v="10"/>
    <x v="0"/>
    <s v="ENEMDU"/>
    <x v="149"/>
    <n v="20.169120788574219"/>
    <n v="29.61040115356445"/>
    <n v="13.685965538024901"/>
    <n v="0.92219895124435425"/>
    <n v="4495149.0364227304"/>
    <n v="2545838.6593437199"/>
    <n v="1727505.22278404"/>
    <n v="3737560.39641571"/>
    <n v="116404.1751194"/>
    <n v="12985997.6677284"/>
    <n v="55.781436920166023"/>
    <n v="7040987.6957664499"/>
  </r>
  <r>
    <x v="10"/>
    <x v="1"/>
    <s v="ENEMDU"/>
    <x v="150"/>
    <n v="19.079233169555661"/>
    <n v="32.212047576904297"/>
    <n v="16.386962890625"/>
    <n v="1.35319995880127"/>
    <n v="4002644.9944534302"/>
    <n v="2465965.9473533598"/>
    <n v="2117993.4996166201"/>
    <n v="4163365.28980446"/>
    <n v="174899.31809043899"/>
    <n v="13243984.081993099"/>
    <n v="50.047786712646477"/>
    <n v="6468610.9418067904"/>
  </r>
  <r>
    <x v="10"/>
    <x v="2"/>
    <s v="ENEMDU"/>
    <x v="151"/>
    <n v="19.386516571044918"/>
    <n v="32.983173370361328"/>
    <n v="17.65989875793457"/>
    <n v="1.2817525863647461"/>
    <n v="3720856.1707267798"/>
    <n v="2514388.6458091699"/>
    <n v="2290449.9669532799"/>
    <n v="4277844.9242877997"/>
    <n v="166240.49698448199"/>
    <n v="13289987.010791801"/>
    <n v="48.075180053710938"/>
    <n v="6235244.8165359497"/>
  </r>
  <r>
    <x v="10"/>
    <x v="3"/>
    <s v="ENEMDU"/>
    <x v="152"/>
    <n v="19.497943878173832"/>
    <n v="35.042510986328132"/>
    <n v="20.033901214599609"/>
    <n v="1.153535723686218"/>
    <n v="3205633.4503126098"/>
    <n v="2575106.4103717799"/>
    <n v="2645890.77647781"/>
    <n v="4628087.5323801003"/>
    <n v="152348.234741211"/>
    <n v="13483988.046083501"/>
    <n v="43.770050048828132"/>
    <n v="5780739.8606843902"/>
  </r>
  <r>
    <x v="10"/>
    <x v="4"/>
    <s v="ENEMDU"/>
    <x v="153"/>
    <n v="19.78593826293945"/>
    <n v="34.2484130859375"/>
    <n v="20.88481521606445"/>
    <n v="1.57736599445343"/>
    <n v="3133263.58029842"/>
    <n v="2637676.5919685401"/>
    <n v="2784168.62593651"/>
    <n v="4565678.7633991204"/>
    <n v="210279.71550178499"/>
    <n v="13682302.007292699"/>
    <n v="43.289409637451172"/>
    <n v="5770940.1722669601"/>
  </r>
  <r>
    <x v="10"/>
    <x v="5"/>
    <s v="ENEMDU"/>
    <x v="154"/>
    <n v="18.02584266662598"/>
    <n v="37.177082061767578"/>
    <n v="20.967094421386719"/>
    <n v="1.196821928024292"/>
    <n v="3078281.57134056"/>
    <n v="2451651.5307159401"/>
    <n v="2851684.3501472501"/>
    <n v="5056366.1132488297"/>
    <n v="162776.88088226301"/>
    <n v="13878703.524519"/>
    <n v="40.65899658203125"/>
    <n v="5529933.1020564996"/>
  </r>
  <r>
    <x v="10"/>
    <x v="6"/>
    <s v="ENEMDU"/>
    <x v="155"/>
    <n v="19.948171615600589"/>
    <n v="37.239501953125"/>
    <n v="19.203035354614261"/>
    <n v="0.98281252384185791"/>
    <n v="3093001.2624507002"/>
    <n v="2726880.7448997502"/>
    <n v="2625022.01518011"/>
    <n v="5090575.8938331604"/>
    <n v="134348.78120803801"/>
    <n v="14081059.9973273"/>
    <n v="42.574653625488281"/>
    <n v="5819882.0073504401"/>
  </r>
  <r>
    <x v="10"/>
    <x v="7"/>
    <s v="ENEMDU"/>
    <x v="156"/>
    <n v="19.282241821289059"/>
    <n v="38.225929260253913"/>
    <n v="21.854106903076168"/>
    <n v="1.18464732170105"/>
    <n v="2713025.8630161299"/>
    <n v="2689200.7947034799"/>
    <n v="3047886.3688182798"/>
    <n v="5331185.4671764402"/>
    <n v="165217.02745628401"/>
    <n v="14279685.3035402"/>
    <n v="38.735313415527337"/>
    <n v="5402226.6577196103"/>
  </r>
  <r>
    <x v="10"/>
    <x v="8"/>
    <s v="ENEMDU"/>
    <x v="157"/>
    <n v="18.125978469848629"/>
    <n v="39.543941497802727"/>
    <n v="24.94828033447266"/>
    <n v="0.81180727481842041"/>
    <n v="2348302.8309907899"/>
    <n v="2568817.6772928201"/>
    <n v="3535675.9486885099"/>
    <n v="5604176.2004661597"/>
    <n v="115049.50200271601"/>
    <n v="14478129.297245"/>
    <n v="34.695972442626953"/>
    <n v="4917120.5082836198"/>
  </r>
  <r>
    <x v="10"/>
    <x v="9"/>
    <s v="ENEMDU"/>
    <x v="158"/>
    <n v="16.38578987121582"/>
    <n v="40.517055511474609"/>
    <n v="26.042598724365231"/>
    <n v="0.84510648250579834"/>
    <n v="2318682.1338028898"/>
    <n v="2343906.7593350401"/>
    <n v="3725266.0822739601"/>
    <n v="5795766.4326181402"/>
    <n v="120888.342422485"/>
    <n v="14682556.486605201"/>
    <n v="32.595237731933587"/>
    <n v="4662588.89313793"/>
  </r>
  <r>
    <x v="10"/>
    <x v="10"/>
    <s v="ENEMDU"/>
    <x v="159"/>
    <n v="16.931503295898441"/>
    <n v="41.660137176513672"/>
    <n v="26.07082366943359"/>
    <n v="1.264731764793396"/>
    <n v="2200496.2611985202"/>
    <n v="2647497.1196806398"/>
    <n v="4076568.86552143"/>
    <n v="6514194.0969958296"/>
    <n v="197759.99030590101"/>
    <n v="15872754.987891"/>
    <n v="31.004306793212891"/>
    <n v="4847993.38087916"/>
  </r>
  <r>
    <x v="10"/>
    <x v="11"/>
    <s v="ENEMDU"/>
    <x v="160"/>
    <n v="15.677738189697269"/>
    <n v="43.528018951416023"/>
    <n v="27.492839813232418"/>
    <n v="1.1725039482116699"/>
    <n v="1935872.8599877399"/>
    <n v="2502296.7632498699"/>
    <n v="4388084.6531152697"/>
    <n v="6947431.6914753905"/>
    <n v="187141.33139181099"/>
    <n v="16148647.9393778"/>
    <n v="27.806640625"/>
    <n v="4438169.6232376099"/>
  </r>
  <r>
    <x v="10"/>
    <x v="12"/>
    <s v="ENEMDU"/>
    <x v="161"/>
    <n v="15.04703330993652"/>
    <n v="42.586639404296882"/>
    <n v="27.972232818603519"/>
    <n v="1.212465643882751"/>
    <n v="2122856.41077042"/>
    <n v="2423273.8182697301"/>
    <n v="4504833.2544288598"/>
    <n v="6858434.25201225"/>
    <n v="195263.484207153"/>
    <n v="16404530.611703901"/>
    <n v="28.22866058349609"/>
    <n v="4546130.2290401496"/>
  </r>
  <r>
    <x v="10"/>
    <x v="13"/>
    <s v="ENEMDU"/>
    <x v="162"/>
    <n v="15.158933639526371"/>
    <n v="43.524215698242188"/>
    <n v="26.922771453857418"/>
    <n v="1.0113149881362919"/>
    <n v="2205639.44774342"/>
    <n v="2498373.0584049202"/>
    <n v="4437193.8207368897"/>
    <n v="7173309.6579179801"/>
    <n v="166676.76633739501"/>
    <n v="16714928.9878569"/>
    <n v="28.54169845581055"/>
    <n v="4704012.5061483402"/>
  </r>
  <r>
    <x v="10"/>
    <x v="14"/>
    <s v="ENEMDU"/>
    <x v="163"/>
    <n v="14.52404117584229"/>
    <n v="42.992527008056641"/>
    <n v="28.84212493896484"/>
    <n v="0.99917066097259521"/>
    <n v="2117216.3159217802"/>
    <n v="2432384.7661905298"/>
    <n v="4830276.9659357099"/>
    <n v="7200087.3883905401"/>
    <n v="167334.09640789"/>
    <n v="16961926.50389"/>
    <n v="27.16617584228516"/>
    <n v="4549601.0821123105"/>
  </r>
  <r>
    <x v="10"/>
    <x v="15"/>
    <s v="ENEMDU"/>
    <x v="164"/>
    <n v="15.01742458343506"/>
    <n v="43.107555389404297"/>
    <n v="27.52277755737305"/>
    <n v="1.057797431945801"/>
    <n v="2248907.0976734199"/>
    <n v="2540368.9254851299"/>
    <n v="4655792.26684976"/>
    <n v="7292135.1489911098"/>
    <n v="178938.52595710801"/>
    <n v="17223542.011615999"/>
    <n v="28.311868667602539"/>
    <n v="4789276.0231585503"/>
  </r>
  <r>
    <x v="10"/>
    <x v="16"/>
    <s v="ENEMDU"/>
    <x v="165"/>
    <n v="15.957821846008301"/>
    <n v="41.279407501220703"/>
    <n v="27.165594100952148"/>
    <n v="1.008087038993835"/>
    <n v="2504541.7585697202"/>
    <n v="2739515.5523424102"/>
    <n v="4663579.8048114805"/>
    <n v="7086530.3241834603"/>
    <n v="173060.59532928499"/>
    <n v="17454559.9956083"/>
    <n v="30.546907424926761"/>
    <n v="5244057.3109121304"/>
  </r>
  <r>
    <x v="10"/>
    <x v="17"/>
    <s v="ENEMDU"/>
    <x v="166"/>
    <n v="17.766218185424801"/>
    <n v="40.1890869140625"/>
    <n v="20.971450805664059"/>
    <n v="0.89309978485107422"/>
    <n v="3508889.0758857699"/>
    <n v="3089159.7221736899"/>
    <n v="3646479.9123229999"/>
    <n v="6988010.0110874204"/>
    <n v="155290.66939353899"/>
    <n v="17695544.9899044"/>
    <n v="37.946361541748047"/>
    <n v="6598048.7980594598"/>
  </r>
  <r>
    <x v="10"/>
    <x v="18"/>
    <s v="ENEMDU"/>
    <x v="167"/>
    <n v="17.49417877197266"/>
    <n v="41.557033538818359"/>
    <n v="24.790241241455082"/>
    <n v="1.168519973754883"/>
    <n v="2634790.6801147498"/>
    <n v="3074944.2721843701"/>
    <n v="4357369.7700367002"/>
    <n v="7304461.1553573599"/>
    <n v="205390.24163246201"/>
    <n v="17937815.019006699"/>
    <n v="32.484207153320313"/>
    <n v="5709734.9522991199"/>
  </r>
  <r>
    <x v="10"/>
    <x v="19"/>
    <s v="ENEMDU"/>
    <x v="168"/>
    <n v="16.90212249755859"/>
    <n v="42.174228668212891"/>
    <n v="25.992034912109379"/>
    <n v="0.85204792022705078"/>
    <n v="2520057.2041130099"/>
    <n v="3025258.1605987502"/>
    <n v="4652233.1252241097"/>
    <n v="7548633.7599935504"/>
    <n v="152505.393774033"/>
    <n v="18183482.972761199"/>
    <n v="30.981687545776371"/>
    <n v="5545315.3647117596"/>
  </r>
  <r>
    <x v="10"/>
    <x v="20"/>
    <s v="ENEMDU"/>
    <x v="169"/>
    <n v="16.787042617797852"/>
    <n v="41.492172241210938"/>
    <n v="26.27498817443848"/>
    <n v="0.7285538911819458"/>
    <n v="2676409.68426514"/>
    <n v="3052813.1646785699"/>
    <n v="4778246.9418144198"/>
    <n v="7545573.20534229"/>
    <n v="132491.42547607399"/>
    <n v="18474052.991335899"/>
    <n v="31.50428581237793"/>
    <n v="5729222.8489437103"/>
  </r>
  <r>
    <x v="11"/>
    <x v="0"/>
    <s v="ENEI"/>
    <x v="170"/>
    <n v="14.7770938873291"/>
    <n v="31.60947227478027"/>
    <n v="20.5557861328125"/>
    <n v="1.1329420804977419"/>
    <n v="2226700"/>
    <n v="1030680"/>
    <n v="1433735"/>
    <n v="2204713"/>
    <n v="79021"/>
    <n v="9265804"/>
    <n v="46.701801300048828"/>
    <n v="3257380"/>
  </r>
  <r>
    <x v="11"/>
    <x v="1"/>
    <s v="ENEI"/>
    <x v="171"/>
    <n v="18.133790969848629"/>
    <n v="25.731307983398441"/>
    <n v="12.632743835449221"/>
    <n v="0.75134372711181641"/>
    <n v="4019916.56237602"/>
    <n v="1705144.7882747699"/>
    <n v="1187873.8601493801"/>
    <n v="2419549.54333591"/>
    <n v="70649.862897872896"/>
    <n v="12496064.0889511"/>
    <n v="60.884605407714837"/>
    <n v="5725061.3506507901"/>
  </r>
  <r>
    <x v="11"/>
    <x v="3"/>
    <s v="ENCOVI"/>
    <x v="172"/>
    <n v="16.777177810668949"/>
    <n v="33.078353881835938"/>
    <n v="16.420364379882809"/>
    <n v="1.247094511985779"/>
    <n v="4185403.7902221698"/>
    <n v="2162122.3936157199"/>
    <n v="2116138.7998962398"/>
    <n v="4262900.8522643996"/>
    <n v="160716.592071533"/>
    <n v="12987828.9983215"/>
    <n v="49.254188537597663"/>
    <n v="6347526.1838378897"/>
  </r>
  <r>
    <x v="11"/>
    <x v="7"/>
    <s v="ENEI"/>
    <x v="173"/>
    <n v="17.000375747680661"/>
    <n v="21.6969108581543"/>
    <n v="8.6646604537963867"/>
    <n v="0.31288355588912958"/>
    <n v="7033080"/>
    <n v="2285038"/>
    <n v="1164626"/>
    <n v="2916304"/>
    <n v="42055"/>
    <n v="14468094"/>
    <n v="69.325546264648438"/>
    <n v="9318118"/>
  </r>
  <r>
    <x v="11"/>
    <x v="8"/>
    <s v="ENEI"/>
    <x v="174"/>
    <n v="15.67674446105957"/>
    <n v="24.6759033203125"/>
    <n v="8.4416007995605469"/>
    <n v="0.32303294539451599"/>
    <n v="6353275.5637435904"/>
    <n v="1957416.5964355499"/>
    <n v="1054028.11841583"/>
    <n v="3081061.8735427898"/>
    <n v="40334.268310546897"/>
    <n v="14609124.975570699"/>
    <n v="66.559463500976563"/>
    <n v="8310692.16017914"/>
  </r>
  <r>
    <x v="11"/>
    <x v="9"/>
    <s v="ENEI"/>
    <x v="175"/>
    <n v="16.781803131103519"/>
    <n v="28.73579216003418"/>
    <n v="12.43524074554443"/>
    <n v="0.47889953851699829"/>
    <n v="6296960"/>
    <n v="2542188"/>
    <n v="1883750"/>
    <n v="4353036"/>
    <n v="72546"/>
    <n v="15168875"/>
    <n v="58.350067138671882"/>
    <n v="8839148"/>
  </r>
  <r>
    <x v="11"/>
    <x v="10"/>
    <s v="ENEI"/>
    <x v="176"/>
    <n v="19.215597152709961"/>
    <n v="31.199398040771481"/>
    <n v="12.00249195098877"/>
    <n v="0.46781092882156372"/>
    <n v="5786125"/>
    <n v="2995682"/>
    <n v="1871170"/>
    <n v="4863938"/>
    <n v="72931"/>
    <n v="15676682"/>
    <n v="56.330299377441413"/>
    <n v="8781807"/>
  </r>
  <r>
    <x v="11"/>
    <x v="11"/>
    <s v="ENEI"/>
    <x v="177"/>
    <n v="18.20998573303223"/>
    <n v="29.7943000793457"/>
    <n v="15.32267475128174"/>
    <n v="0.50669002532958984"/>
    <n v="5780734"/>
    <n v="2910636"/>
    <n v="2449136"/>
    <n v="4762242"/>
    <n v="80988"/>
    <n v="16077852"/>
    <n v="54.376335144042969"/>
    <n v="8691370"/>
  </r>
  <r>
    <x v="11"/>
    <x v="12"/>
    <s v="ENEI"/>
    <x v="178"/>
    <n v="19.99460411071777"/>
    <n v="31.894027709960941"/>
    <n v="13.92366313934326"/>
    <n v="0.3664928674697876"/>
    <n v="5504336"/>
    <n v="3254083"/>
    <n v="2266049"/>
    <n v="5190691"/>
    <n v="59646"/>
    <n v="16309282"/>
    <n v="53.815818786621087"/>
    <n v="8758419"/>
  </r>
  <r>
    <x v="11"/>
    <x v="13"/>
    <s v="ENEI"/>
    <x v="179"/>
    <n v="17.927999496459961"/>
    <n v="31.433559417724609"/>
    <n v="13.743953704833981"/>
    <n v="0.42103767395019531"/>
    <n v="6071550"/>
    <n v="2984383"/>
    <n v="2287886"/>
    <n v="5232585"/>
    <n v="70088"/>
    <n v="16678659"/>
    <n v="54.401451110839837"/>
    <n v="9055933"/>
  </r>
  <r>
    <x v="11"/>
    <x v="14"/>
    <s v="ENEI"/>
    <x v="180"/>
    <n v="18.550958633422852"/>
    <n v="30.405525207519531"/>
    <n v="14.2359676361084"/>
    <n v="0.33916983008384699"/>
    <n v="6123728"/>
    <n v="3115055"/>
    <n v="2390487"/>
    <n v="5105660"/>
    <n v="56953"/>
    <n v="16813274"/>
    <n v="55.019336700439453"/>
    <n v="9238783"/>
  </r>
  <r>
    <x v="11"/>
    <x v="15"/>
    <s v="ENEI"/>
    <x v="181"/>
    <n v="19.734224319458011"/>
    <n v="29.391628265380859"/>
    <n v="12.80094051361084"/>
    <n v="0.36754739284515381"/>
    <n v="6470893"/>
    <n v="3386708"/>
    <n v="2196846"/>
    <n v="5044073"/>
    <n v="63077"/>
    <n v="17190460"/>
    <n v="57.43988037109375"/>
    <n v="9857601"/>
  </r>
  <r>
    <x v="11"/>
    <x v="16"/>
    <s v="ENEI"/>
    <x v="182"/>
    <n v="20.19001388549805"/>
    <n v="30.3579216003418"/>
    <n v="13.067765235900881"/>
    <n v="0.43834015727043152"/>
    <n v="6291156"/>
    <n v="3533597"/>
    <n v="2287082"/>
    <n v="5313154"/>
    <n v="76717"/>
    <n v="17553214"/>
    <n v="56.135971069335938"/>
    <n v="9824753"/>
  </r>
  <r>
    <x v="11"/>
    <x v="18"/>
    <s v="ENEI"/>
    <x v="183"/>
    <n v="20.68605995178223"/>
    <n v="30.32961463928223"/>
    <n v="11.63055324554443"/>
    <n v="0.2704581618309021"/>
    <n v="6360532"/>
    <n v="3548074"/>
    <n v="1994873"/>
    <n v="5202137"/>
    <n v="46389"/>
    <n v="17207129"/>
    <n v="57.769374847412109"/>
    <n v="9908606"/>
  </r>
  <r>
    <x v="11"/>
    <x v="19"/>
    <s v="ENEI"/>
    <x v="184"/>
    <n v="18.647357940673832"/>
    <n v="31.308904647827148"/>
    <n v="14.363029479980471"/>
    <n v="0.51541680097579956"/>
    <n v="5803380"/>
    <n v="3077401"/>
    <n v="2370352"/>
    <n v="5166955"/>
    <n v="85060"/>
    <n v="17372881"/>
    <n v="53.812644958496087"/>
    <n v="8880781"/>
  </r>
  <r>
    <x v="12"/>
    <x v="14"/>
    <s v="LFS"/>
    <x v="185"/>
    <n v="17.945743560791019"/>
    <n v="36.301952362060547"/>
    <n v="17.472236633300781"/>
    <n v="0.78931522369384766"/>
    <n v="193677.87811756099"/>
    <n v="126431.365859032"/>
    <n v="123095.41934108701"/>
    <n v="255754.538229942"/>
    <n v="5560.8847837448102"/>
    <n v="758498.99869346595"/>
    <n v="45.436496734619141"/>
    <n v="320109.24397659302"/>
  </r>
  <r>
    <x v="12"/>
    <x v="15"/>
    <s v="LFS"/>
    <x v="186"/>
    <n v="18.165519714355469"/>
    <n v="37.316822052001953"/>
    <n v="14.934468269348139"/>
    <n v="0.53693443536758423"/>
    <n v="191345.39869308501"/>
    <n v="119667.361372948"/>
    <n v="98382.451427459702"/>
    <n v="245828.67691802999"/>
    <n v="3537.1146755218501"/>
    <n v="739471.93426418304"/>
    <n v="47.211776733398438"/>
    <n v="311012.760066032"/>
  </r>
  <r>
    <x v="12"/>
    <x v="16"/>
    <s v="LFS"/>
    <x v="187"/>
    <n v="17.996454238891602"/>
    <n v="36.615242004394531"/>
    <n v="14.12249183654785"/>
    <n v="0.64994466304779053"/>
    <n v="187933.22211933101"/>
    <n v="110469.902623177"/>
    <n v="86689.873502731294"/>
    <n v="224759.96435260799"/>
    <n v="3989.6373023986798"/>
    <n v="744018.53438282001"/>
    <n v="48.612319946289063"/>
    <n v="298403.12474250799"/>
  </r>
  <r>
    <x v="12"/>
    <x v="18"/>
    <s v="LFS"/>
    <x v="188"/>
    <n v="16.780179977416989"/>
    <n v="37.502220153808587"/>
    <n v="15.09584808349609"/>
    <n v="0.52658224105834961"/>
    <n v="186240.96175193801"/>
    <n v="103842.471796036"/>
    <n v="93419.148094177202"/>
    <n v="232078.76742744399"/>
    <n v="3258.7016334533701"/>
    <n v="769931.03933906602"/>
    <n v="46.875347137451172"/>
    <n v="290083.43354797398"/>
  </r>
  <r>
    <x v="13"/>
    <x v="0"/>
    <s v="EPHPM"/>
    <x v="189"/>
    <n v="18.99089241027832"/>
    <n v="25.923421859741211"/>
    <n v="11.109420776367189"/>
    <n v="0.61879426240921021"/>
    <n v="2857651.8750987099"/>
    <n v="1251672.6160311699"/>
    <n v="732211.93771672202"/>
    <n v="1708589.4384172"/>
    <n v="40784.171196937597"/>
    <n v="6800935.46250486"/>
    <n v="62.348358154296882"/>
    <n v="4109324.4911298798"/>
  </r>
  <r>
    <x v="13"/>
    <x v="1"/>
    <s v="EPHPM"/>
    <x v="190"/>
    <n v="16.433115005493161"/>
    <n v="23.67368316650391"/>
    <n v="11.99209022521973"/>
    <n v="0.6475365161895752"/>
    <n v="3189842.1508712801"/>
    <n v="1109313.8011589099"/>
    <n v="809523.40146255505"/>
    <n v="1598086.84138107"/>
    <n v="43711.809614181497"/>
    <n v="6999782.8447094001"/>
    <n v="63.686687469482422"/>
    <n v="4299155.95203018"/>
  </r>
  <r>
    <x v="13"/>
    <x v="2"/>
    <s v="EPHPM"/>
    <x v="191"/>
    <n v="16.40240478515625"/>
    <n v="25.143926620483398"/>
    <n v="12.319693565368651"/>
    <n v="0.89650368690490723"/>
    <n v="3153917.7597961398"/>
    <n v="1143561.5823669401"/>
    <n v="858918.51051330601"/>
    <n v="1753013.0466918901"/>
    <n v="62503.466308593801"/>
    <n v="7254088.7914733896"/>
    <n v="61.639873504638672"/>
    <n v="4297479.3421630897"/>
  </r>
  <r>
    <x v="13"/>
    <x v="3"/>
    <s v="EPHPM"/>
    <x v="192"/>
    <n v="16.580715179443359"/>
    <n v="27.591396331787109"/>
    <n v="12.96242618560791"/>
    <n v="0.86879861354827881"/>
    <n v="2997254.4180374099"/>
    <n v="1183346.9088935901"/>
    <n v="925113.71828460705"/>
    <n v="1969166.5903587299"/>
    <n v="62005.171752929702"/>
    <n v="7415971.8806571998"/>
    <n v="58.577381134033203"/>
    <n v="4180601.3269310002"/>
  </r>
  <r>
    <x v="13"/>
    <x v="4"/>
    <s v="EPHPM"/>
    <x v="193"/>
    <n v="16.691757202148441"/>
    <n v="29.967132568359379"/>
    <n v="15.1533317565918"/>
    <n v="0.82338124513626099"/>
    <n v="2748516.7615013099"/>
    <n v="1227841.8439331099"/>
    <n v="1114675.6838951099"/>
    <n v="2204375.4159774799"/>
    <n v="60567.743110656702"/>
    <n v="7585154.5603866596"/>
    <n v="54.056156158447273"/>
    <n v="3976358.6054344201"/>
  </r>
  <r>
    <x v="13"/>
    <x v="5"/>
    <s v="EPHPM"/>
    <x v="194"/>
    <n v="18.95635986328125"/>
    <n v="31.468524932861332"/>
    <n v="15.08543014526367"/>
    <n v="0.85381102561950684"/>
    <n v="2509786.4062118498"/>
    <n v="1414454.58126068"/>
    <n v="1125619.8829574599"/>
    <n v="2348066.8533172598"/>
    <n v="63708.2686538696"/>
    <n v="7748230.0978774996"/>
    <n v="52.592235565185547"/>
    <n v="3924240.98747253"/>
  </r>
  <r>
    <x v="13"/>
    <x v="6"/>
    <s v="EPHPM"/>
    <x v="195"/>
    <n v="17.78608322143555"/>
    <n v="31.916172027587891"/>
    <n v="16.081375122070309"/>
    <n v="0.64007925987243652"/>
    <n v="2574732.97692871"/>
    <n v="1363891.2751007101"/>
    <n v="1233169.00371552"/>
    <n v="2447429.6064910898"/>
    <n v="49083.2403640747"/>
    <n v="7912982.54237366"/>
    <n v="51.362377166748047"/>
    <n v="3938624.2520294199"/>
  </r>
  <r>
    <x v="13"/>
    <x v="7"/>
    <s v="EPHPM"/>
    <x v="196"/>
    <n v="18.25330924987793"/>
    <n v="29.445060729980469"/>
    <n v="15.19481372833252"/>
    <n v="0.81547254323959351"/>
    <n v="2834022.0370178199"/>
    <n v="1425416.53242493"/>
    <n v="1186576.11528015"/>
    <n v="2299390.1790008498"/>
    <n v="63680.953292846702"/>
    <n v="8041654.2415008498"/>
    <n v="54.544651031494141"/>
    <n v="4259438.56944275"/>
  </r>
  <r>
    <x v="13"/>
    <x v="8"/>
    <s v="EPHPM"/>
    <x v="197"/>
    <n v="18.55600547790527"/>
    <n v="28.744510650634769"/>
    <n v="13.3066520690918"/>
    <n v="0.80570310354232788"/>
    <n v="3063030.77424622"/>
    <n v="1472968.23974609"/>
    <n v="1056276.6416168199"/>
    <n v="2281727.64422607"/>
    <n v="63956.3879241943"/>
    <n v="8218755.0334014902"/>
    <n v="57.143135070800781"/>
    <n v="4535999.0139923096"/>
  </r>
  <r>
    <x v="13"/>
    <x v="9"/>
    <s v="EPHPM"/>
    <x v="198"/>
    <n v="18.187421798706051"/>
    <n v="26.382673263549801"/>
    <n v="10.926749229431151"/>
    <n v="0.65593969821929932"/>
    <n v="3538938.9967346201"/>
    <n v="1467919.3096618699"/>
    <n v="881905.37411499"/>
    <n v="2129363.5147705101"/>
    <n v="52941.342315673799"/>
    <n v="8303399.2579956101"/>
    <n v="62.034641265869141"/>
    <n v="5006858.3063964797"/>
  </r>
  <r>
    <x v="13"/>
    <x v="10"/>
    <s v="EPHPM"/>
    <x v="199"/>
    <n v="19.290254592895511"/>
    <n v="28.04293251037598"/>
    <n v="11.32446193695068"/>
    <n v="0.59273183345794678"/>
    <n v="3370217.8393554701"/>
    <n v="1595410.31263733"/>
    <n v="936595.33624267601"/>
    <n v="2319305.0337371798"/>
    <n v="49022.186874389598"/>
    <n v="8535691.5024566706"/>
    <n v="60.039871215820313"/>
    <n v="4965628.1519927997"/>
  </r>
  <r>
    <x v="13"/>
    <x v="11"/>
    <s v="EPHPM"/>
    <x v="200"/>
    <n v="19.83022308349609"/>
    <n v="30.83901405334473"/>
    <n v="12.91817474365234"/>
    <n v="0.45201224088668818"/>
    <n v="2895750.2108612098"/>
    <n v="1596842.2315216099"/>
    <n v="1040244.8028717"/>
    <n v="2483332.7354888902"/>
    <n v="36398.596527099602"/>
    <n v="8308416.9132232703"/>
    <n v="55.790798187255859"/>
    <n v="4492592.4423828097"/>
  </r>
  <r>
    <x v="13"/>
    <x v="12"/>
    <s v="EPHPM"/>
    <x v="201"/>
    <n v="18.897665023803711"/>
    <n v="31.925699234008789"/>
    <n v="12.336165428161619"/>
    <n v="0.31410014629364008"/>
    <n v="3031978.5563354502"/>
    <n v="1568656.0656433101"/>
    <n v="1023999.5798034701"/>
    <n v="2650086.1753082299"/>
    <n v="26072.801956176801"/>
    <n v="8570153.49926758"/>
    <n v="55.424034118652337"/>
    <n v="4600634.6219787598"/>
  </r>
  <r>
    <x v="13"/>
    <x v="13"/>
    <s v="EPHPM"/>
    <x v="202"/>
    <n v="17.569879531860352"/>
    <n v="32.617687225341797"/>
    <n v="13.601809501647949"/>
    <n v="0.40668076276779169"/>
    <n v="3026206.4118652302"/>
    <n v="1485034.07479858"/>
    <n v="1149646.6595916699"/>
    <n v="2756898.8461608901"/>
    <n v="34373.3046264648"/>
    <n v="8714641.6778106708"/>
    <n v="53.373821258544922"/>
    <n v="4511240.4866638202"/>
  </r>
  <r>
    <x v="13"/>
    <x v="14"/>
    <s v="EPHPM"/>
    <x v="203"/>
    <n v="18.625698089599609"/>
    <n v="30.844306945800781"/>
    <n v="12.2984504699707"/>
    <n v="0.31784301996231079"/>
    <n v="3258060.37663269"/>
    <n v="1600572.94146729"/>
    <n v="1056849.94413757"/>
    <n v="2650561.71807861"/>
    <n v="27313.391021728501"/>
    <n v="8859980.0251312293"/>
    <n v="56.539398193359382"/>
    <n v="4858633.3180999802"/>
  </r>
  <r>
    <x v="13"/>
    <x v="15"/>
    <s v="EPHPM"/>
    <x v="204"/>
    <n v="18.10594367980957"/>
    <n v="30.644039154052731"/>
    <n v="12.849184989929199"/>
    <n v="0.47599473595619202"/>
    <n v="3279874.3692779499"/>
    <n v="1565866.1110534701"/>
    <n v="1111243.0695342999"/>
    <n v="2650205.1038055401"/>
    <n v="41165.7090454102"/>
    <n v="9023838.0598907508"/>
    <n v="56.030780792236328"/>
    <n v="4845740.48033142"/>
  </r>
  <r>
    <x v="13"/>
    <x v="16"/>
    <s v="EPHPM"/>
    <x v="205"/>
    <n v="17.302227020263668"/>
    <n v="29.988639831542969"/>
    <n v="12.14588069915771"/>
    <n v="0.45700874924659729"/>
    <n v="3414855.9678993202"/>
    <n v="1473202.3699836701"/>
    <n v="1034163.9773368801"/>
    <n v="2553390.1664962801"/>
    <n v="38912.120647430398"/>
    <n v="8982988.1067733802"/>
    <n v="57.408470153808587"/>
    <n v="4888058.3378830003"/>
  </r>
  <r>
    <x v="13"/>
    <x v="20"/>
    <s v="EPHPM"/>
    <x v="206"/>
    <n v="18.651859283447269"/>
    <n v="31.015815734863281"/>
    <n v="13.3341817855835"/>
    <n v="0.22723065316677091"/>
    <n v="3398208.4919738802"/>
    <n v="1723724.0951232901"/>
    <n v="1232287.3836669901"/>
    <n v="2866347.3126983601"/>
    <n v="20999.673400878899"/>
    <n v="9744744.4627990704"/>
    <n v="55.422771453857422"/>
    <n v="5121932.5870971698"/>
  </r>
  <r>
    <x v="14"/>
    <x v="0"/>
    <s v="LFS"/>
    <x v="34"/>
    <n v="100"/>
    <m/>
    <m/>
    <m/>
    <m/>
    <n v="217.40674209594701"/>
    <m/>
    <m/>
    <m/>
    <n v="5417.0060997009296"/>
    <n v="100"/>
    <n v="217.40674209594701"/>
  </r>
  <r>
    <x v="14"/>
    <x v="1"/>
    <s v="LFS"/>
    <x v="207"/>
    <n v="23.698226928710941"/>
    <n v="24.455141067504879"/>
    <n v="9.7667627334594727"/>
    <n v="0.64425337314605713"/>
    <n v="325302.57032012899"/>
    <n v="186049.94288253799"/>
    <n v="76676.860778808594"/>
    <n v="191992.31238555899"/>
    <n v="5057.9017791748001"/>
    <n v="2713000.9996299702"/>
    <n v="65.133842468261719"/>
    <n v="511352.513202667"/>
  </r>
  <r>
    <x v="14"/>
    <x v="2"/>
    <s v="LFS"/>
    <x v="208"/>
    <n v="19.1706428527832"/>
    <n v="34.455810546875"/>
    <n v="18.575395584106449"/>
    <n v="1.063926219940186"/>
    <n v="412299.79163360602"/>
    <n v="295652.941017151"/>
    <n v="286472.92944908101"/>
    <n v="531383.44845581101"/>
    <n v="16408.053707122799"/>
    <n v="2736513.0003814702"/>
    <n v="45.904865264892578"/>
    <n v="707952.73265075695"/>
  </r>
  <r>
    <x v="14"/>
    <x v="3"/>
    <s v="LFS"/>
    <x v="209"/>
    <n v="16.9876594543457"/>
    <n v="38.093856811523438"/>
    <n v="20.917852401733398"/>
    <n v="0.87854218482971191"/>
    <n v="391820.70823669399"/>
    <n v="287868.28565788298"/>
    <n v="354468.27125740098"/>
    <n v="645528.17172241199"/>
    <n v="14887.538059234599"/>
    <n v="2759614.0003948198"/>
    <n v="40.109748840332031"/>
    <n v="679688.99389457703"/>
  </r>
  <r>
    <x v="14"/>
    <x v="4"/>
    <s v="LFS"/>
    <x v="210"/>
    <n v="18.231321334838871"/>
    <n v="20.933547973632809"/>
    <n v="10.21808528900146"/>
    <n v="0.33584624528884888"/>
    <n v="348492.15354919399"/>
    <n v="126358.80960464499"/>
    <n v="70820.160228729204"/>
    <n v="145087.577436447"/>
    <n v="2327.70459747314"/>
    <n v="2782221.0015125298"/>
    <n v="68.512519836425781"/>
    <n v="474850.96315383899"/>
  </r>
  <r>
    <x v="14"/>
    <x v="5"/>
    <s v="LFS"/>
    <x v="211"/>
    <n v="16.937387466430661"/>
    <n v="24.927946090698239"/>
    <n v="10.559083938598629"/>
    <n v="0.92957091331481934"/>
    <n v="703767.99322509801"/>
    <n v="255541.48034668001"/>
    <n v="159309.32649612401"/>
    <n v="376098.387992859"/>
    <n v="14024.827190399201"/>
    <n v="2684681.99536133"/>
    <n v="63.583396911621087"/>
    <n v="959309.47357177699"/>
  </r>
  <r>
    <x v="14"/>
    <x v="6"/>
    <s v="LFS"/>
    <x v="212"/>
    <n v="11.42033100128174"/>
    <n v="11.64299488067627"/>
    <n v="3.013206958770752"/>
    <n v="0.26385700702667242"/>
    <n v="501382.08775329601"/>
    <n v="77735.267696380601"/>
    <n v="20510.127452850302"/>
    <n v="79250.878795623794"/>
    <n v="1796.0069885253899"/>
    <n v="2693970.00054741"/>
    <n v="85.079940795898438"/>
    <n v="579117.35544967698"/>
  </r>
  <r>
    <x v="14"/>
    <x v="7"/>
    <s v="LFS"/>
    <x v="213"/>
    <n v="20.05839729309082"/>
    <n v="22.017459869384769"/>
    <n v="8.0848541259765625"/>
    <n v="0.19387564063072199"/>
    <n v="616144.39789199806"/>
    <n v="248942.81163787801"/>
    <n v="100340.332263947"/>
    <n v="273256.53469467198"/>
    <n v="2406.1717681884802"/>
    <n v="2700114.0056400299"/>
    <n v="69.703811645507813"/>
    <n v="865087.20952987694"/>
  </r>
  <r>
    <x v="14"/>
    <x v="9"/>
    <s v="LFS"/>
    <x v="214"/>
    <n v="16.634771347045898"/>
    <n v="20.826204299926761"/>
    <n v="8.1086597442626953"/>
    <n v="0.18181489408016199"/>
    <n v="677538.77868270897"/>
    <n v="207760.452850342"/>
    <n v="101273.33647537199"/>
    <n v="260109.47241592401"/>
    <n v="2270.7823791503902"/>
    <n v="2710202.9745006599"/>
    <n v="70.883323669433594"/>
    <n v="885299.231533051"/>
  </r>
  <r>
    <x v="14"/>
    <x v="10"/>
    <s v="LFS"/>
    <x v="215"/>
    <n v="16.315006256103519"/>
    <n v="20.260906219482418"/>
    <n v="7.7450709342956543"/>
    <n v="0.31679859757423401"/>
    <n v="651862.71120071399"/>
    <n v="192101.12608337399"/>
    <n v="91194.374549865694"/>
    <n v="238562.148296356"/>
    <n v="3730.1465759277298"/>
    <n v="2713313.0081138602"/>
    <n v="71.677223205566406"/>
    <n v="843963.83728408802"/>
  </r>
  <r>
    <x v="14"/>
    <x v="11"/>
    <s v="LFS"/>
    <x v="216"/>
    <n v="15.79684638977051"/>
    <n v="16.67045783996582"/>
    <n v="9.8045635223388672"/>
    <n v="0.34391236305236822"/>
    <n v="693549.12774276698"/>
    <n v="190921.63525772101"/>
    <n v="118498.537246704"/>
    <n v="201480.15470504799"/>
    <n v="4156.5456161498996"/>
    <n v="2719619.7452201801"/>
    <n v="73.181068420410156"/>
    <n v="884470.76300048805"/>
  </r>
  <r>
    <x v="14"/>
    <x v="13"/>
    <s v="LFS"/>
    <x v="217"/>
    <n v="18.887947082519531"/>
    <n v="19.854312896728519"/>
    <n v="8.1066083908081055"/>
    <n v="0.12810344994068151"/>
    <n v="585960.69236755394"/>
    <n v="208731.86124420201"/>
    <n v="89586.614509582505"/>
    <n v="219411.219608307"/>
    <n v="1415.67893218994"/>
    <n v="2728906.9962234502"/>
    <n v="71.910980224609375"/>
    <n v="794692.55361175502"/>
  </r>
  <r>
    <x v="14"/>
    <x v="16"/>
    <s v="LFS"/>
    <x v="34"/>
    <m/>
    <m/>
    <m/>
    <m/>
    <m/>
    <m/>
    <m/>
    <m/>
    <m/>
    <n v="2727553.4627342201"/>
    <m/>
    <m/>
  </r>
  <r>
    <x v="14"/>
    <x v="17"/>
    <s v="LFS"/>
    <x v="34"/>
    <m/>
    <m/>
    <m/>
    <m/>
    <m/>
    <m/>
    <m/>
    <m/>
    <m/>
    <n v="2727078.3382377601"/>
    <m/>
    <m/>
  </r>
  <r>
    <x v="15"/>
    <x v="1"/>
    <s v="ENIGH"/>
    <x v="218"/>
    <n v="20.559732437133789"/>
    <n v="38.693321228027337"/>
    <n v="19.2747688293457"/>
    <n v="1.046091556549072"/>
    <n v="20953925"/>
    <n v="21091025"/>
    <n v="19772856"/>
    <n v="39693209"/>
    <n v="1073124"/>
    <n v="103241293"/>
    <n v="40.985820770263672"/>
    <n v="42044950"/>
  </r>
  <r>
    <x v="15"/>
    <x v="2"/>
    <s v="ENIGH"/>
    <x v="219"/>
    <n v="18.581110000610352"/>
    <n v="39.205574035644531"/>
    <n v="19.904245376586911"/>
    <n v="1.1039232015609739"/>
    <n v="21942263"/>
    <n v="19227014"/>
    <n v="20596143"/>
    <n v="40568412"/>
    <n v="1142297"/>
    <n v="104178867"/>
    <n v="39.7862548828125"/>
    <n v="41169277"/>
  </r>
  <r>
    <x v="15"/>
    <x v="3"/>
    <s v="ENIGH"/>
    <x v="220"/>
    <n v="18.123445510864261"/>
    <n v="41.3363037109375"/>
    <n v="22.114971160888668"/>
    <n v="1.4785376787185669"/>
    <n v="17695742"/>
    <n v="18924453"/>
    <n v="23092394"/>
    <n v="43163258"/>
    <n v="1543885"/>
    <n v="105044520"/>
    <n v="35.070186614990227"/>
    <n v="36620195"/>
  </r>
  <r>
    <x v="15"/>
    <x v="5"/>
    <s v="ENIGH"/>
    <x v="221"/>
    <n v="18.021440505981449"/>
    <n v="38.529853820800781"/>
    <n v="22.289463043212891"/>
    <n v="1.437141418457031"/>
    <n v="21942668"/>
    <n v="20050522"/>
    <n v="24799091"/>
    <n v="42868029"/>
    <n v="1598953"/>
    <n v="111760640"/>
    <n v="37.743545532226563"/>
    <n v="41993190"/>
  </r>
  <r>
    <x v="15"/>
    <x v="7"/>
    <s v="ENIGH"/>
    <x v="222"/>
    <n v="19.915048599243161"/>
    <n v="39.239509582519531"/>
    <n v="19.488157272338871"/>
    <n v="0.94145143032073975"/>
    <n v="23256686"/>
    <n v="22686220"/>
    <n v="22199926"/>
    <n v="44699673"/>
    <n v="1072454"/>
    <n v="114700757"/>
    <n v="40.330879211425781"/>
    <n v="45942906"/>
  </r>
  <r>
    <x v="15"/>
    <x v="9"/>
    <s v="ENIGH"/>
    <x v="223"/>
    <n v="18.9006462097168"/>
    <n v="39.246025085449219"/>
    <n v="20.93746376037598"/>
    <n v="1.387221217155457"/>
    <n v="22756237"/>
    <n v="22024448"/>
    <n v="24397900"/>
    <n v="45732407"/>
    <n v="1616494"/>
    <n v="117449649"/>
    <n v="38.429290771484382"/>
    <n v="44780685"/>
  </r>
  <r>
    <x v="15"/>
    <x v="11"/>
    <s v="ENIGH"/>
    <x v="224"/>
    <n v="20.374544143676761"/>
    <n v="40.83453369140625"/>
    <n v="19.90834999084473"/>
    <n v="1.454882740974426"/>
    <n v="20825301"/>
    <n v="24346658"/>
    <n v="23789577"/>
    <n v="48795421"/>
    <n v="1738519"/>
    <n v="120089882"/>
    <n v="37.802234649658203"/>
    <n v="45171959"/>
  </r>
  <r>
    <x v="15"/>
    <x v="13"/>
    <s v="ENIGH"/>
    <x v="225"/>
    <n v="16.606313705444339"/>
    <n v="44.258777618408203"/>
    <n v="25.18498611450195"/>
    <n v="1.5099029541015629"/>
    <n v="15193256"/>
    <n v="20281638"/>
    <n v="30758949"/>
    <n v="54054175"/>
    <n v="1844076"/>
    <n v="122760869"/>
    <n v="29.046333312988281"/>
    <n v="35474894"/>
  </r>
  <r>
    <x v="15"/>
    <x v="15"/>
    <s v="ENIGH"/>
    <x v="226"/>
    <n v="15.770194053649901"/>
    <n v="45.422531127929688"/>
    <n v="26.224485397338871"/>
    <n v="1.403385281562805"/>
    <n v="13921828"/>
    <n v="19638782"/>
    <n v="32657617"/>
    <n v="56565138"/>
    <n v="1747650"/>
    <n v="125189618"/>
    <n v="26.949600219726559"/>
    <n v="33560610"/>
  </r>
  <r>
    <x v="15"/>
    <x v="17"/>
    <s v="ENIGH"/>
    <x v="227"/>
    <n v="17.13117790222168"/>
    <n v="43.418716430664063"/>
    <n v="24.803056716918949"/>
    <n v="1.1545765399932859"/>
    <n v="17017407"/>
    <n v="21606734"/>
    <n v="31282908"/>
    <n v="54761946"/>
    <n v="1456212"/>
    <n v="126838467"/>
    <n v="30.623649597167969"/>
    <n v="38624141"/>
  </r>
  <r>
    <x v="15"/>
    <x v="19"/>
    <s v="ENIGH"/>
    <x v="228"/>
    <n v="13.66730880737305"/>
    <n v="45.240653991699219"/>
    <n v="30.352842330932621"/>
    <n v="1.5205526351928711"/>
    <n v="11828757"/>
    <n v="17537001"/>
    <n v="38946789"/>
    <n v="58049861"/>
    <n v="1951074"/>
    <n v="128999038"/>
    <n v="22.88594818115234"/>
    <n v="29365758"/>
  </r>
  <r>
    <x v="16"/>
    <x v="2"/>
    <s v="EMNV"/>
    <x v="229"/>
    <n v="20.367141723632809"/>
    <n v="26.317192077636719"/>
    <n v="7.6499128341674796"/>
    <n v="0.50226128101348877"/>
    <n v="2291478.0732355099"/>
    <n v="1033375.8569211999"/>
    <n v="388136.68206691701"/>
    <n v="1335265.7871933"/>
    <n v="25483.431823730501"/>
    <n v="6008999.2322998"/>
    <n v="65.530632019042969"/>
    <n v="3324853.9301567101"/>
  </r>
  <r>
    <x v="16"/>
    <x v="6"/>
    <s v="EMNV"/>
    <x v="230"/>
    <n v="21.373996734619141"/>
    <n v="28.734615325927731"/>
    <n v="8.0216360092163086"/>
    <n v="0.38204047083854681"/>
    <n v="2253696.6214885698"/>
    <n v="1161078.88897896"/>
    <n v="435751.535312653"/>
    <n v="1560922.6940336199"/>
    <n v="20753.212882995598"/>
    <n v="5736248.5073804902"/>
    <n v="62.861705780029297"/>
    <n v="3414775.5104675302"/>
  </r>
  <r>
    <x v="16"/>
    <x v="7"/>
    <s v="ECH"/>
    <x v="231"/>
    <n v="24.63046836853027"/>
    <n v="31.253952026367191"/>
    <n v="8.7493114471435547"/>
    <n v="0.30521968007087708"/>
    <n v="2022131.5374908401"/>
    <n v="1420552.21701431"/>
    <n v="504612.95820617699"/>
    <n v="1802558.9467392"/>
    <n v="17603.4189147949"/>
    <n v="5824340.0026817303"/>
    <n v="59.691516876220703"/>
    <n v="3442683.7545051598"/>
  </r>
  <r>
    <x v="16"/>
    <x v="8"/>
    <s v="ECH"/>
    <x v="232"/>
    <n v="24.8259162902832"/>
    <n v="32.922492980957031"/>
    <n v="10.09846115112305"/>
    <n v="0.28768900036811829"/>
    <n v="1861630.8129119901"/>
    <n v="1450370.2853546101"/>
    <n v="589968.49306869495"/>
    <n v="1923385.31494522"/>
    <n v="16807.259063720699"/>
    <n v="5897806.0045356797"/>
    <n v="56.691360473632813"/>
    <n v="3312001.0982666002"/>
  </r>
  <r>
    <x v="16"/>
    <x v="9"/>
    <s v="ECH"/>
    <x v="233"/>
    <n v="23.011495590209961"/>
    <n v="36.335700988769531"/>
    <n v="10.90583419799805"/>
    <n v="0.37926292419433588"/>
    <n v="1769952.9114952099"/>
    <n v="1386872.49882889"/>
    <n v="657280.24832534802"/>
    <n v="2189904.84228516"/>
    <n v="22857.6756973267"/>
    <n v="6078631.9958076496"/>
    <n v="52.379203796386719"/>
    <n v="3156825.4103240999"/>
  </r>
  <r>
    <x v="16"/>
    <x v="11"/>
    <s v="EMNV"/>
    <x v="234"/>
    <n v="20.682804107666019"/>
    <n v="35.728244781494141"/>
    <n v="12.66737747192383"/>
    <n v="0.86797410249710083"/>
    <n v="1783675.8111410099"/>
    <n v="1227520.80372357"/>
    <n v="751806.60147857701"/>
    <n v="2120465.0837109098"/>
    <n v="51514.109104156501"/>
    <n v="6240907.8596110297"/>
    <n v="50.736404418945313"/>
    <n v="3011196.6148645901"/>
  </r>
  <r>
    <x v="17"/>
    <x v="0"/>
    <s v="EH"/>
    <x v="235"/>
    <n v="13.6907901763916"/>
    <n v="32.845577239990227"/>
    <n v="28.599761962890629"/>
    <n v="2.8652622699737549"/>
    <n v="661702"/>
    <n v="411809"/>
    <n v="860260"/>
    <n v="987971"/>
    <n v="86185"/>
    <n v="3056899"/>
    <n v="35.689395904541023"/>
    <n v="1073511"/>
  </r>
  <r>
    <x v="17"/>
    <x v="1"/>
    <s v="EH"/>
    <x v="236"/>
    <n v="13.396562576293951"/>
    <n v="32.602699279785163"/>
    <n v="29.202497482299801"/>
    <n v="3.0025403499603271"/>
    <n v="664671"/>
    <n v="408535"/>
    <n v="890545"/>
    <n v="994236"/>
    <n v="91564"/>
    <n v="3109379"/>
    <n v="35.192264556884773"/>
    <n v="1073206"/>
  </r>
  <r>
    <x v="17"/>
    <x v="2"/>
    <s v="EH"/>
    <x v="237"/>
    <n v="13.519631385803221"/>
    <n v="32.378974914550781"/>
    <n v="29.492973327636719"/>
    <n v="2.657606840133667"/>
    <n v="685449"/>
    <n v="422172"/>
    <n v="920965"/>
    <n v="1011085"/>
    <n v="82988"/>
    <n v="3183605"/>
    <n v="35.470443725585938"/>
    <n v="1107621"/>
  </r>
  <r>
    <x v="17"/>
    <x v="3"/>
    <s v="EH"/>
    <x v="238"/>
    <n v="13.221476554870611"/>
    <n v="33.359779357910163"/>
    <n v="29.21098518371582"/>
    <n v="2.7976422309875488"/>
    <n v="681117"/>
    <n v="420613"/>
    <n v="929285"/>
    <n v="1061270"/>
    <n v="89001"/>
    <n v="3238450"/>
    <n v="34.631591796875"/>
    <n v="1101730"/>
  </r>
  <r>
    <x v="17"/>
    <x v="4"/>
    <s v="EH"/>
    <x v="239"/>
    <n v="12.397670745849609"/>
    <n v="34.140499114990227"/>
    <n v="31.959482192993161"/>
    <n v="2.840110063552856"/>
    <n v="608970"/>
    <n v="404550"/>
    <n v="1042874"/>
    <n v="1114043"/>
    <n v="92676"/>
    <n v="3293239"/>
    <n v="31.05991172790527"/>
    <n v="1013520"/>
  </r>
  <r>
    <x v="17"/>
    <x v="5"/>
    <s v="EH"/>
    <x v="240"/>
    <n v="11.00737857818604"/>
    <n v="33.898975372314453"/>
    <n v="33.972835540771477"/>
    <n v="2.866432905197144"/>
    <n v="599858"/>
    <n v="361714"/>
    <n v="1116383"/>
    <n v="1113956"/>
    <n v="94194"/>
    <n v="3347904"/>
    <n v="29.26175689697266"/>
    <n v="961572"/>
  </r>
  <r>
    <x v="17"/>
    <x v="6"/>
    <s v="EH"/>
    <x v="241"/>
    <n v="11.492081642150881"/>
    <n v="34.826583862304688"/>
    <n v="34.026729583740227"/>
    <n v="2.9226832389831539"/>
    <n v="560789"/>
    <n v="385170"/>
    <n v="1140444"/>
    <n v="1167252"/>
    <n v="97957"/>
    <n v="3402243"/>
    <n v="28.224000930786129"/>
    <n v="945959"/>
  </r>
  <r>
    <x v="17"/>
    <x v="7"/>
    <s v="EH"/>
    <x v="242"/>
    <n v="9.9277286529541016"/>
    <n v="34.66156005859375"/>
    <n v="35.999794006347663"/>
    <n v="3.1251742839813228"/>
    <n v="548348"/>
    <n v="334271"/>
    <n v="1212129"/>
    <n v="1167070"/>
    <n v="105226"/>
    <n v="3413381"/>
    <n v="26.213466644287109"/>
    <n v="882619"/>
  </r>
  <r>
    <x v="17"/>
    <x v="8"/>
    <s v="EHPM"/>
    <x v="243"/>
    <n v="10.85994720458984"/>
    <n v="36.968341827392578"/>
    <n v="35.170600891113281"/>
    <n v="2.5991208553314209"/>
    <n v="496139"/>
    <n v="374118"/>
    <n v="1211604"/>
    <n v="1273535"/>
    <n v="89538"/>
    <n v="3491457"/>
    <n v="25.261936187744141"/>
    <n v="870257"/>
  </r>
  <r>
    <x v="17"/>
    <x v="9"/>
    <s v="EHPM"/>
    <x v="244"/>
    <n v="9.9304876327514648"/>
    <n v="33.6300048828125"/>
    <n v="41.176193237304688"/>
    <n v="3.9271421432495122"/>
    <n v="412758"/>
    <n v="361576"/>
    <n v="1499254"/>
    <n v="1224492"/>
    <n v="142990"/>
    <n v="3676519"/>
    <n v="21.266660690307621"/>
    <n v="774334"/>
  </r>
  <r>
    <x v="17"/>
    <x v="10"/>
    <s v="EHPM"/>
    <x v="245"/>
    <n v="9.5639066696166992"/>
    <n v="33.967384338378913"/>
    <n v="40.360633850097663"/>
    <n v="3.72057032585144"/>
    <n v="457688"/>
    <n v="353363"/>
    <n v="1491227"/>
    <n v="1255012"/>
    <n v="137466"/>
    <n v="3754362"/>
    <n v="21.951408386230469"/>
    <n v="811051"/>
  </r>
  <r>
    <x v="17"/>
    <x v="11"/>
    <s v="EHPM"/>
    <x v="246"/>
    <n v="8.6860523223876953"/>
    <n v="32.619243621826172"/>
    <n v="44.027606964111328"/>
    <n v="3.4892385005950932"/>
    <n v="419274"/>
    <n v="325808"/>
    <n v="1651446"/>
    <n v="1223526"/>
    <n v="130879"/>
    <n v="3821452"/>
    <n v="19.863910675048832"/>
    <n v="745082"/>
  </r>
  <r>
    <x v="17"/>
    <x v="12"/>
    <s v="EHPM"/>
    <x v="247"/>
    <n v="8.616215705871582"/>
    <n v="30.51290130615234"/>
    <n v="45.646862030029297"/>
    <n v="3.6799430847167969"/>
    <n v="442465"/>
    <n v="330245"/>
    <n v="1749567"/>
    <n v="1169508"/>
    <n v="141046"/>
    <n v="3894765"/>
    <n v="20.160293579101559"/>
    <n v="772710"/>
  </r>
  <r>
    <x v="17"/>
    <x v="13"/>
    <s v="EHPM"/>
    <x v="248"/>
    <n v="7.9352936744689941"/>
    <n v="30.062433242797852"/>
    <n v="47.970806121826172"/>
    <n v="4.2768383026123047"/>
    <n v="382151"/>
    <n v="310876"/>
    <n v="1879322"/>
    <n v="1177737"/>
    <n v="167551"/>
    <n v="3978117"/>
    <n v="17.689924240112301"/>
    <n v="693027"/>
  </r>
  <r>
    <x v="17"/>
    <x v="14"/>
    <s v="EHPM"/>
    <x v="249"/>
    <n v="7.6518840789794922"/>
    <n v="30.016523361206051"/>
    <n v="48.203117370605469"/>
    <n v="4.7338967323303223"/>
    <n v="374043"/>
    <n v="304658"/>
    <n v="1919196"/>
    <n v="1195101"/>
    <n v="188479"/>
    <n v="4050033"/>
    <n v="17.046463012695309"/>
    <n v="678701"/>
  </r>
  <r>
    <x v="17"/>
    <x v="15"/>
    <s v="EHPM"/>
    <x v="250"/>
    <n v="6.8351902961730957"/>
    <n v="29.086940765380859"/>
    <n v="49.046607971191413"/>
    <n v="5.4528045654296884"/>
    <n v="389697"/>
    <n v="278088"/>
    <n v="1995449"/>
    <n v="1183395"/>
    <n v="221846"/>
    <n v="4128681"/>
    <n v="16.413644790649411"/>
    <n v="667785"/>
  </r>
  <r>
    <x v="17"/>
    <x v="16"/>
    <s v="EHPM"/>
    <x v="251"/>
    <n v="6.7567834854125977"/>
    <n v="28.160917282104489"/>
    <n v="49.283073425292969"/>
    <n v="6.0969886779785156"/>
    <n v="400092"/>
    <n v="278630"/>
    <n v="2032290"/>
    <n v="1161274"/>
    <n v="251422"/>
    <n v="4199236"/>
    <n v="16.45902252197266"/>
    <n v="678722"/>
  </r>
  <r>
    <x v="17"/>
    <x v="19"/>
    <s v="EHPM"/>
    <x v="252"/>
    <n v="7.6252713203430176"/>
    <n v="31.496793746948239"/>
    <n v="45.690479278564453"/>
    <n v="4.6761317253112793"/>
    <n v="460851"/>
    <n v="334317"/>
    <n v="2003221"/>
    <n v="1380923"/>
    <n v="205017"/>
    <n v="4447596"/>
    <n v="18.136594772338871"/>
    <n v="795168"/>
  </r>
  <r>
    <x v="18"/>
    <x v="0"/>
    <s v="ENAHO"/>
    <x v="253"/>
    <n v="19.528596878051761"/>
    <n v="33.698966979980469"/>
    <n v="15.563167572021481"/>
    <n v="1.3858098983764651"/>
    <n v="8031597.3538379697"/>
    <n v="5259142.9860248603"/>
    <n v="4191234.4404621101"/>
    <n v="9075290.8609008808"/>
    <n v="373205.12145233201"/>
    <n v="27753562.281660099"/>
    <n v="49.352054595947273"/>
    <n v="13290740.339862799"/>
  </r>
  <r>
    <x v="18"/>
    <x v="1"/>
    <s v="ENAHO"/>
    <x v="254"/>
    <n v="18.84700775146484"/>
    <n v="35.044315338134773"/>
    <n v="14.978349685668951"/>
    <n v="0.78545713424682617"/>
    <n v="8335375.4065094003"/>
    <n v="5177049.3238410903"/>
    <n v="4114374.79236412"/>
    <n v="9626256.7843170203"/>
    <n v="215755.739688873"/>
    <n v="28382368.158327099"/>
    <n v="49.191879272460938"/>
    <n v="13512424.7303505"/>
  </r>
  <r>
    <x v="18"/>
    <x v="2"/>
    <s v="ENAHO"/>
    <x v="255"/>
    <n v="19.048976898193359"/>
    <n v="33.861370086669922"/>
    <n v="13.26636409759521"/>
    <n v="0.82871246337890625"/>
    <n v="9160687.3221940994"/>
    <n v="5288799.85284233"/>
    <n v="3683302.1683282899"/>
    <n v="9401344.6648197193"/>
    <n v="230085.54909419999"/>
    <n v="28690901.208372101"/>
    <n v="52.043556213378913"/>
    <n v="14449487.175036401"/>
  </r>
  <r>
    <x v="18"/>
    <x v="3"/>
    <s v="ENAHO"/>
    <x v="256"/>
    <n v="18.250856399536129"/>
    <n v="34.531982421875"/>
    <n v="16.173944473266602"/>
    <n v="0.79253727197647095"/>
    <n v="8563451.7829456292"/>
    <n v="5166505.5855255099"/>
    <n v="4578567.6466560401"/>
    <n v="9775414.1452007294"/>
    <n v="224353.769920349"/>
    <n v="29236538.521587402"/>
    <n v="48.501537322998047"/>
    <n v="13729957.368471101"/>
  </r>
  <r>
    <x v="18"/>
    <x v="4"/>
    <s v="ENAHO"/>
    <x v="257"/>
    <n v="16.188541412353519"/>
    <n v="37.175865173339837"/>
    <n v="21.332155227661129"/>
    <n v="1.139145493507385"/>
    <n v="6875560.0894722901"/>
    <n v="4606188.3034882499"/>
    <n v="6069720.5522568198"/>
    <n v="10577792.2295532"/>
    <n v="324125.48040389997"/>
    <n v="29434487.001244999"/>
    <n v="40.352836608886719"/>
    <n v="11481748.3929605"/>
  </r>
  <r>
    <x v="18"/>
    <x v="5"/>
    <s v="ENAHO"/>
    <x v="258"/>
    <n v="15.68081569671631"/>
    <n v="38.701839447021477"/>
    <n v="23.8468017578125"/>
    <n v="1.006550788879395"/>
    <n v="6042327.5384731302"/>
    <n v="4563121.4453492202"/>
    <n v="6939426.1123861102"/>
    <n v="11262246.3771448"/>
    <n v="292906.571380615"/>
    <n v="29979715.696387202"/>
    <n v="36.444808959960938"/>
    <n v="10605448.983822299"/>
  </r>
  <r>
    <x v="18"/>
    <x v="6"/>
    <s v="ENAHO"/>
    <x v="259"/>
    <n v="13.8523416519165"/>
    <n v="37.052028656005859"/>
    <n v="32.74249267578125"/>
    <n v="1.7742713689804079"/>
    <n v="4294427.5614839802"/>
    <n v="4080419.6923092599"/>
    <n v="9644804.1313207094"/>
    <n v="10914244.122378699"/>
    <n v="522638.853645325"/>
    <n v="30330019.313418001"/>
    <n v="28.431203842163089"/>
    <n v="8374847.2537932396"/>
  </r>
  <r>
    <x v="18"/>
    <x v="7"/>
    <s v="ENAHO"/>
    <x v="260"/>
    <n v="12.383623123168951"/>
    <n v="38.118862152099609"/>
    <n v="35.287918090820313"/>
    <n v="1.552408814430237"/>
    <n v="3792530.3621249199"/>
    <n v="3710561.76210737"/>
    <n v="10573480.9512897"/>
    <n v="11421728.988952201"/>
    <n v="465155.36233902001"/>
    <n v="30777183.580204699"/>
    <n v="25.04080772399902"/>
    <n v="7503092.1242322903"/>
  </r>
  <r>
    <x v="18"/>
    <x v="8"/>
    <s v="ENAHO"/>
    <x v="261"/>
    <n v="14.380205154418951"/>
    <n v="41.379501342773438"/>
    <n v="28.39359283447266"/>
    <n v="1.29803478717804"/>
    <n v="4405468.1075744601"/>
    <n v="4354455.3492374402"/>
    <n v="8597835.5560150109"/>
    <n v="12530084.7765388"/>
    <n v="393056.64657592803"/>
    <n v="30974349.593172099"/>
    <n v="28.928873062133789"/>
    <n v="8759923.4568118993"/>
  </r>
  <r>
    <x v="18"/>
    <x v="9"/>
    <s v="ENAHO"/>
    <x v="262"/>
    <n v="13.01988410949707"/>
    <n v="41.177188873291023"/>
    <n v="31.165092468261719"/>
    <n v="1.1433185338973999"/>
    <n v="4169770.2682666802"/>
    <n v="4023111.1257724799"/>
    <n v="9629934.7318210602"/>
    <n v="12723646.8325291"/>
    <n v="353282.50688934303"/>
    <n v="31534072.023166701"/>
    <n v="26.514398574829102"/>
    <n v="8192881.3940391503"/>
  </r>
  <r>
    <x v="18"/>
    <x v="10"/>
    <s v="ENAHO"/>
    <x v="263"/>
    <n v="13.30855083465576"/>
    <n v="41.495258331298828"/>
    <n v="31.62180137634277"/>
    <n v="1.102409362792969"/>
    <n v="3907954.6689071702"/>
    <n v="4170084.1208496098"/>
    <n v="9908335.2831563894"/>
    <n v="13002070.8371372"/>
    <n v="345427.57219266897"/>
    <n v="31878104.673604999"/>
    <n v="25.78053092956543"/>
    <n v="8078038.7897567702"/>
  </r>
  <r>
    <x v="18"/>
    <x v="11"/>
    <s v="ENAHO"/>
    <x v="264"/>
    <n v="13.061398506164551"/>
    <n v="42.056751251220703"/>
    <n v="31.898073196411129"/>
    <n v="1.2087773084640501"/>
    <n v="3723827.2164931302"/>
    <n v="4130649.3866939498"/>
    <n v="10087721.7728839"/>
    <n v="13300389.7081354"/>
    <n v="382274.167756557"/>
    <n v="32180218.222010899"/>
    <n v="24.836397171020511"/>
    <n v="7854476.6031870795"/>
  </r>
  <r>
    <x v="18"/>
    <x v="12"/>
    <s v="ENAHO"/>
    <x v="265"/>
    <n v="12.477542877197269"/>
    <n v="43.528598785400391"/>
    <n v="31.52985954284668"/>
    <n v="1.1455849409103389"/>
    <n v="3618853.5976047502"/>
    <n v="3989463.7575612101"/>
    <n v="10081089.566888999"/>
    <n v="13917465.2783983"/>
    <n v="366279.61973524099"/>
    <n v="32413341.390269499"/>
    <n v="23.795955657958981"/>
    <n v="7608317.3551659603"/>
  </r>
  <r>
    <x v="18"/>
    <x v="13"/>
    <s v="ENAHO"/>
    <x v="266"/>
    <n v="12.79964637756348"/>
    <n v="41.709465026855469"/>
    <n v="33.146800994873047"/>
    <n v="1.282792329788208"/>
    <n v="3563083.2908322802"/>
    <n v="4123043.5241220002"/>
    <n v="10677303.8088348"/>
    <n v="13435523.2636445"/>
    <n v="413215.23130392999"/>
    <n v="32672472.4448824"/>
    <n v="23.860940933227539"/>
    <n v="7686126.8149542799"/>
  </r>
  <r>
    <x v="18"/>
    <x v="14"/>
    <s v="ENAHO"/>
    <x v="267"/>
    <n v="12.699130058288571"/>
    <n v="41.964893341064453"/>
    <n v="33.098396301269531"/>
    <n v="1.1217691898345949"/>
    <n v="3619702.81564999"/>
    <n v="4135288.4048807598"/>
    <n v="10778014.595191499"/>
    <n v="13665260.723663799"/>
    <n v="365287.92586278898"/>
    <n v="32966303.1405182"/>
    <n v="23.81494140625"/>
    <n v="7754991.2205307502"/>
  </r>
  <r>
    <x v="18"/>
    <x v="15"/>
    <s v="ENAHO"/>
    <x v="268"/>
    <n v="12.61367607116699"/>
    <n v="42.904521942138672"/>
    <n v="33.759017944335938"/>
    <n v="1.30424976348877"/>
    <n v="3060140.3400278101"/>
    <n v="4098262.6037638201"/>
    <n v="10968517.1106412"/>
    <n v="13939949.049866401"/>
    <n v="423758.93122601497"/>
    <n v="33262775.856571902"/>
    <n v="22.032209396362301"/>
    <n v="7158402.9437916297"/>
  </r>
  <r>
    <x v="18"/>
    <x v="16"/>
    <s v="ENAHO"/>
    <x v="269"/>
    <n v="11.934299468994141"/>
    <n v="43.499042510986328"/>
    <n v="34.872566223144531"/>
    <n v="1.1634024381637571"/>
    <n v="2836598.77765512"/>
    <n v="3968356.2085394901"/>
    <n v="11595717.2317567"/>
    <n v="14464166.7108359"/>
    <n v="386850.98355388601"/>
    <n v="33627986.699950904"/>
    <n v="20.46498870849609"/>
    <n v="6804954.9861946097"/>
  </r>
  <r>
    <x v="18"/>
    <x v="17"/>
    <s v="ENAHO"/>
    <x v="270"/>
    <n v="16.994180679321289"/>
    <n v="41.046623229980469"/>
    <n v="22.855264663696289"/>
    <n v="0.69862455129623413"/>
    <n v="6174714.31280482"/>
    <n v="5701300.4124686699"/>
    <n v="7667609.3959115697"/>
    <n v="13770545.7757781"/>
    <n v="234378.400478005"/>
    <n v="33807969.541607998"/>
    <n v="35.399490356445313"/>
    <n v="11876014.725273499"/>
  </r>
  <r>
    <x v="18"/>
    <x v="18"/>
    <s v="ENAHO"/>
    <x v="271"/>
    <n v="14.465999603271481"/>
    <n v="46.102321624755859"/>
    <n v="28.16402626037598"/>
    <n v="0.76047664880752563"/>
    <n v="3573087.1990792798"/>
    <n v="4919330.1766127301"/>
    <n v="9577502.2098536491"/>
    <n v="15677627.015443901"/>
    <n v="258608.88046264599"/>
    <n v="34316606.795716897"/>
    <n v="24.973176956176761"/>
    <n v="8492417.3756920099"/>
  </r>
  <r>
    <x v="18"/>
    <x v="19"/>
    <s v="ENAHO"/>
    <x v="272"/>
    <n v="13.89895057678223"/>
    <n v="47.030330657958977"/>
    <n v="29.507598876953129"/>
    <n v="0.78887444734573364"/>
    <n v="3027092.27562404"/>
    <n v="4795102.91032732"/>
    <n v="10180047.220084799"/>
    <n v="16225344.7489153"/>
    <n v="272159.69555616402"/>
    <n v="34794479.0225683"/>
    <n v="22.67319488525391"/>
    <n v="7822195.1859513503"/>
  </r>
  <r>
    <x v="19"/>
    <x v="0"/>
    <s v="EPH"/>
    <x v="273"/>
    <n v="18.118535995483398"/>
    <n v="33.312458038330078"/>
    <n v="19.36776161193848"/>
    <n v="1.6366027593612671"/>
    <n v="1525120.9782409701"/>
    <n v="1002478.53891945"/>
    <n v="1071596.8247070301"/>
    <n v="1843141.33542442"/>
    <n v="90551.418051719695"/>
    <n v="5670237.61826324"/>
    <n v="45.683177947998047"/>
    <n v="2527599.5171604198"/>
  </r>
  <r>
    <x v="19"/>
    <x v="1"/>
    <s v="EPH"/>
    <x v="274"/>
    <n v="19.8525276184082"/>
    <n v="34.302261352539063"/>
    <n v="20.289947509765629"/>
    <n v="1.247473359107971"/>
    <n v="1352263"/>
    <n v="1104413"/>
    <n v="1128747"/>
    <n v="1908264"/>
    <n v="69398"/>
    <n v="5701675"/>
    <n v="44.160316467285163"/>
    <n v="2456676"/>
  </r>
  <r>
    <x v="19"/>
    <x v="2"/>
    <s v="EPH"/>
    <x v="275"/>
    <n v="17.371829986572269"/>
    <n v="36.631572723388672"/>
    <n v="24.11274528503418"/>
    <n v="1.3490345478057859"/>
    <n v="1167471"/>
    <n v="987645"/>
    <n v="1370888"/>
    <n v="2082624"/>
    <n v="76697"/>
    <n v="5837253"/>
    <n v="37.906646728515632"/>
    <n v="2155116"/>
  </r>
  <r>
    <x v="19"/>
    <x v="3"/>
    <s v="EPH"/>
    <x v="276"/>
    <n v="16.258794784545898"/>
    <n v="36.250530242919922"/>
    <n v="20.70538330078125"/>
    <n v="1.216816663742065"/>
    <n v="1481619"/>
    <n v="942150"/>
    <n v="1199817"/>
    <n v="2100613"/>
    <n v="70511"/>
    <n v="5946471"/>
    <n v="41.8272705078125"/>
    <n v="2423769"/>
  </r>
  <r>
    <x v="19"/>
    <x v="4"/>
    <s v="EPH"/>
    <x v="277"/>
    <n v="17.627744674682621"/>
    <n v="37.852470397949219"/>
    <n v="22.7137336730957"/>
    <n v="1.3175851106643679"/>
    <n v="1210413"/>
    <n v="1041408"/>
    <n v="1341877"/>
    <n v="2236240"/>
    <n v="77840"/>
    <n v="6054976"/>
    <n v="38.116207122802727"/>
    <n v="2251821"/>
  </r>
  <r>
    <x v="19"/>
    <x v="5"/>
    <s v="EPH"/>
    <x v="278"/>
    <n v="16.135368347167969"/>
    <n v="37.730400085449219"/>
    <n v="24.297500610351559"/>
    <n v="1.5361349582672119"/>
    <n v="1224510"/>
    <n v="973268"/>
    <n v="1465599"/>
    <n v="2275857"/>
    <n v="92658"/>
    <n v="6163913"/>
    <n v="36.435966491699219"/>
    <n v="2197778"/>
  </r>
  <r>
    <x v="19"/>
    <x v="6"/>
    <s v="EPH"/>
    <x v="279"/>
    <n v="13.965662956237789"/>
    <n v="38.477100372314453"/>
    <n v="27.121793746948239"/>
    <n v="1.46125853061676"/>
    <n v="1165336"/>
    <n v="857728"/>
    <n v="1665737"/>
    <n v="2363145"/>
    <n v="89746"/>
    <n v="6273103"/>
    <n v="32.939849853515632"/>
    <n v="2023064"/>
  </r>
  <r>
    <x v="19"/>
    <x v="7"/>
    <s v="EPH"/>
    <x v="280"/>
    <n v="14.330594062805179"/>
    <n v="38.330848693847663"/>
    <n v="27.781646728515629"/>
    <n v="1.5727946758270259"/>
    <n v="1119380"/>
    <n v="891975"/>
    <n v="1729205"/>
    <n v="2385816"/>
    <n v="97895"/>
    <n v="6381940"/>
    <n v="32.314708709716797"/>
    <n v="2011355"/>
  </r>
  <r>
    <x v="19"/>
    <x v="8"/>
    <s v="EPH"/>
    <x v="281"/>
    <n v="13.788455963134769"/>
    <n v="36.598670959472663"/>
    <n v="30.256376266479489"/>
    <n v="2.204434871673584"/>
    <n v="1091742"/>
    <n v="877646"/>
    <n v="1925842"/>
    <n v="2329534"/>
    <n v="140314"/>
    <n v="6491714"/>
    <n v="30.940517425537109"/>
    <n v="1969388"/>
  </r>
  <r>
    <x v="19"/>
    <x v="9"/>
    <s v="EPH"/>
    <x v="282"/>
    <n v="11.83406829833984"/>
    <n v="37.534233093261719"/>
    <n v="31.581026077270511"/>
    <n v="1.454723119735718"/>
    <n v="1140386"/>
    <n v="766961"/>
    <n v="2046753"/>
    <n v="2432578"/>
    <n v="94280"/>
    <n v="6600284"/>
    <n v="29.43001747131348"/>
    <n v="1907347"/>
  </r>
  <r>
    <x v="19"/>
    <x v="10"/>
    <s v="EPH"/>
    <x v="283"/>
    <n v="11.92844867706299"/>
    <n v="37.221641540527337"/>
    <n v="36.194164276123047"/>
    <n v="2.0475378036499019"/>
    <n v="827890"/>
    <n v="783255"/>
    <n v="2376609"/>
    <n v="2444076"/>
    <n v="134447"/>
    <n v="6709730"/>
    <n v="24.53665924072266"/>
    <n v="1611145"/>
  </r>
  <r>
    <x v="19"/>
    <x v="11"/>
    <s v="EPH"/>
    <x v="284"/>
    <n v="10.627353668212891"/>
    <n v="37.267681121826172"/>
    <n v="37.578018188476563"/>
    <n v="2.3601267337799068"/>
    <n v="817855"/>
    <n v="714372"/>
    <n v="2525999"/>
    <n v="2505138"/>
    <n v="158648"/>
    <n v="6818180"/>
    <n v="22.794172286987301"/>
    <n v="1532227"/>
  </r>
  <r>
    <x v="19"/>
    <x v="12"/>
    <s v="EPH"/>
    <x v="285"/>
    <n v="10.432576179504389"/>
    <n v="37.798622131347663"/>
    <n v="36.637477874755859"/>
    <n v="2.471704483032227"/>
    <n v="864691"/>
    <n v="712577"/>
    <n v="2502452"/>
    <n v="2581762"/>
    <n v="168825"/>
    <n v="6926100"/>
    <n v="23.092197418212891"/>
    <n v="1577268"/>
  </r>
  <r>
    <x v="19"/>
    <x v="13"/>
    <s v="EPH"/>
    <x v="286"/>
    <n v="12.38923263549805"/>
    <n v="38.729114532470703"/>
    <n v="32.547969818115227"/>
    <n v="1.699756979942322"/>
    <n v="977953"/>
    <n v="827945"/>
    <n v="2175109"/>
    <n v="2588181"/>
    <n v="113591"/>
    <n v="6775786"/>
    <n v="27.023160934448239"/>
    <n v="1805898"/>
  </r>
  <r>
    <x v="19"/>
    <x v="14"/>
    <s v="EPH"/>
    <x v="287"/>
    <n v="12.11553859710693"/>
    <n v="39.454280853271477"/>
    <n v="33.029872894287109"/>
    <n v="1.969090461730957"/>
    <n v="911105"/>
    <n v="821856"/>
    <n v="2240577"/>
    <n v="2676376"/>
    <n v="133573"/>
    <n v="6873496"/>
    <n v="25.546758651733398"/>
    <n v="1732961"/>
  </r>
  <r>
    <x v="19"/>
    <x v="15"/>
    <s v="EPHC"/>
    <x v="288"/>
    <n v="10.19883823394775"/>
    <n v="40.553443908691413"/>
    <n v="35.517078399658203"/>
    <n v="2.1955842971801758"/>
    <n v="797551"/>
    <n v="705163"/>
    <n v="2455704"/>
    <n v="2803926"/>
    <n v="151806"/>
    <n v="7012027"/>
    <n v="21.733894348144531"/>
    <n v="1502714"/>
  </r>
  <r>
    <x v="19"/>
    <x v="17"/>
    <s v="EPHC"/>
    <x v="289"/>
    <n v="13.297268867492679"/>
    <n v="43.512947082519531"/>
    <n v="33.339694976806641"/>
    <n v="1.358727812767029"/>
    <n v="604770"/>
    <n v="947055"/>
    <n v="2374512"/>
    <n v="3099069"/>
    <n v="96771"/>
    <n v="7221008"/>
    <n v="21.788633346557621"/>
    <n v="1551825"/>
  </r>
  <r>
    <x v="19"/>
    <x v="18"/>
    <s v="EPHC"/>
    <x v="290"/>
    <n v="11.865652084350589"/>
    <n v="41.587257385253913"/>
    <n v="34.562656402587891"/>
    <n v="1.5547546148300171"/>
    <n v="751780"/>
    <n v="855286"/>
    <n v="2491305"/>
    <n v="2997644"/>
    <n v="112068"/>
    <n v="7307629"/>
    <n v="22.295331954956051"/>
    <n v="1607066"/>
  </r>
  <r>
    <x v="19"/>
    <x v="19"/>
    <s v="EPHC"/>
    <x v="291"/>
    <n v="12.025754928588871"/>
    <n v="40.641674041748047"/>
    <n v="34.724864959716797"/>
    <n v="1.8167048692703249"/>
    <n v="785994"/>
    <n v="875931"/>
    <n v="2529287"/>
    <n v="2960255"/>
    <n v="132325"/>
    <n v="7407035"/>
    <n v="22.816755294799801"/>
    <n v="1661925"/>
  </r>
  <r>
    <x v="20"/>
    <x v="0"/>
    <s v="EHPM"/>
    <x v="292"/>
    <n v="19.09395599365234"/>
    <n v="36.306838989257813"/>
    <n v="17.116142272949219"/>
    <n v="0.89415544271469116"/>
    <n v="1650456"/>
    <n v="1185221"/>
    <n v="1062452"/>
    <n v="2253678"/>
    <n v="55503"/>
    <n v="6639010"/>
    <n v="45.682865142822273"/>
    <n v="2835677"/>
  </r>
  <r>
    <x v="20"/>
    <x v="1"/>
    <s v="EHPM"/>
    <x v="293"/>
    <n v="21.706541061401371"/>
    <n v="36.073131561279297"/>
    <n v="15.449838638305661"/>
    <n v="0.42767944931983948"/>
    <n v="1677410"/>
    <n v="1382190"/>
    <n v="983787"/>
    <n v="2297000"/>
    <n v="27233"/>
    <n v="6756786"/>
    <n v="48.049346923828132"/>
    <n v="3059600"/>
  </r>
  <r>
    <x v="20"/>
    <x v="2"/>
    <s v="EHPM"/>
    <x v="294"/>
    <n v="20.377462387084961"/>
    <n v="35.029838562011719"/>
    <n v="14.120584487915041"/>
    <n v="0.46602264046669012"/>
    <n v="1951911"/>
    <n v="1325564"/>
    <n v="918551"/>
    <n v="2278708"/>
    <n v="30315"/>
    <n v="6864080"/>
    <n v="50.383556365966797"/>
    <n v="3277475"/>
  </r>
  <r>
    <x v="20"/>
    <x v="3"/>
    <s v="EHPM"/>
    <x v="295"/>
    <n v="21.1539306640625"/>
    <n v="38.576744079589837"/>
    <n v="13.539631843566889"/>
    <n v="0.67313694953918457"/>
    <n v="1751976"/>
    <n v="1422336"/>
    <n v="910370"/>
    <n v="2593801"/>
    <n v="45260"/>
    <n v="6980279"/>
    <n v="47.210491180419922"/>
    <n v="3174312"/>
  </r>
  <r>
    <x v="20"/>
    <x v="4"/>
    <s v="EHPM"/>
    <x v="296"/>
    <n v="21.960081100463871"/>
    <n v="39.525619506835938"/>
    <n v="15.55607318878174"/>
    <n v="0.65240877866744995"/>
    <n v="1237881"/>
    <n v="1218694"/>
    <n v="863298"/>
    <n v="2193509"/>
    <n v="36206"/>
    <n v="5744575"/>
    <n v="44.265899658203132"/>
    <n v="2456575"/>
  </r>
  <r>
    <x v="20"/>
    <x v="5"/>
    <s v="EHPM"/>
    <x v="297"/>
    <n v="22.583501815795898"/>
    <n v="36.972831726074219"/>
    <n v="14.76334762573242"/>
    <n v="0.41724011301994318"/>
    <n v="1489785"/>
    <n v="1331768"/>
    <n v="870607"/>
    <n v="2180319"/>
    <n v="24605"/>
    <n v="6122413"/>
    <n v="47.846580505371087"/>
    <n v="2821553"/>
  </r>
  <r>
    <x v="20"/>
    <x v="6"/>
    <s v="EHPM"/>
    <x v="298"/>
    <n v="21.921173095703129"/>
    <n v="38.090713500976563"/>
    <n v="14.0238790512085"/>
    <n v="0.49802246689796448"/>
    <n v="1502899"/>
    <n v="1293687"/>
    <n v="827625"/>
    <n v="2247939"/>
    <n v="29391"/>
    <n v="6150953"/>
    <n v="47.387386322021477"/>
    <n v="2796586"/>
  </r>
  <r>
    <x v="20"/>
    <x v="7"/>
    <s v="EHPM"/>
    <x v="299"/>
    <n v="21.3896484375"/>
    <n v="37.414699554443359"/>
    <n v="15.29071617126465"/>
    <n v="0.36192372441291809"/>
    <n v="1514907"/>
    <n v="1268579"/>
    <n v="906863"/>
    <n v="2218994"/>
    <n v="21465"/>
    <n v="6181405"/>
    <n v="46.932662963867188"/>
    <n v="2783486"/>
  </r>
  <r>
    <x v="20"/>
    <x v="8"/>
    <s v="EHPM"/>
    <x v="300"/>
    <n v="22.658052444458011"/>
    <n v="39.240341186523438"/>
    <n v="13.71337890625"/>
    <n v="0.238270103931427"/>
    <n v="1446240"/>
    <n v="1356896"/>
    <n v="821237"/>
    <n v="2349940"/>
    <n v="14269"/>
    <n v="6213730"/>
    <n v="46.808010101318359"/>
    <n v="2803136"/>
  </r>
  <r>
    <x v="20"/>
    <x v="9"/>
    <s v="EHPM"/>
    <x v="301"/>
    <n v="21.197431564331051"/>
    <n v="41.189117431640632"/>
    <n v="14.62412166595459"/>
    <n v="0.27858182787895203"/>
    <n v="1371049"/>
    <n v="1279690"/>
    <n v="882859"/>
    <n v="2486589"/>
    <n v="16818"/>
    <n v="6249262"/>
    <n v="43.908180236816413"/>
    <n v="2650739"/>
  </r>
  <r>
    <x v="20"/>
    <x v="10"/>
    <s v="EHPM"/>
    <x v="302"/>
    <n v="20.628053665161129"/>
    <n v="42.251750946044922"/>
    <n v="16.832456588745121"/>
    <n v="0.48175650835037231"/>
    <n v="1204541"/>
    <n v="1254537"/>
    <n v="1023700"/>
    <n v="2569626"/>
    <n v="29299"/>
    <n v="6290420"/>
    <n v="40.434036254882813"/>
    <n v="2459078"/>
  </r>
  <r>
    <x v="20"/>
    <x v="11"/>
    <s v="EHPM"/>
    <x v="303"/>
    <n v="20.267389297485352"/>
    <n v="42.715194702148438"/>
    <n v="17.161441802978519"/>
    <n v="0.31702077388763428"/>
    <n v="1213801"/>
    <n v="1259053"/>
    <n v="1066105"/>
    <n v="2653558"/>
    <n v="19694"/>
    <n v="6401415"/>
    <n v="39.806343078613281"/>
    <n v="2472854"/>
  </r>
  <r>
    <x v="20"/>
    <x v="12"/>
    <s v="EHPM"/>
    <x v="304"/>
    <n v="20.792169570922852"/>
    <n v="44.77545166015625"/>
    <n v="16.794698715209961"/>
    <n v="0.44428691267967219"/>
    <n v="1084574"/>
    <n v="1311588"/>
    <n v="1059424"/>
    <n v="2824474"/>
    <n v="28026"/>
    <n v="6459911"/>
    <n v="37.985565185546882"/>
    <n v="2396162"/>
  </r>
  <r>
    <x v="20"/>
    <x v="13"/>
    <s v="EHPM"/>
    <x v="305"/>
    <n v="18.770994186401371"/>
    <n v="45.144416809082031"/>
    <n v="17.868671417236332"/>
    <n v="0.28874513506889338"/>
    <n v="1148538"/>
    <n v="1202599"/>
    <n v="1144790"/>
    <n v="2892262"/>
    <n v="18499"/>
    <n v="6522419"/>
    <n v="36.698165893554688"/>
    <n v="2351137"/>
  </r>
  <r>
    <x v="20"/>
    <x v="14"/>
    <s v="EHPM"/>
    <x v="306"/>
    <n v="19.22854042053223"/>
    <n v="46.998588562011719"/>
    <n v="17.846969604492191"/>
    <n v="0.23242247104644781"/>
    <n v="1012010"/>
    <n v="1239972"/>
    <n v="1150880"/>
    <n v="3030752"/>
    <n v="14988"/>
    <n v="6581860"/>
    <n v="34.922019958496087"/>
    <n v="2251982"/>
  </r>
  <r>
    <x v="20"/>
    <x v="15"/>
    <s v="EHPM"/>
    <x v="307"/>
    <n v="17.584136962890629"/>
    <n v="46.996036529541023"/>
    <n v="21.154472351074219"/>
    <n v="0.3222949206829071"/>
    <n v="908498"/>
    <n v="1145742"/>
    <n v="1378377"/>
    <n v="3062154"/>
    <n v="21000"/>
    <n v="6642767"/>
    <n v="31.52719688415527"/>
    <n v="2054240"/>
  </r>
  <r>
    <x v="20"/>
    <x v="16"/>
    <s v="EHPM"/>
    <x v="308"/>
    <n v="17.54160308837891"/>
    <n v="48.162082672119141"/>
    <n v="21.897638320922852"/>
    <n v="0.36554312705993652"/>
    <n v="793075.34732246399"/>
    <n v="1156125.72694397"/>
    <n v="1443221.71602345"/>
    <n v="3174249.3398780799"/>
    <n v="24092.086118698098"/>
    <n v="6704864.0078773499"/>
    <n v="29.574733734130859"/>
    <n v="1949201.07426643"/>
  </r>
  <r>
    <x v="20"/>
    <x v="17"/>
    <s v="EHPM"/>
    <x v="309"/>
    <n v="14.53294467926025"/>
    <n v="45.829341888427727"/>
    <n v="23.00028228759766"/>
    <n v="0.47568050026893621"/>
    <n v="971782.51956558204"/>
    <n v="873844.716535568"/>
    <n v="1382973.2767753601"/>
    <n v="2755651.1200771299"/>
    <n v="28601.9726428986"/>
    <n v="6321041.9938964797"/>
    <n v="30.694696426391602"/>
    <n v="1845627.23610115"/>
  </r>
  <r>
    <x v="20"/>
    <x v="18"/>
    <s v="EHPM"/>
    <x v="310"/>
    <n v="15.16676235198975"/>
    <n v="44.456855773925781"/>
    <n v="24.761751174926761"/>
    <n v="0.38296246528625488"/>
    <n v="906166.52065944695"/>
    <n v="902305.18160247803"/>
    <n v="1473132.93411732"/>
    <n v="2644839.5738344202"/>
    <n v="22783.308082580599"/>
    <n v="6325827.0136499396"/>
    <n v="30.398427963256839"/>
    <n v="1808471.7022619201"/>
  </r>
  <r>
    <x v="20"/>
    <x v="19"/>
    <s v="EHPM"/>
    <x v="311"/>
    <n v="14.27655029296875"/>
    <n v="45.77606201171875"/>
    <n v="25.281827926635739"/>
    <n v="0.3348051905632019"/>
    <n v="853343.02361774398"/>
    <n v="850115.31159114803"/>
    <n v="1505438.5417110899"/>
    <n v="2725793.6798474798"/>
    <n v="19936.400428772002"/>
    <n v="6330947.0104064904"/>
    <n v="28.607305526733398"/>
    <n v="1703458.33520889"/>
  </r>
  <r>
    <x v="21"/>
    <x v="0"/>
    <s v="CSSP"/>
    <x v="312"/>
    <n v="9.4949636459350586"/>
    <n v="36.768306732177727"/>
    <n v="46.586578369140632"/>
    <n v="2.184862375259399"/>
    <n v="51605.429531097398"/>
    <n v="98683.446464538603"/>
    <n v="484185.55507278402"/>
    <n v="382141.91957092303"/>
    <n v="22707.8038101196"/>
    <n v="1284052.0275993301"/>
    <n v="14.460250854492189"/>
    <n v="150288.87599563599"/>
  </r>
  <r>
    <x v="21"/>
    <x v="1"/>
    <s v="CSSP"/>
    <x v="313"/>
    <n v="6.9185338020324707"/>
    <n v="36.700691223144531"/>
    <n v="48.989009857177727"/>
    <n v="2.565606832504272"/>
    <n v="49259.804344177202"/>
    <n v="70616.364574432402"/>
    <n v="500022.941017151"/>
    <n v="374598.05831909197"/>
    <n v="26186.735534668001"/>
    <n v="1290535.01996994"/>
    <n v="11.74469089508057"/>
    <n v="119876.16891861"/>
  </r>
  <r>
    <x v="21"/>
    <x v="2"/>
    <s v="CSSP"/>
    <x v="314"/>
    <n v="7.397038459777832"/>
    <n v="35.633243560791023"/>
    <n v="49.546894073486328"/>
    <n v="2.630221843719482"/>
    <n v="48374.709033966101"/>
    <n v="74662.886810302705"/>
    <n v="500107.48386383097"/>
    <n v="359668.37854385399"/>
    <n v="26548.456764221199"/>
    <n v="1296933.01391602"/>
    <n v="12.18964099884033"/>
    <n v="123037.595844269"/>
  </r>
  <r>
    <x v="21"/>
    <x v="3"/>
    <s v="CSSP"/>
    <x v="315"/>
    <n v="7.3063187599182129"/>
    <n v="34.702281951904297"/>
    <n v="51.333721160888672"/>
    <n v="2.827782154083252"/>
    <n v="38919.073974609397"/>
    <n v="74246.187744140596"/>
    <n v="521648.90112304699"/>
    <n v="352641.61889648403"/>
    <n v="28735.681640625"/>
    <n v="1303140.9440917999"/>
    <n v="11.136214256286619"/>
    <n v="113165.26171875"/>
  </r>
  <r>
    <x v="21"/>
    <x v="4"/>
    <s v="CSSP"/>
    <x v="316"/>
    <n v="5.631195068359375"/>
    <n v="33.405948638916023"/>
    <n v="54.794322967529297"/>
    <n v="2.7702138423919682"/>
    <n v="34744.333282470703"/>
    <n v="57573.1420097351"/>
    <n v="560215.25416564895"/>
    <n v="341541.25056839001"/>
    <n v="28322.570827484102"/>
    <n v="1309260.0205192601"/>
    <n v="9.0295171737670898"/>
    <n v="92317.475292205796"/>
  </r>
  <r>
    <x v="21"/>
    <x v="5"/>
    <s v="CSSP"/>
    <x v="317"/>
    <n v="5.5041747093200684"/>
    <n v="32.463397979736328"/>
    <n v="56.217472076416023"/>
    <n v="2.7708091735839839"/>
    <n v="30792.6355133057"/>
    <n v="55676.721038818403"/>
    <n v="568660.06100463902"/>
    <n v="328379.02816772502"/>
    <n v="28027.737121581999"/>
    <n v="1315372.0033721901"/>
    <n v="8.5483207702636719"/>
    <n v="86469.356552123994"/>
  </r>
  <r>
    <x v="21"/>
    <x v="6"/>
    <s v="CSSP"/>
    <x v="318"/>
    <n v="3.3737480640411381"/>
    <n v="30.029872894287109"/>
    <n v="62.537342071533203"/>
    <n v="2.8641715049743648"/>
    <n v="10899.9924316406"/>
    <n v="30776.44921875"/>
    <n v="570486.36859130894"/>
    <n v="273942.456848145"/>
    <n v="26127.923034668001"/>
    <n v="1321624.08233643"/>
    <n v="4.5686168670654297"/>
    <n v="41676.441650390603"/>
  </r>
  <r>
    <x v="21"/>
    <x v="7"/>
    <s v="CSSP"/>
    <x v="319"/>
    <n v="7.1082243919372559"/>
    <n v="36.18603515625"/>
    <n v="50.280094146728523"/>
    <n v="1.8406063318252559"/>
    <n v="42179.620193481402"/>
    <n v="65391.402969360402"/>
    <n v="462546.738487244"/>
    <n v="332889.87723541301"/>
    <n v="16932.475868225101"/>
    <n v="1328095.06375122"/>
    <n v="11.693264007568359"/>
    <n v="107571.023162842"/>
  </r>
  <r>
    <x v="21"/>
    <x v="8"/>
    <s v="CSSP"/>
    <x v="320"/>
    <n v="7.0732226371765137"/>
    <n v="34.448162078857422"/>
    <n v="53.632675170898438"/>
    <n v="1.8786023855209351"/>
    <n v="26776.708580017101"/>
    <n v="63827.454025268598"/>
    <n v="483971.34908294701"/>
    <n v="310853.82790374802"/>
    <n v="16952.160827636701"/>
    <n v="1334790.0269851701"/>
    <n v="10.040560722351071"/>
    <n v="90604.162605285601"/>
  </r>
  <r>
    <x v="21"/>
    <x v="9"/>
    <s v="CSSP"/>
    <x v="321"/>
    <n v="8.2121715545654297"/>
    <n v="34.837795257568359"/>
    <n v="51.489459991455078"/>
    <n v="1.4397348165512081"/>
    <n v="35524.9356765747"/>
    <n v="72556.229049682603"/>
    <n v="454920.02435302699"/>
    <n v="307799.089324951"/>
    <n v="12720.353881835899"/>
    <n v="1341578.90184021"/>
    <n v="12.233010292053221"/>
    <n v="108081.164726257"/>
  </r>
  <r>
    <x v="21"/>
    <x v="10"/>
    <s v="CSSP"/>
    <x v="322"/>
    <n v="6.5520143508911133"/>
    <n v="36.022056579589837"/>
    <n v="52.532947540283203"/>
    <n v="1.58893358707428"/>
    <n v="30107.5700798035"/>
    <n v="59704.120582580603"/>
    <n v="478697.588779449"/>
    <n v="328244.90830993699"/>
    <n v="14478.888015747099"/>
    <n v="1348239.9840545701"/>
    <n v="9.8560619354248047"/>
    <n v="89811.690662384004"/>
  </r>
  <r>
    <x v="21"/>
    <x v="11"/>
    <s v="CSSP"/>
    <x v="323"/>
    <n v="6.7587547302246094"/>
    <n v="35.7525634765625"/>
    <n v="51.709323883056641"/>
    <n v="1.4875727891921999"/>
    <n v="39393.737094879201"/>
    <n v="62037.715145111099"/>
    <n v="474633.04553604103"/>
    <n v="328168.06391525298"/>
    <n v="13654.233955383301"/>
    <n v="1354483.0465927101"/>
    <n v="11.050539970397949"/>
    <n v="101431.45223999"/>
  </r>
  <r>
    <x v="21"/>
    <x v="12"/>
    <s v="CSSP"/>
    <x v="324"/>
    <n v="7.4028120040893546"/>
    <n v="37.937690734863281"/>
    <n v="49.287750244140632"/>
    <n v="1.461262702941895"/>
    <n v="35018.440288543701"/>
    <n v="66292.253002166704"/>
    <n v="441372.25679779099"/>
    <n v="339732.36547851597"/>
    <n v="13085.621635437001"/>
    <n v="1370327.9436531099"/>
    <n v="11.31329822540283"/>
    <n v="101310.69329071"/>
  </r>
  <r>
    <x v="22"/>
    <x v="0"/>
    <s v="ECH"/>
    <x v="325"/>
    <n v="15.05007266998291"/>
    <n v="41.285091400146477"/>
    <n v="33.188079833984382"/>
    <n v="1.767889022827148"/>
    <n v="203952"/>
    <n v="352456"/>
    <n v="777228"/>
    <n v="966851"/>
    <n v="41402"/>
    <n v="2365492"/>
    <n v="23.758939743041989"/>
    <n v="556408"/>
  </r>
  <r>
    <x v="22"/>
    <x v="1"/>
    <s v="ECH"/>
    <x v="326"/>
    <n v="14.115720748901371"/>
    <n v="38.487045288085938"/>
    <n v="35.033622741699219"/>
    <n v="1.9204878807067871"/>
    <n v="244432"/>
    <n v="330393"/>
    <n v="819998"/>
    <n v="900829"/>
    <n v="44951"/>
    <n v="2364322"/>
    <n v="24.558841705322269"/>
    <n v="574825"/>
  </r>
  <r>
    <x v="22"/>
    <x v="2"/>
    <s v="ECH"/>
    <x v="327"/>
    <n v="12.019222259521481"/>
    <n v="39.033100128173828"/>
    <n v="37.071357727050781"/>
    <n v="1.8328782320022581"/>
    <n v="229683"/>
    <n v="274867"/>
    <n v="847783"/>
    <n v="892646"/>
    <n v="41916"/>
    <n v="2309272"/>
    <n v="22.062665939331051"/>
    <n v="504550"/>
  </r>
  <r>
    <x v="22"/>
    <x v="3"/>
    <s v="ECH"/>
    <x v="328"/>
    <n v="14.30898284912109"/>
    <n v="33.343601226806641"/>
    <n v="28.690692901611332"/>
    <n v="1.9953101873397829"/>
    <n v="638603"/>
    <n v="421845"/>
    <n v="845834"/>
    <n v="983007"/>
    <n v="58824"/>
    <n v="3065604"/>
    <n v="35.97039794921875"/>
    <n v="1060448"/>
  </r>
  <r>
    <x v="22"/>
    <x v="4"/>
    <s v="ECH"/>
    <x v="329"/>
    <n v="11.05096530914307"/>
    <n v="36.873798370361328"/>
    <n v="41.601772308349609"/>
    <n v="3.054100513458252"/>
    <n v="220244"/>
    <n v="328048"/>
    <n v="1234949"/>
    <n v="1094599"/>
    <n v="90661"/>
    <n v="2999178"/>
    <n v="18.470331192016602"/>
    <n v="548292"/>
  </r>
  <r>
    <x v="22"/>
    <x v="5"/>
    <s v="ECH"/>
    <x v="330"/>
    <n v="9.3123760223388672"/>
    <n v="37.366096496582031"/>
    <n v="46.244094848632813"/>
    <n v="3.2605431079864502"/>
    <n v="113599"/>
    <n v="277157"/>
    <n v="1376327"/>
    <n v="1112098"/>
    <n v="97041"/>
    <n v="3005572"/>
    <n v="13.129262924194339"/>
    <n v="390756"/>
  </r>
  <r>
    <x v="22"/>
    <x v="6"/>
    <s v="ECH"/>
    <x v="331"/>
    <n v="8.62933349609375"/>
    <n v="34.199569702148438"/>
    <n v="48.605545043945313"/>
    <n v="3.898138284683228"/>
    <n v="139699"/>
    <n v="258282"/>
    <n v="1454798"/>
    <n v="1023617"/>
    <n v="116674"/>
    <n v="3023656"/>
    <n v="13.296749114990231"/>
    <n v="397981"/>
  </r>
  <r>
    <x v="22"/>
    <x v="7"/>
    <s v="ECH"/>
    <x v="332"/>
    <n v="8.1196403503417969"/>
    <n v="34.620758056640632"/>
    <n v="49.801559448242188"/>
    <n v="3.7234139442443852"/>
    <n v="124598"/>
    <n v="270895"/>
    <n v="1661526"/>
    <n v="1155050"/>
    <n v="124224"/>
    <n v="3368598"/>
    <n v="11.854265213012701"/>
    <n v="395493"/>
  </r>
  <r>
    <x v="22"/>
    <x v="8"/>
    <s v="ECH"/>
    <x v="333"/>
    <n v="6.4255094528198242"/>
    <n v="30.9777946472168"/>
    <n v="55.259288787841797"/>
    <n v="3.9624407291412349"/>
    <n v="112519"/>
    <n v="214222"/>
    <n v="1842306"/>
    <n v="1032778"/>
    <n v="132105"/>
    <n v="3368660"/>
    <n v="9.80047607421875"/>
    <n v="326741"/>
  </r>
  <r>
    <x v="22"/>
    <x v="9"/>
    <s v="ECH"/>
    <x v="334"/>
    <n v="5.4598422050476074"/>
    <n v="29.86258506774902"/>
    <n v="57.51422119140625"/>
    <n v="3.5276591777801509"/>
    <n v="117718"/>
    <n v="176781"/>
    <n v="1862219"/>
    <n v="966903"/>
    <n v="114220"/>
    <n v="3273317"/>
    <n v="9.0955362319946289"/>
    <n v="294499"/>
  </r>
  <r>
    <x v="22"/>
    <x v="10"/>
    <s v="ECH"/>
    <x v="335"/>
    <n v="5.5547275543212891"/>
    <n v="28.621683120727539"/>
    <n v="58.663909912109382"/>
    <n v="3.9920556545257568"/>
    <n v="106909"/>
    <n v="187475"/>
    <n v="1979938"/>
    <n v="965997"/>
    <n v="134734"/>
    <n v="3405068"/>
    <n v="8.7223520278930664"/>
    <n v="294384"/>
  </r>
  <r>
    <x v="22"/>
    <x v="11"/>
    <s v="ECH"/>
    <x v="336"/>
    <n v="4.8435015678405762"/>
    <n v="27.182903289794918"/>
    <n v="60.613548278808587"/>
    <n v="4.3922228813171387"/>
    <n v="100390"/>
    <n v="163837"/>
    <n v="2050323"/>
    <n v="919493"/>
    <n v="148572"/>
    <n v="3415179"/>
    <n v="7.8113236427307129"/>
    <n v="264227"/>
  </r>
  <r>
    <x v="22"/>
    <x v="12"/>
    <s v="ECH"/>
    <x v="337"/>
    <n v="4.9936122894287109"/>
    <n v="26.074140548706051"/>
    <n v="60.926425933837891"/>
    <n v="4.7760639190673828"/>
    <n v="110782"/>
    <n v="171283"/>
    <n v="2089802"/>
    <n v="894354"/>
    <n v="163821"/>
    <n v="3466523"/>
    <n v="8.2233686447143555"/>
    <n v="282065"/>
  </r>
  <r>
    <x v="22"/>
    <x v="13"/>
    <s v="ECH"/>
    <x v="338"/>
    <n v="4.6215548515319824"/>
    <n v="26.567375183105469"/>
    <n v="61.256248474121087"/>
    <n v="4.5216059684753418"/>
    <n v="104517"/>
    <n v="159247"/>
    <n v="2110734"/>
    <n v="915444"/>
    <n v="155803"/>
    <n v="3478642"/>
    <n v="7.6547741889953613"/>
    <n v="263764"/>
  </r>
  <r>
    <x v="22"/>
    <x v="14"/>
    <s v="ECH"/>
    <x v="339"/>
    <n v="4.0887298583984384"/>
    <n v="25.750371932983398"/>
    <n v="62.609493255615227"/>
    <n v="4.9156970977783203"/>
    <n v="91240"/>
    <n v="141539"/>
    <n v="2167344"/>
    <n v="891397"/>
    <n v="170166"/>
    <n v="3493135"/>
    <n v="6.7244400978088379"/>
    <n v="232779"/>
  </r>
  <r>
    <x v="22"/>
    <x v="15"/>
    <s v="ECH"/>
    <x v="340"/>
    <n v="4.4731311798095703"/>
    <n v="26.584991455078129"/>
    <n v="61.851799011230469"/>
    <n v="4.6783099174499512"/>
    <n v="83833"/>
    <n v="155486"/>
    <n v="2149968"/>
    <n v="924094"/>
    <n v="162618"/>
    <n v="3506534"/>
    <n v="6.8848981857299796"/>
    <n v="239319"/>
  </r>
  <r>
    <x v="22"/>
    <x v="16"/>
    <s v="ECH"/>
    <x v="341"/>
    <n v="4.7734603881835938"/>
    <n v="27.358732223510739"/>
    <n v="60.645664215087891"/>
    <n v="4.695737361907959"/>
    <n v="88024"/>
    <n v="166315"/>
    <n v="2112992"/>
    <n v="953222"/>
    <n v="163607"/>
    <n v="3517931"/>
    <n v="7.29986572265625"/>
    <n v="254339"/>
  </r>
  <r>
    <x v="22"/>
    <x v="17"/>
    <s v="ECH"/>
    <x v="342"/>
    <n v="6.0923705101013184"/>
    <n v="28.600553512573239"/>
    <n v="57.174755096435547"/>
    <n v="4.2948765754699707"/>
    <n v="133878.992912769"/>
    <n v="212547.74585771601"/>
    <n v="1994685.8548717501"/>
    <n v="997802.52803444897"/>
    <n v="149837.61164259899"/>
    <n v="3530882.8314890899"/>
    <n v="9.9298162460327148"/>
    <n v="346426.73877048498"/>
  </r>
  <r>
    <x v="22"/>
    <x v="18"/>
    <s v="ECH"/>
    <x v="343"/>
    <n v="5.5758123397827148"/>
    <n v="28.331466674804691"/>
    <n v="58.344905853271477"/>
    <n v="4.1087117195129386"/>
    <n v="127970"/>
    <n v="196075"/>
    <n v="2051715"/>
    <n v="996284"/>
    <n v="144484"/>
    <n v="3542860"/>
    <n v="9.2149133682250977"/>
    <n v="324045"/>
  </r>
  <r>
    <x v="22"/>
    <x v="19"/>
    <s v="ECH"/>
    <x v="344"/>
    <n v="5.4980168342590332"/>
    <n v="28.05974197387695"/>
    <n v="58.728916168212891"/>
    <n v="4.4897651672363281"/>
    <n v="113583"/>
    <n v="193724"/>
    <n v="2069328"/>
    <n v="988692"/>
    <n v="158198"/>
    <n v="3554802"/>
    <n v="8.7215785980224609"/>
    <n v="307307"/>
  </r>
  <r>
    <x v="23"/>
    <x v="0"/>
    <s v="EHM"/>
    <x v="345"/>
    <n v="22.17098236083984"/>
    <n v="32.557411193847663"/>
    <n v="10.564040184021"/>
    <n v="0.19915372133254999"/>
    <n v="8152254"/>
    <n v="5237665"/>
    <n v="2495645"/>
    <n v="7691351"/>
    <n v="47048"/>
    <n v="25625384"/>
    <n v="56.679389953613281"/>
    <n v="13389919"/>
  </r>
  <r>
    <x v="23"/>
    <x v="1"/>
    <s v="EHM"/>
    <x v="346"/>
    <n v="21.800750732421879"/>
    <n v="38.088935852050781"/>
    <n v="15.15921688079834"/>
    <n v="0.28251552581787109"/>
    <n v="2931689"/>
    <n v="2590867"/>
    <n v="1801567"/>
    <n v="4526604"/>
    <n v="33575"/>
    <n v="12899159"/>
    <n v="46.469333648681641"/>
    <n v="5522556"/>
  </r>
  <r>
    <x v="23"/>
    <x v="2"/>
    <s v="EHM"/>
    <x v="347"/>
    <n v="19.018621444702148"/>
    <n v="40.3934326171875"/>
    <n v="17.184076309204102"/>
    <n v="0.53341162204742432"/>
    <n v="5789178"/>
    <n v="4814166"/>
    <n v="4349789"/>
    <n v="10224752"/>
    <n v="135022"/>
    <n v="27806370"/>
    <n v="41.889080047607422"/>
    <n v="10603344"/>
  </r>
  <r>
    <x v="23"/>
    <x v="3"/>
    <s v="EHM"/>
    <x v="348"/>
    <n v="16.227157592773441"/>
    <n v="43.883811950683587"/>
    <n v="25.62089920043945"/>
    <n v="0.77109140157699585"/>
    <n v="3416307"/>
    <n v="4107341"/>
    <n v="6485040"/>
    <n v="11107662"/>
    <n v="195175"/>
    <n v="26951658"/>
    <n v="29.724199295043949"/>
    <n v="7523648"/>
  </r>
  <r>
    <x v="23"/>
    <x v="4"/>
    <s v="EHM"/>
    <x v="349"/>
    <n v="13.20516300201416"/>
    <n v="45.270736694335938"/>
    <n v="30.70184326171875"/>
    <n v="0.73724865913391113"/>
    <n v="2625732"/>
    <n v="3438095"/>
    <n v="7993529"/>
    <n v="11786685"/>
    <n v="191950"/>
    <n v="27404078"/>
    <n v="23.2901725769043"/>
    <n v="6063827"/>
  </r>
  <r>
    <x v="23"/>
    <x v="5"/>
    <s v="EHM"/>
    <x v="350"/>
    <n v="11.9956111907959"/>
    <n v="44.631336212158203"/>
    <n v="33.640583038330078"/>
    <n v="0.70931005477905273"/>
    <n v="2372728"/>
    <n v="3154363"/>
    <n v="8846120"/>
    <n v="11736245"/>
    <n v="186520"/>
    <n v="27849360"/>
    <n v="21.018772125244141"/>
    <n v="5527091"/>
  </r>
  <r>
    <x v="23"/>
    <x v="6"/>
    <s v="EHM"/>
    <x v="351"/>
    <n v="12.15221691131592"/>
    <n v="44.888187408447273"/>
    <n v="34.147560119628913"/>
    <n v="0.79294425249099731"/>
    <n v="2155174"/>
    <n v="3265973"/>
    <n v="9177339"/>
    <n v="12063939"/>
    <n v="213108"/>
    <n v="28298170"/>
    <n v="20.171310424804691"/>
    <n v="5421147"/>
  </r>
  <r>
    <x v="23"/>
    <x v="7"/>
    <s v="EHM"/>
    <x v="352"/>
    <n v="12.49177074432373"/>
    <n v="45.929191589355469"/>
    <n v="33.112247467041023"/>
    <n v="0.47657755017280579"/>
    <n v="2173637"/>
    <n v="3398231"/>
    <n v="9007776"/>
    <n v="12494466"/>
    <n v="129647"/>
    <n v="28744685"/>
    <n v="20.481979370117191"/>
    <n v="5571868"/>
  </r>
  <r>
    <x v="23"/>
    <x v="8"/>
    <s v="EHM"/>
    <x v="353"/>
    <n v="12.306576728820801"/>
    <n v="45.775836944580078"/>
    <n v="33.10076904296875"/>
    <n v="0.47797641158103937"/>
    <n v="2298040"/>
    <n v="3391479"/>
    <n v="9121997"/>
    <n v="12615026"/>
    <n v="131722"/>
    <n v="29186358"/>
    <n v="20.645418167114261"/>
    <n v="5689519"/>
  </r>
  <r>
    <x v="23"/>
    <x v="9"/>
    <s v="EHM"/>
    <x v="354"/>
    <n v="10.831559181213381"/>
    <n v="42.708362579345703"/>
    <n v="37.10107421875"/>
    <n v="0.91945117712020874"/>
    <n v="2302941"/>
    <n v="2955659"/>
    <n v="10123946"/>
    <n v="11654033"/>
    <n v="250895"/>
    <n v="29624668"/>
    <n v="19.271112442016602"/>
    <n v="5258600"/>
  </r>
  <r>
    <x v="23"/>
    <x v="10"/>
    <s v="EHM"/>
    <x v="355"/>
    <n v="12.19217586517334"/>
    <n v="43.146701812744141"/>
    <n v="35.822696685791023"/>
    <n v="0.91961884498596191"/>
    <n v="1781247"/>
    <n v="2742494"/>
    <n v="8057916"/>
    <n v="9705370"/>
    <n v="206858"/>
    <n v="30060754"/>
    <n v="20.110980987548832"/>
    <n v="4523741"/>
  </r>
  <r>
    <x v="23"/>
    <x v="11"/>
    <s v="EHM"/>
    <x v="356"/>
    <n v="10.383420944213871"/>
    <n v="44.218135833740227"/>
    <n v="38.41094970703125"/>
    <n v="0.86347109079360962"/>
    <n v="1772650"/>
    <n v="3005569"/>
    <n v="11118374"/>
    <n v="12799312"/>
    <n v="249939"/>
    <n v="30067613"/>
    <n v="16.507444381713871"/>
    <n v="4778219"/>
  </r>
  <r>
    <x v="23"/>
    <x v="12"/>
    <s v="EHM"/>
    <x v="357"/>
    <n v="13.355215072631839"/>
    <n v="45.919773101806641"/>
    <n v="31.501447677612301"/>
    <n v="0.58545035123825073"/>
    <n v="2484919"/>
    <n v="3841883"/>
    <n v="9061994"/>
    <n v="13209701"/>
    <n v="168416"/>
    <n v="30511483"/>
    <n v="21.993330001831051"/>
    <n v="6326802"/>
  </r>
  <r>
    <x v="23"/>
    <x v="13"/>
    <s v="ENCOVI"/>
    <x v="358"/>
    <n v="18.264646530151371"/>
    <n v="45.209789276123047"/>
    <n v="16.709842681884769"/>
    <n v="0.44177696108818049"/>
    <n v="5674301"/>
    <n v="5349406"/>
    <n v="4894030"/>
    <n v="13241183"/>
    <n v="129389"/>
    <n v="31027256"/>
    <n v="37.638591766357422"/>
    <n v="11023707"/>
  </r>
  <r>
    <x v="23"/>
    <x v="14"/>
    <s v="ENCOVI"/>
    <x v="359"/>
    <n v="21.104619979858398"/>
    <n v="28.148342132568359"/>
    <n v="5.1477408409118652"/>
    <n v="9.7051665186882019E-2"/>
    <n v="11800375"/>
    <n v="5473190"/>
    <n v="1334995"/>
    <n v="7299881"/>
    <n v="25169"/>
    <n v="31431164"/>
    <n v="66.606864929199219"/>
    <n v="17273565"/>
  </r>
  <r>
    <x v="23"/>
    <x v="15"/>
    <s v="ENCOVI"/>
    <x v="360"/>
    <n v="9.7455730438232422"/>
    <n v="8.1722345352172852"/>
    <n v="3.1779429912567139"/>
    <n v="0.42768591642379761"/>
    <n v="21158726"/>
    <n v="2627586"/>
    <n v="856832"/>
    <n v="2203385"/>
    <n v="115312"/>
    <n v="31766290"/>
    <n v="88.222137451171875"/>
    <n v="23786312"/>
  </r>
  <r>
    <x v="23"/>
    <x v="17"/>
    <s v="ENCOVI"/>
    <x v="361"/>
    <n v="0.46551507711410522"/>
    <n v="0.52292656898498535"/>
    <n v="0.1035190522670746"/>
    <m/>
    <n v="27606028"/>
    <n v="129929"/>
    <n v="28893"/>
    <n v="145953"/>
    <m/>
    <n v="29338531"/>
    <n v="99.373558044433594"/>
    <n v="27735957"/>
  </r>
  <r>
    <x v="23"/>
    <x v="18"/>
    <s v="ENCOVI"/>
    <x v="362"/>
    <n v="9.8046188354492188"/>
    <n v="10.154538154602051"/>
    <n v="3.6044783592224121"/>
    <n v="0.39350992441177368"/>
    <n v="21206474.5644073"/>
    <n v="2734266.1105423002"/>
    <n v="1005200.00022125"/>
    <n v="2831849.8907241798"/>
    <n v="109740.19828033401"/>
    <n v="28704946.989028901"/>
    <n v="85.84747314453125"/>
    <n v="23940740.67494960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7">
  <r>
    <x v="0"/>
    <s v="Notes"/>
    <s v="1/"/>
    <x v="0"/>
    <s v="3/"/>
    <s v="4/"/>
    <s v="5/"/>
    <x v="0"/>
    <s v="6/"/>
  </r>
  <r>
    <x v="1"/>
    <s v="Aruba"/>
    <s v="High income"/>
    <x v="1"/>
    <s v=""/>
    <n v="106445"/>
    <n v="106536.49999999999"/>
    <x v="1"/>
    <n v="106276.99999999997"/>
  </r>
  <r>
    <x v="2"/>
    <s v="Africa Eastern and Southern"/>
    <s v=""/>
    <x v="1"/>
    <s v=""/>
    <n v="720859132"/>
    <s v=""/>
    <x v="2"/>
    <s v=""/>
  </r>
  <r>
    <x v="3"/>
    <s v="Afghanistan"/>
    <s v=""/>
    <x v="1"/>
    <s v=""/>
    <n v="41128771"/>
    <n v="40099461.999999978"/>
    <x v="3"/>
    <n v="42239854"/>
  </r>
  <r>
    <x v="4"/>
    <s v="Africa Western and Central"/>
    <s v=""/>
    <x v="1"/>
    <s v=""/>
    <n v="490330870"/>
    <s v=""/>
    <x v="2"/>
    <s v=""/>
  </r>
  <r>
    <x v="5"/>
    <s v="Angola"/>
    <s v=""/>
    <x v="1"/>
    <s v=""/>
    <n v="35588987"/>
    <n v="34503773.49999997"/>
    <x v="4"/>
    <n v="36684202.499999985"/>
  </r>
  <r>
    <x v="6"/>
    <s v="Albania"/>
    <s v=""/>
    <x v="1"/>
    <s v=""/>
    <n v="2777689"/>
    <n v="2854710"/>
    <x v="5"/>
    <n v="2832439.0000000005"/>
  </r>
  <r>
    <x v="7"/>
    <s v="Andorra"/>
    <s v="High income"/>
    <x v="1"/>
    <s v=""/>
    <n v="79824"/>
    <n v="79033.999999999956"/>
    <x v="6"/>
    <n v="80088.000000000044"/>
  </r>
  <r>
    <x v="8"/>
    <s v="Arab World"/>
    <s v=""/>
    <x v="1"/>
    <s v=""/>
    <n v="464684914"/>
    <s v=""/>
    <x v="2"/>
    <s v=""/>
  </r>
  <r>
    <x v="9"/>
    <s v="United Arab Emirates"/>
    <s v="High income"/>
    <x v="1"/>
    <s v=""/>
    <n v="9441129"/>
    <n v="9365144.4999999944"/>
    <x v="7"/>
    <n v="9516871"/>
  </r>
  <r>
    <x v="10"/>
    <s v="Argentina"/>
    <s v=""/>
    <x v="2"/>
    <s v=""/>
    <n v="46234830"/>
    <n v="45276780.00000003"/>
    <x v="8"/>
    <n v="45773883.999999993"/>
  </r>
  <r>
    <x v="11"/>
    <s v="Armenia"/>
    <s v=""/>
    <x v="1"/>
    <s v=""/>
    <n v="2780469"/>
    <n v="2790973.4999999991"/>
    <x v="9"/>
    <n v="2777970.5000000005"/>
  </r>
  <r>
    <x v="12"/>
    <s v="American Samoa"/>
    <s v="High income"/>
    <x v="1"/>
    <s v=""/>
    <n v="44273"/>
    <n v="45034.999999999993"/>
    <x v="10"/>
    <n v="43914.499999999985"/>
  </r>
  <r>
    <x v="13"/>
    <s v="Antigua and Barbuda"/>
    <s v="High income"/>
    <x v="1"/>
    <s v=""/>
    <n v="93763"/>
    <n v="93219.500000000015"/>
    <x v="11"/>
    <n v="94298"/>
  </r>
  <r>
    <x v="14"/>
    <s v="Australia"/>
    <s v="High income"/>
    <x v="1"/>
    <s v="OECD"/>
    <n v="26005540"/>
    <n v="25921088.999999993"/>
    <x v="12"/>
    <n v="26439111.499999996"/>
  </r>
  <r>
    <x v="15"/>
    <s v="Austria"/>
    <s v="High income"/>
    <x v="1"/>
    <s v="OECD"/>
    <n v="9041851"/>
    <n v="8922082.0000000075"/>
    <x v="13"/>
    <n v="8958960.5000000019"/>
  </r>
  <r>
    <x v="16"/>
    <s v="Azerbaijan"/>
    <s v=""/>
    <x v="1"/>
    <s v=""/>
    <n v="10141756"/>
    <n v="10312991.999999998"/>
    <x v="14"/>
    <n v="10412651.499999998"/>
  </r>
  <r>
    <x v="17"/>
    <s v="Burundi"/>
    <s v=""/>
    <x v="1"/>
    <s v=""/>
    <n v="12889576"/>
    <n v="12551212.999999998"/>
    <x v="15"/>
    <n v="13238558.999999994"/>
  </r>
  <r>
    <x v="18"/>
    <s v="Belgium"/>
    <s v="High income"/>
    <x v="1"/>
    <s v="OECD"/>
    <n v="11685814"/>
    <n v="11611419.499999998"/>
    <x v="16"/>
    <n v="11686140.000000002"/>
  </r>
  <r>
    <x v="19"/>
    <s v="Benin"/>
    <s v=""/>
    <x v="1"/>
    <s v=""/>
    <n v="13352864"/>
    <n v="12996895"/>
    <x v="17"/>
    <n v="13712828.000000002"/>
  </r>
  <r>
    <x v="20"/>
    <s v="Burkina Faso"/>
    <s v=""/>
    <x v="1"/>
    <s v=""/>
    <n v="22673762"/>
    <n v="22100683.499999989"/>
    <x v="18"/>
    <n v="23251484.999999978"/>
  </r>
  <r>
    <x v="21"/>
    <s v="Bangladesh"/>
    <s v=""/>
    <x v="1"/>
    <s v=""/>
    <n v="171186372"/>
    <n v="169356251"/>
    <x v="19"/>
    <n v="172954319.00000009"/>
  </r>
  <r>
    <x v="22"/>
    <s v="Bulgaria"/>
    <s v=""/>
    <x v="1"/>
    <s v=""/>
    <n v="6465097"/>
    <n v="6885867.4999999991"/>
    <x v="20"/>
    <n v="6687716.9999999991"/>
  </r>
  <r>
    <x v="23"/>
    <s v="Bahrain"/>
    <s v="High income"/>
    <x v="1"/>
    <s v=""/>
    <n v="1472233"/>
    <n v="1463265.4999999993"/>
    <x v="21"/>
    <n v="1485509.4999999988"/>
  </r>
  <r>
    <x v="24"/>
    <s v="The Bahamas"/>
    <s v="High income"/>
    <x v="2"/>
    <s v=""/>
    <n v="409984"/>
    <n v="407905.50000000017"/>
    <x v="22"/>
    <n v="412623.50000000029"/>
  </r>
  <r>
    <x v="25"/>
    <s v="Bosnia and Herzegovina"/>
    <s v=""/>
    <x v="1"/>
    <s v=""/>
    <n v="3233526"/>
    <n v="3270942.9999999981"/>
    <x v="23"/>
    <n v="3210847.5"/>
  </r>
  <r>
    <x v="26"/>
    <s v="Belarus"/>
    <s v=""/>
    <x v="1"/>
    <s v=""/>
    <n v="9228071"/>
    <n v="9578167.5"/>
    <x v="24"/>
    <n v="9498237.9999999981"/>
  </r>
  <r>
    <x v="27"/>
    <s v="Belize"/>
    <s v=""/>
    <x v="2"/>
    <s v=""/>
    <n v="405272"/>
    <n v="400031.00000000012"/>
    <x v="25"/>
    <n v="410825.00000000006"/>
  </r>
  <r>
    <x v="28"/>
    <s v="Bermuda"/>
    <s v="High income"/>
    <x v="1"/>
    <s v=""/>
    <n v="63532"/>
    <n v="64184.999999999985"/>
    <x v="26"/>
    <n v="64068.999999999985"/>
  </r>
  <r>
    <x v="29"/>
    <s v="Bolivia"/>
    <s v=""/>
    <x v="2"/>
    <s v=""/>
    <n v="12224110"/>
    <n v="12079471.999999996"/>
    <x v="27"/>
    <n v="12388570.999999987"/>
  </r>
  <r>
    <x v="30"/>
    <s v="Brazil"/>
    <s v=""/>
    <x v="2"/>
    <s v=""/>
    <n v="215313498"/>
    <n v="214326223.00000006"/>
    <x v="28"/>
    <n v="216422446.00000003"/>
  </r>
  <r>
    <x v="31"/>
    <s v="Barbados"/>
    <s v="High income"/>
    <x v="2"/>
    <s v=""/>
    <n v="281635"/>
    <n v="281199.49999999994"/>
    <x v="29"/>
    <n v="281995.49999999988"/>
  </r>
  <r>
    <x v="32"/>
    <s v="Brunei Darussalam"/>
    <s v="High income"/>
    <x v="1"/>
    <s v=""/>
    <n v="449002"/>
    <n v="445372.99999999983"/>
    <x v="30"/>
    <n v="452523.49999999971"/>
  </r>
  <r>
    <x v="33"/>
    <s v="Bhutan"/>
    <s v=""/>
    <x v="1"/>
    <s v=""/>
    <n v="782455"/>
    <n v="777486.50000000012"/>
    <x v="31"/>
    <n v="787424.49999999977"/>
  </r>
  <r>
    <x v="34"/>
    <s v="Botswana"/>
    <s v=""/>
    <x v="1"/>
    <s v=""/>
    <n v="2630296"/>
    <n v="2588422.9999999981"/>
    <x v="32"/>
    <n v="2675352.4999999977"/>
  </r>
  <r>
    <x v="35"/>
    <s v="Central African Republic"/>
    <s v=""/>
    <x v="1"/>
    <s v=""/>
    <n v="5579144"/>
    <n v="5457154.4999999991"/>
    <x v="33"/>
    <n v="5742315.5000000019"/>
  </r>
  <r>
    <x v="36"/>
    <s v="Canada"/>
    <s v="High income"/>
    <x v="1"/>
    <s v="OECD"/>
    <n v="38929902"/>
    <n v="38155011.999999985"/>
    <x v="34"/>
    <n v="38781291.500000007"/>
  </r>
  <r>
    <x v="37"/>
    <s v="Central Europe and the Baltics"/>
    <s v=""/>
    <x v="1"/>
    <s v=""/>
    <n v="100108221"/>
    <s v=""/>
    <x v="2"/>
    <s v=""/>
  </r>
  <r>
    <x v="38"/>
    <s v="Switzerland"/>
    <s v="High income"/>
    <x v="1"/>
    <s v="OECD"/>
    <n v="8775760"/>
    <n v="8691406.5000000019"/>
    <x v="35"/>
    <n v="8796668.9999999963"/>
  </r>
  <r>
    <x v="39"/>
    <s v="Channel Islands"/>
    <s v="High income"/>
    <x v="1"/>
    <s v=""/>
    <n v="174079"/>
    <s v=""/>
    <x v="2"/>
    <s v=""/>
  </r>
  <r>
    <x v="40"/>
    <s v="Chile"/>
    <s v="High income"/>
    <x v="2"/>
    <s v=""/>
    <n v="19603733"/>
    <n v="19493184.5"/>
    <x v="36"/>
    <n v="19629590.000000004"/>
  </r>
  <r>
    <x v="41"/>
    <s v="China"/>
    <s v=""/>
    <x v="1"/>
    <s v=""/>
    <n v="1412175000"/>
    <n v="1425893464.4999986"/>
    <x v="37"/>
    <n v="1425671352.0000012"/>
  </r>
  <r>
    <x v="42"/>
    <s v="Cote d'Ivoire"/>
    <s v=""/>
    <x v="1"/>
    <s v=""/>
    <n v="28160542"/>
    <n v="27478249.000000004"/>
    <x v="38"/>
    <n v="28873033.500000007"/>
  </r>
  <r>
    <x v="43"/>
    <s v="Cameroon"/>
    <s v=""/>
    <x v="1"/>
    <s v=""/>
    <n v="27914536"/>
    <n v="27198627.999999985"/>
    <x v="39"/>
    <n v="28647293.000000015"/>
  </r>
  <r>
    <x v="44"/>
    <s v="Congo, Dem. Rep."/>
    <s v=""/>
    <x v="1"/>
    <s v=""/>
    <n v="99010212"/>
    <n v="95894118.499999985"/>
    <x v="40"/>
    <n v="102262808.50000001"/>
  </r>
  <r>
    <x v="45"/>
    <s v="Congo, Rep."/>
    <s v=""/>
    <x v="1"/>
    <s v=""/>
    <n v="5970424"/>
    <n v="5835806.0000000009"/>
    <x v="41"/>
    <n v="6106869.0000000019"/>
  </r>
  <r>
    <x v="46"/>
    <s v="Colombia"/>
    <s v=""/>
    <x v="2"/>
    <s v=""/>
    <n v="51874024"/>
    <n v="51516562"/>
    <x v="42"/>
    <n v="52085167.500000007"/>
  </r>
  <r>
    <x v="47"/>
    <s v="Comoros"/>
    <s v=""/>
    <x v="1"/>
    <s v=""/>
    <n v="836774"/>
    <n v="821625.49999999988"/>
    <x v="43"/>
    <n v="852074.99999999988"/>
  </r>
  <r>
    <x v="48"/>
    <s v="Cabo Verde"/>
    <s v=""/>
    <x v="1"/>
    <s v=""/>
    <n v="593149"/>
    <n v="587925"/>
    <x v="44"/>
    <n v="598682"/>
  </r>
  <r>
    <x v="49"/>
    <s v="Costa Rica"/>
    <s v=""/>
    <x v="2"/>
    <s v=""/>
    <n v="5180829"/>
    <n v="5153956.9999999981"/>
    <x v="45"/>
    <n v="5212173.0000000028"/>
  </r>
  <r>
    <x v="50"/>
    <s v="Caribbean small states"/>
    <s v=""/>
    <x v="1"/>
    <s v=""/>
    <n v="7505478"/>
    <s v=""/>
    <x v="2"/>
    <s v=""/>
  </r>
  <r>
    <x v="51"/>
    <s v="Cuba"/>
    <s v=""/>
    <x v="1"/>
    <s v=""/>
    <n v="11212191"/>
    <n v="11256372.500000007"/>
    <x v="46"/>
    <n v="11194449.000000002"/>
  </r>
  <r>
    <x v="52"/>
    <s v="Curacao"/>
    <s v="High income"/>
    <x v="1"/>
    <s v=""/>
    <n v="149996"/>
    <n v="190338.00000000009"/>
    <x v="47"/>
    <n v="192077.00000000003"/>
  </r>
  <r>
    <x v="53"/>
    <s v="Cayman Islands"/>
    <s v="High income"/>
    <x v="1"/>
    <s v=""/>
    <n v="68706"/>
    <n v="68136.000000000029"/>
    <x v="48"/>
    <n v="69309.999999999971"/>
  </r>
  <r>
    <x v="54"/>
    <s v="Cyprus"/>
    <s v="High income"/>
    <x v="1"/>
    <s v=""/>
    <n v="1251488"/>
    <n v="1244188"/>
    <x v="49"/>
    <n v="1260138"/>
  </r>
  <r>
    <x v="55"/>
    <s v="Czechia"/>
    <s v="High income"/>
    <x v="1"/>
    <s v="OECD"/>
    <n v="10672118"/>
    <n v="10510750.5"/>
    <x v="50"/>
    <n v="10495294.999999996"/>
  </r>
  <r>
    <x v="56"/>
    <s v="Germany"/>
    <s v="High income"/>
    <x v="1"/>
    <s v="OECD"/>
    <n v="83797985"/>
    <n v="83408554.500000015"/>
    <x v="51"/>
    <n v="83294632.5"/>
  </r>
  <r>
    <x v="57"/>
    <s v="Djibouti"/>
    <s v=""/>
    <x v="1"/>
    <s v=""/>
    <n v="1120849"/>
    <n v="1105557.5"/>
    <x v="52"/>
    <n v="1136454.4999999988"/>
  </r>
  <r>
    <x v="58"/>
    <s v="Dominica"/>
    <s v=""/>
    <x v="1"/>
    <s v=""/>
    <n v="72737"/>
    <n v="72412.500000000029"/>
    <x v="53"/>
    <n v="73040"/>
  </r>
  <r>
    <x v="59"/>
    <s v="Denmark"/>
    <s v="High income"/>
    <x v="1"/>
    <s v="OECD"/>
    <n v="5903037"/>
    <n v="5854240.5"/>
    <x v="54"/>
    <n v="5910912.9999999972"/>
  </r>
  <r>
    <x v="60"/>
    <s v="Dominican Republic"/>
    <s v=""/>
    <x v="2"/>
    <s v=""/>
    <n v="11228821"/>
    <n v="11117873.5"/>
    <x v="55"/>
    <n v="11332972.5"/>
  </r>
  <r>
    <x v="61"/>
    <s v="Algeria"/>
    <s v=""/>
    <x v="1"/>
    <s v=""/>
    <n v="44903225"/>
    <n v="44177968.500000007"/>
    <x v="56"/>
    <n v="45606480.499999985"/>
  </r>
  <r>
    <x v="62"/>
    <s v="East Asia &amp; Pacific (excluding high income)"/>
    <s v=""/>
    <x v="1"/>
    <s v=""/>
    <n v="2129112126"/>
    <s v=""/>
    <x v="2"/>
    <s v=""/>
  </r>
  <r>
    <x v="63"/>
    <s v="Early-demographic dividend"/>
    <s v=""/>
    <x v="1"/>
    <s v=""/>
    <n v="3447398652"/>
    <s v=""/>
    <x v="2"/>
    <s v=""/>
  </r>
  <r>
    <x v="64"/>
    <s v="East Asia &amp; Pacific"/>
    <s v=""/>
    <x v="1"/>
    <s v=""/>
    <n v="2375162207"/>
    <s v=""/>
    <x v="2"/>
    <s v=""/>
  </r>
  <r>
    <x v="65"/>
    <s v="Europe &amp; Central Asia (excluding high income)"/>
    <s v=""/>
    <x v="1"/>
    <s v=""/>
    <n v="397824705"/>
    <s v=""/>
    <x v="2"/>
    <s v=""/>
  </r>
  <r>
    <x v="66"/>
    <s v="Europe &amp; Central Asia"/>
    <s v=""/>
    <x v="1"/>
    <s v=""/>
    <n v="920375568"/>
    <s v=""/>
    <x v="2"/>
    <s v=""/>
  </r>
  <r>
    <x v="67"/>
    <s v="Ecuador"/>
    <s v=""/>
    <x v="2"/>
    <s v=""/>
    <n v="18001000"/>
    <n v="17797737.000000015"/>
    <x v="57"/>
    <n v="18190483.999999996"/>
  </r>
  <r>
    <x v="68"/>
    <s v="Egypt, Arab Rep."/>
    <s v=""/>
    <x v="1"/>
    <s v=""/>
    <n v="110990103"/>
    <n v="109262177.49999997"/>
    <x v="58"/>
    <n v="112716598.50000001"/>
  </r>
  <r>
    <x v="69"/>
    <s v="Euro area"/>
    <s v=""/>
    <x v="1"/>
    <s v=""/>
    <n v="348331511"/>
    <s v=""/>
    <x v="2"/>
    <s v=""/>
  </r>
  <r>
    <x v="70"/>
    <s v="Eritrea"/>
    <s v=""/>
    <x v="1"/>
    <s v=""/>
    <n v="3684032"/>
    <n v="3620312.0000000023"/>
    <x v="59"/>
    <n v="3748901.5"/>
  </r>
  <r>
    <x v="71"/>
    <s v="Spain"/>
    <s v="High income"/>
    <x v="1"/>
    <s v="OECD"/>
    <n v="47778340"/>
    <n v="47486934.999999993"/>
    <x v="60"/>
    <n v="47519627.5"/>
  </r>
  <r>
    <x v="72"/>
    <s v="Estonia"/>
    <s v="High income"/>
    <x v="1"/>
    <s v="OECD"/>
    <n v="1348840"/>
    <n v="1328701.0000000002"/>
    <x v="61"/>
    <n v="1322765.4999999991"/>
  </r>
  <r>
    <x v="73"/>
    <s v="Ethiopia"/>
    <s v=""/>
    <x v="1"/>
    <s v=""/>
    <n v="123379924"/>
    <n v="120283026.00000006"/>
    <x v="62"/>
    <n v="126527060.00000003"/>
  </r>
  <r>
    <x v="74"/>
    <s v="European Union"/>
    <s v=""/>
    <x v="1"/>
    <s v=""/>
    <n v="447370510"/>
    <s v=""/>
    <x v="2"/>
    <s v=""/>
  </r>
  <r>
    <x v="75"/>
    <s v="Fragile and conflict affected situations"/>
    <s v=""/>
    <x v="1"/>
    <s v=""/>
    <n v="1019139254"/>
    <s v=""/>
    <x v="2"/>
    <s v=""/>
  </r>
  <r>
    <x v="76"/>
    <s v="Finland"/>
    <s v="High income"/>
    <x v="1"/>
    <s v="OECD"/>
    <n v="5556106"/>
    <n v="5535991.9999999981"/>
    <x v="63"/>
    <n v="5545474.4999999981"/>
  </r>
  <r>
    <x v="77"/>
    <s v="Fiji"/>
    <s v=""/>
    <x v="1"/>
    <s v=""/>
    <n v="929766"/>
    <n v="924609.49999999965"/>
    <x v="64"/>
    <n v="936375.50000000012"/>
  </r>
  <r>
    <x v="78"/>
    <s v="France"/>
    <s v="High income"/>
    <x v="1"/>
    <s v="OECD"/>
    <n v="67971311"/>
    <n v="64531443.999999993"/>
    <x v="65"/>
    <n v="64756584.00000003"/>
  </r>
  <r>
    <x v="79"/>
    <s v="Faroe Islands"/>
    <s v="High income"/>
    <x v="1"/>
    <s v=""/>
    <n v="53090"/>
    <n v="52888.500000000029"/>
    <x v="66"/>
    <n v="53269.499999999993"/>
  </r>
  <r>
    <x v="80"/>
    <s v="Micronesia, Fed. Sts."/>
    <s v=""/>
    <x v="1"/>
    <s v=""/>
    <n v="114164"/>
    <n v="113130.99999999999"/>
    <x v="67"/>
    <n v="115224.00000000007"/>
  </r>
  <r>
    <x v="81"/>
    <s v="Gabon"/>
    <s v=""/>
    <x v="1"/>
    <s v=""/>
    <n v="2388992"/>
    <n v="2341178.9999999986"/>
    <x v="68"/>
    <n v="2436566.5000000019"/>
  </r>
  <r>
    <x v="82"/>
    <s v="United Kingdom"/>
    <s v="High income"/>
    <x v="1"/>
    <s v="OECD"/>
    <n v="66971395"/>
    <n v="67281039.500000015"/>
    <x v="69"/>
    <n v="67736802.000000015"/>
  </r>
  <r>
    <x v="83"/>
    <s v="Georgia"/>
    <s v=""/>
    <x v="1"/>
    <s v=""/>
    <n v="3712502"/>
    <n v="3757979.9999999986"/>
    <x v="70"/>
    <n v="3728282.0000000014"/>
  </r>
  <r>
    <x v="84"/>
    <s v="Ghana"/>
    <s v=""/>
    <x v="1"/>
    <s v=""/>
    <n v="33475870"/>
    <n v="32833031.499999996"/>
    <x v="71"/>
    <n v="34121985.00000003"/>
  </r>
  <r>
    <x v="85"/>
    <s v="Gibraltar"/>
    <s v="High income"/>
    <x v="1"/>
    <s v=""/>
    <n v="32649"/>
    <n v="32669.500000000015"/>
    <x v="72"/>
    <n v="32688.500000000011"/>
  </r>
  <r>
    <x v="86"/>
    <s v="Guinea"/>
    <s v=""/>
    <x v="1"/>
    <s v=""/>
    <n v="13859341"/>
    <n v="13531906.000000004"/>
    <x v="73"/>
    <n v="14190612"/>
  </r>
  <r>
    <x v="87"/>
    <s v="Gambia, The"/>
    <s v=""/>
    <x v="1"/>
    <s v=""/>
    <n v="2705992"/>
    <n v="2639915.5000000005"/>
    <x v="74"/>
    <n v="2773167.9999999995"/>
  </r>
  <r>
    <x v="88"/>
    <s v="Guinea-Bissau"/>
    <s v=""/>
    <x v="1"/>
    <s v=""/>
    <n v="2105566"/>
    <n v="2060720.9999999991"/>
    <x v="75"/>
    <n v="2150841.9999999991"/>
  </r>
  <r>
    <x v="89"/>
    <s v="Equatorial Guinea"/>
    <s v=""/>
    <x v="1"/>
    <s v=""/>
    <n v="1674908"/>
    <n v="1634465.5000000002"/>
    <x v="76"/>
    <n v="1714671.4999999998"/>
  </r>
  <r>
    <x v="90"/>
    <s v="Greece"/>
    <s v="High income"/>
    <x v="1"/>
    <s v="OECD"/>
    <n v="10426919"/>
    <n v="10445365"/>
    <x v="77"/>
    <n v="10341277.000000004"/>
  </r>
  <r>
    <x v="91"/>
    <s v="Grenada"/>
    <s v=""/>
    <x v="1"/>
    <s v=""/>
    <n v="125438"/>
    <n v="124610.00000000007"/>
    <x v="78"/>
    <n v="126183.5"/>
  </r>
  <r>
    <x v="92"/>
    <s v="Greenland"/>
    <s v="High income"/>
    <x v="1"/>
    <s v=""/>
    <n v="56661"/>
    <n v="56243.000000000007"/>
    <x v="79"/>
    <n v="56643.000000000029"/>
  </r>
  <r>
    <x v="93"/>
    <s v="Guatemala"/>
    <s v=""/>
    <x v="2"/>
    <s v=""/>
    <n v="17357886"/>
    <n v="17608483.500000011"/>
    <x v="80"/>
    <n v="18092026.000000007"/>
  </r>
  <r>
    <x v="94"/>
    <s v="Guam"/>
    <s v="High income"/>
    <x v="1"/>
    <s v=""/>
    <n v="171774"/>
    <n v="170534.00000000006"/>
    <x v="81"/>
    <n v="172951.99999999997"/>
  </r>
  <r>
    <x v="95"/>
    <s v="Guyana"/>
    <s v="High income"/>
    <x v="2"/>
    <s v=""/>
    <n v="808726"/>
    <n v="804567"/>
    <x v="82"/>
    <n v="813833.99999999977"/>
  </r>
  <r>
    <x v="96"/>
    <s v="High income"/>
    <s v=""/>
    <x v="1"/>
    <s v=""/>
    <n v="1244364814"/>
    <s v=""/>
    <x v="2"/>
    <s v=""/>
  </r>
  <r>
    <x v="97"/>
    <s v="Hong Kong SAR, China"/>
    <s v="High income"/>
    <x v="1"/>
    <s v=""/>
    <n v="7346100"/>
    <n v="7494578.4999999991"/>
    <x v="83"/>
    <n v="7491608.4999999972"/>
  </r>
  <r>
    <x v="98"/>
    <s v="Honduras"/>
    <s v=""/>
    <x v="2"/>
    <s v=""/>
    <n v="10432860"/>
    <n v="10278345.499999994"/>
    <x v="84"/>
    <n v="10593797.999999996"/>
  </r>
  <r>
    <x v="99"/>
    <s v="Heavily indebted poor countries (HIPC)"/>
    <s v=""/>
    <x v="1"/>
    <s v=""/>
    <n v="884288332"/>
    <s v=""/>
    <x v="2"/>
    <s v=""/>
  </r>
  <r>
    <x v="100"/>
    <s v="Croatia"/>
    <s v="High income"/>
    <x v="1"/>
    <s v=""/>
    <n v="3855600"/>
    <n v="4060135.5000000014"/>
    <x v="85"/>
    <n v="4008616.5000000023"/>
  </r>
  <r>
    <x v="101"/>
    <s v="Haiti"/>
    <s v=""/>
    <x v="2"/>
    <s v=""/>
    <n v="11584996"/>
    <n v="11447569.000000004"/>
    <x v="86"/>
    <n v="11724763.499999994"/>
  </r>
  <r>
    <x v="102"/>
    <s v="Hungary"/>
    <s v="High income"/>
    <x v="1"/>
    <s v="OECD"/>
    <n v="9643048"/>
    <n v="9709786.0000000019"/>
    <x v="87"/>
    <n v="10156238.999999998"/>
  </r>
  <r>
    <x v="103"/>
    <s v="IBRD only"/>
    <s v=""/>
    <x v="1"/>
    <s v=""/>
    <n v="4913887020"/>
    <s v=""/>
    <x v="2"/>
    <s v=""/>
  </r>
  <r>
    <x v="104"/>
    <s v="IDA &amp; IBRD total"/>
    <s v=""/>
    <x v="1"/>
    <s v=""/>
    <n v="6754029970"/>
    <s v=""/>
    <x v="2"/>
    <s v=""/>
  </r>
  <r>
    <x v="105"/>
    <s v="IDA total"/>
    <s v=""/>
    <x v="1"/>
    <s v=""/>
    <n v="1840142950"/>
    <s v=""/>
    <x v="2"/>
    <s v=""/>
  </r>
  <r>
    <x v="106"/>
    <s v="IDA blend"/>
    <s v=""/>
    <x v="1"/>
    <s v=""/>
    <n v="607735968"/>
    <s v=""/>
    <x v="2"/>
    <s v=""/>
  </r>
  <r>
    <x v="107"/>
    <s v="Indonesia"/>
    <s v=""/>
    <x v="1"/>
    <s v=""/>
    <n v="275501339"/>
    <n v="273753190.99999976"/>
    <x v="88"/>
    <n v="277534122.5"/>
  </r>
  <r>
    <x v="108"/>
    <s v="IDA only"/>
    <s v=""/>
    <x v="1"/>
    <s v=""/>
    <n v="1232406982"/>
    <s v=""/>
    <x v="2"/>
    <s v=""/>
  </r>
  <r>
    <x v="109"/>
    <s v="Isle of Man"/>
    <s v="High income"/>
    <x v="1"/>
    <s v=""/>
    <n v="84519"/>
    <n v="84263.499999999985"/>
    <x v="89"/>
    <n v="84710.000000000015"/>
  </r>
  <r>
    <x v="110"/>
    <s v="India"/>
    <s v=""/>
    <x v="1"/>
    <s v=""/>
    <n v="1417173173"/>
    <n v="1407563842.0000005"/>
    <x v="90"/>
    <n v="1428627663"/>
  </r>
  <r>
    <x v="111"/>
    <s v="Not classified"/>
    <s v=""/>
    <x v="1"/>
    <s v=""/>
    <m/>
    <s v=""/>
    <x v="2"/>
    <s v=""/>
  </r>
  <r>
    <x v="112"/>
    <s v="Ireland"/>
    <s v="High income"/>
    <x v="1"/>
    <s v="OECD"/>
    <n v="5127170"/>
    <n v="4986526.0000000019"/>
    <x v="91"/>
    <n v="5056934.5000000028"/>
  </r>
  <r>
    <x v="113"/>
    <s v="Iran, Islamic Rep."/>
    <s v=""/>
    <x v="1"/>
    <s v=""/>
    <n v="88550570"/>
    <n v="87923432.5"/>
    <x v="92"/>
    <n v="89172767"/>
  </r>
  <r>
    <x v="114"/>
    <s v="Iraq"/>
    <s v=""/>
    <x v="1"/>
    <s v=""/>
    <n v="44496122"/>
    <n v="43533592.500000015"/>
    <x v="93"/>
    <n v="45504560.000000015"/>
  </r>
  <r>
    <x v="115"/>
    <s v="Iceland"/>
    <s v="High income"/>
    <x v="1"/>
    <s v="OECD"/>
    <n v="382003"/>
    <n v="370335"/>
    <x v="94"/>
    <n v="375318.50000000012"/>
  </r>
  <r>
    <x v="116"/>
    <s v="Israel"/>
    <s v="High income"/>
    <x v="1"/>
    <s v="OECD"/>
    <n v="9557500"/>
    <n v="8900059.0000000056"/>
    <x v="95"/>
    <n v="9174519.4999999981"/>
  </r>
  <r>
    <x v="117"/>
    <s v="Italy"/>
    <s v="High income"/>
    <x v="1"/>
    <s v="OECD"/>
    <n v="58940425"/>
    <n v="59240329.499999993"/>
    <x v="96"/>
    <n v="58870762.499999985"/>
  </r>
  <r>
    <x v="118"/>
    <s v="Jamaica"/>
    <s v=""/>
    <x v="2"/>
    <s v=""/>
    <n v="2827377"/>
    <n v="2827694.4999999995"/>
    <x v="97"/>
    <n v="2825543.5"/>
  </r>
  <r>
    <x v="119"/>
    <s v="Jordan"/>
    <s v=""/>
    <x v="1"/>
    <s v=""/>
    <n v="11285869"/>
    <n v="11148277.5"/>
    <x v="98"/>
    <n v="11337052.500000004"/>
  </r>
  <r>
    <x v="120"/>
    <s v="Japan"/>
    <s v="High income"/>
    <x v="1"/>
    <s v="OECD"/>
    <n v="125124989"/>
    <n v="124612530.49999996"/>
    <x v="99"/>
    <n v="123294513.00000004"/>
  </r>
  <r>
    <x v="121"/>
    <s v="Kazakhstan"/>
    <s v=""/>
    <x v="1"/>
    <s v=""/>
    <n v="19621972"/>
    <n v="19196465.500000004"/>
    <x v="100"/>
    <n v="19606633.500000007"/>
  </r>
  <r>
    <x v="122"/>
    <s v="Kenya"/>
    <s v=""/>
    <x v="1"/>
    <s v=""/>
    <n v="54027487"/>
    <n v="53005614.000000022"/>
    <x v="101"/>
    <n v="55100586.500000022"/>
  </r>
  <r>
    <x v="123"/>
    <s v="Kyrgyz Republic"/>
    <s v=""/>
    <x v="1"/>
    <s v=""/>
    <n v="6974900"/>
    <n v="6527743.5000000019"/>
    <x v="102"/>
    <n v="6735347.5000000019"/>
  </r>
  <r>
    <x v="124"/>
    <s v="Cambodia"/>
    <s v=""/>
    <x v="1"/>
    <s v=""/>
    <n v="16767842"/>
    <n v="16589023.500000004"/>
    <x v="103"/>
    <n v="16944825.999999996"/>
  </r>
  <r>
    <x v="125"/>
    <s v="Kiribati"/>
    <s v=""/>
    <x v="1"/>
    <s v=""/>
    <n v="131232"/>
    <n v="128874.00000000003"/>
    <x v="104"/>
    <n v="133515"/>
  </r>
  <r>
    <x v="126"/>
    <s v="St. Kitts and Nevis"/>
    <s v="High income"/>
    <x v="1"/>
    <s v=""/>
    <n v="47657"/>
    <n v="47606.499999999993"/>
    <x v="105"/>
    <n v="47754.999999999978"/>
  </r>
  <r>
    <x v="127"/>
    <s v="Korea, Rep."/>
    <s v="High income"/>
    <x v="1"/>
    <s v="OECD"/>
    <n v="51628117"/>
    <n v="51830139"/>
    <x v="106"/>
    <n v="51784058.999999993"/>
  </r>
  <r>
    <x v="128"/>
    <s v="Kuwait"/>
    <s v="High income"/>
    <x v="1"/>
    <s v=""/>
    <n v="4268873"/>
    <n v="4250113.9999999972"/>
    <x v="107"/>
    <n v="4310107.5000000009"/>
  </r>
  <r>
    <x v="129"/>
    <s v="Latin America &amp; Caribbean (excluding high income)"/>
    <s v=""/>
    <x v="1"/>
    <s v=""/>
    <n v="596596955"/>
    <s v=""/>
    <x v="2"/>
    <s v=""/>
  </r>
  <r>
    <x v="130"/>
    <s v="Lao PDR"/>
    <s v=""/>
    <x v="1"/>
    <s v=""/>
    <n v="7529475"/>
    <n v="7425057.4999999981"/>
    <x v="108"/>
    <n v="7633778.5000000009"/>
  </r>
  <r>
    <x v="131"/>
    <s v="Lebanon"/>
    <s v=""/>
    <x v="1"/>
    <s v=""/>
    <n v="5489739"/>
    <n v="5592630.9999999991"/>
    <x v="109"/>
    <n v="5353929.4999999981"/>
  </r>
  <r>
    <x v="132"/>
    <s v="Liberia"/>
    <s v=""/>
    <x v="1"/>
    <s v=""/>
    <n v="5302681"/>
    <n v="5193415.5000000019"/>
    <x v="110"/>
    <n v="5418376.4999999963"/>
  </r>
  <r>
    <x v="133"/>
    <s v="Libya"/>
    <s v=""/>
    <x v="1"/>
    <s v=""/>
    <n v="6812341"/>
    <n v="6735276.9999999981"/>
    <x v="111"/>
    <n v="6888387.9999999972"/>
  </r>
  <r>
    <x v="134"/>
    <s v="St. Lucia"/>
    <s v=""/>
    <x v="1"/>
    <s v=""/>
    <n v="179857"/>
    <n v="179651.49999999991"/>
    <x v="112"/>
    <n v="180251"/>
  </r>
  <r>
    <x v="135"/>
    <s v="Latin America &amp; Caribbean"/>
    <s v=""/>
    <x v="1"/>
    <s v=""/>
    <n v="659310564"/>
    <s v=""/>
    <x v="2"/>
    <s v=""/>
  </r>
  <r>
    <x v="136"/>
    <s v="Least developed countries: UN classification"/>
    <s v=""/>
    <x v="1"/>
    <s v=""/>
    <n v="1124396999"/>
    <s v=""/>
    <x v="2"/>
    <s v=""/>
  </r>
  <r>
    <x v="137"/>
    <s v="Low income"/>
    <s v=""/>
    <x v="1"/>
    <s v=""/>
    <n v="703727949"/>
    <s v=""/>
    <x v="2"/>
    <s v=""/>
  </r>
  <r>
    <x v="138"/>
    <s v="Liechtenstein"/>
    <s v="High income"/>
    <x v="1"/>
    <s v=""/>
    <n v="39327"/>
    <n v="39039.5"/>
    <x v="113"/>
    <n v="39584.500000000007"/>
  </r>
  <r>
    <x v="139"/>
    <s v="Sri Lanka"/>
    <s v=""/>
    <x v="1"/>
    <s v=""/>
    <n v="22181000"/>
    <n v="21773440.500000004"/>
    <x v="114"/>
    <n v="21893578.999999989"/>
  </r>
  <r>
    <x v="140"/>
    <s v="Lower middle income"/>
    <s v=""/>
    <x v="1"/>
    <s v=""/>
    <n v="3190184199"/>
    <s v=""/>
    <x v="2"/>
    <s v=""/>
  </r>
  <r>
    <x v="141"/>
    <s v="Low &amp; middle income"/>
    <s v=""/>
    <x v="1"/>
    <s v=""/>
    <n v="6678280291"/>
    <s v=""/>
    <x v="2"/>
    <s v=""/>
  </r>
  <r>
    <x v="142"/>
    <s v="Lesotho"/>
    <s v=""/>
    <x v="1"/>
    <s v=""/>
    <n v="2305825"/>
    <n v="2281454.5000000014"/>
    <x v="115"/>
    <n v="2330317.4999999986"/>
  </r>
  <r>
    <x v="143"/>
    <s v="Late-demographic dividend"/>
    <s v=""/>
    <x v="1"/>
    <s v=""/>
    <n v="2325542891"/>
    <s v=""/>
    <x v="2"/>
    <s v=""/>
  </r>
  <r>
    <x v="144"/>
    <s v="Lithuania"/>
    <s v="High income"/>
    <x v="1"/>
    <s v="OECD"/>
    <n v="2831639"/>
    <n v="2786650.5000000009"/>
    <x v="116"/>
    <n v="2718351.5000000005"/>
  </r>
  <r>
    <x v="145"/>
    <s v="Luxembourg"/>
    <s v="High income"/>
    <x v="1"/>
    <s v="OECD"/>
    <n v="653103"/>
    <n v="639321"/>
    <x v="117"/>
    <n v="654767.49999999977"/>
  </r>
  <r>
    <x v="146"/>
    <s v="Latvia"/>
    <s v="High income"/>
    <x v="1"/>
    <s v="OECD"/>
    <n v="1879383"/>
    <n v="1873918.9999999998"/>
    <x v="118"/>
    <n v="1830211.5000000002"/>
  </r>
  <r>
    <x v="147"/>
    <s v="Macao SAR, China"/>
    <s v="High income"/>
    <x v="1"/>
    <s v=""/>
    <n v="695168"/>
    <n v="686607.00000000023"/>
    <x v="119"/>
    <n v="704149.50000000023"/>
  </r>
  <r>
    <x v="148"/>
    <s v="St. Martin (French part)"/>
    <s v="High income"/>
    <x v="1"/>
    <s v=""/>
    <n v="31791"/>
    <n v="31947.500000000004"/>
    <x v="120"/>
    <n v="32077"/>
  </r>
  <r>
    <x v="149"/>
    <s v="Morocco"/>
    <s v=""/>
    <x v="1"/>
    <s v=""/>
    <n v="37457971"/>
    <n v="37076584.500000007"/>
    <x v="121"/>
    <n v="37840044"/>
  </r>
  <r>
    <x v="150"/>
    <s v="Monaco"/>
    <s v="High income"/>
    <x v="1"/>
    <s v=""/>
    <n v="36469"/>
    <n v="36685.999999999993"/>
    <x v="122"/>
    <n v="36297.499999999985"/>
  </r>
  <r>
    <x v="151"/>
    <s v="Moldova"/>
    <s v=""/>
    <x v="1"/>
    <s v=""/>
    <n v="2538894"/>
    <n v="3061506.4999999991"/>
    <x v="123"/>
    <n v="3435931"/>
  </r>
  <r>
    <x v="152"/>
    <s v="Madagascar"/>
    <s v=""/>
    <x v="1"/>
    <s v=""/>
    <n v="29611714"/>
    <n v="28915652.500000004"/>
    <x v="124"/>
    <n v="30325731.999999996"/>
  </r>
  <r>
    <x v="153"/>
    <s v="Maldives"/>
    <s v=""/>
    <x v="1"/>
    <s v=""/>
    <n v="523787"/>
    <n v="521457.50000000035"/>
    <x v="125"/>
    <n v="521021.49999999971"/>
  </r>
  <r>
    <x v="154"/>
    <s v="Middle East &amp; North Africa"/>
    <s v=""/>
    <x v="1"/>
    <s v=""/>
    <n v="493279469"/>
    <s v=""/>
    <x v="2"/>
    <s v=""/>
  </r>
  <r>
    <x v="155"/>
    <s v="Mexico"/>
    <s v=""/>
    <x v="2"/>
    <s v=""/>
    <n v="127504125"/>
    <n v="126705138.00000001"/>
    <x v="126"/>
    <n v="128455566.49999999"/>
  </r>
  <r>
    <x v="156"/>
    <s v="Marshall Islands"/>
    <s v=""/>
    <x v="1"/>
    <s v=""/>
    <n v="41569"/>
    <n v="42050.000000000022"/>
    <x v="127"/>
    <n v="41996.000000000007"/>
  </r>
  <r>
    <x v="157"/>
    <s v="Middle income"/>
    <s v=""/>
    <x v="1"/>
    <s v=""/>
    <n v="5974552342"/>
    <s v=""/>
    <x v="2"/>
    <s v=""/>
  </r>
  <r>
    <x v="158"/>
    <s v="North Macedonia"/>
    <s v=""/>
    <x v="1"/>
    <s v=""/>
    <n v="2057679"/>
    <n v="2103330.0000000005"/>
    <x v="128"/>
    <n v="2085678.9999999991"/>
  </r>
  <r>
    <x v="159"/>
    <s v="Mali"/>
    <s v=""/>
    <x v="1"/>
    <s v=""/>
    <n v="22593590"/>
    <n v="21904982.999999996"/>
    <x v="129"/>
    <n v="23293698.499999996"/>
  </r>
  <r>
    <x v="160"/>
    <s v="Malta"/>
    <s v="High income"/>
    <x v="1"/>
    <s v=""/>
    <n v="531113"/>
    <n v="526748"/>
    <x v="130"/>
    <n v="535064.5"/>
  </r>
  <r>
    <x v="161"/>
    <s v="Myanmar"/>
    <s v=""/>
    <x v="1"/>
    <s v=""/>
    <n v="54179306"/>
    <n v="53798084.500000015"/>
    <x v="131"/>
    <n v="54577996.999999993"/>
  </r>
  <r>
    <x v="162"/>
    <s v="Middle East &amp; North Africa (excluding high income)"/>
    <s v=""/>
    <x v="1"/>
    <s v=""/>
    <n v="424328381"/>
    <s v=""/>
    <x v="2"/>
    <s v=""/>
  </r>
  <r>
    <x v="163"/>
    <s v="Montenegro"/>
    <s v=""/>
    <x v="1"/>
    <s v=""/>
    <n v="617213"/>
    <n v="627858.49999999965"/>
    <x v="132"/>
    <n v="626484.49999999988"/>
  </r>
  <r>
    <x v="164"/>
    <s v="Mongolia"/>
    <s v=""/>
    <x v="1"/>
    <s v=""/>
    <n v="3398366"/>
    <n v="3347782.4999999977"/>
    <x v="133"/>
    <n v="3447156.5000000005"/>
  </r>
  <r>
    <x v="165"/>
    <s v="Northern Mariana Islands"/>
    <s v="High income"/>
    <x v="1"/>
    <s v=""/>
    <n v="49551"/>
    <n v="49481.5"/>
    <x v="134"/>
    <n v="49795.999999999985"/>
  </r>
  <r>
    <x v="166"/>
    <s v="Mozambique"/>
    <s v=""/>
    <x v="1"/>
    <s v=""/>
    <n v="32969518"/>
    <n v="32077072.000000011"/>
    <x v="135"/>
    <n v="33897353.999999985"/>
  </r>
  <r>
    <x v="167"/>
    <s v="Mauritania"/>
    <s v=""/>
    <x v="1"/>
    <s v=""/>
    <n v="4736139"/>
    <n v="4614974"/>
    <x v="136"/>
    <n v="4862988.4999999953"/>
  </r>
  <r>
    <x v="168"/>
    <s v="Mauritius"/>
    <s v=""/>
    <x v="1"/>
    <s v=""/>
    <n v="1262523"/>
    <n v="1298914.4999999995"/>
    <x v="137"/>
    <n v="1300557.0000000002"/>
  </r>
  <r>
    <x v="169"/>
    <s v="Malawi"/>
    <s v=""/>
    <x v="1"/>
    <s v=""/>
    <n v="20405317"/>
    <n v="19889742.000000011"/>
    <x v="138"/>
    <n v="20931750.999999989"/>
  </r>
  <r>
    <x v="170"/>
    <s v="Malaysia"/>
    <s v=""/>
    <x v="1"/>
    <s v=""/>
    <n v="33938221"/>
    <n v="33573873.499999993"/>
    <x v="139"/>
    <n v="34308524.999999993"/>
  </r>
  <r>
    <x v="171"/>
    <s v="North America"/>
    <s v=""/>
    <x v="1"/>
    <s v=""/>
    <n v="372280991"/>
    <s v=""/>
    <x v="2"/>
    <s v=""/>
  </r>
  <r>
    <x v="172"/>
    <s v="Namibia"/>
    <s v=""/>
    <x v="1"/>
    <s v=""/>
    <n v="2567012"/>
    <n v="2530150.5000000014"/>
    <x v="140"/>
    <n v="2604171.9999999995"/>
  </r>
  <r>
    <x v="173"/>
    <s v="New Caledonia"/>
    <s v="High income"/>
    <x v="1"/>
    <s v=""/>
    <n v="269220"/>
    <n v="287800"/>
    <x v="141"/>
    <n v="292991.00000000012"/>
  </r>
  <r>
    <x v="174"/>
    <s v="Niger"/>
    <s v=""/>
    <x v="1"/>
    <s v=""/>
    <n v="26207977"/>
    <n v="25252721.999999989"/>
    <x v="142"/>
    <n v="27202843"/>
  </r>
  <r>
    <x v="175"/>
    <s v="Nigeria"/>
    <s v=""/>
    <x v="1"/>
    <s v=""/>
    <n v="218541212"/>
    <n v="213401322.49999997"/>
    <x v="143"/>
    <n v="223804632.00000009"/>
  </r>
  <r>
    <x v="176"/>
    <s v="Nicaragua"/>
    <s v=""/>
    <x v="2"/>
    <s v=""/>
    <n v="6948392"/>
    <n v="6850539.9999999981"/>
    <x v="144"/>
    <n v="7046310.5"/>
  </r>
  <r>
    <x v="177"/>
    <s v="Netherlands"/>
    <s v="High income"/>
    <x v="1"/>
    <s v="OECD"/>
    <n v="17700982"/>
    <n v="17501695.499999993"/>
    <x v="145"/>
    <n v="17618298.5"/>
  </r>
  <r>
    <x v="178"/>
    <s v="Norway"/>
    <s v="High income"/>
    <x v="1"/>
    <s v="OECD"/>
    <n v="5457127"/>
    <n v="5403021"/>
    <x v="146"/>
    <n v="5474359.9999999991"/>
  </r>
  <r>
    <x v="179"/>
    <s v="Nepal"/>
    <s v=""/>
    <x v="1"/>
    <s v=""/>
    <n v="30547580"/>
    <n v="30034989.500000011"/>
    <x v="147"/>
    <n v="30896590.000000022"/>
  </r>
  <r>
    <x v="180"/>
    <s v="Nauru"/>
    <s v="High income"/>
    <x v="1"/>
    <s v=""/>
    <n v="12668"/>
    <n v="12511.5"/>
    <x v="148"/>
    <n v="12780.000000000011"/>
  </r>
  <r>
    <x v="181"/>
    <s v="New Zealand"/>
    <s v="High income"/>
    <x v="1"/>
    <s v="OECD"/>
    <n v="5124100"/>
    <n v="5129727.4999999972"/>
    <x v="149"/>
    <n v="5228099.4999999981"/>
  </r>
  <r>
    <x v="182"/>
    <s v="OECD members"/>
    <s v=""/>
    <x v="1"/>
    <s v=""/>
    <n v="1376606817"/>
    <s v=""/>
    <x v="2"/>
    <s v=""/>
  </r>
  <r>
    <x v="183"/>
    <s v="Oman"/>
    <s v="High income"/>
    <x v="1"/>
    <s v=""/>
    <n v="4576298"/>
    <n v="4520471.0000000009"/>
    <x v="150"/>
    <n v="4644384.0000000009"/>
  </r>
  <r>
    <x v="184"/>
    <s v="Other small states"/>
    <s v=""/>
    <x v="1"/>
    <s v=""/>
    <n v="33169026"/>
    <s v=""/>
    <x v="2"/>
    <s v=""/>
  </r>
  <r>
    <x v="185"/>
    <s v="Pakistan"/>
    <s v=""/>
    <x v="1"/>
    <s v=""/>
    <n v="235824862"/>
    <n v="231402116.49999997"/>
    <x v="151"/>
    <n v="240485657.49999985"/>
  </r>
  <r>
    <x v="186"/>
    <s v="Panama"/>
    <s v="High income"/>
    <x v="2"/>
    <s v=""/>
    <n v="4408581"/>
    <n v="4351266.9999999963"/>
    <x v="152"/>
    <n v="4468086.4999999972"/>
  </r>
  <r>
    <x v="187"/>
    <s v="Peru"/>
    <s v=""/>
    <x v="2"/>
    <s v=""/>
    <n v="34049588"/>
    <n v="33715471.499999985"/>
    <x v="153"/>
    <n v="34352718.499999978"/>
  </r>
  <r>
    <x v="188"/>
    <s v="Philippines"/>
    <s v=""/>
    <x v="1"/>
    <s v=""/>
    <n v="115559009"/>
    <n v="113880328.00000001"/>
    <x v="154"/>
    <n v="117337367.99999996"/>
  </r>
  <r>
    <x v="189"/>
    <s v="Palau"/>
    <s v=""/>
    <x v="1"/>
    <s v=""/>
    <n v="18055"/>
    <n v="18024"/>
    <x v="155"/>
    <n v="18057.500000000004"/>
  </r>
  <r>
    <x v="190"/>
    <s v="Papua New Guinea"/>
    <s v=""/>
    <x v="1"/>
    <s v=""/>
    <n v="10142619"/>
    <n v="9949436.9999999925"/>
    <x v="156"/>
    <n v="10329930.499999993"/>
  </r>
  <r>
    <x v="191"/>
    <s v="Poland"/>
    <s v="High income"/>
    <x v="1"/>
    <s v="OECD"/>
    <n v="36821749"/>
    <n v="38307725.500000037"/>
    <x v="157"/>
    <n v="41026067.500000015"/>
  </r>
  <r>
    <x v="192"/>
    <s v="Pre-demographic dividend"/>
    <s v=""/>
    <x v="1"/>
    <s v=""/>
    <n v="1038012552"/>
    <s v=""/>
    <x v="2"/>
    <s v=""/>
  </r>
  <r>
    <x v="193"/>
    <s v="Puerto Rico"/>
    <s v="High income"/>
    <x v="1"/>
    <s v=""/>
    <n v="3221789"/>
    <n v="3256027.4999999995"/>
    <x v="158"/>
    <n v="3260314.0000000023"/>
  </r>
  <r>
    <x v="194"/>
    <s v="Korea, Dem. People's Rep."/>
    <s v=""/>
    <x v="1"/>
    <s v=""/>
    <n v="26069416"/>
    <n v="25971909"/>
    <x v="159"/>
    <n v="26160821.5"/>
  </r>
  <r>
    <x v="195"/>
    <s v="Portugal"/>
    <s v="High income"/>
    <x v="1"/>
    <s v="OECD"/>
    <n v="10409704"/>
    <n v="10290103"/>
    <x v="160"/>
    <n v="10247605.000000002"/>
  </r>
  <r>
    <x v="196"/>
    <s v="Paraguay"/>
    <s v=""/>
    <x v="2"/>
    <s v=""/>
    <n v="6780744"/>
    <n v="6703799.0000000028"/>
    <x v="161"/>
    <n v="6861523.5000000028"/>
  </r>
  <r>
    <x v="197"/>
    <s v="West Bank and Gaza"/>
    <s v=""/>
    <x v="1"/>
    <s v=""/>
    <n v="5043612"/>
    <n v="5133392.0000000009"/>
    <x v="162"/>
    <n v="5371230.0000000009"/>
  </r>
  <r>
    <x v="198"/>
    <s v="Pacific island small states"/>
    <s v=""/>
    <x v="1"/>
    <s v=""/>
    <n v="2639019"/>
    <s v=""/>
    <x v="2"/>
    <s v=""/>
  </r>
  <r>
    <x v="199"/>
    <s v="Post-demographic dividend"/>
    <s v=""/>
    <x v="1"/>
    <s v=""/>
    <n v="1113495082"/>
    <s v=""/>
    <x v="2"/>
    <s v=""/>
  </r>
  <r>
    <x v="200"/>
    <s v="French Polynesia"/>
    <s v="High income"/>
    <x v="1"/>
    <s v=""/>
    <n v="306279"/>
    <n v="304031.99999999994"/>
    <x v="163"/>
    <n v="308871.50000000006"/>
  </r>
  <r>
    <x v="201"/>
    <s v="Qatar"/>
    <s v="High income"/>
    <x v="1"/>
    <s v=""/>
    <n v="2695122"/>
    <n v="2688234.9999999991"/>
    <x v="164"/>
    <n v="2716391"/>
  </r>
  <r>
    <x v="202"/>
    <s v="Romania"/>
    <s v="High income"/>
    <x v="1"/>
    <s v=""/>
    <n v="19047009"/>
    <n v="19328559.999999993"/>
    <x v="165"/>
    <n v="19892811.999999989"/>
  </r>
  <r>
    <x v="203"/>
    <s v="Russian Federation"/>
    <s v=""/>
    <x v="1"/>
    <s v=""/>
    <n v="144236933"/>
    <n v="145102754.99999997"/>
    <x v="166"/>
    <n v="144444359.00000009"/>
  </r>
  <r>
    <x v="204"/>
    <s v="Rwanda"/>
    <s v=""/>
    <x v="1"/>
    <s v=""/>
    <n v="13776698"/>
    <n v="13461887.499999998"/>
    <x v="167"/>
    <n v="14094683"/>
  </r>
  <r>
    <x v="205"/>
    <s v="South Asia"/>
    <s v=""/>
    <x v="1"/>
    <s v=""/>
    <n v="1919348000"/>
    <s v=""/>
    <x v="2"/>
    <s v=""/>
  </r>
  <r>
    <x v="206"/>
    <s v="Saudi Arabia"/>
    <s v="High income"/>
    <x v="1"/>
    <s v=""/>
    <n v="36408820"/>
    <n v="35950396.000000022"/>
    <x v="168"/>
    <n v="36947024.999999978"/>
  </r>
  <r>
    <x v="207"/>
    <s v="Sudan"/>
    <s v=""/>
    <x v="1"/>
    <s v=""/>
    <n v="46874204"/>
    <n v="45657201.5"/>
    <x v="169"/>
    <n v="48109006"/>
  </r>
  <r>
    <x v="208"/>
    <s v="Senegal"/>
    <s v=""/>
    <x v="1"/>
    <s v=""/>
    <n v="17316449"/>
    <n v="16876719.999999996"/>
    <x v="170"/>
    <n v="17763163.000000011"/>
  </r>
  <r>
    <x v="209"/>
    <s v="Singapore"/>
    <s v="High income"/>
    <x v="1"/>
    <s v=""/>
    <n v="5637022"/>
    <n v="5941060.5000000009"/>
    <x v="171"/>
    <n v="6014722.9999999991"/>
  </r>
  <r>
    <x v="210"/>
    <s v="Solomon Islands"/>
    <s v=""/>
    <x v="1"/>
    <s v=""/>
    <n v="724273"/>
    <n v="707851"/>
    <x v="172"/>
    <n v="740424.50000000012"/>
  </r>
  <r>
    <x v="211"/>
    <s v="Sierra Leone"/>
    <s v=""/>
    <x v="1"/>
    <s v=""/>
    <n v="8605718"/>
    <n v="8420641.0000000037"/>
    <x v="173"/>
    <n v="8791091.9999999944"/>
  </r>
  <r>
    <x v="212"/>
    <s v="El Salvador"/>
    <s v=""/>
    <x v="2"/>
    <s v=""/>
    <n v="6336392"/>
    <n v="6314167.5000000019"/>
    <x v="174"/>
    <n v="6364942.4999999972"/>
  </r>
  <r>
    <x v="213"/>
    <s v="San Marino"/>
    <s v="High income"/>
    <x v="1"/>
    <s v=""/>
    <n v="33660"/>
    <n v="33745.5"/>
    <x v="175"/>
    <n v="33641.999999999993"/>
  </r>
  <r>
    <x v="214"/>
    <s v="Somalia"/>
    <s v=""/>
    <x v="1"/>
    <s v=""/>
    <n v="17597511"/>
    <n v="17065581.000000007"/>
    <x v="176"/>
    <n v="18143378.499999993"/>
  </r>
  <r>
    <x v="215"/>
    <s v="Serbia"/>
    <s v=""/>
    <x v="1"/>
    <s v=""/>
    <n v="6664449"/>
    <n v="7296768.4999999991"/>
    <x v="177"/>
    <n v="7149076.4999999981"/>
  </r>
  <r>
    <x v="216"/>
    <s v="Sub-Saharan Africa (excluding high income)"/>
    <s v=""/>
    <x v="1"/>
    <s v=""/>
    <n v="1211070124"/>
    <s v=""/>
    <x v="2"/>
    <s v=""/>
  </r>
  <r>
    <x v="217"/>
    <s v="South Sudan"/>
    <s v=""/>
    <x v="1"/>
    <s v=""/>
    <n v="10913164"/>
    <n v="10748272.499999998"/>
    <x v="178"/>
    <n v="11088795.999999998"/>
  </r>
  <r>
    <x v="218"/>
    <s v="Sub-Saharan Africa"/>
    <s v=""/>
    <x v="1"/>
    <s v=""/>
    <n v="1211190002"/>
    <s v=""/>
    <x v="2"/>
    <s v=""/>
  </r>
  <r>
    <x v="219"/>
    <s v="Small states"/>
    <s v=""/>
    <x v="1"/>
    <s v=""/>
    <n v="43313523"/>
    <s v=""/>
    <x v="2"/>
    <s v=""/>
  </r>
  <r>
    <x v="220"/>
    <s v="Sao Tome and Principe"/>
    <s v=""/>
    <x v="1"/>
    <s v=""/>
    <n v="227380"/>
    <n v="223107.49999999991"/>
    <x v="179"/>
    <n v="231855.49999999997"/>
  </r>
  <r>
    <x v="221"/>
    <s v="Suriname"/>
    <s v=""/>
    <x v="2"/>
    <s v=""/>
    <n v="618040"/>
    <n v="612984.50000000023"/>
    <x v="180"/>
    <n v="623236.50000000035"/>
  </r>
  <r>
    <x v="222"/>
    <s v="Slovak Republic"/>
    <s v="High income"/>
    <x v="1"/>
    <s v="OECD"/>
    <n v="5431752"/>
    <n v="5447621.9999999981"/>
    <x v="181"/>
    <n v="5795199.0000000037"/>
  </r>
  <r>
    <x v="223"/>
    <s v="Slovenia"/>
    <s v="High income"/>
    <x v="1"/>
    <s v="OECD"/>
    <n v="2111986"/>
    <n v="2119409.5000000005"/>
    <x v="182"/>
    <n v="2119674.5"/>
  </r>
  <r>
    <x v="224"/>
    <s v="Sweden"/>
    <s v="High income"/>
    <x v="1"/>
    <s v="OECD"/>
    <n v="10486941"/>
    <n v="10467097"/>
    <x v="183"/>
    <n v="10612086"/>
  </r>
  <r>
    <x v="225"/>
    <s v="Eswatini"/>
    <s v=""/>
    <x v="1"/>
    <s v=""/>
    <n v="1201670"/>
    <n v="1192271.0000000002"/>
    <x v="184"/>
    <n v="1210821.4999999995"/>
  </r>
  <r>
    <x v="226"/>
    <s v="Sint Maarten (Dutch part)"/>
    <s v="High income"/>
    <x v="1"/>
    <s v=""/>
    <n v="42848"/>
    <n v="44041.999999999993"/>
    <x v="185"/>
    <n v="44222.000000000007"/>
  </r>
  <r>
    <x v="227"/>
    <s v="Seychelles"/>
    <s v="High income"/>
    <x v="1"/>
    <s v=""/>
    <n v="119878"/>
    <n v="106470.49999999996"/>
    <x v="186"/>
    <n v="107660.00000000001"/>
  </r>
  <r>
    <x v="228"/>
    <s v="Syrian Arab Republic"/>
    <s v=""/>
    <x v="1"/>
    <s v=""/>
    <n v="22125249"/>
    <n v="21324367.000000004"/>
    <x v="187"/>
    <n v="23227013.499999985"/>
  </r>
  <r>
    <x v="229"/>
    <s v="Turks and Caicos Islands"/>
    <s v="High income"/>
    <x v="1"/>
    <s v=""/>
    <n v="45703"/>
    <n v="45114.000000000029"/>
    <x v="188"/>
    <n v="46061.500000000029"/>
  </r>
  <r>
    <x v="230"/>
    <s v="Chad"/>
    <s v=""/>
    <x v="1"/>
    <s v=""/>
    <n v="17723315"/>
    <n v="17179739.999999996"/>
    <x v="189"/>
    <n v="18278567.499999996"/>
  </r>
  <r>
    <x v="231"/>
    <s v="East Asia &amp; Pacific (IDA &amp; IBRD countries)"/>
    <s v=""/>
    <x v="1"/>
    <s v=""/>
    <n v="2103055378"/>
    <s v=""/>
    <x v="2"/>
    <s v=""/>
  </r>
  <r>
    <x v="232"/>
    <s v="Europe &amp; Central Asia (IDA &amp; IBRD countries)"/>
    <s v=""/>
    <x v="1"/>
    <s v=""/>
    <n v="457549063"/>
    <s v=""/>
    <x v="2"/>
    <s v=""/>
  </r>
  <r>
    <x v="233"/>
    <s v="Togo"/>
    <s v=""/>
    <x v="1"/>
    <s v=""/>
    <n v="8848699"/>
    <n v="8644828.9999999981"/>
    <x v="190"/>
    <n v="9053799.0000000037"/>
  </r>
  <r>
    <x v="234"/>
    <s v="Thailand"/>
    <s v=""/>
    <x v="1"/>
    <s v=""/>
    <n v="71697030"/>
    <n v="71601103"/>
    <x v="191"/>
    <n v="71801278.999999985"/>
  </r>
  <r>
    <x v="235"/>
    <s v="Tajikistan"/>
    <s v=""/>
    <x v="1"/>
    <s v=""/>
    <n v="9952787"/>
    <n v="9750064.0000000019"/>
    <x v="192"/>
    <n v="10143543.000000004"/>
  </r>
  <r>
    <x v="236"/>
    <s v="Turkmenistan"/>
    <s v=""/>
    <x v="1"/>
    <s v=""/>
    <n v="6430770"/>
    <n v="6341855.0000000019"/>
    <x v="193"/>
    <n v="6516099.9999999963"/>
  </r>
  <r>
    <x v="237"/>
    <s v="Latin America &amp; the Caribbean (IDA &amp; IBRD countries)"/>
    <s v=""/>
    <x v="1"/>
    <s v=""/>
    <n v="643602758"/>
    <s v=""/>
    <x v="2"/>
    <s v=""/>
  </r>
  <r>
    <x v="238"/>
    <s v="Timor-Leste"/>
    <s v=""/>
    <x v="1"/>
    <s v=""/>
    <n v="1341296"/>
    <n v="1320941.9999999998"/>
    <x v="194"/>
    <n v="1360595.9999999998"/>
  </r>
  <r>
    <x v="239"/>
    <s v="Middle East &amp; North Africa (IDA &amp; IBRD countries)"/>
    <s v=""/>
    <x v="1"/>
    <s v=""/>
    <n v="419284769"/>
    <s v=""/>
    <x v="2"/>
    <s v=""/>
  </r>
  <r>
    <x v="240"/>
    <s v="Tonga"/>
    <s v=""/>
    <x v="1"/>
    <s v=""/>
    <n v="106858"/>
    <n v="106017"/>
    <x v="195"/>
    <n v="107773.00000000007"/>
  </r>
  <r>
    <x v="241"/>
    <s v="South Asia (IDA &amp; IBRD)"/>
    <s v=""/>
    <x v="1"/>
    <s v=""/>
    <n v="1919348000"/>
    <s v=""/>
    <x v="2"/>
    <s v=""/>
  </r>
  <r>
    <x v="242"/>
    <s v="Sub-Saharan Africa (IDA &amp; IBRD countries)"/>
    <s v=""/>
    <x v="1"/>
    <s v=""/>
    <n v="1211190002"/>
    <s v=""/>
    <x v="2"/>
    <s v=""/>
  </r>
  <r>
    <x v="243"/>
    <s v="Trinidad and Tobago"/>
    <s v="High income"/>
    <x v="2"/>
    <s v=""/>
    <n v="1531044"/>
    <n v="1525662.9999999991"/>
    <x v="196"/>
    <n v="1534937.0000000005"/>
  </r>
  <r>
    <x v="244"/>
    <s v="Tunisia"/>
    <s v=""/>
    <x v="1"/>
    <s v=""/>
    <n v="12356117"/>
    <n v="12262946.000000006"/>
    <x v="197"/>
    <n v="12458222.999999998"/>
  </r>
  <r>
    <x v="245"/>
    <s v="Turkiye"/>
    <s v=""/>
    <x v="1"/>
    <s v=""/>
    <n v="84979913"/>
    <n v="84775403.50000003"/>
    <x v="198"/>
    <n v="85816199.000000015"/>
  </r>
  <r>
    <x v="246"/>
    <s v="Tuvalu"/>
    <s v=""/>
    <x v="1"/>
    <s v=""/>
    <n v="11312"/>
    <n v="11203.500000000004"/>
    <x v="199"/>
    <n v="11395.999999999993"/>
  </r>
  <r>
    <x v="247"/>
    <s v="Tanzania"/>
    <s v=""/>
    <x v="1"/>
    <s v=""/>
    <n v="65497748"/>
    <n v="63588333.999999993"/>
    <x v="200"/>
    <n v="67438106.000000075"/>
  </r>
  <r>
    <x v="248"/>
    <s v="Uganda"/>
    <s v=""/>
    <x v="1"/>
    <s v=""/>
    <n v="47249585"/>
    <n v="45853778.000000022"/>
    <x v="201"/>
    <n v="48582333.999999978"/>
  </r>
  <r>
    <x v="249"/>
    <s v="Ukraine"/>
    <s v=""/>
    <x v="1"/>
    <s v=""/>
    <n v="38000000"/>
    <n v="43531421.999999978"/>
    <x v="202"/>
    <n v="36744633.500000007"/>
  </r>
  <r>
    <x v="250"/>
    <s v="Upper middle income"/>
    <s v=""/>
    <x v="1"/>
    <s v=""/>
    <n v="2784368143"/>
    <s v=""/>
    <x v="2"/>
    <s v=""/>
  </r>
  <r>
    <x v="251"/>
    <s v="Uruguay"/>
    <s v="High income"/>
    <x v="2"/>
    <s v=""/>
    <n v="3422794"/>
    <n v="3426259.4999999995"/>
    <x v="203"/>
    <n v="3423108.4999999986"/>
  </r>
  <r>
    <x v="252"/>
    <s v="United States"/>
    <s v="High income"/>
    <x v="1"/>
    <s v="OECD"/>
    <n v="333287557"/>
    <n v="336997624"/>
    <x v="204"/>
    <n v="339996563.49999988"/>
  </r>
  <r>
    <x v="253"/>
    <s v="Uzbekistan"/>
    <s v=""/>
    <x v="1"/>
    <s v=""/>
    <n v="35648100"/>
    <n v="34081448.999999993"/>
    <x v="205"/>
    <n v="35163943.500000015"/>
  </r>
  <r>
    <x v="254"/>
    <s v="St. Vincent and the Grenadines"/>
    <s v=""/>
    <x v="1"/>
    <s v=""/>
    <n v="103948"/>
    <n v="104332"/>
    <x v="206"/>
    <n v="103698.5"/>
  </r>
  <r>
    <x v="255"/>
    <s v="Venezuela"/>
    <s v=""/>
    <x v="2"/>
    <s v=""/>
    <n v="28301696"/>
    <n v="28199866.500000004"/>
    <x v="207"/>
    <n v="28838498.999999985"/>
  </r>
  <r>
    <x v="256"/>
    <s v="British Virgin Islands"/>
    <s v="High income"/>
    <x v="1"/>
    <s v=""/>
    <n v="31305"/>
    <n v="31121.999999999996"/>
    <x v="208"/>
    <n v="31538.000000000007"/>
  </r>
  <r>
    <x v="257"/>
    <s v="Virgin Islands (U.S.)"/>
    <s v="High income"/>
    <x v="1"/>
    <s v=""/>
    <n v="105413"/>
    <n v="100091"/>
    <x v="209"/>
    <n v="98750.000000000044"/>
  </r>
  <r>
    <x v="258"/>
    <s v="Viet Nam"/>
    <s v=""/>
    <x v="1"/>
    <s v=""/>
    <n v="98186856"/>
    <n v="97468028.499999985"/>
    <x v="210"/>
    <n v="98858949.99999997"/>
  </r>
  <r>
    <x v="259"/>
    <s v="Vanuatu"/>
    <s v=""/>
    <x v="1"/>
    <s v=""/>
    <n v="326740"/>
    <n v="319136.5"/>
    <x v="211"/>
    <n v="334505.99999999994"/>
  </r>
  <r>
    <x v="260"/>
    <s v="Samoa"/>
    <s v=""/>
    <x v="1"/>
    <s v=""/>
    <n v="222382"/>
    <n v="218764.00000000012"/>
    <x v="212"/>
    <n v="225681.00000000015"/>
  </r>
  <r>
    <x v="261"/>
    <s v="Kosovo"/>
    <s v=""/>
    <x v="1"/>
    <s v=""/>
    <n v="1761985"/>
    <n v="1662009.4999999995"/>
    <x v="213"/>
    <n v="1663594.4999999998"/>
  </r>
  <r>
    <x v="262"/>
    <s v="Yemen, Rep."/>
    <s v=""/>
    <x v="1"/>
    <s v=""/>
    <n v="33696614"/>
    <n v="32981641.499999989"/>
    <x v="214"/>
    <n v="34449825.000000015"/>
  </r>
  <r>
    <x v="263"/>
    <s v="South Africa"/>
    <s v=""/>
    <x v="1"/>
    <s v=""/>
    <n v="59893885"/>
    <n v="59392255"/>
    <x v="215"/>
    <n v="60414494.500000015"/>
  </r>
  <r>
    <x v="264"/>
    <s v="Zambia"/>
    <s v=""/>
    <x v="1"/>
    <s v=""/>
    <n v="20017675"/>
    <n v="19473124.999999996"/>
    <x v="216"/>
    <n v="20569737.500000011"/>
  </r>
  <r>
    <x v="265"/>
    <s v="Zimbabwe"/>
    <s v=""/>
    <x v="1"/>
    <s v=""/>
    <n v="16320537"/>
    <n v="15993524.000000002"/>
    <x v="217"/>
    <n v="16665408.500000013"/>
  </r>
  <r>
    <x v="266"/>
    <s v="Taiwan, China"/>
    <s v="High income"/>
    <x v="3"/>
    <m/>
    <m/>
    <n v="23859912.000000011"/>
    <x v="218"/>
    <n v="23923276.50000000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
  <r>
    <x v="0"/>
    <x v="0"/>
    <x v="0"/>
    <n v="0.5"/>
    <n v="2"/>
    <n v="4"/>
    <n v="1.5"/>
    <n v="0.79027199745178223"/>
    <n v="2.0246315002441406"/>
    <n v="4.2734723091125488"/>
    <n v="0.31978467106819153"/>
    <n v="0.64765971899032593"/>
    <n v="3.2555636018514633E-2"/>
    <n v="1.0438686609268188"/>
  </r>
  <r>
    <x v="1"/>
    <x v="0"/>
    <x v="0"/>
    <n v="1"/>
    <n v="2"/>
    <n v="4"/>
    <n v="2"/>
    <n v="1.0102670192718506"/>
    <n v="2.414128303527832"/>
    <n v="4.4332151412963867"/>
    <n v="0.36287102103233337"/>
    <n v="0.59106749296188354"/>
    <n v="4.606151208281517E-2"/>
    <n v="0.96776264905929565"/>
  </r>
  <r>
    <x v="2"/>
    <x v="0"/>
    <x v="0"/>
    <n v="0.66666668653488159"/>
    <n v="2"/>
    <n v="4"/>
    <m/>
    <n v="0.83691394329071045"/>
    <n v="1.9211291074752808"/>
    <n v="3.944223165512085"/>
    <n v="0.34912154078483582"/>
    <n v="0.63709104061126709"/>
    <n v="1.3787428848445415E-2"/>
    <n v="1.086432933807373"/>
  </r>
  <r>
    <x v="3"/>
    <x v="0"/>
    <x v="0"/>
    <n v="0.40000000596046448"/>
    <n v="1"/>
    <n v="3"/>
    <m/>
    <n v="0.58500117063522339"/>
    <n v="1.3668324947357178"/>
    <n v="3.1334443092346191"/>
    <n v="0.23050424456596375"/>
    <n v="0.71299177408218384"/>
    <n v="5.6503999978303909E-2"/>
    <n v="0.49524989724159241"/>
  </r>
  <r>
    <x v="4"/>
    <x v="0"/>
    <x v="0"/>
    <n v="0.66666668653488159"/>
    <n v="1"/>
    <n v="3"/>
    <n v="1.2000000476837158"/>
    <n v="0.85218620300292969"/>
    <n v="1.4669497013092041"/>
    <n v="3.4538137912750244"/>
    <n v="0.2704920768737793"/>
    <n v="0.55755037069320679"/>
    <n v="0.1719575822353363"/>
    <n v="0.36191508173942566"/>
  </r>
  <r>
    <x v="5"/>
    <x v="1"/>
    <x v="0"/>
    <n v="0.66666668653488159"/>
    <n v="2"/>
    <n v="4"/>
    <n v="0.83333331346511841"/>
    <n v="0.85557979345321655"/>
    <n v="1.7498437166213989"/>
    <n v="3.7277891635894775"/>
    <n v="0.26897510886192322"/>
    <n v="0.60902440547943115"/>
    <n v="0.12200050055980682"/>
    <n v="0.51295137405395508"/>
  </r>
  <r>
    <x v="6"/>
    <x v="0"/>
    <x v="0"/>
    <n v="1"/>
    <n v="1"/>
    <n v="4"/>
    <n v="1.25"/>
    <n v="1.0847920179367065"/>
    <n v="1.6046638488769531"/>
    <n v="3.7260010242462158"/>
    <n v="0.3259395956993103"/>
    <n v="0.53740185499191284"/>
    <n v="0.13665853440761566"/>
    <n v="0.60477900505065918"/>
  </r>
  <r>
    <x v="7"/>
    <x v="1"/>
    <x v="0"/>
    <n v="1"/>
    <n v="3"/>
    <n v="5"/>
    <n v="1.6000000238418579"/>
    <n v="1.3164106607437134"/>
    <n v="2.7435836791992188"/>
    <n v="5.161564826965332"/>
    <n v="0.41221606731414795"/>
    <n v="0.48472318053245544"/>
    <n v="0.10306078195571899"/>
    <n v="0.70187455415725708"/>
  </r>
  <r>
    <x v="8"/>
    <x v="0"/>
    <x v="0"/>
    <n v="1"/>
    <n v="2"/>
    <n v="4"/>
    <n v="2"/>
    <n v="1.0963449478149414"/>
    <n v="2.3034970760345459"/>
    <n v="4.7349643707275391"/>
    <n v="0.35019013285636902"/>
    <n v="0.52009814977645874"/>
    <n v="0.12971176207065582"/>
    <n v="0.85903173685073853"/>
  </r>
  <r>
    <x v="9"/>
    <x v="2"/>
    <x v="0"/>
    <n v="0.5"/>
    <n v="2"/>
    <n v="4"/>
    <m/>
    <n v="0.71827465295791626"/>
    <n v="1.8876044750213623"/>
    <n v="4.3686561584472656"/>
    <n v="0.24973030388355255"/>
    <n v="0.67789912223815918"/>
    <n v="7.2370581328868866E-2"/>
    <n v="0.73624587059020996"/>
  </r>
  <r>
    <x v="10"/>
    <x v="1"/>
    <x v="0"/>
    <n v="0.75"/>
    <n v="2"/>
    <n v="4"/>
    <m/>
    <n v="0.94600701332092285"/>
    <n v="1.7921539545059204"/>
    <n v="4.2919907569885254"/>
    <n v="0.30266368389129639"/>
    <n v="0.55135565996170044"/>
    <n v="0.14598064124584198"/>
    <n v="0.78326517343521118"/>
  </r>
  <r>
    <x v="11"/>
    <x v="0"/>
    <x v="0"/>
    <n v="1"/>
    <n v="2"/>
    <n v="4"/>
    <n v="1.3333333730697632"/>
    <n v="0.985973060131073"/>
    <n v="1.7316185235977173"/>
    <n v="4.0975828170776367"/>
    <n v="0.27674767374992371"/>
    <n v="0.50234568119049072"/>
    <n v="0.22090665996074677"/>
    <n v="0.52584397792816162"/>
  </r>
  <r>
    <x v="12"/>
    <x v="0"/>
    <x v="0"/>
    <n v="0.75"/>
    <n v="2"/>
    <n v="4"/>
    <n v="1.5"/>
    <n v="0.94448697566986084"/>
    <n v="2.2514071464538574"/>
    <n v="4.9554738998413086"/>
    <n v="0.31978702545166016"/>
    <n v="0.5883902907371521"/>
    <n v="9.1822721064090729E-2"/>
    <n v="1.168235182762146"/>
  </r>
  <r>
    <x v="13"/>
    <x v="0"/>
    <x v="0"/>
    <n v="0.80000001192092896"/>
    <n v="2"/>
    <n v="4"/>
    <n v="1.5"/>
    <n v="0.91340857744216919"/>
    <n v="1.8261843919754028"/>
    <n v="4.0225443840026855"/>
    <n v="0.28725224733352661"/>
    <n v="0.54558521509170532"/>
    <n v="0.16716252267360687"/>
    <n v="0.515758216381073"/>
  </r>
  <r>
    <x v="14"/>
    <x v="0"/>
    <x v="0"/>
    <n v="0.66666668653488159"/>
    <n v="2"/>
    <n v="4"/>
    <n v="1.5"/>
    <n v="0.97944772243499756"/>
    <n v="1.9176430702209473"/>
    <n v="4.055260181427002"/>
    <n v="0.34612265229225159"/>
    <n v="0.58372962474822998"/>
    <n v="7.014775276184082E-2"/>
    <n v="0.71496540307998657"/>
  </r>
  <r>
    <x v="15"/>
    <x v="1"/>
    <x v="0"/>
    <n v="0.66666668653488159"/>
    <n v="1"/>
    <n v="3"/>
    <n v="1.3333333730697632"/>
    <n v="0.80888783931732178"/>
    <n v="1.3016330003738403"/>
    <n v="3.3187410831451416"/>
    <n v="0.24175241589546204"/>
    <n v="0.56501865386962891"/>
    <n v="0.19322891533374786"/>
    <n v="0.42493864893913269"/>
  </r>
  <r>
    <x v="16"/>
    <x v="0"/>
    <x v="0"/>
    <n v="1"/>
    <n v="3"/>
    <n v="5"/>
    <n v="1.5"/>
    <n v="1.1328073740005493"/>
    <n v="2.6228938102722168"/>
    <n v="4.6049084663391113"/>
    <n v="0.42916524410247803"/>
    <n v="0.55006104707717896"/>
    <n v="2.0773718133568764E-2"/>
    <n v="1.7190037965774536"/>
  </r>
  <r>
    <x v="17"/>
    <x v="2"/>
    <x v="0"/>
    <n v="0.5"/>
    <n v="1"/>
    <n v="3"/>
    <m/>
    <n v="0.69005751609802246"/>
    <n v="1.4041028022766113"/>
    <n v="3.5015888214111328"/>
    <n v="0.23267611861228943"/>
    <n v="0.63381826877593994"/>
    <n v="0.13350559771060944"/>
    <n v="0.41371750831604004"/>
  </r>
  <r>
    <x v="0"/>
    <x v="0"/>
    <x v="1"/>
    <n v="0.5"/>
    <n v="2"/>
    <n v="4"/>
    <n v="1.5"/>
    <n v="0.79696166515350342"/>
    <n v="2.0950028896331787"/>
    <n v="4.2690610885620117"/>
    <n v="0.30069980025291443"/>
    <n v="0.64145267009735107"/>
    <n v="5.7847525924444199E-2"/>
    <n v="0.72749930620193481"/>
  </r>
  <r>
    <x v="1"/>
    <x v="0"/>
    <x v="1"/>
    <n v="0.66666668653488159"/>
    <n v="1"/>
    <n v="3"/>
    <n v="1.5"/>
    <n v="0.89771217107772827"/>
    <n v="1.7604677677154541"/>
    <n v="3.6254639625549316"/>
    <n v="0.26835685968399048"/>
    <n v="0.50632083415985107"/>
    <n v="0.22532230615615845"/>
    <n v="0.23684105277061462"/>
  </r>
  <r>
    <x v="2"/>
    <x v="0"/>
    <x v="1"/>
    <n v="0.5"/>
    <n v="1"/>
    <n v="3"/>
    <m/>
    <n v="0.60920488834381104"/>
    <n v="1.3700946569442749"/>
    <n v="3.4722616672515869"/>
    <n v="0.25273481011390686"/>
    <n v="0.68813693523406982"/>
    <n v="5.9128228574991226E-2"/>
    <n v="0.55901354551315308"/>
  </r>
  <r>
    <x v="3"/>
    <x v="0"/>
    <x v="1"/>
    <n v="0.5"/>
    <n v="2"/>
    <n v="3"/>
    <m/>
    <n v="0.71750485897064209"/>
    <n v="1.5732768774032593"/>
    <n v="3.5564196109771729"/>
    <n v="0.23771171271800995"/>
    <n v="0.65569812059402466"/>
    <n v="0.1065901443362236"/>
    <n v="0.39516255259513855"/>
  </r>
  <r>
    <x v="4"/>
    <x v="0"/>
    <x v="1"/>
    <n v="0.5"/>
    <n v="1"/>
    <n v="3"/>
    <n v="1"/>
    <n v="0.66136211156845093"/>
    <n v="1.4405975341796875"/>
    <n v="3.5553011894226074"/>
    <n v="0.24436472356319427"/>
    <n v="0.63851058483123779"/>
    <n v="0.11712468415498734"/>
    <n v="0.43027892708778381"/>
  </r>
  <r>
    <x v="5"/>
    <x v="1"/>
    <x v="1"/>
    <n v="0.66666668653488159"/>
    <n v="1"/>
    <n v="3"/>
    <n v="0.80000001192092896"/>
    <n v="0.77576053142547607"/>
    <n v="1.5458893775939941"/>
    <n v="3.5678620338439941"/>
    <n v="0.23884567618370056"/>
    <n v="0.60919392108917236"/>
    <n v="0.15196040272712708"/>
    <n v="0.3586844801902771"/>
  </r>
  <r>
    <x v="6"/>
    <x v="0"/>
    <x v="1"/>
    <n v="1"/>
    <n v="1"/>
    <n v="4"/>
    <n v="1.25"/>
    <n v="0.94339495897293091"/>
    <n v="1.5638446807861328"/>
    <n v="3.6759700775146484"/>
    <n v="0.30332297086715698"/>
    <n v="0.55143195390701294"/>
    <n v="0.14524507522583008"/>
    <n v="0.47095748782157898"/>
  </r>
  <r>
    <x v="7"/>
    <x v="1"/>
    <x v="1"/>
    <n v="0.66666668653488159"/>
    <n v="2"/>
    <n v="4"/>
    <n v="1.3333333730697632"/>
    <n v="0.88100743293762207"/>
    <n v="1.8767194747924805"/>
    <n v="4.290524959564209"/>
    <n v="0.30356889963150024"/>
    <n v="0.57191455364227295"/>
    <n v="0.1245165541768074"/>
    <n v="0.61568719148635864"/>
  </r>
  <r>
    <x v="8"/>
    <x v="0"/>
    <x v="1"/>
    <n v="0.66666668653488159"/>
    <n v="2"/>
    <n v="4"/>
    <n v="2"/>
    <n v="0.7844584584236145"/>
    <n v="2.1268625259399414"/>
    <n v="4.4648146629333496"/>
    <n v="0.31112614274024963"/>
    <n v="0.60173892974853516"/>
    <n v="8.7134905159473419E-2"/>
    <n v="0.79572957754135132"/>
  </r>
  <r>
    <x v="9"/>
    <x v="2"/>
    <x v="1"/>
    <n v="0.5"/>
    <n v="1"/>
    <n v="4"/>
    <m/>
    <n v="0.66438472270965576"/>
    <n v="1.4243855476379395"/>
    <n v="3.6441161632537842"/>
    <n v="0.18614588677883148"/>
    <n v="0.56630301475524902"/>
    <n v="0.24727636575698853"/>
    <n v="0.24362905323505402"/>
  </r>
  <r>
    <x v="10"/>
    <x v="1"/>
    <x v="1"/>
    <n v="0.60000002384185791"/>
    <n v="2"/>
    <n v="4"/>
    <m/>
    <n v="0.75089508295059204"/>
    <n v="1.6391969919204712"/>
    <n v="4.0061678886413574"/>
    <n v="0.26136940717697144"/>
    <n v="0.59236407279968262"/>
    <n v="0.14626653492450714"/>
    <n v="0.64510542154312134"/>
  </r>
  <r>
    <x v="11"/>
    <x v="0"/>
    <x v="1"/>
    <n v="0.66666668653488159"/>
    <n v="2"/>
    <n v="4"/>
    <n v="1.2000000476837158"/>
    <n v="0.78157681226730347"/>
    <n v="1.6914368867874146"/>
    <n v="4.0824122428894043"/>
    <n v="0.26822450757026672"/>
    <n v="0.59020978212356567"/>
    <n v="0.1415657103061676"/>
    <n v="0.57448416948318481"/>
  </r>
  <r>
    <x v="12"/>
    <x v="0"/>
    <x v="1"/>
    <n v="0.80000001192092896"/>
    <n v="1"/>
    <n v="4"/>
    <n v="1"/>
    <n v="0.87095910310745239"/>
    <n v="1.6724096536636353"/>
    <n v="4.0460615158081055"/>
    <n v="0.24550290405750275"/>
    <n v="0.58834272623062134"/>
    <n v="0.1661544144153595"/>
    <n v="0.63389033079147339"/>
  </r>
  <r>
    <x v="13"/>
    <x v="0"/>
    <x v="1"/>
    <n v="0.66666668653488159"/>
    <n v="2"/>
    <n v="4"/>
    <n v="1.3333333730697632"/>
    <n v="0.78608441352844238"/>
    <n v="1.6143094301223755"/>
    <n v="3.7894024848937988"/>
    <n v="0.2536487877368927"/>
    <n v="0.55815517902374268"/>
    <n v="0.18819603323936462"/>
    <n v="0.45700061321258545"/>
  </r>
  <r>
    <x v="14"/>
    <x v="0"/>
    <x v="1"/>
    <n v="1"/>
    <n v="2"/>
    <n v="4"/>
    <n v="1.3333333730697632"/>
    <n v="0.91962558031082153"/>
    <n v="1.8258029222488403"/>
    <n v="4.0128679275512695"/>
    <n v="0.31384915113449097"/>
    <n v="0.5454171895980835"/>
    <n v="0.14073365926742554"/>
    <n v="0.77302789688110352"/>
  </r>
  <r>
    <x v="15"/>
    <x v="1"/>
    <x v="1"/>
    <n v="0.5"/>
    <n v="1"/>
    <n v="4"/>
    <n v="1.5"/>
    <n v="0.70854419469833374"/>
    <n v="1.4708266258239746"/>
    <n v="3.5972776412963867"/>
    <n v="0.25972622632980347"/>
    <n v="0.61341387033462524"/>
    <n v="0.12685993313789368"/>
    <n v="0.44811722636222839"/>
  </r>
  <r>
    <x v="16"/>
    <x v="0"/>
    <x v="1"/>
    <n v="0.66666668653488159"/>
    <n v="2"/>
    <n v="4"/>
    <n v="1.25"/>
    <n v="0.78177362680435181"/>
    <n v="1.9371916055679321"/>
    <n v="3.9426536560058594"/>
    <n v="0.31361174583435059"/>
    <n v="0.62732857465744019"/>
    <n v="5.9059713035821915E-2"/>
    <n v="0.6350439190864563"/>
  </r>
  <r>
    <x v="17"/>
    <x v="2"/>
    <x v="1"/>
    <n v="0.5"/>
    <n v="1"/>
    <n v="3"/>
    <m/>
    <n v="0.56551182270050049"/>
    <n v="1.3224804401397705"/>
    <n v="3.3593721389770508"/>
    <n v="0.20173510909080505"/>
    <n v="0.67624098062515259"/>
    <n v="0.12202388048171997"/>
    <n v="0.30747604370117188"/>
  </r>
  <r>
    <x v="0"/>
    <x v="0"/>
    <x v="2"/>
    <n v="0.3333333432674408"/>
    <n v="1"/>
    <n v="3"/>
    <n v="1"/>
    <n v="0.48700961470603943"/>
    <n v="1.0160316228866577"/>
    <n v="2.8005228042602539"/>
    <n v="0.14176635444164276"/>
    <n v="0.65025854110717773"/>
    <n v="0.2079751044511795"/>
    <n v="0.15525682270526886"/>
  </r>
  <r>
    <x v="1"/>
    <x v="0"/>
    <x v="2"/>
    <n v="0.5"/>
    <n v="1"/>
    <n v="3"/>
    <n v="1"/>
    <n v="0.53924417495727539"/>
    <n v="1.3269363641738892"/>
    <n v="3.1547083854675293"/>
    <n v="0.19002939760684967"/>
    <n v="0.67787975072860718"/>
    <n v="0.13209083676338196"/>
    <n v="0.26803174614906311"/>
  </r>
  <r>
    <x v="2"/>
    <x v="0"/>
    <x v="2"/>
    <n v="0"/>
    <n v="1"/>
    <n v="3"/>
    <m/>
    <n v="0.38622787594795227"/>
    <n v="0.77709269523620605"/>
    <n v="2.6869630813598633"/>
    <n v="0.10924495756626129"/>
    <n v="0.71059948205947876"/>
    <n v="0.18015559017658234"/>
    <n v="0.13637934625148773"/>
  </r>
  <r>
    <x v="3"/>
    <x v="0"/>
    <x v="2"/>
    <n v="0.25"/>
    <n v="1"/>
    <n v="3"/>
    <m/>
    <n v="0.44863513112068176"/>
    <n v="0.92542648315429688"/>
    <n v="2.7988085746765137"/>
    <n v="0.12477672100067139"/>
    <n v="0.68650734424591064"/>
    <n v="0.18871593475341797"/>
    <n v="0.16603094339370728"/>
  </r>
  <r>
    <x v="4"/>
    <x v="0"/>
    <x v="2"/>
    <n v="0"/>
    <n v="1"/>
    <n v="3"/>
    <n v="0.75"/>
    <n v="0.38946059346199036"/>
    <n v="0.8449249267578125"/>
    <n v="2.6922895908355713"/>
    <n v="0.12147865444421768"/>
    <n v="0.73523533344268799"/>
    <n v="0.14328600466251373"/>
    <n v="0.17590400576591492"/>
  </r>
  <r>
    <x v="5"/>
    <x v="1"/>
    <x v="2"/>
    <n v="0.20000000298023224"/>
    <n v="1"/>
    <n v="3"/>
    <n v="0.57142859697341919"/>
    <n v="0.41468262672424316"/>
    <n v="0.95054608583450317"/>
    <n v="2.8035752773284912"/>
    <n v="0.10146980732679367"/>
    <n v="0.69130247831344604"/>
    <n v="0.20722773671150208"/>
    <n v="0.13126921653747559"/>
  </r>
  <r>
    <x v="6"/>
    <x v="0"/>
    <x v="2"/>
    <n v="0.3333333432674408"/>
    <n v="1"/>
    <n v="3"/>
    <n v="1"/>
    <n v="0.48181271553039551"/>
    <n v="0.96454203128814697"/>
    <n v="2.7876558303833008"/>
    <n v="0.15026675164699554"/>
    <n v="0.68915677070617676"/>
    <n v="0.16057652235031128"/>
    <n v="0.20837680995464325"/>
  </r>
  <r>
    <x v="7"/>
    <x v="1"/>
    <x v="2"/>
    <n v="0.3333333432674408"/>
    <n v="1"/>
    <n v="3"/>
    <n v="1"/>
    <n v="0.51442444324493408"/>
    <n v="1.1930426359176636"/>
    <n v="3.2180321216583252"/>
    <n v="0.160347580909729"/>
    <n v="0.65611088275909424"/>
    <n v="0.18354152143001556"/>
    <n v="0.21926552057266235"/>
  </r>
  <r>
    <x v="8"/>
    <x v="0"/>
    <x v="2"/>
    <n v="0.3333333432674408"/>
    <n v="1"/>
    <n v="3"/>
    <n v="1.3333333730697632"/>
    <n v="0.48896774649620056"/>
    <n v="1.4606224298477173"/>
    <n v="3.5337917804718018"/>
    <n v="0.1785094290971756"/>
    <n v="0.72495633363723755"/>
    <n v="9.6534229815006256E-2"/>
    <n v="0.28849267959594727"/>
  </r>
  <r>
    <x v="9"/>
    <x v="2"/>
    <x v="2"/>
    <n v="0.25"/>
    <n v="1"/>
    <n v="3"/>
    <m/>
    <n v="0.46327108144760132"/>
    <n v="1.0657540559768677"/>
    <n v="3.0955984592437744"/>
    <n v="0.11214753985404968"/>
    <n v="0.68383646011352539"/>
    <n v="0.20401598513126373"/>
    <n v="0.24765804409980774"/>
  </r>
  <r>
    <x v="10"/>
    <x v="1"/>
    <x v="2"/>
    <n v="0.3333333432674408"/>
    <n v="1"/>
    <n v="3"/>
    <m/>
    <n v="0.51708048582077026"/>
    <n v="1.2343181371688843"/>
    <n v="3.3603312969207764"/>
    <n v="0.16584372520446777"/>
    <n v="0.69448387622833252"/>
    <n v="0.13967239856719971"/>
    <n v="0.38419845700263977"/>
  </r>
  <r>
    <x v="11"/>
    <x v="0"/>
    <x v="2"/>
    <n v="0.25"/>
    <n v="1"/>
    <n v="3"/>
    <n v="0.75"/>
    <n v="0.43511372804641724"/>
    <n v="1.174940824508667"/>
    <n v="3.1993331909179688"/>
    <n v="0.14428281784057617"/>
    <n v="0.71883457899093628"/>
    <n v="0.13688258826732635"/>
    <n v="0.24828632175922394"/>
  </r>
  <r>
    <x v="12"/>
    <x v="0"/>
    <x v="2"/>
    <n v="0.3333333432674408"/>
    <n v="1"/>
    <n v="3"/>
    <n v="0.75"/>
    <n v="0.50249689817428589"/>
    <n v="1.1063799858093262"/>
    <n v="3.20188307762146"/>
    <n v="0.1336323469877243"/>
    <n v="0.6671898365020752"/>
    <n v="0.1991778165102005"/>
    <n v="0.28587624430656433"/>
  </r>
  <r>
    <x v="13"/>
    <x v="0"/>
    <x v="2"/>
    <n v="0.3333333432674408"/>
    <n v="1"/>
    <n v="3"/>
    <n v="1"/>
    <n v="0.49133250117301941"/>
    <n v="1.2744314670562744"/>
    <n v="3.2826368808746338"/>
    <n v="0.15374182164669037"/>
    <n v="0.67984533309936523"/>
    <n v="0.16641286015510559"/>
    <n v="0.25506788492202759"/>
  </r>
  <r>
    <x v="14"/>
    <x v="0"/>
    <x v="2"/>
    <n v="0.3333333432674408"/>
    <n v="1"/>
    <n v="3"/>
    <n v="1"/>
    <n v="0.48167502880096436"/>
    <n v="1.3523354530334473"/>
    <n v="3.5251972675323486"/>
    <n v="0.18765231966972351"/>
    <n v="0.71620601415634155"/>
    <n v="9.6141651272773743E-2"/>
    <n v="0.53357613086700439"/>
  </r>
  <r>
    <x v="15"/>
    <x v="1"/>
    <x v="2"/>
    <n v="0.3333333432674408"/>
    <n v="1"/>
    <n v="3"/>
    <n v="1"/>
    <n v="0.42487022280693054"/>
    <n v="1.084513783454895"/>
    <n v="3.0394141674041748"/>
    <n v="0.1404636949300766"/>
    <n v="0.72856396436691284"/>
    <n v="0.13097234070301056"/>
    <n v="0.23468850553035736"/>
  </r>
  <r>
    <x v="16"/>
    <x v="0"/>
    <x v="2"/>
    <n v="0.3333333432674408"/>
    <n v="1"/>
    <n v="2"/>
    <n v="0.75"/>
    <n v="0.44557133316993713"/>
    <n v="0.8609277606010437"/>
    <n v="2.6780471801757813"/>
    <n v="0.11509475857019424"/>
    <n v="0.63943195343017578"/>
    <n v="0.24547329545021057"/>
    <n v="0.1007654070854187"/>
  </r>
  <r>
    <x v="17"/>
    <x v="2"/>
    <x v="2"/>
    <n v="0.25"/>
    <n v="1"/>
    <n v="3"/>
    <m/>
    <n v="0.4307340681552887"/>
    <n v="0.96795457601547241"/>
    <n v="2.8649015426635742"/>
    <n v="0.15052959322929382"/>
    <n v="0.74115836620330811"/>
    <n v="0.10831203311681747"/>
    <n v="0.24516910314559937"/>
  </r>
  <r>
    <x v="0"/>
    <x v="0"/>
    <x v="3"/>
    <n v="0.5"/>
    <n v="2"/>
    <n v="4"/>
    <n v="1.5"/>
    <n v="0.7943684458732605"/>
    <n v="2.0677845478057861"/>
    <n v="4.2707672119140625"/>
    <n v="0.30808144807815552"/>
    <n v="0.64385342597961426"/>
    <n v="4.8065122216939926E-2"/>
    <n v="0.8166157603263855"/>
  </r>
  <r>
    <x v="1"/>
    <x v="0"/>
    <x v="3"/>
    <n v="0.80000001192092896"/>
    <n v="2"/>
    <n v="4"/>
    <n v="1.6666666269302368"/>
    <n v="0.9449426531791687"/>
    <n v="2.0042812824249268"/>
    <n v="3.9267528057098389"/>
    <n v="0.30361038446426392"/>
    <n v="0.53793108463287354"/>
    <n v="0.15845851600170135"/>
    <n v="0.38786536455154419"/>
  </r>
  <r>
    <x v="2"/>
    <x v="0"/>
    <x v="3"/>
    <n v="0.5"/>
    <n v="1"/>
    <n v="4"/>
    <m/>
    <n v="0.68727582693099976"/>
    <n v="1.5572652816772461"/>
    <n v="3.6325733661651611"/>
    <n v="0.28547462821006775"/>
    <n v="0.67079812288284302"/>
    <n v="4.3727260082960129E-2"/>
    <n v="0.63507080078125"/>
  </r>
  <r>
    <x v="3"/>
    <x v="0"/>
    <x v="3"/>
    <n v="0.5"/>
    <n v="1"/>
    <n v="3"/>
    <m/>
    <n v="0.67610210180282593"/>
    <n v="1.5085904598236084"/>
    <n v="3.4238862991333008"/>
    <n v="0.23545335233211517"/>
    <n v="0.67365026473999023"/>
    <n v="9.0896375477313995E-2"/>
    <n v="0.41358190774917603"/>
  </r>
  <r>
    <x v="4"/>
    <x v="0"/>
    <x v="3"/>
    <n v="0.5"/>
    <n v="1"/>
    <n v="3"/>
    <n v="1"/>
    <n v="0.75000035762786865"/>
    <n v="1.4532618522644043"/>
    <n v="3.5065286159515381"/>
    <n v="0.25692093372344971"/>
    <n v="0.59960293769836426"/>
    <n v="0.14347614347934723"/>
    <n v="0.39419177174568176"/>
  </r>
  <r>
    <x v="5"/>
    <x v="1"/>
    <x v="3"/>
    <n v="0.66666668653488159"/>
    <n v="1"/>
    <n v="3"/>
    <n v="0.80000001192092896"/>
    <n v="0.80052059888839722"/>
    <n v="1.6083559989929199"/>
    <n v="3.6168441772460938"/>
    <n v="0.24807363748550415"/>
    <n v="0.609142005443573"/>
    <n v="0.14278435707092285"/>
    <n v="0.40171414613723755"/>
  </r>
  <r>
    <x v="6"/>
    <x v="0"/>
    <x v="3"/>
    <n v="1"/>
    <n v="1"/>
    <n v="4"/>
    <n v="1.25"/>
    <n v="0.98691755533218384"/>
    <n v="1.5763278007507324"/>
    <n v="3.6912703514099121"/>
    <n v="0.31023943424224854"/>
    <n v="0.54714137315750122"/>
    <n v="0.14261919260025024"/>
    <n v="0.5129353404045105"/>
  </r>
  <r>
    <x v="7"/>
    <x v="1"/>
    <x v="3"/>
    <n v="1"/>
    <n v="2"/>
    <n v="4"/>
    <n v="1.5"/>
    <n v="1.0320941209793091"/>
    <n v="2.1796419620513916"/>
    <n v="4.5949063301086426"/>
    <n v="0.34153524041175842"/>
    <n v="0.54144585132598877"/>
    <n v="0.1170189157128334"/>
    <n v="0.64044207334518433"/>
  </r>
  <r>
    <x v="8"/>
    <x v="0"/>
    <x v="3"/>
    <n v="1"/>
    <n v="2"/>
    <n v="4"/>
    <n v="2"/>
    <n v="0.95710331201553345"/>
    <n v="2.2261233329772949"/>
    <n v="4.6166272163391113"/>
    <n v="0.33307841420173645"/>
    <n v="0.55586034059524536"/>
    <n v="0.11106125265359879"/>
    <n v="0.836220383644104"/>
  </r>
  <r>
    <x v="9"/>
    <x v="2"/>
    <x v="3"/>
    <n v="0.5"/>
    <n v="1"/>
    <n v="4"/>
    <m/>
    <n v="0.69436550140380859"/>
    <n v="1.6591922044754028"/>
    <n v="4.0113868713378906"/>
    <n v="0.21837696433067322"/>
    <n v="0.62287133932113647"/>
    <n v="0.15861625969409943"/>
    <n v="0.43432199954986572"/>
  </r>
  <r>
    <x v="10"/>
    <x v="1"/>
    <x v="3"/>
    <n v="0.66666668653488159"/>
    <n v="2"/>
    <n v="4"/>
    <m/>
    <n v="0.86216294765472412"/>
    <n v="1.7258658409118652"/>
    <n v="4.168121337890625"/>
    <n v="0.28476765751838684"/>
    <n v="0.56912779808044434"/>
    <n v="0.14610454440116882"/>
    <n v="0.72623276710510254"/>
  </r>
  <r>
    <x v="11"/>
    <x v="0"/>
    <x v="3"/>
    <n v="0.66666668653488159"/>
    <n v="2"/>
    <n v="4"/>
    <n v="1.25"/>
    <n v="0.84397870302200317"/>
    <n v="1.7043089866638184"/>
    <n v="4.0872721672058105"/>
    <n v="0.27095487713813782"/>
    <n v="0.56206279993057251"/>
    <n v="0.16698230803012848"/>
    <n v="0.55543941259384155"/>
  </r>
  <r>
    <x v="12"/>
    <x v="0"/>
    <x v="3"/>
    <n v="0.75"/>
    <n v="2"/>
    <n v="4"/>
    <n v="1.25"/>
    <n v="0.90096604824066162"/>
    <n v="1.9061472415924072"/>
    <n v="4.4131855964660645"/>
    <n v="0.27549093961715698"/>
    <n v="0.58836191892623901"/>
    <n v="0.13614718616008759"/>
    <n v="0.78931963443756104"/>
  </r>
  <r>
    <x v="13"/>
    <x v="0"/>
    <x v="3"/>
    <n v="0.66666668653488159"/>
    <n v="2"/>
    <n v="4"/>
    <n v="1.3333333730697632"/>
    <n v="0.82720893621444702"/>
    <n v="1.681637167930603"/>
    <n v="3.8634881973266602"/>
    <n v="0.26432698965072632"/>
    <n v="0.55416083335876465"/>
    <n v="0.18151220679283142"/>
    <n v="0.47470849752426147"/>
  </r>
  <r>
    <x v="14"/>
    <x v="0"/>
    <x v="3"/>
    <n v="1"/>
    <n v="2"/>
    <n v="4"/>
    <n v="1.3333333730697632"/>
    <n v="0.94396013021469116"/>
    <n v="1.8618322610855103"/>
    <n v="4.0294985771179199"/>
    <n v="0.32651019096374512"/>
    <n v="0.5604473352432251"/>
    <n v="0.11304249614477158"/>
    <n v="0.7562708854675293"/>
  </r>
  <r>
    <x v="15"/>
    <x v="1"/>
    <x v="3"/>
    <n v="0.5"/>
    <n v="1"/>
    <n v="3"/>
    <n v="1.3333333730697632"/>
    <n v="0.74950999021530151"/>
    <n v="1.3993918895721436"/>
    <n v="3.4796774387359619"/>
    <n v="0.25213754177093506"/>
    <n v="0.59298104047775269"/>
    <n v="0.15488140285015106"/>
    <n v="0.43642967939376831"/>
  </r>
  <r>
    <x v="16"/>
    <x v="0"/>
    <x v="3"/>
    <n v="0.66666668653488159"/>
    <n v="2"/>
    <n v="4"/>
    <n v="1.3333333730697632"/>
    <n v="0.87021231651306152"/>
    <n v="2.1080443859100342"/>
    <n v="4.1076641082763672"/>
    <n v="0.3424035906791687"/>
    <n v="0.60807621479034424"/>
    <n v="4.9520190805196762E-2"/>
    <n v="0.77660328149795532"/>
  </r>
  <r>
    <x v="17"/>
    <x v="2"/>
    <x v="3"/>
    <n v="0.5"/>
    <n v="1"/>
    <n v="3"/>
    <m/>
    <n v="0.65883976221084595"/>
    <n v="1.3837772607803345"/>
    <n v="3.4661741256713867"/>
    <n v="0.22497119009494781"/>
    <n v="0.64438241720199585"/>
    <n v="0.13064642250537872"/>
    <n v="0.388977974653244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54CDCF-C3F4-4416-A521-A2B52F648CED}"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30" firstHeaderRow="0" firstDataRow="1" firstDataCol="1" rowPageCount="1" colPageCount="1"/>
  <pivotFields count="9">
    <pivotField axis="axisRow" showAll="0">
      <items count="268">
        <item x="14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66"/>
        <item x="247"/>
        <item x="248"/>
        <item x="249"/>
        <item x="250"/>
        <item x="251"/>
        <item x="252"/>
        <item x="253"/>
        <item x="254"/>
        <item x="255"/>
        <item x="256"/>
        <item x="257"/>
        <item x="258"/>
        <item x="259"/>
        <item x="260"/>
        <item x="261"/>
        <item x="262"/>
        <item x="263"/>
        <item x="264"/>
        <item x="265"/>
        <item x="0"/>
        <item t="default"/>
      </items>
    </pivotField>
    <pivotField showAll="0"/>
    <pivotField showAll="0"/>
    <pivotField axis="axisPage" multipleItemSelectionAllowed="1" showAll="0">
      <items count="5">
        <item h="1" x="1"/>
        <item h="1" x="0"/>
        <item x="2"/>
        <item h="1" x="3"/>
        <item t="default"/>
      </items>
    </pivotField>
    <pivotField showAll="0"/>
    <pivotField showAll="0"/>
    <pivotField dataField="1" showAll="0"/>
    <pivotField dataField="1" showAll="0">
      <items count="220">
        <item x="199"/>
        <item x="148"/>
        <item x="155"/>
        <item x="208"/>
        <item x="120"/>
        <item x="72"/>
        <item x="175"/>
        <item x="122"/>
        <item x="113"/>
        <item x="127"/>
        <item x="185"/>
        <item x="10"/>
        <item x="188"/>
        <item x="105"/>
        <item x="134"/>
        <item x="66"/>
        <item x="79"/>
        <item x="26"/>
        <item x="48"/>
        <item x="53"/>
        <item x="6"/>
        <item x="89"/>
        <item x="11"/>
        <item x="209"/>
        <item x="206"/>
        <item x="1"/>
        <item x="195"/>
        <item x="186"/>
        <item x="67"/>
        <item x="78"/>
        <item x="104"/>
        <item x="81"/>
        <item x="112"/>
        <item x="47"/>
        <item x="212"/>
        <item x="179"/>
        <item x="29"/>
        <item x="141"/>
        <item x="163"/>
        <item x="211"/>
        <item x="94"/>
        <item x="25"/>
        <item x="22"/>
        <item x="30"/>
        <item x="125"/>
        <item x="130"/>
        <item x="44"/>
        <item x="180"/>
        <item x="132"/>
        <item x="117"/>
        <item x="119"/>
        <item x="172"/>
        <item x="31"/>
        <item x="82"/>
        <item x="43"/>
        <item x="64"/>
        <item x="52"/>
        <item x="184"/>
        <item x="49"/>
        <item x="137"/>
        <item x="61"/>
        <item x="194"/>
        <item x="21"/>
        <item x="196"/>
        <item x="213"/>
        <item x="76"/>
        <item x="118"/>
        <item x="128"/>
        <item x="75"/>
        <item x="182"/>
        <item x="115"/>
        <item x="68"/>
        <item x="140"/>
        <item x="32"/>
        <item x="164"/>
        <item x="74"/>
        <item x="116"/>
        <item x="9"/>
        <item x="97"/>
        <item x="5"/>
        <item x="23"/>
        <item x="158"/>
        <item x="123"/>
        <item x="133"/>
        <item x="203"/>
        <item x="59"/>
        <item x="70"/>
        <item x="85"/>
        <item x="107"/>
        <item x="152"/>
        <item x="150"/>
        <item x="136"/>
        <item x="91"/>
        <item x="45"/>
        <item x="149"/>
        <item x="162"/>
        <item x="110"/>
        <item x="146"/>
        <item x="109"/>
        <item x="63"/>
        <item x="33"/>
        <item x="181"/>
        <item x="54"/>
        <item x="41"/>
        <item x="171"/>
        <item x="174"/>
        <item x="193"/>
        <item x="102"/>
        <item x="161"/>
        <item x="20"/>
        <item x="111"/>
        <item x="144"/>
        <item x="177"/>
        <item x="83"/>
        <item x="108"/>
        <item x="173"/>
        <item x="35"/>
        <item x="190"/>
        <item x="13"/>
        <item x="95"/>
        <item x="7"/>
        <item x="24"/>
        <item x="192"/>
        <item x="87"/>
        <item x="156"/>
        <item x="160"/>
        <item x="14"/>
        <item x="77"/>
        <item x="84"/>
        <item x="50"/>
        <item x="183"/>
        <item x="178"/>
        <item x="46"/>
        <item x="55"/>
        <item x="98"/>
        <item x="86"/>
        <item x="16"/>
        <item x="27"/>
        <item x="197"/>
        <item x="15"/>
        <item x="17"/>
        <item x="167"/>
        <item x="73"/>
        <item x="217"/>
        <item x="103"/>
        <item x="170"/>
        <item x="145"/>
        <item x="176"/>
        <item x="189"/>
        <item x="80"/>
        <item x="57"/>
        <item x="100"/>
        <item x="36"/>
        <item x="165"/>
        <item x="216"/>
        <item x="138"/>
        <item x="114"/>
        <item x="187"/>
        <item x="129"/>
        <item x="18"/>
        <item x="218"/>
        <item x="159"/>
        <item x="12"/>
        <item x="142"/>
        <item x="39"/>
        <item x="38"/>
        <item x="207"/>
        <item x="124"/>
        <item x="147"/>
        <item x="135"/>
        <item x="71"/>
        <item x="214"/>
        <item x="139"/>
        <item x="153"/>
        <item x="205"/>
        <item x="4"/>
        <item x="168"/>
        <item x="121"/>
        <item x="34"/>
        <item x="202"/>
        <item x="157"/>
        <item x="3"/>
        <item x="93"/>
        <item x="56"/>
        <item x="8"/>
        <item x="169"/>
        <item x="201"/>
        <item x="60"/>
        <item x="106"/>
        <item x="42"/>
        <item x="101"/>
        <item x="131"/>
        <item x="96"/>
        <item x="215"/>
        <item x="65"/>
        <item x="200"/>
        <item x="69"/>
        <item x="191"/>
        <item x="51"/>
        <item x="198"/>
        <item x="92"/>
        <item x="210"/>
        <item x="40"/>
        <item x="58"/>
        <item x="154"/>
        <item x="62"/>
        <item x="99"/>
        <item x="126"/>
        <item x="166"/>
        <item x="19"/>
        <item x="28"/>
        <item x="143"/>
        <item x="151"/>
        <item x="88"/>
        <item x="204"/>
        <item x="90"/>
        <item x="37"/>
        <item x="2"/>
        <item x="0"/>
        <item t="default"/>
      </items>
    </pivotField>
    <pivotField dataField="1" showAll="0"/>
  </pivotFields>
  <rowFields count="1">
    <field x="0"/>
  </rowFields>
  <rowItems count="27">
    <i>
      <x v="10"/>
    </i>
    <i>
      <x v="24"/>
    </i>
    <i>
      <x v="27"/>
    </i>
    <i>
      <x v="29"/>
    </i>
    <i>
      <x v="30"/>
    </i>
    <i>
      <x v="31"/>
    </i>
    <i>
      <x v="40"/>
    </i>
    <i>
      <x v="46"/>
    </i>
    <i>
      <x v="49"/>
    </i>
    <i>
      <x v="60"/>
    </i>
    <i>
      <x v="67"/>
    </i>
    <i>
      <x v="93"/>
    </i>
    <i>
      <x v="95"/>
    </i>
    <i>
      <x v="98"/>
    </i>
    <i>
      <x v="101"/>
    </i>
    <i>
      <x v="118"/>
    </i>
    <i>
      <x v="154"/>
    </i>
    <i>
      <x v="175"/>
    </i>
    <i>
      <x v="185"/>
    </i>
    <i>
      <x v="186"/>
    </i>
    <i>
      <x v="195"/>
    </i>
    <i>
      <x v="211"/>
    </i>
    <i>
      <x v="220"/>
    </i>
    <i>
      <x v="242"/>
    </i>
    <i>
      <x v="251"/>
    </i>
    <i>
      <x v="255"/>
    </i>
    <i t="grand">
      <x/>
    </i>
  </rowItems>
  <colFields count="1">
    <field x="-2"/>
  </colFields>
  <colItems count="3">
    <i>
      <x/>
    </i>
    <i i="1">
      <x v="1"/>
    </i>
    <i i="2">
      <x v="2"/>
    </i>
  </colItems>
  <pageFields count="1">
    <pageField fld="3" hier="-1"/>
  </pageFields>
  <dataFields count="3">
    <dataField name="Sum of POP2021UN" fld="6" baseField="0" baseItem="0"/>
    <dataField name="Sum of POP2022UN" fld="7" baseField="0" baseItem="0"/>
    <dataField name="Sum of POP2023UN" fld="8" baseField="0" baseItem="0"/>
  </dataFields>
  <formats count="1">
    <format dxfId="186">
      <pivotArea collapsedLevelsAreSubtotals="1" fieldPosition="0">
        <references count="1">
          <reference field="0" count="26">
            <x v="10"/>
            <x v="24"/>
            <x v="27"/>
            <x v="29"/>
            <x v="30"/>
            <x v="31"/>
            <x v="40"/>
            <x v="46"/>
            <x v="49"/>
            <x v="60"/>
            <x v="67"/>
            <x v="93"/>
            <x v="95"/>
            <x v="98"/>
            <x v="101"/>
            <x v="118"/>
            <x v="154"/>
            <x v="175"/>
            <x v="185"/>
            <x v="186"/>
            <x v="195"/>
            <x v="211"/>
            <x v="220"/>
            <x v="242"/>
            <x v="251"/>
            <x v="25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3F122A-D23C-4203-BA11-D7F8290BCE3B}" name="PivotTable6" cacheId="8"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chartFormat="6">
  <location ref="AL13:AV33" firstHeaderRow="1" firstDataRow="3" firstDataCol="2"/>
  <pivotFields count="14">
    <pivotField axis="axisRow" compact="0" outline="0" showAll="0" defaultSubtotal="0">
      <items count="18">
        <item x="0"/>
        <item x="1"/>
        <item x="2"/>
        <item x="3"/>
        <item x="4"/>
        <item x="5"/>
        <item x="6"/>
        <item x="7"/>
        <item x="8"/>
        <item x="9"/>
        <item x="10"/>
        <item x="11"/>
        <item x="12"/>
        <item x="13"/>
        <item x="14"/>
        <item x="15"/>
        <item x="16"/>
        <item x="17"/>
      </items>
    </pivotField>
    <pivotField axis="axisRow" compact="0" numFmtId="1" outline="0" showAll="0" defaultSubtotal="0">
      <items count="3">
        <item x="2"/>
        <item x="0"/>
        <item x="1"/>
      </items>
    </pivotField>
    <pivotField axis="axisCol" compact="0" numFmtId="1" outline="0" showAll="0" defaultSubtotal="0">
      <items count="4">
        <item x="0"/>
        <item x="1"/>
        <item x="2"/>
        <item h="1" x="3"/>
      </items>
    </pivotField>
    <pivotField compact="0" numFmtId="1" outline="0" showAll="0" defaultSubtotal="0"/>
    <pivotField compact="0" numFmtId="1" outline="0" showAll="0" defaultSubtotal="0"/>
    <pivotField compact="0" numFmtId="1" outline="0" showAll="0" defaultSubtotal="0"/>
    <pivotField compact="0" outline="0" subtotalTop="0" showAll="0" defaultSubtotal="0"/>
    <pivotField compact="0" numFmtId="1" outline="0" showAll="0" defaultSubtotal="0"/>
    <pivotField compact="0" numFmtId="1" outline="0" showAll="0" defaultSubtotal="0"/>
    <pivotField compact="0" numFmtId="1" outline="0" showAll="0" defaultSubtotal="0"/>
    <pivotField dataField="1" compact="0" numFmtId="1" outline="0" showAll="0" defaultSubtotal="0"/>
    <pivotField dataField="1" compact="0" numFmtId="1" outline="0" showAll="0" defaultSubtotal="0"/>
    <pivotField dataField="1" compact="0" numFmtId="1" outline="0" showAll="0" defaultSubtotal="0"/>
    <pivotField compact="0" numFmtId="1" outline="0" showAll="0" defaultSubtotal="0"/>
  </pivotFields>
  <rowFields count="2">
    <field x="0"/>
    <field x="1"/>
  </rowFields>
  <rowItems count="18">
    <i>
      <x/>
      <x v="1"/>
    </i>
    <i>
      <x v="1"/>
      <x v="1"/>
    </i>
    <i>
      <x v="2"/>
      <x v="1"/>
    </i>
    <i>
      <x v="3"/>
      <x v="1"/>
    </i>
    <i>
      <x v="4"/>
      <x v="1"/>
    </i>
    <i>
      <x v="5"/>
      <x v="2"/>
    </i>
    <i>
      <x v="6"/>
      <x v="1"/>
    </i>
    <i>
      <x v="7"/>
      <x v="2"/>
    </i>
    <i>
      <x v="8"/>
      <x v="1"/>
    </i>
    <i>
      <x v="9"/>
      <x/>
    </i>
    <i>
      <x v="10"/>
      <x v="2"/>
    </i>
    <i>
      <x v="11"/>
      <x v="1"/>
    </i>
    <i>
      <x v="12"/>
      <x v="1"/>
    </i>
    <i>
      <x v="13"/>
      <x v="1"/>
    </i>
    <i>
      <x v="14"/>
      <x v="1"/>
    </i>
    <i>
      <x v="15"/>
      <x v="2"/>
    </i>
    <i>
      <x v="16"/>
      <x v="1"/>
    </i>
    <i>
      <x v="17"/>
      <x/>
    </i>
  </rowItems>
  <colFields count="2">
    <field x="2"/>
    <field x="-2"/>
  </colFields>
  <colItems count="9">
    <i>
      <x/>
      <x/>
    </i>
    <i r="1" i="1">
      <x v="1"/>
    </i>
    <i r="1" i="2">
      <x v="2"/>
    </i>
    <i>
      <x v="1"/>
      <x/>
    </i>
    <i r="1" i="1">
      <x v="1"/>
    </i>
    <i r="1" i="2">
      <x v="2"/>
    </i>
    <i>
      <x v="2"/>
      <x/>
    </i>
    <i r="1" i="1">
      <x v="1"/>
    </i>
    <i r="1" i="2">
      <x v="2"/>
    </i>
  </colItems>
  <dataFields count="3">
    <dataField name="Sum of ratio_edad_00_14" fld="10" baseField="0" baseItem="0"/>
    <dataField name="Sum of ratio_edad_15_64" fld="11" baseField="0" baseItem="0"/>
    <dataField name="Sum of ratio_65_mas" fld="12" baseField="0" baseItem="0"/>
  </dataFields>
  <formats count="71">
    <format dxfId="70">
      <pivotArea outline="0" collapsedLevelsAreSubtotals="1" fieldPosition="0"/>
    </format>
    <format dxfId="69">
      <pivotArea type="all" dataOnly="0" outline="0" fieldPosition="0"/>
    </format>
    <format dxfId="68">
      <pivotArea outline="0" collapsedLevelsAreSubtotals="1" fieldPosition="0"/>
    </format>
    <format dxfId="67">
      <pivotArea type="origin" dataOnly="0" labelOnly="1" outline="0" fieldPosition="0"/>
    </format>
    <format dxfId="66">
      <pivotArea field="2" type="button" dataOnly="0" labelOnly="1" outline="0" axis="axisCol" fieldPosition="0"/>
    </format>
    <format dxfId="65">
      <pivotArea field="-2" type="button" dataOnly="0" labelOnly="1" outline="0" axis="axisCol" fieldPosition="1"/>
    </format>
    <format dxfId="64">
      <pivotArea type="topRight" dataOnly="0" labelOnly="1" outline="0" fieldPosition="0"/>
    </format>
    <format dxfId="63">
      <pivotArea field="0" type="button" dataOnly="0" labelOnly="1" outline="0" axis="axisRow" fieldPosition="0"/>
    </format>
    <format dxfId="62">
      <pivotArea field="1" type="button" dataOnly="0" labelOnly="1" outline="0" axis="axisRow" fieldPosition="1"/>
    </format>
    <format dxfId="61">
      <pivotArea dataOnly="0" labelOnly="1" outline="0" fieldPosition="0">
        <references count="1">
          <reference field="0" count="0"/>
        </references>
      </pivotArea>
    </format>
    <format dxfId="60">
      <pivotArea dataOnly="0" labelOnly="1" outline="0" fieldPosition="0">
        <references count="2">
          <reference field="0" count="1" selected="0">
            <x v="0"/>
          </reference>
          <reference field="1" count="1">
            <x v="1"/>
          </reference>
        </references>
      </pivotArea>
    </format>
    <format dxfId="59">
      <pivotArea dataOnly="0" labelOnly="1" outline="0" fieldPosition="0">
        <references count="2">
          <reference field="0" count="1" selected="0">
            <x v="1"/>
          </reference>
          <reference field="1" count="1">
            <x v="1"/>
          </reference>
        </references>
      </pivotArea>
    </format>
    <format dxfId="58">
      <pivotArea dataOnly="0" labelOnly="1" outline="0" fieldPosition="0">
        <references count="2">
          <reference field="0" count="1" selected="0">
            <x v="2"/>
          </reference>
          <reference field="1" count="1">
            <x v="1"/>
          </reference>
        </references>
      </pivotArea>
    </format>
    <format dxfId="57">
      <pivotArea dataOnly="0" labelOnly="1" outline="0" fieldPosition="0">
        <references count="2">
          <reference field="0" count="1" selected="0">
            <x v="3"/>
          </reference>
          <reference field="1" count="1">
            <x v="1"/>
          </reference>
        </references>
      </pivotArea>
    </format>
    <format dxfId="56">
      <pivotArea dataOnly="0" labelOnly="1" outline="0" fieldPosition="0">
        <references count="2">
          <reference field="0" count="1" selected="0">
            <x v="4"/>
          </reference>
          <reference field="1" count="1">
            <x v="1"/>
          </reference>
        </references>
      </pivotArea>
    </format>
    <format dxfId="55">
      <pivotArea dataOnly="0" labelOnly="1" outline="0" fieldPosition="0">
        <references count="2">
          <reference field="0" count="1" selected="0">
            <x v="5"/>
          </reference>
          <reference field="1" count="1">
            <x v="2"/>
          </reference>
        </references>
      </pivotArea>
    </format>
    <format dxfId="54">
      <pivotArea dataOnly="0" labelOnly="1" outline="0" fieldPosition="0">
        <references count="2">
          <reference field="0" count="1" selected="0">
            <x v="6"/>
          </reference>
          <reference field="1" count="1">
            <x v="1"/>
          </reference>
        </references>
      </pivotArea>
    </format>
    <format dxfId="53">
      <pivotArea dataOnly="0" labelOnly="1" outline="0" fieldPosition="0">
        <references count="2">
          <reference field="0" count="1" selected="0">
            <x v="7"/>
          </reference>
          <reference field="1" count="1">
            <x v="2"/>
          </reference>
        </references>
      </pivotArea>
    </format>
    <format dxfId="52">
      <pivotArea dataOnly="0" labelOnly="1" outline="0" fieldPosition="0">
        <references count="2">
          <reference field="0" count="1" selected="0">
            <x v="8"/>
          </reference>
          <reference field="1" count="1">
            <x v="1"/>
          </reference>
        </references>
      </pivotArea>
    </format>
    <format dxfId="51">
      <pivotArea dataOnly="0" labelOnly="1" outline="0" fieldPosition="0">
        <references count="2">
          <reference field="0" count="1" selected="0">
            <x v="9"/>
          </reference>
          <reference field="1" count="1">
            <x v="0"/>
          </reference>
        </references>
      </pivotArea>
    </format>
    <format dxfId="50">
      <pivotArea dataOnly="0" labelOnly="1" outline="0" fieldPosition="0">
        <references count="2">
          <reference field="0" count="1" selected="0">
            <x v="10"/>
          </reference>
          <reference field="1" count="1">
            <x v="2"/>
          </reference>
        </references>
      </pivotArea>
    </format>
    <format dxfId="49">
      <pivotArea dataOnly="0" labelOnly="1" outline="0" fieldPosition="0">
        <references count="2">
          <reference field="0" count="1" selected="0">
            <x v="11"/>
          </reference>
          <reference field="1" count="1">
            <x v="1"/>
          </reference>
        </references>
      </pivotArea>
    </format>
    <format dxfId="48">
      <pivotArea dataOnly="0" labelOnly="1" outline="0" fieldPosition="0">
        <references count="2">
          <reference field="0" count="1" selected="0">
            <x v="12"/>
          </reference>
          <reference field="1" count="1">
            <x v="1"/>
          </reference>
        </references>
      </pivotArea>
    </format>
    <format dxfId="47">
      <pivotArea dataOnly="0" labelOnly="1" outline="0" fieldPosition="0">
        <references count="2">
          <reference field="0" count="1" selected="0">
            <x v="13"/>
          </reference>
          <reference field="1" count="1">
            <x v="1"/>
          </reference>
        </references>
      </pivotArea>
    </format>
    <format dxfId="46">
      <pivotArea dataOnly="0" labelOnly="1" outline="0" fieldPosition="0">
        <references count="2">
          <reference field="0" count="1" selected="0">
            <x v="14"/>
          </reference>
          <reference field="1" count="1">
            <x v="1"/>
          </reference>
        </references>
      </pivotArea>
    </format>
    <format dxfId="45">
      <pivotArea dataOnly="0" labelOnly="1" outline="0" fieldPosition="0">
        <references count="2">
          <reference field="0" count="1" selected="0">
            <x v="15"/>
          </reference>
          <reference field="1" count="1">
            <x v="2"/>
          </reference>
        </references>
      </pivotArea>
    </format>
    <format dxfId="44">
      <pivotArea dataOnly="0" labelOnly="1" outline="0" fieldPosition="0">
        <references count="2">
          <reference field="0" count="1" selected="0">
            <x v="16"/>
          </reference>
          <reference field="1" count="1">
            <x v="1"/>
          </reference>
        </references>
      </pivotArea>
    </format>
    <format dxfId="43">
      <pivotArea dataOnly="0" labelOnly="1" outline="0" fieldPosition="0">
        <references count="2">
          <reference field="0" count="1" selected="0">
            <x v="17"/>
          </reference>
          <reference field="1" count="1">
            <x v="0"/>
          </reference>
        </references>
      </pivotArea>
    </format>
    <format dxfId="42">
      <pivotArea dataOnly="0" labelOnly="1" outline="0" fieldPosition="0">
        <references count="1">
          <reference field="2" count="0"/>
        </references>
      </pivotArea>
    </format>
    <format dxfId="41">
      <pivotArea dataOnly="0" labelOnly="1" outline="0" fieldPosition="0">
        <references count="2">
          <reference field="4294967294" count="3">
            <x v="0"/>
            <x v="1"/>
            <x v="2"/>
          </reference>
          <reference field="2" count="1" selected="0">
            <x v="0"/>
          </reference>
        </references>
      </pivotArea>
    </format>
    <format dxfId="40">
      <pivotArea dataOnly="0" labelOnly="1" outline="0" fieldPosition="0">
        <references count="2">
          <reference field="4294967294" count="3">
            <x v="0"/>
            <x v="1"/>
            <x v="2"/>
          </reference>
          <reference field="2" count="1" selected="0">
            <x v="1"/>
          </reference>
        </references>
      </pivotArea>
    </format>
    <format dxfId="39">
      <pivotArea dataOnly="0" labelOnly="1" outline="0" fieldPosition="0">
        <references count="2">
          <reference field="4294967294" count="3">
            <x v="0"/>
            <x v="1"/>
            <x v="2"/>
          </reference>
          <reference field="2" count="1" selected="0">
            <x v="2"/>
          </reference>
        </references>
      </pivotArea>
    </format>
    <format dxfId="38">
      <pivotArea type="all" dataOnly="0" outline="0" fieldPosition="0"/>
    </format>
    <format dxfId="37">
      <pivotArea type="origin" dataOnly="0" labelOnly="1" outline="0" fieldPosition="0"/>
    </format>
    <format dxfId="36">
      <pivotArea field="2" type="button" dataOnly="0" labelOnly="1" outline="0" axis="axisCol" fieldPosition="0"/>
    </format>
    <format dxfId="35">
      <pivotArea field="-2" type="button" dataOnly="0" labelOnly="1" outline="0" axis="axisCol" fieldPosition="1"/>
    </format>
    <format dxfId="34">
      <pivotArea type="topRight" dataOnly="0" labelOnly="1" outline="0" fieldPosition="0"/>
    </format>
    <format dxfId="33">
      <pivotArea field="0" type="button" dataOnly="0" labelOnly="1" outline="0" axis="axisRow" fieldPosition="0"/>
    </format>
    <format dxfId="32">
      <pivotArea field="1" type="button" dataOnly="0" labelOnly="1" outline="0" axis="axisRow" fieldPosition="1"/>
    </format>
    <format dxfId="31">
      <pivotArea dataOnly="0" labelOnly="1" outline="0" fieldPosition="0">
        <references count="1">
          <reference field="0" count="0"/>
        </references>
      </pivotArea>
    </format>
    <format dxfId="30">
      <pivotArea dataOnly="0" labelOnly="1" outline="0" fieldPosition="0">
        <references count="2">
          <reference field="0" count="1" selected="0">
            <x v="0"/>
          </reference>
          <reference field="1" count="1">
            <x v="1"/>
          </reference>
        </references>
      </pivotArea>
    </format>
    <format dxfId="29">
      <pivotArea dataOnly="0" labelOnly="1" outline="0" fieldPosition="0">
        <references count="2">
          <reference field="0" count="1" selected="0">
            <x v="1"/>
          </reference>
          <reference field="1" count="1">
            <x v="1"/>
          </reference>
        </references>
      </pivotArea>
    </format>
    <format dxfId="28">
      <pivotArea dataOnly="0" labelOnly="1" outline="0" fieldPosition="0">
        <references count="2">
          <reference field="0" count="1" selected="0">
            <x v="2"/>
          </reference>
          <reference field="1" count="1">
            <x v="1"/>
          </reference>
        </references>
      </pivotArea>
    </format>
    <format dxfId="27">
      <pivotArea dataOnly="0" labelOnly="1" outline="0" fieldPosition="0">
        <references count="2">
          <reference field="0" count="1" selected="0">
            <x v="3"/>
          </reference>
          <reference field="1" count="1">
            <x v="1"/>
          </reference>
        </references>
      </pivotArea>
    </format>
    <format dxfId="26">
      <pivotArea dataOnly="0" labelOnly="1" outline="0" fieldPosition="0">
        <references count="2">
          <reference field="0" count="1" selected="0">
            <x v="4"/>
          </reference>
          <reference field="1" count="1">
            <x v="1"/>
          </reference>
        </references>
      </pivotArea>
    </format>
    <format dxfId="25">
      <pivotArea dataOnly="0" labelOnly="1" outline="0" fieldPosition="0">
        <references count="2">
          <reference field="0" count="1" selected="0">
            <x v="5"/>
          </reference>
          <reference field="1" count="1">
            <x v="2"/>
          </reference>
        </references>
      </pivotArea>
    </format>
    <format dxfId="24">
      <pivotArea dataOnly="0" labelOnly="1" outline="0" fieldPosition="0">
        <references count="2">
          <reference field="0" count="1" selected="0">
            <x v="6"/>
          </reference>
          <reference field="1" count="1">
            <x v="1"/>
          </reference>
        </references>
      </pivotArea>
    </format>
    <format dxfId="23">
      <pivotArea dataOnly="0" labelOnly="1" outline="0" fieldPosition="0">
        <references count="2">
          <reference field="0" count="1" selected="0">
            <x v="7"/>
          </reference>
          <reference field="1" count="1">
            <x v="2"/>
          </reference>
        </references>
      </pivotArea>
    </format>
    <format dxfId="22">
      <pivotArea dataOnly="0" labelOnly="1" outline="0" fieldPosition="0">
        <references count="2">
          <reference field="0" count="1" selected="0">
            <x v="8"/>
          </reference>
          <reference field="1" count="1">
            <x v="1"/>
          </reference>
        </references>
      </pivotArea>
    </format>
    <format dxfId="21">
      <pivotArea dataOnly="0" labelOnly="1" outline="0" fieldPosition="0">
        <references count="2">
          <reference field="0" count="1" selected="0">
            <x v="9"/>
          </reference>
          <reference field="1" count="1">
            <x v="0"/>
          </reference>
        </references>
      </pivotArea>
    </format>
    <format dxfId="20">
      <pivotArea dataOnly="0" labelOnly="1" outline="0" fieldPosition="0">
        <references count="2">
          <reference field="0" count="1" selected="0">
            <x v="10"/>
          </reference>
          <reference field="1" count="1">
            <x v="2"/>
          </reference>
        </references>
      </pivotArea>
    </format>
    <format dxfId="19">
      <pivotArea dataOnly="0" labelOnly="1" outline="0" fieldPosition="0">
        <references count="2">
          <reference field="0" count="1" selected="0">
            <x v="11"/>
          </reference>
          <reference field="1" count="1">
            <x v="1"/>
          </reference>
        </references>
      </pivotArea>
    </format>
    <format dxfId="18">
      <pivotArea dataOnly="0" labelOnly="1" outline="0" fieldPosition="0">
        <references count="2">
          <reference field="0" count="1" selected="0">
            <x v="12"/>
          </reference>
          <reference field="1" count="1">
            <x v="1"/>
          </reference>
        </references>
      </pivotArea>
    </format>
    <format dxfId="17">
      <pivotArea dataOnly="0" labelOnly="1" outline="0" fieldPosition="0">
        <references count="2">
          <reference field="0" count="1" selected="0">
            <x v="13"/>
          </reference>
          <reference field="1" count="1">
            <x v="1"/>
          </reference>
        </references>
      </pivotArea>
    </format>
    <format dxfId="16">
      <pivotArea dataOnly="0" labelOnly="1" outline="0" fieldPosition="0">
        <references count="2">
          <reference field="0" count="1" selected="0">
            <x v="14"/>
          </reference>
          <reference field="1" count="1">
            <x v="1"/>
          </reference>
        </references>
      </pivotArea>
    </format>
    <format dxfId="15">
      <pivotArea dataOnly="0" labelOnly="1" outline="0" fieldPosition="0">
        <references count="2">
          <reference field="0" count="1" selected="0">
            <x v="15"/>
          </reference>
          <reference field="1" count="1">
            <x v="2"/>
          </reference>
        </references>
      </pivotArea>
    </format>
    <format dxfId="14">
      <pivotArea dataOnly="0" labelOnly="1" outline="0" fieldPosition="0">
        <references count="2">
          <reference field="0" count="1" selected="0">
            <x v="16"/>
          </reference>
          <reference field="1" count="1">
            <x v="1"/>
          </reference>
        </references>
      </pivotArea>
    </format>
    <format dxfId="13">
      <pivotArea dataOnly="0" labelOnly="1" outline="0" fieldPosition="0">
        <references count="2">
          <reference field="0" count="1" selected="0">
            <x v="17"/>
          </reference>
          <reference field="1" count="1">
            <x v="0"/>
          </reference>
        </references>
      </pivotArea>
    </format>
    <format dxfId="12">
      <pivotArea dataOnly="0" labelOnly="1" outline="0" fieldPosition="0">
        <references count="1">
          <reference field="2" count="0"/>
        </references>
      </pivotArea>
    </format>
    <format dxfId="11">
      <pivotArea dataOnly="0" labelOnly="1" outline="0" fieldPosition="0">
        <references count="2">
          <reference field="4294967294" count="3">
            <x v="0"/>
            <x v="1"/>
            <x v="2"/>
          </reference>
          <reference field="2" count="1" selected="0">
            <x v="0"/>
          </reference>
        </references>
      </pivotArea>
    </format>
    <format dxfId="10">
      <pivotArea dataOnly="0" labelOnly="1" outline="0" fieldPosition="0">
        <references count="2">
          <reference field="4294967294" count="3">
            <x v="0"/>
            <x v="1"/>
            <x v="2"/>
          </reference>
          <reference field="2" count="1" selected="0">
            <x v="1"/>
          </reference>
        </references>
      </pivotArea>
    </format>
    <format dxfId="9">
      <pivotArea dataOnly="0" labelOnly="1" outline="0" fieldPosition="0">
        <references count="2">
          <reference field="4294967294" count="3">
            <x v="0"/>
            <x v="1"/>
            <x v="2"/>
          </reference>
          <reference field="2" count="1" selected="0">
            <x v="2"/>
          </reference>
        </references>
      </pivotArea>
    </format>
    <format dxfId="8">
      <pivotArea outline="0" fieldPosition="0">
        <references count="2">
          <reference field="4294967294" count="3" selected="0">
            <x v="0"/>
            <x v="1"/>
            <x v="2"/>
          </reference>
          <reference field="2" count="1" selected="0">
            <x v="1"/>
          </reference>
        </references>
      </pivotArea>
    </format>
    <format dxfId="7">
      <pivotArea type="topRight" dataOnly="0" labelOnly="1" outline="0" offset="B1:D1" fieldPosition="0"/>
    </format>
    <format dxfId="6">
      <pivotArea dataOnly="0" labelOnly="1" outline="0" fieldPosition="0">
        <references count="1">
          <reference field="2" count="1">
            <x v="1"/>
          </reference>
        </references>
      </pivotArea>
    </format>
    <format dxfId="5">
      <pivotArea dataOnly="0" labelOnly="1" outline="0" fieldPosition="0">
        <references count="2">
          <reference field="4294967294" count="3">
            <x v="0"/>
            <x v="1"/>
            <x v="2"/>
          </reference>
          <reference field="2" count="1" selected="0">
            <x v="1"/>
          </reference>
        </references>
      </pivotArea>
    </format>
    <format dxfId="4">
      <pivotArea outline="0" fieldPosition="0">
        <references count="1">
          <reference field="2" count="1" selected="0">
            <x v="2"/>
          </reference>
        </references>
      </pivotArea>
    </format>
    <format dxfId="3">
      <pivotArea type="topRight" dataOnly="0" labelOnly="1" outline="0" offset="E1:G1" fieldPosition="0"/>
    </format>
    <format dxfId="2">
      <pivotArea dataOnly="0" labelOnly="1" outline="0" fieldPosition="0">
        <references count="1">
          <reference field="2" count="1">
            <x v="2"/>
          </reference>
        </references>
      </pivotArea>
    </format>
    <format dxfId="1">
      <pivotArea dataOnly="0" labelOnly="1" outline="0" fieldPosition="0">
        <references count="2">
          <reference field="4294967294" count="3">
            <x v="0"/>
            <x v="1"/>
            <x v="2"/>
          </reference>
          <reference field="2" count="1" selected="0">
            <x v="2"/>
          </reference>
        </references>
      </pivotArea>
    </format>
    <format dxfId="0">
      <pivotArea outline="0" collapsedLevelsAreSubtotals="1"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CF240F-C92C-4BF3-9499-4B69C5467E58}" name="PivotTable5" cacheId="8"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R13:AI33" firstHeaderRow="1" firstDataRow="3" firstDataCol="2"/>
  <pivotFields count="14">
    <pivotField axis="axisRow" compact="0" outline="0" showAll="0" defaultSubtotal="0">
      <items count="18">
        <item x="0"/>
        <item x="1"/>
        <item x="2"/>
        <item x="3"/>
        <item x="4"/>
        <item x="5"/>
        <item x="6"/>
        <item x="7"/>
        <item x="8"/>
        <item x="9"/>
        <item x="10"/>
        <item x="11"/>
        <item x="12"/>
        <item x="13"/>
        <item x="14"/>
        <item x="15"/>
        <item x="16"/>
        <item x="17"/>
      </items>
    </pivotField>
    <pivotField axis="axisRow" compact="0" numFmtId="1" outline="0" showAll="0" defaultSubtotal="0">
      <items count="3">
        <item x="2"/>
        <item x="0"/>
        <item x="1"/>
      </items>
    </pivotField>
    <pivotField axis="axisCol" compact="0" numFmtId="1" outline="0" showAll="0" defaultSubtotal="0">
      <items count="4">
        <item x="0"/>
        <item x="1"/>
        <item x="2"/>
        <item x="3"/>
      </items>
    </pivotField>
    <pivotField compact="0" numFmtId="1" outline="0" showAll="0" defaultSubtotal="0"/>
    <pivotField compact="0" numFmtId="1" outline="0" showAll="0" defaultSubtotal="0"/>
    <pivotField compact="0" numFmtId="1" outline="0" showAll="0" defaultSubtotal="0"/>
    <pivotField compact="0" outline="0" subtotalTop="0" showAll="0" defaultSubtotal="0"/>
    <pivotField dataField="1" compact="0" numFmtId="1" outline="0" showAll="0" defaultSubtotal="0"/>
    <pivotField dataField="1" compact="0" numFmtId="1" outline="0" showAll="0" defaultSubtotal="0"/>
    <pivotField dataField="1" compact="0" numFmtId="1" outline="0" showAll="0" defaultSubtotal="0"/>
    <pivotField compact="0" numFmtId="1" outline="0" showAll="0" defaultSubtotal="0"/>
    <pivotField compact="0" numFmtId="1" outline="0" showAll="0" defaultSubtotal="0"/>
    <pivotField compact="0" numFmtId="1" outline="0" showAll="0" defaultSubtotal="0"/>
    <pivotField dataField="1" compact="0" numFmtId="1" outline="0" showAll="0" defaultSubtotal="0"/>
  </pivotFields>
  <rowFields count="2">
    <field x="0"/>
    <field x="1"/>
  </rowFields>
  <rowItems count="18">
    <i>
      <x/>
      <x v="1"/>
    </i>
    <i>
      <x v="1"/>
      <x v="1"/>
    </i>
    <i>
      <x v="2"/>
      <x v="1"/>
    </i>
    <i>
      <x v="3"/>
      <x v="1"/>
    </i>
    <i>
      <x v="4"/>
      <x v="1"/>
    </i>
    <i>
      <x v="5"/>
      <x v="2"/>
    </i>
    <i>
      <x v="6"/>
      <x v="1"/>
    </i>
    <i>
      <x v="7"/>
      <x v="2"/>
    </i>
    <i>
      <x v="8"/>
      <x v="1"/>
    </i>
    <i>
      <x v="9"/>
      <x/>
    </i>
    <i>
      <x v="10"/>
      <x v="2"/>
    </i>
    <i>
      <x v="11"/>
      <x v="1"/>
    </i>
    <i>
      <x v="12"/>
      <x v="1"/>
    </i>
    <i>
      <x v="13"/>
      <x v="1"/>
    </i>
    <i>
      <x v="14"/>
      <x v="1"/>
    </i>
    <i>
      <x v="15"/>
      <x v="2"/>
    </i>
    <i>
      <x v="16"/>
      <x v="1"/>
    </i>
    <i>
      <x v="17"/>
      <x/>
    </i>
  </rowItems>
  <colFields count="2">
    <field x="-2"/>
    <field x="2"/>
  </colFields>
  <colItems count="16">
    <i>
      <x/>
      <x/>
    </i>
    <i r="1">
      <x v="1"/>
    </i>
    <i r="1">
      <x v="2"/>
    </i>
    <i r="1">
      <x v="3"/>
    </i>
    <i i="1">
      <x v="1"/>
      <x/>
    </i>
    <i r="1" i="1">
      <x v="1"/>
    </i>
    <i r="1" i="1">
      <x v="2"/>
    </i>
    <i r="1" i="1">
      <x v="3"/>
    </i>
    <i i="2">
      <x v="2"/>
      <x/>
    </i>
    <i r="1" i="2">
      <x v="1"/>
    </i>
    <i r="1" i="2">
      <x v="2"/>
    </i>
    <i r="1" i="2">
      <x v="3"/>
    </i>
    <i i="3">
      <x v="3"/>
      <x/>
    </i>
    <i r="1" i="3">
      <x v="1"/>
    </i>
    <i r="1" i="3">
      <x v="2"/>
    </i>
    <i r="1" i="3">
      <x v="3"/>
    </i>
  </colItems>
  <dataFields count="4">
    <dataField name="mean ratio_dependecy" fld="7" subtotal="average" baseField="0" baseItem="0"/>
    <dataField name="Average of mean_nhijos_ch" fld="8" subtotal="average" baseField="0" baseItem="0"/>
    <dataField name="Average of mean_nmiembros" fld="9" subtotal="average" baseField="0" baseItem="0"/>
    <dataField name="Average of ratio_joven_viejo" fld="13" subtotal="average" baseField="0" baseItem="0"/>
  </dataFields>
  <formats count="115">
    <format dxfId="185">
      <pivotArea type="topRight" dataOnly="0" labelOnly="1" outline="0" offset="B1:D1" fieldPosition="0"/>
    </format>
    <format dxfId="184">
      <pivotArea outline="0" fieldPosition="0">
        <references count="2">
          <reference field="4294967294" count="1" selected="0">
            <x v="1"/>
          </reference>
          <reference field="2" count="0" selected="0" defaultSubtotal="1" sumSubtotal="1" countASubtotal="1" avgSubtotal="1" maxSubtotal="1" minSubtotal="1" productSubtotal="1" countSubtotal="1" stdDevSubtotal="1" stdDevPSubtotal="1" varSubtotal="1" varPSubtotal="1"/>
        </references>
      </pivotArea>
    </format>
    <format dxfId="183">
      <pivotArea field="-2" type="button" dataOnly="0" labelOnly="1" outline="0" axis="axisCol" fieldPosition="0"/>
    </format>
    <format dxfId="182">
      <pivotArea field="2" type="button" dataOnly="0" labelOnly="1" outline="0" axis="axisCol" fieldPosition="1"/>
    </format>
    <format dxfId="181">
      <pivotArea type="topRight" dataOnly="0" labelOnly="1" outline="0" offset="A1:D1" fieldPosition="0"/>
    </format>
    <format dxfId="180">
      <pivotArea dataOnly="0" labelOnly="1" outline="0" fieldPosition="0">
        <references count="1">
          <reference field="4294967294" count="1">
            <x v="0"/>
          </reference>
        </references>
      </pivotArea>
    </format>
    <format dxfId="179">
      <pivotArea dataOnly="0" labelOnly="1" outline="0" fieldPosition="0">
        <references count="2">
          <reference field="4294967294" count="1" selected="0">
            <x v="0"/>
          </reference>
          <reference field="2" count="0"/>
        </references>
      </pivotArea>
    </format>
    <format dxfId="178">
      <pivotArea type="topRight" dataOnly="0" labelOnly="1" outline="0" offset="E1:J1" fieldPosition="0"/>
    </format>
    <format dxfId="177">
      <pivotArea outline="0" fieldPosition="0">
        <references count="2">
          <reference field="4294967294" count="1" selected="0">
            <x v="0"/>
          </reference>
          <reference field="2" count="0" selected="0"/>
        </references>
      </pivotArea>
    </format>
    <format dxfId="176">
      <pivotArea type="topRight" dataOnly="0" labelOnly="1" outline="0" offset="E1:F1" fieldPosition="0"/>
    </format>
    <format dxfId="175">
      <pivotArea type="topRight" dataOnly="0" labelOnly="1" outline="0" offset="G1:P1" fieldPosition="0"/>
    </format>
    <format dxfId="174">
      <pivotArea type="topRight" dataOnly="0" labelOnly="1" outline="0" offset="O1:U1" fieldPosition="0"/>
    </format>
    <format dxfId="173">
      <pivotArea outline="0" fieldPosition="0">
        <references count="2">
          <reference field="4294967294" count="1" selected="0">
            <x v="2"/>
          </reference>
          <reference field="2" count="0" selected="0" defaultSubtotal="1" sumSubtotal="1" countASubtotal="1" avgSubtotal="1" maxSubtotal="1" minSubtotal="1" productSubtotal="1" countSubtotal="1" stdDevSubtotal="1" stdDevPSubtotal="1" varSubtotal="1" varPSubtotal="1"/>
        </references>
      </pivotArea>
    </format>
    <format dxfId="172">
      <pivotArea field="-2" type="button" dataOnly="0" labelOnly="1" outline="0" axis="axisCol" fieldPosition="0"/>
    </format>
    <format dxfId="171">
      <pivotArea field="2" type="button" dataOnly="0" labelOnly="1" outline="0" axis="axisCol" fieldPosition="1"/>
    </format>
    <format dxfId="170">
      <pivotArea type="topRight" dataOnly="0" labelOnly="1" outline="0" fieldPosition="0"/>
    </format>
    <format dxfId="169">
      <pivotArea dataOnly="0" labelOnly="1" outline="0" fieldPosition="0">
        <references count="1">
          <reference field="4294967294" count="1">
            <x v="0"/>
          </reference>
        </references>
      </pivotArea>
    </format>
    <format dxfId="168">
      <pivotArea dataOnly="0" labelOnly="1" outline="0" fieldPosition="0">
        <references count="2">
          <reference field="4294967294" count="1" selected="0">
            <x v="0"/>
          </reference>
          <reference field="2" count="0"/>
        </references>
      </pivotArea>
    </format>
    <format dxfId="167">
      <pivotArea outline="0" fieldPosition="0">
        <references count="2">
          <reference field="4294967294" count="1" selected="0">
            <x v="3"/>
          </reference>
          <reference field="2" count="0" selected="0" defaultSubtotal="1" sumSubtotal="1" countASubtotal="1" avgSubtotal="1" maxSubtotal="1" minSubtotal="1" productSubtotal="1" countSubtotal="1" stdDevSubtotal="1" stdDevPSubtotal="1" varSubtotal="1" varPSubtotal="1"/>
        </references>
      </pivotArea>
    </format>
    <format dxfId="166">
      <pivotArea outline="0" fieldPosition="0">
        <references count="2">
          <reference field="4294967294" count="1" selected="0">
            <x v="0"/>
          </reference>
          <reference field="2" count="0" selected="0"/>
        </references>
      </pivotArea>
    </format>
    <format dxfId="165">
      <pivotArea type="origin" dataOnly="0" labelOnly="1" outline="0" fieldPosition="0"/>
    </format>
    <format dxfId="164">
      <pivotArea field="0" type="button" dataOnly="0" labelOnly="1" outline="0" axis="axisRow" fieldPosition="0"/>
    </format>
    <format dxfId="163">
      <pivotArea field="1" type="button" dataOnly="0" labelOnly="1" outline="0" axis="axisRow" fieldPosition="1"/>
    </format>
    <format dxfId="162">
      <pivotArea dataOnly="0" labelOnly="1" outline="0" fieldPosition="0">
        <references count="1">
          <reference field="0" count="0"/>
        </references>
      </pivotArea>
    </format>
    <format dxfId="161">
      <pivotArea dataOnly="0" labelOnly="1" outline="0" fieldPosition="0">
        <references count="2">
          <reference field="0" count="1" selected="0">
            <x v="0"/>
          </reference>
          <reference field="1" count="1">
            <x v="1"/>
          </reference>
        </references>
      </pivotArea>
    </format>
    <format dxfId="160">
      <pivotArea dataOnly="0" labelOnly="1" outline="0" fieldPosition="0">
        <references count="2">
          <reference field="0" count="1" selected="0">
            <x v="1"/>
          </reference>
          <reference field="1" count="1">
            <x v="1"/>
          </reference>
        </references>
      </pivotArea>
    </format>
    <format dxfId="159">
      <pivotArea dataOnly="0" labelOnly="1" outline="0" fieldPosition="0">
        <references count="2">
          <reference field="0" count="1" selected="0">
            <x v="2"/>
          </reference>
          <reference field="1" count="1">
            <x v="1"/>
          </reference>
        </references>
      </pivotArea>
    </format>
    <format dxfId="158">
      <pivotArea dataOnly="0" labelOnly="1" outline="0" fieldPosition="0">
        <references count="2">
          <reference field="0" count="1" selected="0">
            <x v="3"/>
          </reference>
          <reference field="1" count="1">
            <x v="1"/>
          </reference>
        </references>
      </pivotArea>
    </format>
    <format dxfId="157">
      <pivotArea dataOnly="0" labelOnly="1" outline="0" fieldPosition="0">
        <references count="2">
          <reference field="0" count="1" selected="0">
            <x v="4"/>
          </reference>
          <reference field="1" count="1">
            <x v="1"/>
          </reference>
        </references>
      </pivotArea>
    </format>
    <format dxfId="156">
      <pivotArea dataOnly="0" labelOnly="1" outline="0" fieldPosition="0">
        <references count="2">
          <reference field="0" count="1" selected="0">
            <x v="5"/>
          </reference>
          <reference field="1" count="1">
            <x v="2"/>
          </reference>
        </references>
      </pivotArea>
    </format>
    <format dxfId="155">
      <pivotArea dataOnly="0" labelOnly="1" outline="0" fieldPosition="0">
        <references count="2">
          <reference field="0" count="1" selected="0">
            <x v="6"/>
          </reference>
          <reference field="1" count="1">
            <x v="1"/>
          </reference>
        </references>
      </pivotArea>
    </format>
    <format dxfId="154">
      <pivotArea dataOnly="0" labelOnly="1" outline="0" fieldPosition="0">
        <references count="2">
          <reference field="0" count="1" selected="0">
            <x v="7"/>
          </reference>
          <reference field="1" count="1">
            <x v="2"/>
          </reference>
        </references>
      </pivotArea>
    </format>
    <format dxfId="153">
      <pivotArea dataOnly="0" labelOnly="1" outline="0" fieldPosition="0">
        <references count="2">
          <reference field="0" count="1" selected="0">
            <x v="8"/>
          </reference>
          <reference field="1" count="1">
            <x v="1"/>
          </reference>
        </references>
      </pivotArea>
    </format>
    <format dxfId="152">
      <pivotArea dataOnly="0" labelOnly="1" outline="0" fieldPosition="0">
        <references count="2">
          <reference field="0" count="1" selected="0">
            <x v="9"/>
          </reference>
          <reference field="1" count="1">
            <x v="0"/>
          </reference>
        </references>
      </pivotArea>
    </format>
    <format dxfId="151">
      <pivotArea dataOnly="0" labelOnly="1" outline="0" fieldPosition="0">
        <references count="2">
          <reference field="0" count="1" selected="0">
            <x v="10"/>
          </reference>
          <reference field="1" count="1">
            <x v="2"/>
          </reference>
        </references>
      </pivotArea>
    </format>
    <format dxfId="150">
      <pivotArea dataOnly="0" labelOnly="1" outline="0" fieldPosition="0">
        <references count="2">
          <reference field="0" count="1" selected="0">
            <x v="11"/>
          </reference>
          <reference field="1" count="1">
            <x v="1"/>
          </reference>
        </references>
      </pivotArea>
    </format>
    <format dxfId="149">
      <pivotArea dataOnly="0" labelOnly="1" outline="0" fieldPosition="0">
        <references count="2">
          <reference field="0" count="1" selected="0">
            <x v="12"/>
          </reference>
          <reference field="1" count="1">
            <x v="1"/>
          </reference>
        </references>
      </pivotArea>
    </format>
    <format dxfId="148">
      <pivotArea dataOnly="0" labelOnly="1" outline="0" fieldPosition="0">
        <references count="2">
          <reference field="0" count="1" selected="0">
            <x v="13"/>
          </reference>
          <reference field="1" count="1">
            <x v="1"/>
          </reference>
        </references>
      </pivotArea>
    </format>
    <format dxfId="147">
      <pivotArea dataOnly="0" labelOnly="1" outline="0" fieldPosition="0">
        <references count="2">
          <reference field="0" count="1" selected="0">
            <x v="14"/>
          </reference>
          <reference field="1" count="1">
            <x v="1"/>
          </reference>
        </references>
      </pivotArea>
    </format>
    <format dxfId="146">
      <pivotArea dataOnly="0" labelOnly="1" outline="0" fieldPosition="0">
        <references count="2">
          <reference field="0" count="1" selected="0">
            <x v="15"/>
          </reference>
          <reference field="1" count="1">
            <x v="2"/>
          </reference>
        </references>
      </pivotArea>
    </format>
    <format dxfId="145">
      <pivotArea dataOnly="0" labelOnly="1" outline="0" fieldPosition="0">
        <references count="2">
          <reference field="0" count="1" selected="0">
            <x v="16"/>
          </reference>
          <reference field="1" count="1">
            <x v="1"/>
          </reference>
        </references>
      </pivotArea>
    </format>
    <format dxfId="144">
      <pivotArea dataOnly="0" labelOnly="1" outline="0" fieldPosition="0">
        <references count="2">
          <reference field="0" count="1" selected="0">
            <x v="17"/>
          </reference>
          <reference field="1" count="1">
            <x v="0"/>
          </reference>
        </references>
      </pivotArea>
    </format>
    <format dxfId="143">
      <pivotArea type="all" dataOnly="0" outline="0" fieldPosition="0"/>
    </format>
    <format dxfId="142">
      <pivotArea outline="0" collapsedLevelsAreSubtotals="1" fieldPosition="0"/>
    </format>
    <format dxfId="141">
      <pivotArea type="origin" dataOnly="0" labelOnly="1" outline="0" fieldPosition="0"/>
    </format>
    <format dxfId="140">
      <pivotArea field="-2" type="button" dataOnly="0" labelOnly="1" outline="0" axis="axisCol" fieldPosition="0"/>
    </format>
    <format dxfId="139">
      <pivotArea field="2" type="button" dataOnly="0" labelOnly="1" outline="0" axis="axisCol" fieldPosition="1"/>
    </format>
    <format dxfId="138">
      <pivotArea type="topRight" dataOnly="0" labelOnly="1" outline="0" fieldPosition="0"/>
    </format>
    <format dxfId="137">
      <pivotArea field="0" type="button" dataOnly="0" labelOnly="1" outline="0" axis="axisRow" fieldPosition="0"/>
    </format>
    <format dxfId="136">
      <pivotArea field="1" type="button" dataOnly="0" labelOnly="1" outline="0" axis="axisRow" fieldPosition="1"/>
    </format>
    <format dxfId="135">
      <pivotArea dataOnly="0" labelOnly="1" outline="0" fieldPosition="0">
        <references count="1">
          <reference field="0" count="0"/>
        </references>
      </pivotArea>
    </format>
    <format dxfId="134">
      <pivotArea dataOnly="0" labelOnly="1" outline="0" fieldPosition="0">
        <references count="2">
          <reference field="0" count="1" selected="0">
            <x v="0"/>
          </reference>
          <reference field="1" count="1">
            <x v="1"/>
          </reference>
        </references>
      </pivotArea>
    </format>
    <format dxfId="133">
      <pivotArea dataOnly="0" labelOnly="1" outline="0" fieldPosition="0">
        <references count="2">
          <reference field="0" count="1" selected="0">
            <x v="1"/>
          </reference>
          <reference field="1" count="1">
            <x v="1"/>
          </reference>
        </references>
      </pivotArea>
    </format>
    <format dxfId="132">
      <pivotArea dataOnly="0" labelOnly="1" outline="0" fieldPosition="0">
        <references count="2">
          <reference field="0" count="1" selected="0">
            <x v="2"/>
          </reference>
          <reference field="1" count="1">
            <x v="1"/>
          </reference>
        </references>
      </pivotArea>
    </format>
    <format dxfId="131">
      <pivotArea dataOnly="0" labelOnly="1" outline="0" fieldPosition="0">
        <references count="2">
          <reference field="0" count="1" selected="0">
            <x v="3"/>
          </reference>
          <reference field="1" count="1">
            <x v="1"/>
          </reference>
        </references>
      </pivotArea>
    </format>
    <format dxfId="130">
      <pivotArea dataOnly="0" labelOnly="1" outline="0" fieldPosition="0">
        <references count="2">
          <reference field="0" count="1" selected="0">
            <x v="4"/>
          </reference>
          <reference field="1" count="1">
            <x v="1"/>
          </reference>
        </references>
      </pivotArea>
    </format>
    <format dxfId="129">
      <pivotArea dataOnly="0" labelOnly="1" outline="0" fieldPosition="0">
        <references count="2">
          <reference field="0" count="1" selected="0">
            <x v="5"/>
          </reference>
          <reference field="1" count="1">
            <x v="2"/>
          </reference>
        </references>
      </pivotArea>
    </format>
    <format dxfId="128">
      <pivotArea dataOnly="0" labelOnly="1" outline="0" fieldPosition="0">
        <references count="2">
          <reference field="0" count="1" selected="0">
            <x v="6"/>
          </reference>
          <reference field="1" count="1">
            <x v="1"/>
          </reference>
        </references>
      </pivotArea>
    </format>
    <format dxfId="127">
      <pivotArea dataOnly="0" labelOnly="1" outline="0" fieldPosition="0">
        <references count="2">
          <reference field="0" count="1" selected="0">
            <x v="7"/>
          </reference>
          <reference field="1" count="1">
            <x v="2"/>
          </reference>
        </references>
      </pivotArea>
    </format>
    <format dxfId="126">
      <pivotArea dataOnly="0" labelOnly="1" outline="0" fieldPosition="0">
        <references count="2">
          <reference field="0" count="1" selected="0">
            <x v="8"/>
          </reference>
          <reference field="1" count="1">
            <x v="1"/>
          </reference>
        </references>
      </pivotArea>
    </format>
    <format dxfId="125">
      <pivotArea dataOnly="0" labelOnly="1" outline="0" fieldPosition="0">
        <references count="2">
          <reference field="0" count="1" selected="0">
            <x v="9"/>
          </reference>
          <reference field="1" count="1">
            <x v="0"/>
          </reference>
        </references>
      </pivotArea>
    </format>
    <format dxfId="124">
      <pivotArea dataOnly="0" labelOnly="1" outline="0" fieldPosition="0">
        <references count="2">
          <reference field="0" count="1" selected="0">
            <x v="10"/>
          </reference>
          <reference field="1" count="1">
            <x v="2"/>
          </reference>
        </references>
      </pivotArea>
    </format>
    <format dxfId="123">
      <pivotArea dataOnly="0" labelOnly="1" outline="0" fieldPosition="0">
        <references count="2">
          <reference field="0" count="1" selected="0">
            <x v="11"/>
          </reference>
          <reference field="1" count="1">
            <x v="1"/>
          </reference>
        </references>
      </pivotArea>
    </format>
    <format dxfId="122">
      <pivotArea dataOnly="0" labelOnly="1" outline="0" fieldPosition="0">
        <references count="2">
          <reference field="0" count="1" selected="0">
            <x v="12"/>
          </reference>
          <reference field="1" count="1">
            <x v="1"/>
          </reference>
        </references>
      </pivotArea>
    </format>
    <format dxfId="121">
      <pivotArea dataOnly="0" labelOnly="1" outline="0" fieldPosition="0">
        <references count="2">
          <reference field="0" count="1" selected="0">
            <x v="13"/>
          </reference>
          <reference field="1" count="1">
            <x v="1"/>
          </reference>
        </references>
      </pivotArea>
    </format>
    <format dxfId="120">
      <pivotArea dataOnly="0" labelOnly="1" outline="0" fieldPosition="0">
        <references count="2">
          <reference field="0" count="1" selected="0">
            <x v="14"/>
          </reference>
          <reference field="1" count="1">
            <x v="1"/>
          </reference>
        </references>
      </pivotArea>
    </format>
    <format dxfId="119">
      <pivotArea dataOnly="0" labelOnly="1" outline="0" fieldPosition="0">
        <references count="2">
          <reference field="0" count="1" selected="0">
            <x v="15"/>
          </reference>
          <reference field="1" count="1">
            <x v="2"/>
          </reference>
        </references>
      </pivotArea>
    </format>
    <format dxfId="118">
      <pivotArea dataOnly="0" labelOnly="1" outline="0" fieldPosition="0">
        <references count="2">
          <reference field="0" count="1" selected="0">
            <x v="16"/>
          </reference>
          <reference field="1" count="1">
            <x v="1"/>
          </reference>
        </references>
      </pivotArea>
    </format>
    <format dxfId="117">
      <pivotArea dataOnly="0" labelOnly="1" outline="0" fieldPosition="0">
        <references count="2">
          <reference field="0" count="1" selected="0">
            <x v="17"/>
          </reference>
          <reference field="1" count="1">
            <x v="0"/>
          </reference>
        </references>
      </pivotArea>
    </format>
    <format dxfId="116">
      <pivotArea dataOnly="0" labelOnly="1" outline="0" fieldPosition="0">
        <references count="1">
          <reference field="4294967294" count="4">
            <x v="0"/>
            <x v="1"/>
            <x v="2"/>
            <x v="3"/>
          </reference>
        </references>
      </pivotArea>
    </format>
    <format dxfId="115">
      <pivotArea dataOnly="0" labelOnly="1" outline="0" fieldPosition="0">
        <references count="2">
          <reference field="4294967294" count="1" selected="0">
            <x v="0"/>
          </reference>
          <reference field="2" count="0"/>
        </references>
      </pivotArea>
    </format>
    <format dxfId="114">
      <pivotArea dataOnly="0" labelOnly="1" outline="0" fieldPosition="0">
        <references count="2">
          <reference field="4294967294" count="1" selected="0">
            <x v="1"/>
          </reference>
          <reference field="2" count="0"/>
        </references>
      </pivotArea>
    </format>
    <format dxfId="113">
      <pivotArea dataOnly="0" labelOnly="1" outline="0" fieldPosition="0">
        <references count="2">
          <reference field="4294967294" count="1" selected="0">
            <x v="2"/>
          </reference>
          <reference field="2" count="0"/>
        </references>
      </pivotArea>
    </format>
    <format dxfId="112">
      <pivotArea dataOnly="0" labelOnly="1" outline="0" fieldPosition="0">
        <references count="2">
          <reference field="4294967294" count="1" selected="0">
            <x v="3"/>
          </reference>
          <reference field="2" count="0"/>
        </references>
      </pivotArea>
    </format>
    <format dxfId="111">
      <pivotArea outline="0" fieldPosition="0">
        <references count="2">
          <reference field="4294967294" count="1" selected="0">
            <x v="0"/>
          </reference>
          <reference field="2" count="0" selected="0"/>
        </references>
      </pivotArea>
    </format>
    <format dxfId="110">
      <pivotArea type="origin" dataOnly="0" labelOnly="1" outline="0" offset="B1:B2" fieldPosition="0"/>
    </format>
    <format dxfId="109">
      <pivotArea field="-2" type="button" dataOnly="0" labelOnly="1" outline="0" axis="axisCol" fieldPosition="0"/>
    </format>
    <format dxfId="108">
      <pivotArea field="2" type="button" dataOnly="0" labelOnly="1" outline="0" axis="axisCol" fieldPosition="1"/>
    </format>
    <format dxfId="107">
      <pivotArea type="topRight" dataOnly="0" labelOnly="1" outline="0" offset="A1:B1" fieldPosition="0"/>
    </format>
    <format dxfId="106">
      <pivotArea field="1" type="button" dataOnly="0" labelOnly="1" outline="0" axis="axisRow" fieldPosition="1"/>
    </format>
    <format dxfId="105">
      <pivotArea dataOnly="0" labelOnly="1" outline="0" fieldPosition="0">
        <references count="2">
          <reference field="0" count="1" selected="0">
            <x v="0"/>
          </reference>
          <reference field="1" count="1">
            <x v="1"/>
          </reference>
        </references>
      </pivotArea>
    </format>
    <format dxfId="104">
      <pivotArea dataOnly="0" labelOnly="1" outline="0" fieldPosition="0">
        <references count="2">
          <reference field="0" count="1" selected="0">
            <x v="1"/>
          </reference>
          <reference field="1" count="1">
            <x v="1"/>
          </reference>
        </references>
      </pivotArea>
    </format>
    <format dxfId="103">
      <pivotArea dataOnly="0" labelOnly="1" outline="0" fieldPosition="0">
        <references count="2">
          <reference field="0" count="1" selected="0">
            <x v="2"/>
          </reference>
          <reference field="1" count="1">
            <x v="1"/>
          </reference>
        </references>
      </pivotArea>
    </format>
    <format dxfId="102">
      <pivotArea dataOnly="0" labelOnly="1" outline="0" fieldPosition="0">
        <references count="2">
          <reference field="0" count="1" selected="0">
            <x v="3"/>
          </reference>
          <reference field="1" count="1">
            <x v="1"/>
          </reference>
        </references>
      </pivotArea>
    </format>
    <format dxfId="101">
      <pivotArea dataOnly="0" labelOnly="1" outline="0" fieldPosition="0">
        <references count="2">
          <reference field="0" count="1" selected="0">
            <x v="4"/>
          </reference>
          <reference field="1" count="1">
            <x v="1"/>
          </reference>
        </references>
      </pivotArea>
    </format>
    <format dxfId="100">
      <pivotArea dataOnly="0" labelOnly="1" outline="0" fieldPosition="0">
        <references count="2">
          <reference field="0" count="1" selected="0">
            <x v="5"/>
          </reference>
          <reference field="1" count="1">
            <x v="2"/>
          </reference>
        </references>
      </pivotArea>
    </format>
    <format dxfId="99">
      <pivotArea dataOnly="0" labelOnly="1" outline="0" fieldPosition="0">
        <references count="2">
          <reference field="0" count="1" selected="0">
            <x v="6"/>
          </reference>
          <reference field="1" count="1">
            <x v="1"/>
          </reference>
        </references>
      </pivotArea>
    </format>
    <format dxfId="98">
      <pivotArea dataOnly="0" labelOnly="1" outline="0" fieldPosition="0">
        <references count="2">
          <reference field="0" count="1" selected="0">
            <x v="7"/>
          </reference>
          <reference field="1" count="1">
            <x v="2"/>
          </reference>
        </references>
      </pivotArea>
    </format>
    <format dxfId="97">
      <pivotArea dataOnly="0" labelOnly="1" outline="0" fieldPosition="0">
        <references count="2">
          <reference field="0" count="1" selected="0">
            <x v="8"/>
          </reference>
          <reference field="1" count="1">
            <x v="1"/>
          </reference>
        </references>
      </pivotArea>
    </format>
    <format dxfId="96">
      <pivotArea dataOnly="0" labelOnly="1" outline="0" fieldPosition="0">
        <references count="2">
          <reference field="0" count="1" selected="0">
            <x v="9"/>
          </reference>
          <reference field="1" count="1">
            <x v="0"/>
          </reference>
        </references>
      </pivotArea>
    </format>
    <format dxfId="95">
      <pivotArea dataOnly="0" labelOnly="1" outline="0" fieldPosition="0">
        <references count="2">
          <reference field="0" count="1" selected="0">
            <x v="10"/>
          </reference>
          <reference field="1" count="1">
            <x v="2"/>
          </reference>
        </references>
      </pivotArea>
    </format>
    <format dxfId="94">
      <pivotArea dataOnly="0" labelOnly="1" outline="0" fieldPosition="0">
        <references count="2">
          <reference field="0" count="1" selected="0">
            <x v="11"/>
          </reference>
          <reference field="1" count="1">
            <x v="1"/>
          </reference>
        </references>
      </pivotArea>
    </format>
    <format dxfId="93">
      <pivotArea dataOnly="0" labelOnly="1" outline="0" fieldPosition="0">
        <references count="2">
          <reference field="0" count="1" selected="0">
            <x v="12"/>
          </reference>
          <reference field="1" count="1">
            <x v="1"/>
          </reference>
        </references>
      </pivotArea>
    </format>
    <format dxfId="92">
      <pivotArea dataOnly="0" labelOnly="1" outline="0" fieldPosition="0">
        <references count="2">
          <reference field="0" count="1" selected="0">
            <x v="13"/>
          </reference>
          <reference field="1" count="1">
            <x v="1"/>
          </reference>
        </references>
      </pivotArea>
    </format>
    <format dxfId="91">
      <pivotArea dataOnly="0" labelOnly="1" outline="0" fieldPosition="0">
        <references count="2">
          <reference field="0" count="1" selected="0">
            <x v="14"/>
          </reference>
          <reference field="1" count="1">
            <x v="1"/>
          </reference>
        </references>
      </pivotArea>
    </format>
    <format dxfId="90">
      <pivotArea dataOnly="0" labelOnly="1" outline="0" fieldPosition="0">
        <references count="2">
          <reference field="0" count="1" selected="0">
            <x v="15"/>
          </reference>
          <reference field="1" count="1">
            <x v="2"/>
          </reference>
        </references>
      </pivotArea>
    </format>
    <format dxfId="89">
      <pivotArea dataOnly="0" labelOnly="1" outline="0" fieldPosition="0">
        <references count="2">
          <reference field="0" count="1" selected="0">
            <x v="16"/>
          </reference>
          <reference field="1" count="1">
            <x v="1"/>
          </reference>
        </references>
      </pivotArea>
    </format>
    <format dxfId="88">
      <pivotArea dataOnly="0" labelOnly="1" outline="0" fieldPosition="0">
        <references count="2">
          <reference field="0" count="1" selected="0">
            <x v="17"/>
          </reference>
          <reference field="1" count="1">
            <x v="0"/>
          </reference>
        </references>
      </pivotArea>
    </format>
    <format dxfId="87">
      <pivotArea dataOnly="0" labelOnly="1" outline="0" fieldPosition="0">
        <references count="1">
          <reference field="4294967294" count="1">
            <x v="0"/>
          </reference>
        </references>
      </pivotArea>
    </format>
    <format dxfId="86">
      <pivotArea dataOnly="0" labelOnly="1" outline="0" fieldPosition="0">
        <references count="2">
          <reference field="4294967294" count="1" selected="0">
            <x v="0"/>
          </reference>
          <reference field="2" count="0"/>
        </references>
      </pivotArea>
    </format>
    <format dxfId="85">
      <pivotArea outline="0" fieldPosition="0">
        <references count="2">
          <reference field="4294967294" count="1" selected="0">
            <x v="1"/>
          </reference>
          <reference field="2" count="0" selected="0"/>
        </references>
      </pivotArea>
    </format>
    <format dxfId="84">
      <pivotArea type="topRight" dataOnly="0" labelOnly="1" outline="0" offset="C1:F1" fieldPosition="0"/>
    </format>
    <format dxfId="83">
      <pivotArea dataOnly="0" labelOnly="1" outline="0" fieldPosition="0">
        <references count="1">
          <reference field="4294967294" count="1">
            <x v="1"/>
          </reference>
        </references>
      </pivotArea>
    </format>
    <format dxfId="82">
      <pivotArea dataOnly="0" labelOnly="1" outline="0" fieldPosition="0">
        <references count="2">
          <reference field="4294967294" count="1" selected="0">
            <x v="1"/>
          </reference>
          <reference field="2" count="0"/>
        </references>
      </pivotArea>
    </format>
    <format dxfId="81">
      <pivotArea outline="0" fieldPosition="0">
        <references count="2">
          <reference field="4294967294" count="1" selected="0">
            <x v="2"/>
          </reference>
          <reference field="2" count="0" selected="0"/>
        </references>
      </pivotArea>
    </format>
    <format dxfId="80">
      <pivotArea type="topRight" dataOnly="0" labelOnly="1" outline="0" offset="G1:J1" fieldPosition="0"/>
    </format>
    <format dxfId="79">
      <pivotArea dataOnly="0" labelOnly="1" outline="0" fieldPosition="0">
        <references count="1">
          <reference field="4294967294" count="1">
            <x v="2"/>
          </reference>
        </references>
      </pivotArea>
    </format>
    <format dxfId="78">
      <pivotArea dataOnly="0" labelOnly="1" outline="0" fieldPosition="0">
        <references count="2">
          <reference field="4294967294" count="1" selected="0">
            <x v="2"/>
          </reference>
          <reference field="2" count="0"/>
        </references>
      </pivotArea>
    </format>
    <format dxfId="77">
      <pivotArea outline="0" fieldPosition="0">
        <references count="2">
          <reference field="4294967294" count="1" selected="0">
            <x v="3"/>
          </reference>
          <reference field="2" count="0" selected="0" defaultSubtotal="1" sumSubtotal="1" countASubtotal="1" avgSubtotal="1" maxSubtotal="1" minSubtotal="1" productSubtotal="1" countSubtotal="1" stdDevSubtotal="1" stdDevPSubtotal="1" varSubtotal="1" varPSubtotal="1"/>
        </references>
      </pivotArea>
    </format>
    <format dxfId="76">
      <pivotArea type="topRight" dataOnly="0" labelOnly="1" outline="0" offset="K1:N1" fieldPosition="0"/>
    </format>
    <format dxfId="75">
      <pivotArea dataOnly="0" labelOnly="1" outline="0" fieldPosition="0">
        <references count="1">
          <reference field="4294967294" count="1">
            <x v="3"/>
          </reference>
        </references>
      </pivotArea>
    </format>
    <format dxfId="74">
      <pivotArea dataOnly="0" labelOnly="1" outline="0" fieldPosition="0">
        <references count="2">
          <reference field="4294967294" count="1" selected="0">
            <x v="3"/>
          </reference>
          <reference field="2" count="0"/>
        </references>
      </pivotArea>
    </format>
    <format dxfId="73">
      <pivotArea type="origin" dataOnly="0" labelOnly="1" outline="0" offset="A1:A2" fieldPosition="0"/>
    </format>
    <format dxfId="72">
      <pivotArea field="0" type="button" dataOnly="0" labelOnly="1" outline="0" axis="axisRow" fieldPosition="0"/>
    </format>
    <format dxfId="71">
      <pivotArea dataOnly="0" labelOnly="1" outline="0" fieldPosition="0">
        <references count="1">
          <reference field="0" count="0"/>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9026C4-C3D3-4ABD-947D-9F03A1A8A7B6}"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W29" firstHeaderRow="1" firstDataRow="2" firstDataCol="1"/>
  <pivotFields count="16">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axis="axisCol" numFmtId="1" showAll="0">
      <items count="22">
        <item x="0"/>
        <item x="1"/>
        <item x="2"/>
        <item x="3"/>
        <item x="4"/>
        <item x="5"/>
        <item x="6"/>
        <item x="7"/>
        <item x="8"/>
        <item x="9"/>
        <item x="10"/>
        <item x="11"/>
        <item x="12"/>
        <item x="13"/>
        <item x="14"/>
        <item x="15"/>
        <item x="16"/>
        <item x="17"/>
        <item x="18"/>
        <item x="19"/>
        <item x="20"/>
        <item t="default"/>
      </items>
    </pivotField>
    <pivotField showAll="0"/>
    <pivotField showAll="0">
      <items count="364">
        <item x="75"/>
        <item x="76"/>
        <item x="74"/>
        <item x="77"/>
        <item x="72"/>
        <item x="23"/>
        <item x="73"/>
        <item x="24"/>
        <item x="71"/>
        <item x="80"/>
        <item x="25"/>
        <item x="21"/>
        <item x="79"/>
        <item x="318"/>
        <item x="82"/>
        <item x="83"/>
        <item x="78"/>
        <item x="22"/>
        <item x="81"/>
        <item x="20"/>
        <item x="26"/>
        <item x="340"/>
        <item x="89"/>
        <item x="341"/>
        <item x="10"/>
        <item x="27"/>
        <item x="87"/>
        <item x="339"/>
        <item x="11"/>
        <item x="86"/>
        <item x="29"/>
        <item x="12"/>
        <item x="85"/>
        <item x="320"/>
        <item x="336"/>
        <item x="338"/>
        <item x="317"/>
        <item x="335"/>
        <item x="344"/>
        <item x="337"/>
        <item x="322"/>
        <item x="333"/>
        <item x="316"/>
        <item x="9"/>
        <item x="28"/>
        <item x="334"/>
        <item x="343"/>
        <item x="332"/>
        <item x="330"/>
        <item x="315"/>
        <item x="342"/>
        <item x="324"/>
        <item x="321"/>
        <item x="30"/>
        <item x="8"/>
        <item x="14"/>
        <item x="84"/>
        <item x="323"/>
        <item x="15"/>
        <item x="13"/>
        <item x="319"/>
        <item x="331"/>
        <item x="314"/>
        <item x="33"/>
        <item x="313"/>
        <item x="312"/>
        <item x="19"/>
        <item x="31"/>
        <item x="146"/>
        <item x="16"/>
        <item x="18"/>
        <item x="88"/>
        <item x="124"/>
        <item x="356"/>
        <item x="17"/>
        <item x="126"/>
        <item x="129"/>
        <item x="125"/>
        <item x="123"/>
        <item x="32"/>
        <item x="122"/>
        <item x="121"/>
        <item x="145"/>
        <item x="128"/>
        <item x="115"/>
        <item x="116"/>
        <item x="329"/>
        <item x="117"/>
        <item x="7"/>
        <item x="119"/>
        <item x="120"/>
        <item x="144"/>
        <item x="355"/>
        <item x="114"/>
        <item x="352"/>
        <item x="351"/>
        <item x="148"/>
        <item x="353"/>
        <item x="354"/>
        <item x="289"/>
        <item x="269"/>
        <item x="357"/>
        <item x="325"/>
        <item x="68"/>
        <item x="272"/>
        <item x="62"/>
        <item x="350"/>
        <item x="228"/>
        <item x="249"/>
        <item x="268"/>
        <item x="250"/>
        <item x="251"/>
        <item x="248"/>
        <item x="147"/>
        <item x="118"/>
        <item x="327"/>
        <item x="61"/>
        <item x="349"/>
        <item x="64"/>
        <item x="60"/>
        <item x="290"/>
        <item x="326"/>
        <item x="63"/>
        <item x="271"/>
        <item x="252"/>
        <item x="49"/>
        <item x="65"/>
        <item x="51"/>
        <item x="291"/>
        <item x="67"/>
        <item x="66"/>
        <item x="266"/>
        <item x="112"/>
        <item x="267"/>
        <item x="246"/>
        <item x="226"/>
        <item x="113"/>
        <item x="265"/>
        <item x="244"/>
        <item x="6"/>
        <item x="288"/>
        <item x="247"/>
        <item x="127"/>
        <item x="143"/>
        <item x="264"/>
        <item x="308"/>
        <item x="160"/>
        <item x="284"/>
        <item x="142"/>
        <item x="245"/>
        <item x="225"/>
        <item x="263"/>
        <item x="69"/>
        <item x="283"/>
        <item x="59"/>
        <item x="163"/>
        <item x="260"/>
        <item x="285"/>
        <item x="111"/>
        <item x="161"/>
        <item x="164"/>
        <item x="5"/>
        <item x="162"/>
        <item x="287"/>
        <item x="227"/>
        <item x="262"/>
        <item x="348"/>
        <item x="110"/>
        <item x="50"/>
        <item x="307"/>
        <item x="159"/>
        <item x="168"/>
        <item x="48"/>
        <item x="311"/>
        <item x="243"/>
        <item x="261"/>
        <item x="259"/>
        <item x="165"/>
        <item x="286"/>
        <item x="169"/>
        <item x="58"/>
        <item x="45"/>
        <item x="167"/>
        <item x="141"/>
        <item x="104"/>
        <item x="310"/>
        <item x="109"/>
        <item x="57"/>
        <item x="44"/>
        <item x="306"/>
        <item x="43"/>
        <item x="47"/>
        <item x="103"/>
        <item x="309"/>
        <item x="158"/>
        <item x="46"/>
        <item x="242"/>
        <item x="105"/>
        <item x="157"/>
        <item x="4"/>
        <item x="241"/>
        <item x="41"/>
        <item x="220"/>
        <item x="102"/>
        <item x="281"/>
        <item x="304"/>
        <item x="106"/>
        <item x="224"/>
        <item x="140"/>
        <item x="282"/>
        <item x="56"/>
        <item x="305"/>
        <item x="101"/>
        <item x="280"/>
        <item x="138"/>
        <item x="42"/>
        <item x="240"/>
        <item x="108"/>
        <item x="270"/>
        <item x="100"/>
        <item x="139"/>
        <item x="239"/>
        <item x="107"/>
        <item x="279"/>
        <item x="358"/>
        <item x="156"/>
        <item x="223"/>
        <item x="303"/>
        <item x="136"/>
        <item x="221"/>
        <item x="302"/>
        <item x="137"/>
        <item x="166"/>
        <item x="278"/>
        <item x="135"/>
        <item x="222"/>
        <item x="218"/>
        <item x="277"/>
        <item x="275"/>
        <item x="55"/>
        <item x="258"/>
        <item x="98"/>
        <item x="134"/>
        <item x="40"/>
        <item x="219"/>
        <item x="99"/>
        <item x="238"/>
        <item x="328"/>
        <item x="236"/>
        <item x="237"/>
        <item x="235"/>
        <item x="54"/>
        <item x="296"/>
        <item x="133"/>
        <item x="155"/>
        <item x="154"/>
        <item x="301"/>
        <item x="347"/>
        <item x="209"/>
        <item x="3"/>
        <item x="153"/>
        <item x="39"/>
        <item x="97"/>
        <item x="300"/>
        <item x="257"/>
        <item x="152"/>
        <item x="274"/>
        <item x="53"/>
        <item x="346"/>
        <item x="130"/>
        <item x="132"/>
        <item x="297"/>
        <item x="298"/>
        <item x="299"/>
        <item x="276"/>
        <item x="295"/>
        <item x="293"/>
        <item x="292"/>
        <item x="96"/>
        <item x="208"/>
        <item x="52"/>
        <item x="70"/>
        <item x="95"/>
        <item x="185"/>
        <item x="273"/>
        <item x="35"/>
        <item x="151"/>
        <item x="186"/>
        <item x="233"/>
        <item x="2"/>
        <item x="253"/>
        <item x="294"/>
        <item x="234"/>
        <item x="188"/>
        <item x="256"/>
        <item x="254"/>
        <item x="187"/>
        <item x="92"/>
        <item x="131"/>
        <item x="150"/>
        <item x="38"/>
        <item x="232"/>
        <item x="170"/>
        <item x="172"/>
        <item x="37"/>
        <item x="255"/>
        <item x="195"/>
        <item x="194"/>
        <item x="90"/>
        <item x="178"/>
        <item x="345"/>
        <item x="36"/>
        <item x="94"/>
        <item x="231"/>
        <item x="184"/>
        <item x="149"/>
        <item x="1"/>
        <item x="202"/>
        <item x="182"/>
        <item x="200"/>
        <item x="177"/>
        <item x="196"/>
        <item x="180"/>
        <item x="179"/>
        <item x="201"/>
        <item x="91"/>
        <item x="206"/>
        <item x="183"/>
        <item x="176"/>
        <item x="93"/>
        <item x="193"/>
        <item x="181"/>
        <item x="203"/>
        <item x="204"/>
        <item x="197"/>
        <item x="205"/>
        <item x="199"/>
        <item x="207"/>
        <item x="230"/>
        <item x="175"/>
        <item x="192"/>
        <item x="171"/>
        <item x="189"/>
        <item x="0"/>
        <item x="198"/>
        <item x="229"/>
        <item x="191"/>
        <item x="359"/>
        <item x="211"/>
        <item x="190"/>
        <item x="213"/>
        <item x="210"/>
        <item x="174"/>
        <item x="173"/>
        <item x="217"/>
        <item x="214"/>
        <item x="215"/>
        <item x="216"/>
        <item x="212"/>
        <item x="362"/>
        <item x="360"/>
        <item x="361"/>
        <item x="34"/>
        <item t="default"/>
      </items>
    </pivotField>
    <pivotField showAll="0"/>
    <pivotField showAll="0"/>
    <pivotField showAll="0"/>
    <pivotField showAll="0"/>
    <pivotField showAll="0"/>
    <pivotField showAll="0"/>
    <pivotField showAll="0"/>
    <pivotField showAll="0"/>
    <pivotField showAll="0"/>
    <pivotField numFmtId="1" showAll="0"/>
    <pivotField showAll="0"/>
    <pivotField dataField="1" showAll="0"/>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levelpobreza_under5"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FBA4B0-7772-4BEB-8E44-68C800B2FA58}"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X30" firstHeaderRow="1" firstDataRow="2" firstDataCol="1"/>
  <pivotFields count="14">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Col" showAll="0">
      <items count="23">
        <item x="0"/>
        <item x="1"/>
        <item x="2"/>
        <item x="3"/>
        <item x="4"/>
        <item x="5"/>
        <item x="6"/>
        <item x="7"/>
        <item x="8"/>
        <item x="9"/>
        <item x="10"/>
        <item x="11"/>
        <item x="12"/>
        <item x="13"/>
        <item x="14"/>
        <item x="15"/>
        <item x="16"/>
        <item x="17"/>
        <item x="18"/>
        <item x="19"/>
        <item x="20"/>
        <item x="2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1"/>
  </colFields>
  <colItems count="23">
    <i>
      <x/>
    </i>
    <i>
      <x v="1"/>
    </i>
    <i>
      <x v="2"/>
    </i>
    <i>
      <x v="3"/>
    </i>
    <i>
      <x v="4"/>
    </i>
    <i>
      <x v="5"/>
    </i>
    <i>
      <x v="6"/>
    </i>
    <i>
      <x v="7"/>
    </i>
    <i>
      <x v="8"/>
    </i>
    <i>
      <x v="9"/>
    </i>
    <i>
      <x v="10"/>
    </i>
    <i>
      <x v="11"/>
    </i>
    <i>
      <x v="12"/>
    </i>
    <i>
      <x v="13"/>
    </i>
    <i>
      <x v="14"/>
    </i>
    <i>
      <x v="15"/>
    </i>
    <i>
      <x v="16"/>
    </i>
    <i>
      <x v="17"/>
    </i>
    <i>
      <x v="18"/>
    </i>
    <i>
      <x v="19"/>
    </i>
    <i>
      <x v="20"/>
    </i>
    <i>
      <x v="21"/>
    </i>
    <i t="grand">
      <x/>
    </i>
  </colItems>
  <dataFields count="1">
    <dataField name="Sum of valuepobreza31"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repositorio.cepal.org/server/api/core/bitstreams/b2dd4899-f5b4-4d6e-998c-64a916cb1eff/content"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2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9.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F668E-64E3-4D36-93BA-473617C44CD5}">
  <dimension ref="A1:L30"/>
  <sheetViews>
    <sheetView topLeftCell="A4" zoomScale="72" zoomScaleNormal="72" workbookViewId="0">
      <selection activeCell="E36" sqref="E36"/>
    </sheetView>
  </sheetViews>
  <sheetFormatPr defaultRowHeight="14.5"/>
  <cols>
    <col min="1" max="1" width="13.54296875" bestFit="1" customWidth="1"/>
    <col min="2" max="2" width="17.453125" customWidth="1"/>
    <col min="3" max="4" width="18" bestFit="1" customWidth="1"/>
    <col min="5" max="5" width="17.453125" bestFit="1" customWidth="1"/>
    <col min="6" max="6" width="17.453125" customWidth="1"/>
    <col min="7" max="206" width="15.26953125" bestFit="1" customWidth="1"/>
    <col min="208" max="208" width="15.26953125" bestFit="1" customWidth="1"/>
    <col min="209" max="209" width="10.7265625" bestFit="1" customWidth="1"/>
  </cols>
  <sheetData>
    <row r="1" spans="1:12">
      <c r="A1" s="1" t="s">
        <v>0</v>
      </c>
      <c r="B1" t="s">
        <v>1</v>
      </c>
    </row>
    <row r="3" spans="1:12">
      <c r="A3" s="1" t="s">
        <v>2</v>
      </c>
      <c r="B3" t="s">
        <v>3</v>
      </c>
      <c r="C3" t="s">
        <v>4</v>
      </c>
      <c r="D3" t="s">
        <v>5</v>
      </c>
      <c r="G3" s="7" t="s">
        <v>6</v>
      </c>
      <c r="H3" s="7" t="s">
        <v>7</v>
      </c>
      <c r="I3" s="7" t="s">
        <v>8</v>
      </c>
      <c r="J3" s="7" t="s">
        <v>9</v>
      </c>
    </row>
    <row r="4" spans="1:12">
      <c r="A4" s="26" t="s">
        <v>10</v>
      </c>
      <c r="B4" s="5">
        <v>45276780.00000003</v>
      </c>
      <c r="C4" s="5">
        <v>45510317.999999993</v>
      </c>
      <c r="D4" s="5">
        <v>45773883.999999993</v>
      </c>
      <c r="F4" s="5"/>
      <c r="G4" t="s">
        <v>10</v>
      </c>
      <c r="H4" s="122">
        <v>2022</v>
      </c>
      <c r="I4" t="s">
        <v>11</v>
      </c>
      <c r="J4" s="122">
        <v>29261262</v>
      </c>
    </row>
    <row r="5" spans="1:12">
      <c r="A5" s="26" t="s">
        <v>12</v>
      </c>
      <c r="B5" s="5">
        <v>407905.50000000017</v>
      </c>
      <c r="C5" s="5">
        <v>409983.99999999983</v>
      </c>
      <c r="D5" s="5">
        <v>412623.50000000029</v>
      </c>
      <c r="F5" s="5"/>
      <c r="G5" t="s">
        <v>12</v>
      </c>
      <c r="H5" s="122">
        <v>2014</v>
      </c>
      <c r="I5" t="s">
        <v>13</v>
      </c>
      <c r="J5" s="122">
        <v>257561.78163528399</v>
      </c>
    </row>
    <row r="6" spans="1:12">
      <c r="A6" s="26" t="s">
        <v>14</v>
      </c>
      <c r="B6" s="5">
        <v>400031.00000000012</v>
      </c>
      <c r="C6" s="5">
        <v>405272.50000000006</v>
      </c>
      <c r="D6" s="5">
        <v>410825.00000000006</v>
      </c>
      <c r="F6" s="5"/>
      <c r="G6" t="s">
        <v>14</v>
      </c>
      <c r="H6" s="122">
        <v>2007</v>
      </c>
      <c r="I6" t="s">
        <v>13</v>
      </c>
      <c r="J6" s="122">
        <v>313812.44288826</v>
      </c>
    </row>
    <row r="7" spans="1:12">
      <c r="A7" s="26" t="s">
        <v>15</v>
      </c>
      <c r="B7" s="5">
        <v>12079471.999999996</v>
      </c>
      <c r="C7" s="5">
        <v>12224109.999999994</v>
      </c>
      <c r="D7" s="5">
        <v>12388570.999999987</v>
      </c>
      <c r="F7" s="5"/>
      <c r="G7" t="s">
        <v>15</v>
      </c>
      <c r="H7" s="122">
        <v>2021</v>
      </c>
      <c r="I7" t="s">
        <v>16</v>
      </c>
      <c r="J7" s="122">
        <v>11903957.9894905</v>
      </c>
    </row>
    <row r="8" spans="1:12">
      <c r="A8" s="26" t="s">
        <v>17</v>
      </c>
      <c r="B8" s="5">
        <v>214326223.00000006</v>
      </c>
      <c r="C8" s="5">
        <v>215313497.99999994</v>
      </c>
      <c r="D8" s="5">
        <v>216422446.00000003</v>
      </c>
      <c r="F8" s="5"/>
      <c r="G8" t="s">
        <v>17</v>
      </c>
      <c r="H8" s="122">
        <v>2022</v>
      </c>
      <c r="I8" t="s">
        <v>18</v>
      </c>
      <c r="J8" s="122">
        <v>214153641.03208399</v>
      </c>
    </row>
    <row r="9" spans="1:12">
      <c r="A9" s="26" t="s">
        <v>19</v>
      </c>
      <c r="B9" s="5">
        <v>281199.49999999994</v>
      </c>
      <c r="C9" s="5">
        <v>281634.99999999988</v>
      </c>
      <c r="D9" s="5">
        <v>281995.49999999988</v>
      </c>
      <c r="F9" s="5"/>
      <c r="G9" t="s">
        <v>19</v>
      </c>
      <c r="H9" s="122">
        <v>2016</v>
      </c>
      <c r="I9" t="s">
        <v>20</v>
      </c>
      <c r="J9" s="122">
        <v>285529.09096145601</v>
      </c>
    </row>
    <row r="10" spans="1:12">
      <c r="A10" s="26" t="s">
        <v>21</v>
      </c>
      <c r="B10" s="5">
        <v>19493184.5</v>
      </c>
      <c r="C10" s="5">
        <v>19603732.999999996</v>
      </c>
      <c r="D10" s="5">
        <v>19629590.000000004</v>
      </c>
      <c r="F10" s="5"/>
      <c r="G10" t="s">
        <v>21</v>
      </c>
      <c r="H10" s="122">
        <v>2022</v>
      </c>
      <c r="I10" t="s">
        <v>22</v>
      </c>
      <c r="J10" s="122">
        <v>19878573</v>
      </c>
    </row>
    <row r="11" spans="1:12">
      <c r="A11" s="26" t="s">
        <v>23</v>
      </c>
      <c r="B11" s="5">
        <v>51516562</v>
      </c>
      <c r="C11" s="5">
        <v>51874024.000000007</v>
      </c>
      <c r="D11" s="5">
        <v>52085167.500000007</v>
      </c>
      <c r="F11" s="5"/>
      <c r="G11" t="s">
        <v>23</v>
      </c>
      <c r="H11" s="122">
        <v>2022</v>
      </c>
      <c r="I11" t="s">
        <v>24</v>
      </c>
      <c r="J11" s="122">
        <v>50559092.985396899</v>
      </c>
    </row>
    <row r="12" spans="1:12">
      <c r="A12" s="26" t="s">
        <v>25</v>
      </c>
      <c r="B12" s="5">
        <v>5153956.9999999981</v>
      </c>
      <c r="C12" s="5">
        <v>5180829.0000000028</v>
      </c>
      <c r="D12" s="5">
        <v>5212173.0000000028</v>
      </c>
      <c r="F12" s="5"/>
      <c r="G12" t="s">
        <v>25</v>
      </c>
      <c r="H12" s="122">
        <v>2022</v>
      </c>
      <c r="I12" t="s">
        <v>26</v>
      </c>
      <c r="J12" s="122">
        <v>5213480</v>
      </c>
    </row>
    <row r="13" spans="1:12">
      <c r="A13" s="26" t="s">
        <v>27</v>
      </c>
      <c r="B13" s="5">
        <v>11117873.5</v>
      </c>
      <c r="C13" s="5">
        <v>11228821.000000002</v>
      </c>
      <c r="D13" s="5">
        <v>11332972.5</v>
      </c>
      <c r="F13" s="5"/>
      <c r="G13" t="s">
        <v>27</v>
      </c>
      <c r="H13" s="122">
        <v>2021</v>
      </c>
      <c r="I13" t="s">
        <v>28</v>
      </c>
      <c r="J13" s="122">
        <v>10568344.2144241</v>
      </c>
    </row>
    <row r="14" spans="1:12">
      <c r="A14" s="26" t="s">
        <v>29</v>
      </c>
      <c r="B14" s="5">
        <v>17797737.000000015</v>
      </c>
      <c r="C14" s="5">
        <v>18000999.999999996</v>
      </c>
      <c r="D14" s="5">
        <v>18190483.999999996</v>
      </c>
      <c r="F14" s="5"/>
      <c r="G14" t="s">
        <v>29</v>
      </c>
      <c r="H14" s="122">
        <v>2023</v>
      </c>
      <c r="I14" t="s">
        <v>30</v>
      </c>
      <c r="J14" s="122">
        <v>18474052.991335899</v>
      </c>
      <c r="L14" s="76"/>
    </row>
    <row r="15" spans="1:12">
      <c r="A15" s="26" t="s">
        <v>31</v>
      </c>
      <c r="B15" s="5">
        <v>17608483.500000011</v>
      </c>
      <c r="C15" s="5">
        <v>17843908.000000007</v>
      </c>
      <c r="D15" s="5">
        <v>18092026.000000007</v>
      </c>
      <c r="F15" s="5"/>
      <c r="G15" t="s">
        <v>31</v>
      </c>
      <c r="H15" s="122">
        <v>2022</v>
      </c>
      <c r="I15" t="s">
        <v>32</v>
      </c>
      <c r="J15" s="122">
        <v>17372881</v>
      </c>
    </row>
    <row r="16" spans="1:12">
      <c r="A16" s="26" t="s">
        <v>33</v>
      </c>
      <c r="B16" s="5">
        <v>804567</v>
      </c>
      <c r="C16" s="5">
        <v>808725.49999999988</v>
      </c>
      <c r="D16" s="5">
        <v>813833.99999999977</v>
      </c>
      <c r="F16" s="5"/>
      <c r="G16" t="s">
        <v>33</v>
      </c>
      <c r="H16" s="122">
        <v>2021</v>
      </c>
      <c r="I16" t="s">
        <v>13</v>
      </c>
      <c r="J16" s="122">
        <v>769931.03933906602</v>
      </c>
    </row>
    <row r="17" spans="1:10">
      <c r="A17" s="26" t="s">
        <v>34</v>
      </c>
      <c r="B17" s="5">
        <v>10278345.499999994</v>
      </c>
      <c r="C17" s="5">
        <v>10432859.5</v>
      </c>
      <c r="D17" s="5">
        <v>10593797.999999996</v>
      </c>
      <c r="F17" s="5"/>
      <c r="G17" t="s">
        <v>34</v>
      </c>
      <c r="H17" s="122">
        <v>2023</v>
      </c>
      <c r="I17" t="s">
        <v>35</v>
      </c>
      <c r="J17" s="122">
        <v>9744744.4627990704</v>
      </c>
    </row>
    <row r="18" spans="1:10">
      <c r="A18" s="26" t="s">
        <v>36</v>
      </c>
      <c r="B18" s="5">
        <v>11447569.000000004</v>
      </c>
      <c r="C18" s="5">
        <v>11584995.499999994</v>
      </c>
      <c r="D18" s="5">
        <v>11724763.499999994</v>
      </c>
      <c r="F18" s="5"/>
      <c r="G18" t="s">
        <v>37</v>
      </c>
      <c r="H18" s="122">
        <v>2016</v>
      </c>
      <c r="I18" t="s">
        <v>13</v>
      </c>
      <c r="J18" s="122">
        <v>2728906.9962234502</v>
      </c>
    </row>
    <row r="19" spans="1:10">
      <c r="A19" s="26" t="s">
        <v>37</v>
      </c>
      <c r="B19" s="5">
        <v>2827694.4999999995</v>
      </c>
      <c r="C19" s="5">
        <v>2827377.0000000009</v>
      </c>
      <c r="D19" s="5">
        <v>2825543.5</v>
      </c>
      <c r="F19" s="5"/>
      <c r="G19" t="s">
        <v>38</v>
      </c>
      <c r="H19" s="122">
        <v>2022</v>
      </c>
      <c r="I19" t="s">
        <v>39</v>
      </c>
      <c r="J19" s="122">
        <v>128999038</v>
      </c>
    </row>
    <row r="20" spans="1:10">
      <c r="A20" s="26" t="s">
        <v>38</v>
      </c>
      <c r="B20" s="5">
        <v>126705138.00000001</v>
      </c>
      <c r="C20" s="5">
        <v>127504125.49999999</v>
      </c>
      <c r="D20" s="5">
        <v>128455566.49999999</v>
      </c>
      <c r="F20" s="5"/>
      <c r="G20" t="s">
        <v>40</v>
      </c>
      <c r="H20" s="122">
        <v>2014</v>
      </c>
      <c r="I20" t="s">
        <v>41</v>
      </c>
      <c r="J20" s="122">
        <v>6240907.8596110297</v>
      </c>
    </row>
    <row r="21" spans="1:10">
      <c r="A21" s="26" t="s">
        <v>40</v>
      </c>
      <c r="B21" s="5">
        <v>6850539.9999999981</v>
      </c>
      <c r="C21" s="5">
        <v>6948392</v>
      </c>
      <c r="D21" s="5">
        <v>7046310.5</v>
      </c>
      <c r="F21" s="5"/>
      <c r="G21" t="s">
        <v>42</v>
      </c>
      <c r="H21" s="122">
        <v>2022</v>
      </c>
      <c r="I21" t="s">
        <v>43</v>
      </c>
      <c r="J21" s="122">
        <v>4447596</v>
      </c>
    </row>
    <row r="22" spans="1:10">
      <c r="A22" s="26" t="s">
        <v>42</v>
      </c>
      <c r="B22" s="5">
        <v>4351266.9999999963</v>
      </c>
      <c r="C22" s="5">
        <v>4408580.5</v>
      </c>
      <c r="D22" s="5">
        <v>4468086.4999999972</v>
      </c>
      <c r="F22" s="5"/>
      <c r="G22" t="s">
        <v>44</v>
      </c>
      <c r="H22" s="122">
        <v>2022</v>
      </c>
      <c r="I22" t="s">
        <v>26</v>
      </c>
      <c r="J22" s="122">
        <v>34794479.0225683</v>
      </c>
    </row>
    <row r="23" spans="1:10">
      <c r="A23" s="26" t="s">
        <v>44</v>
      </c>
      <c r="B23" s="5">
        <v>33715471.499999985</v>
      </c>
      <c r="C23" s="5">
        <v>34049588.499999993</v>
      </c>
      <c r="D23" s="5">
        <v>34352718.499999978</v>
      </c>
      <c r="F23" s="5"/>
      <c r="G23" t="s">
        <v>45</v>
      </c>
      <c r="H23" s="122">
        <v>2022</v>
      </c>
      <c r="I23" t="s">
        <v>11</v>
      </c>
      <c r="J23" s="122">
        <v>7407035</v>
      </c>
    </row>
    <row r="24" spans="1:10">
      <c r="A24" s="26" t="s">
        <v>45</v>
      </c>
      <c r="B24" s="5">
        <v>6703799.0000000028</v>
      </c>
      <c r="C24" s="5">
        <v>6780744</v>
      </c>
      <c r="D24" s="5">
        <v>6861523.5000000028</v>
      </c>
      <c r="F24" s="5"/>
      <c r="G24" t="s">
        <v>46</v>
      </c>
      <c r="H24" s="122">
        <v>2022</v>
      </c>
      <c r="I24" t="s">
        <v>43</v>
      </c>
      <c r="J24" s="122">
        <v>6330947.0104064904</v>
      </c>
    </row>
    <row r="25" spans="1:10">
      <c r="A25" s="26" t="s">
        <v>46</v>
      </c>
      <c r="B25" s="5">
        <v>6314167.5000000019</v>
      </c>
      <c r="C25" s="5">
        <v>6336392.0000000009</v>
      </c>
      <c r="D25" s="5">
        <v>6364942.4999999972</v>
      </c>
      <c r="F25" s="5"/>
      <c r="G25" t="s">
        <v>47</v>
      </c>
      <c r="H25" s="122">
        <v>2015</v>
      </c>
      <c r="I25" t="s">
        <v>48</v>
      </c>
      <c r="J25" s="122">
        <v>1370327.9436531099</v>
      </c>
    </row>
    <row r="26" spans="1:10">
      <c r="A26" s="26" t="s">
        <v>49</v>
      </c>
      <c r="B26" s="5">
        <v>612984.50000000023</v>
      </c>
      <c r="C26" s="5">
        <v>618040.5</v>
      </c>
      <c r="D26" s="5">
        <v>623236.50000000035</v>
      </c>
      <c r="F26" s="5"/>
      <c r="G26" t="s">
        <v>50</v>
      </c>
      <c r="H26" s="122">
        <v>2022</v>
      </c>
      <c r="I26" t="s">
        <v>16</v>
      </c>
      <c r="J26" s="122">
        <v>3554802</v>
      </c>
    </row>
    <row r="27" spans="1:10">
      <c r="A27" s="26" t="s">
        <v>47</v>
      </c>
      <c r="B27" s="5">
        <v>1525662.9999999991</v>
      </c>
      <c r="C27" s="5">
        <v>1531044.4999999998</v>
      </c>
      <c r="D27" s="5">
        <v>1534937.0000000005</v>
      </c>
      <c r="F27" s="5"/>
      <c r="G27" t="s">
        <v>51</v>
      </c>
      <c r="H27" s="122">
        <v>2021</v>
      </c>
      <c r="I27" t="s">
        <v>52</v>
      </c>
      <c r="J27" s="122">
        <v>28704946.989028901</v>
      </c>
    </row>
    <row r="28" spans="1:10">
      <c r="A28" s="26" t="s">
        <v>50</v>
      </c>
      <c r="B28" s="5">
        <v>3426259.4999999995</v>
      </c>
      <c r="C28" s="5">
        <v>3422793.5</v>
      </c>
      <c r="D28" s="5">
        <v>3423108.4999999986</v>
      </c>
      <c r="F28" s="5"/>
    </row>
    <row r="29" spans="1:10">
      <c r="A29" s="26" t="s">
        <v>51</v>
      </c>
      <c r="B29" s="5">
        <v>28199866.500000004</v>
      </c>
      <c r="C29" s="5">
        <v>28301695.500000004</v>
      </c>
      <c r="D29" s="5">
        <v>28838498.999999985</v>
      </c>
      <c r="F29" s="5"/>
    </row>
    <row r="30" spans="1:10">
      <c r="A30" s="26" t="s">
        <v>53</v>
      </c>
      <c r="B30">
        <v>639222741.00000012</v>
      </c>
      <c r="C30">
        <v>643432486.49999988</v>
      </c>
      <c r="D30">
        <v>648159626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BDA50-8BB4-4120-8EAC-1A214CDD6A95}">
  <dimension ref="B1:AA327"/>
  <sheetViews>
    <sheetView zoomScale="81" zoomScaleNormal="81" workbookViewId="0">
      <selection activeCell="F246" sqref="F246"/>
    </sheetView>
  </sheetViews>
  <sheetFormatPr defaultRowHeight="14.5"/>
  <cols>
    <col min="2" max="2" width="6.7265625" customWidth="1"/>
    <col min="3" max="3" width="17.54296875" customWidth="1"/>
    <col min="4" max="4" width="11.81640625" customWidth="1"/>
    <col min="5" max="5" width="11.54296875" bestFit="1" customWidth="1"/>
    <col min="6" max="6" width="9.453125" customWidth="1"/>
    <col min="7" max="7" width="14.81640625" style="8" customWidth="1"/>
    <col min="8" max="9" width="12.26953125" style="8" customWidth="1"/>
    <col min="10" max="10" width="12.453125" style="8" customWidth="1"/>
    <col min="11" max="19" width="10.453125" customWidth="1"/>
    <col min="21" max="22" width="18.453125" customWidth="1"/>
    <col min="187" max="187" width="44.1796875" bestFit="1" customWidth="1"/>
    <col min="188" max="188" width="25.54296875" bestFit="1" customWidth="1"/>
    <col min="189" max="189" width="14.453125" bestFit="1" customWidth="1"/>
    <col min="190" max="190" width="12.7265625" bestFit="1" customWidth="1"/>
    <col min="191" max="253" width="11" bestFit="1" customWidth="1"/>
    <col min="254" max="254" width="5" bestFit="1" customWidth="1"/>
    <col min="443" max="443" width="44.1796875" bestFit="1" customWidth="1"/>
    <col min="444" max="444" width="25.54296875" bestFit="1" customWidth="1"/>
    <col min="445" max="445" width="14.453125" bestFit="1" customWidth="1"/>
    <col min="446" max="446" width="12.7265625" bestFit="1" customWidth="1"/>
    <col min="447" max="509" width="11" bestFit="1" customWidth="1"/>
    <col min="510" max="510" width="5" bestFit="1" customWidth="1"/>
    <col min="699" max="699" width="44.1796875" bestFit="1" customWidth="1"/>
    <col min="700" max="700" width="25.54296875" bestFit="1" customWidth="1"/>
    <col min="701" max="701" width="14.453125" bestFit="1" customWidth="1"/>
    <col min="702" max="702" width="12.7265625" bestFit="1" customWidth="1"/>
    <col min="703" max="765" width="11" bestFit="1" customWidth="1"/>
    <col min="766" max="766" width="5" bestFit="1" customWidth="1"/>
    <col min="955" max="955" width="44.1796875" bestFit="1" customWidth="1"/>
    <col min="956" max="956" width="25.54296875" bestFit="1" customWidth="1"/>
    <col min="957" max="957" width="14.453125" bestFit="1" customWidth="1"/>
    <col min="958" max="958" width="12.7265625" bestFit="1" customWidth="1"/>
    <col min="959" max="1021" width="11" bestFit="1" customWidth="1"/>
    <col min="1022" max="1022" width="5" bestFit="1" customWidth="1"/>
    <col min="1211" max="1211" width="44.1796875" bestFit="1" customWidth="1"/>
    <col min="1212" max="1212" width="25.54296875" bestFit="1" customWidth="1"/>
    <col min="1213" max="1213" width="14.453125" bestFit="1" customWidth="1"/>
    <col min="1214" max="1214" width="12.7265625" bestFit="1" customWidth="1"/>
    <col min="1215" max="1277" width="11" bestFit="1" customWidth="1"/>
    <col min="1278" max="1278" width="5" bestFit="1" customWidth="1"/>
    <col min="1467" max="1467" width="44.1796875" bestFit="1" customWidth="1"/>
    <col min="1468" max="1468" width="25.54296875" bestFit="1" customWidth="1"/>
    <col min="1469" max="1469" width="14.453125" bestFit="1" customWidth="1"/>
    <col min="1470" max="1470" width="12.7265625" bestFit="1" customWidth="1"/>
    <col min="1471" max="1533" width="11" bestFit="1" customWidth="1"/>
    <col min="1534" max="1534" width="5" bestFit="1" customWidth="1"/>
    <col min="1723" max="1723" width="44.1796875" bestFit="1" customWidth="1"/>
    <col min="1724" max="1724" width="25.54296875" bestFit="1" customWidth="1"/>
    <col min="1725" max="1725" width="14.453125" bestFit="1" customWidth="1"/>
    <col min="1726" max="1726" width="12.7265625" bestFit="1" customWidth="1"/>
    <col min="1727" max="1789" width="11" bestFit="1" customWidth="1"/>
    <col min="1790" max="1790" width="5" bestFit="1" customWidth="1"/>
    <col min="1979" max="1979" width="44.1796875" bestFit="1" customWidth="1"/>
    <col min="1980" max="1980" width="25.54296875" bestFit="1" customWidth="1"/>
    <col min="1981" max="1981" width="14.453125" bestFit="1" customWidth="1"/>
    <col min="1982" max="1982" width="12.7265625" bestFit="1" customWidth="1"/>
    <col min="1983" max="2045" width="11" bestFit="1" customWidth="1"/>
    <col min="2046" max="2046" width="5" bestFit="1" customWidth="1"/>
    <col min="2235" max="2235" width="44.1796875" bestFit="1" customWidth="1"/>
    <col min="2236" max="2236" width="25.54296875" bestFit="1" customWidth="1"/>
    <col min="2237" max="2237" width="14.453125" bestFit="1" customWidth="1"/>
    <col min="2238" max="2238" width="12.7265625" bestFit="1" customWidth="1"/>
    <col min="2239" max="2301" width="11" bestFit="1" customWidth="1"/>
    <col min="2302" max="2302" width="5" bestFit="1" customWidth="1"/>
    <col min="2491" max="2491" width="44.1796875" bestFit="1" customWidth="1"/>
    <col min="2492" max="2492" width="25.54296875" bestFit="1" customWidth="1"/>
    <col min="2493" max="2493" width="14.453125" bestFit="1" customWidth="1"/>
    <col min="2494" max="2494" width="12.7265625" bestFit="1" customWidth="1"/>
    <col min="2495" max="2557" width="11" bestFit="1" customWidth="1"/>
    <col min="2558" max="2558" width="5" bestFit="1" customWidth="1"/>
    <col min="2747" max="2747" width="44.1796875" bestFit="1" customWidth="1"/>
    <col min="2748" max="2748" width="25.54296875" bestFit="1" customWidth="1"/>
    <col min="2749" max="2749" width="14.453125" bestFit="1" customWidth="1"/>
    <col min="2750" max="2750" width="12.7265625" bestFit="1" customWidth="1"/>
    <col min="2751" max="2813" width="11" bestFit="1" customWidth="1"/>
    <col min="2814" max="2814" width="5" bestFit="1" customWidth="1"/>
    <col min="3003" max="3003" width="44.1796875" bestFit="1" customWidth="1"/>
    <col min="3004" max="3004" width="25.54296875" bestFit="1" customWidth="1"/>
    <col min="3005" max="3005" width="14.453125" bestFit="1" customWidth="1"/>
    <col min="3006" max="3006" width="12.7265625" bestFit="1" customWidth="1"/>
    <col min="3007" max="3069" width="11" bestFit="1" customWidth="1"/>
    <col min="3070" max="3070" width="5" bestFit="1" customWidth="1"/>
    <col min="3259" max="3259" width="44.1796875" bestFit="1" customWidth="1"/>
    <col min="3260" max="3260" width="25.54296875" bestFit="1" customWidth="1"/>
    <col min="3261" max="3261" width="14.453125" bestFit="1" customWidth="1"/>
    <col min="3262" max="3262" width="12.7265625" bestFit="1" customWidth="1"/>
    <col min="3263" max="3325" width="11" bestFit="1" customWidth="1"/>
    <col min="3326" max="3326" width="5" bestFit="1" customWidth="1"/>
    <col min="3515" max="3515" width="44.1796875" bestFit="1" customWidth="1"/>
    <col min="3516" max="3516" width="25.54296875" bestFit="1" customWidth="1"/>
    <col min="3517" max="3517" width="14.453125" bestFit="1" customWidth="1"/>
    <col min="3518" max="3518" width="12.7265625" bestFit="1" customWidth="1"/>
    <col min="3519" max="3581" width="11" bestFit="1" customWidth="1"/>
    <col min="3582" max="3582" width="5" bestFit="1" customWidth="1"/>
    <col min="3771" max="3771" width="44.1796875" bestFit="1" customWidth="1"/>
    <col min="3772" max="3772" width="25.54296875" bestFit="1" customWidth="1"/>
    <col min="3773" max="3773" width="14.453125" bestFit="1" customWidth="1"/>
    <col min="3774" max="3774" width="12.7265625" bestFit="1" customWidth="1"/>
    <col min="3775" max="3837" width="11" bestFit="1" customWidth="1"/>
    <col min="3838" max="3838" width="5" bestFit="1" customWidth="1"/>
    <col min="4027" max="4027" width="44.1796875" bestFit="1" customWidth="1"/>
    <col min="4028" max="4028" width="25.54296875" bestFit="1" customWidth="1"/>
    <col min="4029" max="4029" width="14.453125" bestFit="1" customWidth="1"/>
    <col min="4030" max="4030" width="12.7265625" bestFit="1" customWidth="1"/>
    <col min="4031" max="4093" width="11" bestFit="1" customWidth="1"/>
    <col min="4094" max="4094" width="5" bestFit="1" customWidth="1"/>
    <col min="4283" max="4283" width="44.1796875" bestFit="1" customWidth="1"/>
    <col min="4284" max="4284" width="25.54296875" bestFit="1" customWidth="1"/>
    <col min="4285" max="4285" width="14.453125" bestFit="1" customWidth="1"/>
    <col min="4286" max="4286" width="12.7265625" bestFit="1" customWidth="1"/>
    <col min="4287" max="4349" width="11" bestFit="1" customWidth="1"/>
    <col min="4350" max="4350" width="5" bestFit="1" customWidth="1"/>
    <col min="4539" max="4539" width="44.1796875" bestFit="1" customWidth="1"/>
    <col min="4540" max="4540" width="25.54296875" bestFit="1" customWidth="1"/>
    <col min="4541" max="4541" width="14.453125" bestFit="1" customWidth="1"/>
    <col min="4542" max="4542" width="12.7265625" bestFit="1" customWidth="1"/>
    <col min="4543" max="4605" width="11" bestFit="1" customWidth="1"/>
    <col min="4606" max="4606" width="5" bestFit="1" customWidth="1"/>
    <col min="4795" max="4795" width="44.1796875" bestFit="1" customWidth="1"/>
    <col min="4796" max="4796" width="25.54296875" bestFit="1" customWidth="1"/>
    <col min="4797" max="4797" width="14.453125" bestFit="1" customWidth="1"/>
    <col min="4798" max="4798" width="12.7265625" bestFit="1" customWidth="1"/>
    <col min="4799" max="4861" width="11" bestFit="1" customWidth="1"/>
    <col min="4862" max="4862" width="5" bestFit="1" customWidth="1"/>
    <col min="5051" max="5051" width="44.1796875" bestFit="1" customWidth="1"/>
    <col min="5052" max="5052" width="25.54296875" bestFit="1" customWidth="1"/>
    <col min="5053" max="5053" width="14.453125" bestFit="1" customWidth="1"/>
    <col min="5054" max="5054" width="12.7265625" bestFit="1" customWidth="1"/>
    <col min="5055" max="5117" width="11" bestFit="1" customWidth="1"/>
    <col min="5118" max="5118" width="5" bestFit="1" customWidth="1"/>
    <col min="5307" max="5307" width="44.1796875" bestFit="1" customWidth="1"/>
    <col min="5308" max="5308" width="25.54296875" bestFit="1" customWidth="1"/>
    <col min="5309" max="5309" width="14.453125" bestFit="1" customWidth="1"/>
    <col min="5310" max="5310" width="12.7265625" bestFit="1" customWidth="1"/>
    <col min="5311" max="5373" width="11" bestFit="1" customWidth="1"/>
    <col min="5374" max="5374" width="5" bestFit="1" customWidth="1"/>
    <col min="5563" max="5563" width="44.1796875" bestFit="1" customWidth="1"/>
    <col min="5564" max="5564" width="25.54296875" bestFit="1" customWidth="1"/>
    <col min="5565" max="5565" width="14.453125" bestFit="1" customWidth="1"/>
    <col min="5566" max="5566" width="12.7265625" bestFit="1" customWidth="1"/>
    <col min="5567" max="5629" width="11" bestFit="1" customWidth="1"/>
    <col min="5630" max="5630" width="5" bestFit="1" customWidth="1"/>
    <col min="5819" max="5819" width="44.1796875" bestFit="1" customWidth="1"/>
    <col min="5820" max="5820" width="25.54296875" bestFit="1" customWidth="1"/>
    <col min="5821" max="5821" width="14.453125" bestFit="1" customWidth="1"/>
    <col min="5822" max="5822" width="12.7265625" bestFit="1" customWidth="1"/>
    <col min="5823" max="5885" width="11" bestFit="1" customWidth="1"/>
    <col min="5886" max="5886" width="5" bestFit="1" customWidth="1"/>
    <col min="6075" max="6075" width="44.1796875" bestFit="1" customWidth="1"/>
    <col min="6076" max="6076" width="25.54296875" bestFit="1" customWidth="1"/>
    <col min="6077" max="6077" width="14.453125" bestFit="1" customWidth="1"/>
    <col min="6078" max="6078" width="12.7265625" bestFit="1" customWidth="1"/>
    <col min="6079" max="6141" width="11" bestFit="1" customWidth="1"/>
    <col min="6142" max="6142" width="5" bestFit="1" customWidth="1"/>
    <col min="6331" max="6331" width="44.1796875" bestFit="1" customWidth="1"/>
    <col min="6332" max="6332" width="25.54296875" bestFit="1" customWidth="1"/>
    <col min="6333" max="6333" width="14.453125" bestFit="1" customWidth="1"/>
    <col min="6334" max="6334" width="12.7265625" bestFit="1" customWidth="1"/>
    <col min="6335" max="6397" width="11" bestFit="1" customWidth="1"/>
    <col min="6398" max="6398" width="5" bestFit="1" customWidth="1"/>
    <col min="6587" max="6587" width="44.1796875" bestFit="1" customWidth="1"/>
    <col min="6588" max="6588" width="25.54296875" bestFit="1" customWidth="1"/>
    <col min="6589" max="6589" width="14.453125" bestFit="1" customWidth="1"/>
    <col min="6590" max="6590" width="12.7265625" bestFit="1" customWidth="1"/>
    <col min="6591" max="6653" width="11" bestFit="1" customWidth="1"/>
    <col min="6654" max="6654" width="5" bestFit="1" customWidth="1"/>
    <col min="6843" max="6843" width="44.1796875" bestFit="1" customWidth="1"/>
    <col min="6844" max="6844" width="25.54296875" bestFit="1" customWidth="1"/>
    <col min="6845" max="6845" width="14.453125" bestFit="1" customWidth="1"/>
    <col min="6846" max="6846" width="12.7265625" bestFit="1" customWidth="1"/>
    <col min="6847" max="6909" width="11" bestFit="1" customWidth="1"/>
    <col min="6910" max="6910" width="5" bestFit="1" customWidth="1"/>
    <col min="7099" max="7099" width="44.1796875" bestFit="1" customWidth="1"/>
    <col min="7100" max="7100" width="25.54296875" bestFit="1" customWidth="1"/>
    <col min="7101" max="7101" width="14.453125" bestFit="1" customWidth="1"/>
    <col min="7102" max="7102" width="12.7265625" bestFit="1" customWidth="1"/>
    <col min="7103" max="7165" width="11" bestFit="1" customWidth="1"/>
    <col min="7166" max="7166" width="5" bestFit="1" customWidth="1"/>
    <col min="7355" max="7355" width="44.1796875" bestFit="1" customWidth="1"/>
    <col min="7356" max="7356" width="25.54296875" bestFit="1" customWidth="1"/>
    <col min="7357" max="7357" width="14.453125" bestFit="1" customWidth="1"/>
    <col min="7358" max="7358" width="12.7265625" bestFit="1" customWidth="1"/>
    <col min="7359" max="7421" width="11" bestFit="1" customWidth="1"/>
    <col min="7422" max="7422" width="5" bestFit="1" customWidth="1"/>
    <col min="7611" max="7611" width="44.1796875" bestFit="1" customWidth="1"/>
    <col min="7612" max="7612" width="25.54296875" bestFit="1" customWidth="1"/>
    <col min="7613" max="7613" width="14.453125" bestFit="1" customWidth="1"/>
    <col min="7614" max="7614" width="12.7265625" bestFit="1" customWidth="1"/>
    <col min="7615" max="7677" width="11" bestFit="1" customWidth="1"/>
    <col min="7678" max="7678" width="5" bestFit="1" customWidth="1"/>
    <col min="7867" max="7867" width="44.1796875" bestFit="1" customWidth="1"/>
    <col min="7868" max="7868" width="25.54296875" bestFit="1" customWidth="1"/>
    <col min="7869" max="7869" width="14.453125" bestFit="1" customWidth="1"/>
    <col min="7870" max="7870" width="12.7265625" bestFit="1" customWidth="1"/>
    <col min="7871" max="7933" width="11" bestFit="1" customWidth="1"/>
    <col min="7934" max="7934" width="5" bestFit="1" customWidth="1"/>
    <col min="8123" max="8123" width="44.1796875" bestFit="1" customWidth="1"/>
    <col min="8124" max="8124" width="25.54296875" bestFit="1" customWidth="1"/>
    <col min="8125" max="8125" width="14.453125" bestFit="1" customWidth="1"/>
    <col min="8126" max="8126" width="12.7265625" bestFit="1" customWidth="1"/>
    <col min="8127" max="8189" width="11" bestFit="1" customWidth="1"/>
    <col min="8190" max="8190" width="5" bestFit="1" customWidth="1"/>
    <col min="8379" max="8379" width="44.1796875" bestFit="1" customWidth="1"/>
    <col min="8380" max="8380" width="25.54296875" bestFit="1" customWidth="1"/>
    <col min="8381" max="8381" width="14.453125" bestFit="1" customWidth="1"/>
    <col min="8382" max="8382" width="12.7265625" bestFit="1" customWidth="1"/>
    <col min="8383" max="8445" width="11" bestFit="1" customWidth="1"/>
    <col min="8446" max="8446" width="5" bestFit="1" customWidth="1"/>
    <col min="8635" max="8635" width="44.1796875" bestFit="1" customWidth="1"/>
    <col min="8636" max="8636" width="25.54296875" bestFit="1" customWidth="1"/>
    <col min="8637" max="8637" width="14.453125" bestFit="1" customWidth="1"/>
    <col min="8638" max="8638" width="12.7265625" bestFit="1" customWidth="1"/>
    <col min="8639" max="8701" width="11" bestFit="1" customWidth="1"/>
    <col min="8702" max="8702" width="5" bestFit="1" customWidth="1"/>
    <col min="8891" max="8891" width="44.1796875" bestFit="1" customWidth="1"/>
    <col min="8892" max="8892" width="25.54296875" bestFit="1" customWidth="1"/>
    <col min="8893" max="8893" width="14.453125" bestFit="1" customWidth="1"/>
    <col min="8894" max="8894" width="12.7265625" bestFit="1" customWidth="1"/>
    <col min="8895" max="8957" width="11" bestFit="1" customWidth="1"/>
    <col min="8958" max="8958" width="5" bestFit="1" customWidth="1"/>
    <col min="9147" max="9147" width="44.1796875" bestFit="1" customWidth="1"/>
    <col min="9148" max="9148" width="25.54296875" bestFit="1" customWidth="1"/>
    <col min="9149" max="9149" width="14.453125" bestFit="1" customWidth="1"/>
    <col min="9150" max="9150" width="12.7265625" bestFit="1" customWidth="1"/>
    <col min="9151" max="9213" width="11" bestFit="1" customWidth="1"/>
    <col min="9214" max="9214" width="5" bestFit="1" customWidth="1"/>
    <col min="9403" max="9403" width="44.1796875" bestFit="1" customWidth="1"/>
    <col min="9404" max="9404" width="25.54296875" bestFit="1" customWidth="1"/>
    <col min="9405" max="9405" width="14.453125" bestFit="1" customWidth="1"/>
    <col min="9406" max="9406" width="12.7265625" bestFit="1" customWidth="1"/>
    <col min="9407" max="9469" width="11" bestFit="1" customWidth="1"/>
    <col min="9470" max="9470" width="5" bestFit="1" customWidth="1"/>
    <col min="9659" max="9659" width="44.1796875" bestFit="1" customWidth="1"/>
    <col min="9660" max="9660" width="25.54296875" bestFit="1" customWidth="1"/>
    <col min="9661" max="9661" width="14.453125" bestFit="1" customWidth="1"/>
    <col min="9662" max="9662" width="12.7265625" bestFit="1" customWidth="1"/>
    <col min="9663" max="9725" width="11" bestFit="1" customWidth="1"/>
    <col min="9726" max="9726" width="5" bestFit="1" customWidth="1"/>
    <col min="9915" max="9915" width="44.1796875" bestFit="1" customWidth="1"/>
    <col min="9916" max="9916" width="25.54296875" bestFit="1" customWidth="1"/>
    <col min="9917" max="9917" width="14.453125" bestFit="1" customWidth="1"/>
    <col min="9918" max="9918" width="12.7265625" bestFit="1" customWidth="1"/>
    <col min="9919" max="9981" width="11" bestFit="1" customWidth="1"/>
    <col min="9982" max="9982" width="5" bestFit="1" customWidth="1"/>
    <col min="10171" max="10171" width="44.1796875" bestFit="1" customWidth="1"/>
    <col min="10172" max="10172" width="25.54296875" bestFit="1" customWidth="1"/>
    <col min="10173" max="10173" width="14.453125" bestFit="1" customWidth="1"/>
    <col min="10174" max="10174" width="12.7265625" bestFit="1" customWidth="1"/>
    <col min="10175" max="10237" width="11" bestFit="1" customWidth="1"/>
    <col min="10238" max="10238" width="5" bestFit="1" customWidth="1"/>
    <col min="10427" max="10427" width="44.1796875" bestFit="1" customWidth="1"/>
    <col min="10428" max="10428" width="25.54296875" bestFit="1" customWidth="1"/>
    <col min="10429" max="10429" width="14.453125" bestFit="1" customWidth="1"/>
    <col min="10430" max="10430" width="12.7265625" bestFit="1" customWidth="1"/>
    <col min="10431" max="10493" width="11" bestFit="1" customWidth="1"/>
    <col min="10494" max="10494" width="5" bestFit="1" customWidth="1"/>
    <col min="10683" max="10683" width="44.1796875" bestFit="1" customWidth="1"/>
    <col min="10684" max="10684" width="25.54296875" bestFit="1" customWidth="1"/>
    <col min="10685" max="10685" width="14.453125" bestFit="1" customWidth="1"/>
    <col min="10686" max="10686" width="12.7265625" bestFit="1" customWidth="1"/>
    <col min="10687" max="10749" width="11" bestFit="1" customWidth="1"/>
    <col min="10750" max="10750" width="5" bestFit="1" customWidth="1"/>
    <col min="10939" max="10939" width="44.1796875" bestFit="1" customWidth="1"/>
    <col min="10940" max="10940" width="25.54296875" bestFit="1" customWidth="1"/>
    <col min="10941" max="10941" width="14.453125" bestFit="1" customWidth="1"/>
    <col min="10942" max="10942" width="12.7265625" bestFit="1" customWidth="1"/>
    <col min="10943" max="11005" width="11" bestFit="1" customWidth="1"/>
    <col min="11006" max="11006" width="5" bestFit="1" customWidth="1"/>
    <col min="11195" max="11195" width="44.1796875" bestFit="1" customWidth="1"/>
    <col min="11196" max="11196" width="25.54296875" bestFit="1" customWidth="1"/>
    <col min="11197" max="11197" width="14.453125" bestFit="1" customWidth="1"/>
    <col min="11198" max="11198" width="12.7265625" bestFit="1" customWidth="1"/>
    <col min="11199" max="11261" width="11" bestFit="1" customWidth="1"/>
    <col min="11262" max="11262" width="5" bestFit="1" customWidth="1"/>
    <col min="11451" max="11451" width="44.1796875" bestFit="1" customWidth="1"/>
    <col min="11452" max="11452" width="25.54296875" bestFit="1" customWidth="1"/>
    <col min="11453" max="11453" width="14.453125" bestFit="1" customWidth="1"/>
    <col min="11454" max="11454" width="12.7265625" bestFit="1" customWidth="1"/>
    <col min="11455" max="11517" width="11" bestFit="1" customWidth="1"/>
    <col min="11518" max="11518" width="5" bestFit="1" customWidth="1"/>
    <col min="11707" max="11707" width="44.1796875" bestFit="1" customWidth="1"/>
    <col min="11708" max="11708" width="25.54296875" bestFit="1" customWidth="1"/>
    <col min="11709" max="11709" width="14.453125" bestFit="1" customWidth="1"/>
    <col min="11710" max="11710" width="12.7265625" bestFit="1" customWidth="1"/>
    <col min="11711" max="11773" width="11" bestFit="1" customWidth="1"/>
    <col min="11774" max="11774" width="5" bestFit="1" customWidth="1"/>
    <col min="11963" max="11963" width="44.1796875" bestFit="1" customWidth="1"/>
    <col min="11964" max="11964" width="25.54296875" bestFit="1" customWidth="1"/>
    <col min="11965" max="11965" width="14.453125" bestFit="1" customWidth="1"/>
    <col min="11966" max="11966" width="12.7265625" bestFit="1" customWidth="1"/>
    <col min="11967" max="12029" width="11" bestFit="1" customWidth="1"/>
    <col min="12030" max="12030" width="5" bestFit="1" customWidth="1"/>
    <col min="12219" max="12219" width="44.1796875" bestFit="1" customWidth="1"/>
    <col min="12220" max="12220" width="25.54296875" bestFit="1" customWidth="1"/>
    <col min="12221" max="12221" width="14.453125" bestFit="1" customWidth="1"/>
    <col min="12222" max="12222" width="12.7265625" bestFit="1" customWidth="1"/>
    <col min="12223" max="12285" width="11" bestFit="1" customWidth="1"/>
    <col min="12286" max="12286" width="5" bestFit="1" customWidth="1"/>
    <col min="12475" max="12475" width="44.1796875" bestFit="1" customWidth="1"/>
    <col min="12476" max="12476" width="25.54296875" bestFit="1" customWidth="1"/>
    <col min="12477" max="12477" width="14.453125" bestFit="1" customWidth="1"/>
    <col min="12478" max="12478" width="12.7265625" bestFit="1" customWidth="1"/>
    <col min="12479" max="12541" width="11" bestFit="1" customWidth="1"/>
    <col min="12542" max="12542" width="5" bestFit="1" customWidth="1"/>
    <col min="12731" max="12731" width="44.1796875" bestFit="1" customWidth="1"/>
    <col min="12732" max="12732" width="25.54296875" bestFit="1" customWidth="1"/>
    <col min="12733" max="12733" width="14.453125" bestFit="1" customWidth="1"/>
    <col min="12734" max="12734" width="12.7265625" bestFit="1" customWidth="1"/>
    <col min="12735" max="12797" width="11" bestFit="1" customWidth="1"/>
    <col min="12798" max="12798" width="5" bestFit="1" customWidth="1"/>
    <col min="12987" max="12987" width="44.1796875" bestFit="1" customWidth="1"/>
    <col min="12988" max="12988" width="25.54296875" bestFit="1" customWidth="1"/>
    <col min="12989" max="12989" width="14.453125" bestFit="1" customWidth="1"/>
    <col min="12990" max="12990" width="12.7265625" bestFit="1" customWidth="1"/>
    <col min="12991" max="13053" width="11" bestFit="1" customWidth="1"/>
    <col min="13054" max="13054" width="5" bestFit="1" customWidth="1"/>
    <col min="13243" max="13243" width="44.1796875" bestFit="1" customWidth="1"/>
    <col min="13244" max="13244" width="25.54296875" bestFit="1" customWidth="1"/>
    <col min="13245" max="13245" width="14.453125" bestFit="1" customWidth="1"/>
    <col min="13246" max="13246" width="12.7265625" bestFit="1" customWidth="1"/>
    <col min="13247" max="13309" width="11" bestFit="1" customWidth="1"/>
    <col min="13310" max="13310" width="5" bestFit="1" customWidth="1"/>
    <col min="13499" max="13499" width="44.1796875" bestFit="1" customWidth="1"/>
    <col min="13500" max="13500" width="25.54296875" bestFit="1" customWidth="1"/>
    <col min="13501" max="13501" width="14.453125" bestFit="1" customWidth="1"/>
    <col min="13502" max="13502" width="12.7265625" bestFit="1" customWidth="1"/>
    <col min="13503" max="13565" width="11" bestFit="1" customWidth="1"/>
    <col min="13566" max="13566" width="5" bestFit="1" customWidth="1"/>
    <col min="13755" max="13755" width="44.1796875" bestFit="1" customWidth="1"/>
    <col min="13756" max="13756" width="25.54296875" bestFit="1" customWidth="1"/>
    <col min="13757" max="13757" width="14.453125" bestFit="1" customWidth="1"/>
    <col min="13758" max="13758" width="12.7265625" bestFit="1" customWidth="1"/>
    <col min="13759" max="13821" width="11" bestFit="1" customWidth="1"/>
    <col min="13822" max="13822" width="5" bestFit="1" customWidth="1"/>
    <col min="14011" max="14011" width="44.1796875" bestFit="1" customWidth="1"/>
    <col min="14012" max="14012" width="25.54296875" bestFit="1" customWidth="1"/>
    <col min="14013" max="14013" width="14.453125" bestFit="1" customWidth="1"/>
    <col min="14014" max="14014" width="12.7265625" bestFit="1" customWidth="1"/>
    <col min="14015" max="14077" width="11" bestFit="1" customWidth="1"/>
    <col min="14078" max="14078" width="5" bestFit="1" customWidth="1"/>
    <col min="14267" max="14267" width="44.1796875" bestFit="1" customWidth="1"/>
    <col min="14268" max="14268" width="25.54296875" bestFit="1" customWidth="1"/>
    <col min="14269" max="14269" width="14.453125" bestFit="1" customWidth="1"/>
    <col min="14270" max="14270" width="12.7265625" bestFit="1" customWidth="1"/>
    <col min="14271" max="14333" width="11" bestFit="1" customWidth="1"/>
    <col min="14334" max="14334" width="5" bestFit="1" customWidth="1"/>
    <col min="14523" max="14523" width="44.1796875" bestFit="1" customWidth="1"/>
    <col min="14524" max="14524" width="25.54296875" bestFit="1" customWidth="1"/>
    <col min="14525" max="14525" width="14.453125" bestFit="1" customWidth="1"/>
    <col min="14526" max="14526" width="12.7265625" bestFit="1" customWidth="1"/>
    <col min="14527" max="14589" width="11" bestFit="1" customWidth="1"/>
    <col min="14590" max="14590" width="5" bestFit="1" customWidth="1"/>
    <col min="14779" max="14779" width="44.1796875" bestFit="1" customWidth="1"/>
    <col min="14780" max="14780" width="25.54296875" bestFit="1" customWidth="1"/>
    <col min="14781" max="14781" width="14.453125" bestFit="1" customWidth="1"/>
    <col min="14782" max="14782" width="12.7265625" bestFit="1" customWidth="1"/>
    <col min="14783" max="14845" width="11" bestFit="1" customWidth="1"/>
    <col min="14846" max="14846" width="5" bestFit="1" customWidth="1"/>
    <col min="15035" max="15035" width="44.1796875" bestFit="1" customWidth="1"/>
    <col min="15036" max="15036" width="25.54296875" bestFit="1" customWidth="1"/>
    <col min="15037" max="15037" width="14.453125" bestFit="1" customWidth="1"/>
    <col min="15038" max="15038" width="12.7265625" bestFit="1" customWidth="1"/>
    <col min="15039" max="15101" width="11" bestFit="1" customWidth="1"/>
    <col min="15102" max="15102" width="5" bestFit="1" customWidth="1"/>
    <col min="15291" max="15291" width="44.1796875" bestFit="1" customWidth="1"/>
    <col min="15292" max="15292" width="25.54296875" bestFit="1" customWidth="1"/>
    <col min="15293" max="15293" width="14.453125" bestFit="1" customWidth="1"/>
    <col min="15294" max="15294" width="12.7265625" bestFit="1" customWidth="1"/>
    <col min="15295" max="15357" width="11" bestFit="1" customWidth="1"/>
    <col min="15358" max="15358" width="5" bestFit="1" customWidth="1"/>
    <col min="15547" max="15547" width="44.1796875" bestFit="1" customWidth="1"/>
    <col min="15548" max="15548" width="25.54296875" bestFit="1" customWidth="1"/>
    <col min="15549" max="15549" width="14.453125" bestFit="1" customWidth="1"/>
    <col min="15550" max="15550" width="12.7265625" bestFit="1" customWidth="1"/>
    <col min="15551" max="15613" width="11" bestFit="1" customWidth="1"/>
    <col min="15614" max="15614" width="5" bestFit="1" customWidth="1"/>
    <col min="15803" max="15803" width="44.1796875" bestFit="1" customWidth="1"/>
    <col min="15804" max="15804" width="25.54296875" bestFit="1" customWidth="1"/>
    <col min="15805" max="15805" width="14.453125" bestFit="1" customWidth="1"/>
    <col min="15806" max="15806" width="12.7265625" bestFit="1" customWidth="1"/>
    <col min="15807" max="15869" width="11" bestFit="1" customWidth="1"/>
    <col min="15870" max="15870" width="5" bestFit="1" customWidth="1"/>
    <col min="16059" max="16059" width="44.1796875" bestFit="1" customWidth="1"/>
    <col min="16060" max="16060" width="25.54296875" bestFit="1" customWidth="1"/>
    <col min="16061" max="16061" width="14.453125" bestFit="1" customWidth="1"/>
    <col min="16062" max="16062" width="12.7265625" bestFit="1" customWidth="1"/>
    <col min="16063" max="16125" width="11" bestFit="1" customWidth="1"/>
    <col min="16126" max="16126" width="5" bestFit="1" customWidth="1"/>
  </cols>
  <sheetData>
    <row r="1" spans="2:27">
      <c r="G1"/>
      <c r="H1"/>
      <c r="I1"/>
      <c r="J1"/>
    </row>
    <row r="2" spans="2:27">
      <c r="G2" s="5"/>
      <c r="H2" s="5"/>
      <c r="I2" s="5"/>
      <c r="J2" s="5"/>
      <c r="O2" t="s">
        <v>54</v>
      </c>
      <c r="Y2" s="5">
        <f>SUM(Y6:Y273)</f>
        <v>7909294.6399999997</v>
      </c>
      <c r="Z2" s="5">
        <f>SUM(Z6:Z273)</f>
        <v>7975104.6449999977</v>
      </c>
      <c r="AA2" s="5">
        <f>SUM(AA6:AA273)</f>
        <v>8045310.9300000034</v>
      </c>
    </row>
    <row r="3" spans="2:27">
      <c r="C3" s="76"/>
      <c r="G3"/>
      <c r="H3"/>
      <c r="I3"/>
      <c r="J3"/>
      <c r="S3" s="10"/>
      <c r="T3" s="10"/>
      <c r="U3" s="10"/>
      <c r="V3" s="10"/>
      <c r="W3" s="10"/>
    </row>
    <row r="4" spans="2:27">
      <c r="B4" s="131" t="s">
        <v>6</v>
      </c>
      <c r="C4" s="131" t="s">
        <v>55</v>
      </c>
      <c r="D4" s="132" t="s">
        <v>56</v>
      </c>
      <c r="E4" s="132" t="s">
        <v>0</v>
      </c>
      <c r="F4" s="132" t="s">
        <v>57</v>
      </c>
      <c r="G4" s="132" t="s">
        <v>58</v>
      </c>
      <c r="H4" s="132" t="s">
        <v>59</v>
      </c>
      <c r="I4" s="132" t="s">
        <v>60</v>
      </c>
      <c r="J4" s="132" t="s">
        <v>61</v>
      </c>
      <c r="K4" s="76"/>
      <c r="L4" s="76"/>
      <c r="M4" s="76"/>
      <c r="N4" s="76"/>
      <c r="O4" s="76" t="s">
        <v>62</v>
      </c>
      <c r="P4" s="76" t="s">
        <v>63</v>
      </c>
      <c r="Q4" s="76" t="s">
        <v>64</v>
      </c>
      <c r="R4" s="76" t="s">
        <v>65</v>
      </c>
      <c r="S4" s="9" t="s">
        <v>66</v>
      </c>
      <c r="T4" s="9" t="s">
        <v>67</v>
      </c>
      <c r="U4" s="9" t="s">
        <v>68</v>
      </c>
      <c r="V4" s="9" t="s">
        <v>69</v>
      </c>
      <c r="W4" t="s">
        <v>70</v>
      </c>
      <c r="X4" t="s">
        <v>71</v>
      </c>
      <c r="Y4">
        <v>2021</v>
      </c>
      <c r="Z4">
        <v>2022</v>
      </c>
      <c r="AA4">
        <v>2023</v>
      </c>
    </row>
    <row r="5" spans="2:27">
      <c r="B5" s="133"/>
      <c r="C5" s="134" t="s">
        <v>65</v>
      </c>
      <c r="D5" s="135" t="s">
        <v>72</v>
      </c>
      <c r="E5" s="135" t="s">
        <v>73</v>
      </c>
      <c r="F5" s="135" t="s">
        <v>74</v>
      </c>
      <c r="G5" s="135" t="s">
        <v>75</v>
      </c>
      <c r="H5" s="135" t="s">
        <v>76</v>
      </c>
      <c r="I5" s="135" t="s">
        <v>77</v>
      </c>
      <c r="J5" s="135" t="s">
        <v>77</v>
      </c>
      <c r="S5" s="10"/>
      <c r="T5" s="10"/>
      <c r="U5" s="10"/>
      <c r="V5" s="10"/>
      <c r="W5" s="10"/>
    </row>
    <row r="6" spans="2:27">
      <c r="B6" t="s">
        <v>78</v>
      </c>
      <c r="C6" t="s">
        <v>79</v>
      </c>
      <c r="D6" t="s">
        <v>80</v>
      </c>
      <c r="E6" t="s">
        <v>81</v>
      </c>
      <c r="F6" t="s">
        <v>81</v>
      </c>
      <c r="G6" s="8">
        <v>106445</v>
      </c>
      <c r="H6" s="8">
        <f t="shared" ref="H6:H69" si="0">IFERROR(VLOOKUP(B6,$T$6:$AA$241,6,0)*1000,"")</f>
        <v>106536.49999999999</v>
      </c>
      <c r="I6" s="8">
        <f t="shared" ref="I6:I69" si="1">IFERROR(VLOOKUP(B6,$T$6:$AA$241,7,0)*1000,"")</f>
        <v>106444.99999999999</v>
      </c>
      <c r="J6" s="8">
        <f t="shared" ref="J6:J69" si="2">IFERROR(VLOOKUP(B6,$T$6:$AA$241,8,0)*1000,"")</f>
        <v>106276.99999999997</v>
      </c>
      <c r="O6">
        <v>1804</v>
      </c>
      <c r="P6" t="s">
        <v>82</v>
      </c>
      <c r="Q6" t="s">
        <v>83</v>
      </c>
      <c r="R6" t="s">
        <v>81</v>
      </c>
      <c r="S6" s="9">
        <v>108</v>
      </c>
      <c r="T6" s="9" t="s">
        <v>84</v>
      </c>
      <c r="U6" s="9" t="s">
        <v>85</v>
      </c>
      <c r="V6" s="9">
        <v>108</v>
      </c>
      <c r="W6" t="s">
        <v>86</v>
      </c>
      <c r="X6">
        <v>910</v>
      </c>
      <c r="Y6" s="9">
        <v>12551.212999999998</v>
      </c>
      <c r="Z6" s="9">
        <v>12889.576499999994</v>
      </c>
      <c r="AA6" s="9">
        <v>13238.558999999994</v>
      </c>
    </row>
    <row r="7" spans="2:27">
      <c r="B7" t="s">
        <v>87</v>
      </c>
      <c r="C7" t="s">
        <v>88</v>
      </c>
      <c r="D7" t="s">
        <v>81</v>
      </c>
      <c r="E7" t="s">
        <v>81</v>
      </c>
      <c r="F7" t="s">
        <v>81</v>
      </c>
      <c r="G7" s="8">
        <v>720859132</v>
      </c>
      <c r="H7" s="8" t="str">
        <f t="shared" si="0"/>
        <v/>
      </c>
      <c r="I7" s="8" t="str">
        <f t="shared" si="1"/>
        <v/>
      </c>
      <c r="J7" s="8" t="str">
        <f t="shared" si="2"/>
        <v/>
      </c>
      <c r="O7">
        <v>1876</v>
      </c>
      <c r="P7" t="s">
        <v>82</v>
      </c>
      <c r="Q7" t="s">
        <v>89</v>
      </c>
      <c r="R7" t="s">
        <v>81</v>
      </c>
      <c r="S7" s="9">
        <v>174</v>
      </c>
      <c r="T7" s="9" t="s">
        <v>90</v>
      </c>
      <c r="U7" s="9" t="s">
        <v>91</v>
      </c>
      <c r="V7" s="9">
        <v>174</v>
      </c>
      <c r="W7" t="s">
        <v>86</v>
      </c>
      <c r="X7">
        <v>910</v>
      </c>
      <c r="Y7" s="9">
        <v>821.62549999999987</v>
      </c>
      <c r="Z7" s="9">
        <v>836.77349999999979</v>
      </c>
      <c r="AA7" s="9">
        <v>852.07499999999993</v>
      </c>
    </row>
    <row r="8" spans="2:27">
      <c r="B8" t="s">
        <v>92</v>
      </c>
      <c r="C8" t="s">
        <v>93</v>
      </c>
      <c r="D8" t="s">
        <v>81</v>
      </c>
      <c r="E8" t="s">
        <v>81</v>
      </c>
      <c r="F8" t="s">
        <v>81</v>
      </c>
      <c r="G8" s="8">
        <v>41128771</v>
      </c>
      <c r="H8" s="8">
        <f t="shared" si="0"/>
        <v>40099461.999999978</v>
      </c>
      <c r="I8" s="8">
        <f>IFERROR(VLOOKUP(B8,$T$6:$AA$241,7,0)*1000,"")</f>
        <v>41128771.000000037</v>
      </c>
      <c r="J8" s="8">
        <f t="shared" si="2"/>
        <v>42239854</v>
      </c>
      <c r="O8">
        <v>1948</v>
      </c>
      <c r="P8" t="s">
        <v>82</v>
      </c>
      <c r="Q8" t="s">
        <v>94</v>
      </c>
      <c r="R8" t="s">
        <v>81</v>
      </c>
      <c r="S8" s="9">
        <v>262</v>
      </c>
      <c r="T8" s="9" t="s">
        <v>95</v>
      </c>
      <c r="U8" s="9" t="s">
        <v>96</v>
      </c>
      <c r="V8" s="9">
        <v>262</v>
      </c>
      <c r="W8" t="s">
        <v>86</v>
      </c>
      <c r="X8">
        <v>910</v>
      </c>
      <c r="Y8" s="9">
        <v>1105.5574999999999</v>
      </c>
      <c r="Z8" s="9">
        <v>1120.8485000000005</v>
      </c>
      <c r="AA8" s="9">
        <v>1136.4544999999989</v>
      </c>
    </row>
    <row r="9" spans="2:27">
      <c r="B9" t="s">
        <v>97</v>
      </c>
      <c r="C9" t="s">
        <v>98</v>
      </c>
      <c r="D9" t="s">
        <v>81</v>
      </c>
      <c r="E9" t="s">
        <v>81</v>
      </c>
      <c r="F9" t="s">
        <v>81</v>
      </c>
      <c r="G9" s="8">
        <v>490330870</v>
      </c>
      <c r="H9" s="8" t="str">
        <f t="shared" si="0"/>
        <v/>
      </c>
      <c r="I9" s="8" t="str">
        <f t="shared" si="1"/>
        <v/>
      </c>
      <c r="J9" s="8" t="str">
        <f t="shared" si="2"/>
        <v/>
      </c>
      <c r="O9">
        <v>2020</v>
      </c>
      <c r="P9" t="s">
        <v>82</v>
      </c>
      <c r="Q9" t="s">
        <v>99</v>
      </c>
      <c r="R9" t="s">
        <v>81</v>
      </c>
      <c r="S9" s="9">
        <v>232</v>
      </c>
      <c r="T9" s="9" t="s">
        <v>100</v>
      </c>
      <c r="U9" s="9" t="s">
        <v>101</v>
      </c>
      <c r="V9" s="9">
        <v>232</v>
      </c>
      <c r="W9" t="s">
        <v>86</v>
      </c>
      <c r="X9">
        <v>910</v>
      </c>
      <c r="Y9" s="9">
        <v>3620.3120000000022</v>
      </c>
      <c r="Z9" s="9">
        <v>3684.0315000000019</v>
      </c>
      <c r="AA9" s="9">
        <v>3748.9014999999999</v>
      </c>
    </row>
    <row r="10" spans="2:27">
      <c r="B10" t="s">
        <v>102</v>
      </c>
      <c r="C10" t="s">
        <v>103</v>
      </c>
      <c r="D10" t="s">
        <v>81</v>
      </c>
      <c r="E10" t="s">
        <v>81</v>
      </c>
      <c r="F10" t="s">
        <v>81</v>
      </c>
      <c r="G10" s="8">
        <v>35588987</v>
      </c>
      <c r="H10" s="8">
        <f t="shared" si="0"/>
        <v>34503773.49999997</v>
      </c>
      <c r="I10" s="8">
        <f t="shared" si="1"/>
        <v>35588987.00000003</v>
      </c>
      <c r="J10" s="8">
        <f t="shared" si="2"/>
        <v>36684202.499999985</v>
      </c>
      <c r="O10">
        <v>2092</v>
      </c>
      <c r="P10" t="s">
        <v>82</v>
      </c>
      <c r="Q10" t="s">
        <v>104</v>
      </c>
      <c r="R10" t="s">
        <v>81</v>
      </c>
      <c r="S10" s="9">
        <v>231</v>
      </c>
      <c r="T10" s="9" t="s">
        <v>105</v>
      </c>
      <c r="U10" s="9" t="s">
        <v>106</v>
      </c>
      <c r="V10" s="9">
        <v>231</v>
      </c>
      <c r="W10" t="s">
        <v>86</v>
      </c>
      <c r="X10">
        <v>910</v>
      </c>
      <c r="Y10" s="9">
        <v>120283.02600000006</v>
      </c>
      <c r="Z10" s="9">
        <v>123379.92450000005</v>
      </c>
      <c r="AA10" s="9">
        <v>126527.06000000003</v>
      </c>
    </row>
    <row r="11" spans="2:27">
      <c r="B11" t="s">
        <v>107</v>
      </c>
      <c r="C11" t="s">
        <v>108</v>
      </c>
      <c r="D11" t="s">
        <v>81</v>
      </c>
      <c r="E11" t="s">
        <v>81</v>
      </c>
      <c r="F11" t="s">
        <v>81</v>
      </c>
      <c r="G11" s="8">
        <v>2777689</v>
      </c>
      <c r="H11" s="8">
        <f t="shared" si="0"/>
        <v>2854710</v>
      </c>
      <c r="I11" s="8">
        <f t="shared" si="1"/>
        <v>2842321</v>
      </c>
      <c r="J11" s="8">
        <f t="shared" si="2"/>
        <v>2832439.0000000005</v>
      </c>
      <c r="O11">
        <v>2164</v>
      </c>
      <c r="P11" t="s">
        <v>82</v>
      </c>
      <c r="Q11" t="s">
        <v>109</v>
      </c>
      <c r="R11" t="s">
        <v>81</v>
      </c>
      <c r="S11" s="9">
        <v>404</v>
      </c>
      <c r="T11" s="9" t="s">
        <v>110</v>
      </c>
      <c r="U11" s="9" t="s">
        <v>111</v>
      </c>
      <c r="V11" s="9">
        <v>404</v>
      </c>
      <c r="W11" t="s">
        <v>86</v>
      </c>
      <c r="X11">
        <v>910</v>
      </c>
      <c r="Y11" s="9">
        <v>53005.614000000023</v>
      </c>
      <c r="Z11" s="9">
        <v>54027.486999999986</v>
      </c>
      <c r="AA11" s="9">
        <v>55100.586500000019</v>
      </c>
    </row>
    <row r="12" spans="2:27">
      <c r="B12" t="s">
        <v>112</v>
      </c>
      <c r="C12" t="s">
        <v>113</v>
      </c>
      <c r="D12" t="s">
        <v>80</v>
      </c>
      <c r="E12" t="s">
        <v>81</v>
      </c>
      <c r="F12" t="s">
        <v>81</v>
      </c>
      <c r="G12" s="8">
        <v>79824</v>
      </c>
      <c r="H12" s="8">
        <f t="shared" si="0"/>
        <v>79033.999999999956</v>
      </c>
      <c r="I12" s="8">
        <f t="shared" si="1"/>
        <v>79824</v>
      </c>
      <c r="J12" s="8">
        <f t="shared" si="2"/>
        <v>80088.000000000044</v>
      </c>
      <c r="O12">
        <v>2236</v>
      </c>
      <c r="P12" t="s">
        <v>82</v>
      </c>
      <c r="Q12" t="s">
        <v>114</v>
      </c>
      <c r="R12" t="s">
        <v>81</v>
      </c>
      <c r="S12" s="9">
        <v>450</v>
      </c>
      <c r="T12" s="9" t="s">
        <v>115</v>
      </c>
      <c r="U12" s="9" t="s">
        <v>116</v>
      </c>
      <c r="V12" s="9">
        <v>450</v>
      </c>
      <c r="W12" t="s">
        <v>86</v>
      </c>
      <c r="X12">
        <v>910</v>
      </c>
      <c r="Y12" s="9">
        <v>28915.652500000004</v>
      </c>
      <c r="Z12" s="9">
        <v>29611.714000000004</v>
      </c>
      <c r="AA12" s="9">
        <v>30325.731999999996</v>
      </c>
    </row>
    <row r="13" spans="2:27">
      <c r="B13" t="s">
        <v>117</v>
      </c>
      <c r="C13" t="s">
        <v>118</v>
      </c>
      <c r="D13" t="s">
        <v>81</v>
      </c>
      <c r="E13" t="s">
        <v>81</v>
      </c>
      <c r="F13" t="s">
        <v>81</v>
      </c>
      <c r="G13" s="8">
        <v>464684914</v>
      </c>
      <c r="H13" s="8" t="str">
        <f t="shared" si="0"/>
        <v/>
      </c>
      <c r="I13" s="8" t="str">
        <f t="shared" si="1"/>
        <v/>
      </c>
      <c r="J13" s="8" t="str">
        <f t="shared" si="2"/>
        <v/>
      </c>
      <c r="O13">
        <v>2308</v>
      </c>
      <c r="P13" t="s">
        <v>82</v>
      </c>
      <c r="Q13" t="s">
        <v>119</v>
      </c>
      <c r="R13" t="s">
        <v>81</v>
      </c>
      <c r="S13" s="9">
        <v>454</v>
      </c>
      <c r="T13" s="9" t="s">
        <v>120</v>
      </c>
      <c r="U13" s="9" t="s">
        <v>121</v>
      </c>
      <c r="V13" s="11">
        <v>454</v>
      </c>
      <c r="W13" t="s">
        <v>86</v>
      </c>
      <c r="X13">
        <v>910</v>
      </c>
      <c r="Y13" s="9">
        <v>19889.742000000013</v>
      </c>
      <c r="Z13" s="9">
        <v>20405.316500000019</v>
      </c>
      <c r="AA13" s="9">
        <v>20931.750999999989</v>
      </c>
    </row>
    <row r="14" spans="2:27">
      <c r="B14" t="s">
        <v>122</v>
      </c>
      <c r="C14" t="s">
        <v>123</v>
      </c>
      <c r="D14" t="s">
        <v>80</v>
      </c>
      <c r="E14" t="s">
        <v>81</v>
      </c>
      <c r="F14" t="s">
        <v>81</v>
      </c>
      <c r="G14" s="8">
        <v>9441129</v>
      </c>
      <c r="H14" s="8">
        <f t="shared" si="0"/>
        <v>9365144.4999999944</v>
      </c>
      <c r="I14" s="8">
        <f t="shared" si="1"/>
        <v>9441128.5000000019</v>
      </c>
      <c r="J14" s="8">
        <f t="shared" si="2"/>
        <v>9516871</v>
      </c>
      <c r="O14">
        <v>2380</v>
      </c>
      <c r="P14" t="s">
        <v>82</v>
      </c>
      <c r="Q14" t="s">
        <v>124</v>
      </c>
      <c r="R14">
        <v>1</v>
      </c>
      <c r="S14" s="9">
        <v>480</v>
      </c>
      <c r="T14" s="9" t="s">
        <v>125</v>
      </c>
      <c r="U14" s="9" t="s">
        <v>126</v>
      </c>
      <c r="V14" s="9">
        <v>480</v>
      </c>
      <c r="W14" t="s">
        <v>86</v>
      </c>
      <c r="X14">
        <v>910</v>
      </c>
      <c r="Y14" s="9">
        <v>1298.9144999999996</v>
      </c>
      <c r="Z14" s="9">
        <v>1299.4689999999987</v>
      </c>
      <c r="AA14" s="9">
        <v>1300.5570000000002</v>
      </c>
    </row>
    <row r="15" spans="2:27">
      <c r="B15" s="76" t="s">
        <v>10</v>
      </c>
      <c r="C15" t="s">
        <v>127</v>
      </c>
      <c r="D15" t="s">
        <v>81</v>
      </c>
      <c r="E15" t="s">
        <v>1</v>
      </c>
      <c r="F15" t="s">
        <v>81</v>
      </c>
      <c r="G15" s="8">
        <v>46234830</v>
      </c>
      <c r="H15" s="8">
        <f t="shared" si="0"/>
        <v>45276780.00000003</v>
      </c>
      <c r="I15" s="8">
        <f t="shared" si="1"/>
        <v>45510317.999999993</v>
      </c>
      <c r="J15" s="8">
        <f t="shared" si="2"/>
        <v>45773883.999999993</v>
      </c>
      <c r="O15">
        <v>2452</v>
      </c>
      <c r="P15" t="s">
        <v>82</v>
      </c>
      <c r="Q15" t="s">
        <v>128</v>
      </c>
      <c r="R15">
        <v>2</v>
      </c>
      <c r="S15" s="9">
        <v>175</v>
      </c>
      <c r="T15" s="9" t="s">
        <v>129</v>
      </c>
      <c r="U15" s="9" t="s">
        <v>130</v>
      </c>
      <c r="V15" s="9">
        <v>175</v>
      </c>
      <c r="W15" t="s">
        <v>86</v>
      </c>
      <c r="X15">
        <v>910</v>
      </c>
      <c r="Y15" s="9">
        <v>316.01400000000018</v>
      </c>
      <c r="Z15" s="9">
        <v>326.10050000000012</v>
      </c>
      <c r="AA15" s="9">
        <v>335.99499999999995</v>
      </c>
    </row>
    <row r="16" spans="2:27">
      <c r="B16" t="s">
        <v>131</v>
      </c>
      <c r="C16" t="s">
        <v>132</v>
      </c>
      <c r="D16" t="s">
        <v>81</v>
      </c>
      <c r="E16" t="s">
        <v>81</v>
      </c>
      <c r="F16" t="s">
        <v>81</v>
      </c>
      <c r="G16" s="8">
        <v>2780469</v>
      </c>
      <c r="H16" s="8">
        <f t="shared" si="0"/>
        <v>2790973.4999999991</v>
      </c>
      <c r="I16" s="8">
        <f t="shared" si="1"/>
        <v>2780469.0000000005</v>
      </c>
      <c r="J16" s="8">
        <f t="shared" si="2"/>
        <v>2777970.5000000005</v>
      </c>
      <c r="O16">
        <v>2524</v>
      </c>
      <c r="P16" t="s">
        <v>82</v>
      </c>
      <c r="Q16" t="s">
        <v>133</v>
      </c>
      <c r="R16" t="s">
        <v>81</v>
      </c>
      <c r="S16" s="9">
        <v>508</v>
      </c>
      <c r="T16" s="9" t="s">
        <v>134</v>
      </c>
      <c r="U16" s="9" t="s">
        <v>135</v>
      </c>
      <c r="V16" s="9">
        <v>508</v>
      </c>
      <c r="W16" t="s">
        <v>86</v>
      </c>
      <c r="X16">
        <v>910</v>
      </c>
      <c r="Y16" s="9">
        <v>32077.072000000011</v>
      </c>
      <c r="Z16" s="9">
        <v>32969.518500000006</v>
      </c>
      <c r="AA16" s="9">
        <v>33897.353999999985</v>
      </c>
    </row>
    <row r="17" spans="2:27">
      <c r="B17" t="s">
        <v>136</v>
      </c>
      <c r="C17" t="s">
        <v>137</v>
      </c>
      <c r="D17" t="s">
        <v>80</v>
      </c>
      <c r="E17" t="s">
        <v>81</v>
      </c>
      <c r="F17" t="s">
        <v>81</v>
      </c>
      <c r="G17" s="8">
        <v>44273</v>
      </c>
      <c r="H17" s="8">
        <f t="shared" si="0"/>
        <v>45034.999999999993</v>
      </c>
      <c r="I17" s="8">
        <f t="shared" si="1"/>
        <v>44272.5</v>
      </c>
      <c r="J17" s="8">
        <f t="shared" si="2"/>
        <v>43914.499999999985</v>
      </c>
      <c r="O17">
        <v>2596</v>
      </c>
      <c r="P17" t="s">
        <v>82</v>
      </c>
      <c r="Q17" t="s">
        <v>138</v>
      </c>
      <c r="R17">
        <v>2</v>
      </c>
      <c r="S17" s="9">
        <v>638</v>
      </c>
      <c r="T17" s="9" t="s">
        <v>139</v>
      </c>
      <c r="U17" s="9" t="s">
        <v>140</v>
      </c>
      <c r="V17" s="9">
        <v>638</v>
      </c>
      <c r="W17" t="s">
        <v>86</v>
      </c>
      <c r="X17">
        <v>910</v>
      </c>
      <c r="Y17" s="9">
        <v>966.12899999999968</v>
      </c>
      <c r="Z17" s="9">
        <v>974.05149999999958</v>
      </c>
      <c r="AA17" s="9">
        <v>981.79599999999994</v>
      </c>
    </row>
    <row r="18" spans="2:27">
      <c r="B18" t="s">
        <v>141</v>
      </c>
      <c r="C18" t="s">
        <v>142</v>
      </c>
      <c r="D18" t="s">
        <v>80</v>
      </c>
      <c r="E18" t="s">
        <v>81</v>
      </c>
      <c r="F18" t="s">
        <v>81</v>
      </c>
      <c r="G18" s="8">
        <v>93763</v>
      </c>
      <c r="H18" s="8">
        <f t="shared" si="0"/>
        <v>93219.500000000015</v>
      </c>
      <c r="I18" s="8">
        <f t="shared" si="1"/>
        <v>93763.000000000029</v>
      </c>
      <c r="J18" s="8">
        <f t="shared" si="2"/>
        <v>94298</v>
      </c>
      <c r="O18">
        <v>2668</v>
      </c>
      <c r="P18" t="s">
        <v>82</v>
      </c>
      <c r="Q18" t="s">
        <v>143</v>
      </c>
      <c r="R18" t="s">
        <v>81</v>
      </c>
      <c r="S18" s="9">
        <v>646</v>
      </c>
      <c r="T18" s="9" t="s">
        <v>144</v>
      </c>
      <c r="U18" s="9" t="s">
        <v>145</v>
      </c>
      <c r="V18" s="9">
        <v>646</v>
      </c>
      <c r="W18" t="s">
        <v>86</v>
      </c>
      <c r="X18">
        <v>910</v>
      </c>
      <c r="Y18" s="9">
        <v>13461.887499999999</v>
      </c>
      <c r="Z18" s="9">
        <v>13776.697499999995</v>
      </c>
      <c r="AA18" s="9">
        <v>14094.682999999999</v>
      </c>
    </row>
    <row r="19" spans="2:27">
      <c r="B19" t="s">
        <v>146</v>
      </c>
      <c r="C19" t="s">
        <v>147</v>
      </c>
      <c r="D19" t="s">
        <v>80</v>
      </c>
      <c r="E19" t="s">
        <v>81</v>
      </c>
      <c r="F19" t="s">
        <v>57</v>
      </c>
      <c r="G19" s="8">
        <v>26005540</v>
      </c>
      <c r="H19" s="8">
        <f t="shared" si="0"/>
        <v>25921088.999999993</v>
      </c>
      <c r="I19" s="8">
        <f t="shared" si="1"/>
        <v>26177413.500000004</v>
      </c>
      <c r="J19" s="8">
        <f t="shared" si="2"/>
        <v>26439111.499999996</v>
      </c>
      <c r="O19">
        <v>2740</v>
      </c>
      <c r="P19" t="s">
        <v>82</v>
      </c>
      <c r="Q19" t="s">
        <v>148</v>
      </c>
      <c r="R19" t="s">
        <v>81</v>
      </c>
      <c r="S19" s="9">
        <v>690</v>
      </c>
      <c r="T19" s="9" t="s">
        <v>149</v>
      </c>
      <c r="U19" s="9" t="s">
        <v>150</v>
      </c>
      <c r="V19" s="9">
        <v>690</v>
      </c>
      <c r="W19" t="s">
        <v>86</v>
      </c>
      <c r="X19">
        <v>910</v>
      </c>
      <c r="Y19" s="9">
        <v>106.47049999999996</v>
      </c>
      <c r="Z19" s="9">
        <v>107.1185</v>
      </c>
      <c r="AA19" s="9">
        <v>107.66000000000001</v>
      </c>
    </row>
    <row r="20" spans="2:27">
      <c r="B20" t="s">
        <v>151</v>
      </c>
      <c r="C20" t="s">
        <v>152</v>
      </c>
      <c r="D20" t="s">
        <v>80</v>
      </c>
      <c r="E20" t="s">
        <v>81</v>
      </c>
      <c r="F20" t="s">
        <v>57</v>
      </c>
      <c r="G20" s="8">
        <v>9041851</v>
      </c>
      <c r="H20" s="8">
        <f t="shared" si="0"/>
        <v>8922082.0000000075</v>
      </c>
      <c r="I20" s="8">
        <f t="shared" si="1"/>
        <v>8939617</v>
      </c>
      <c r="J20" s="8">
        <f t="shared" si="2"/>
        <v>8958960.5000000019</v>
      </c>
      <c r="O20">
        <v>2812</v>
      </c>
      <c r="P20" t="s">
        <v>82</v>
      </c>
      <c r="Q20" t="s">
        <v>153</v>
      </c>
      <c r="R20" t="s">
        <v>81</v>
      </c>
      <c r="S20" s="9">
        <v>706</v>
      </c>
      <c r="T20" s="9" t="s">
        <v>154</v>
      </c>
      <c r="U20" s="9" t="s">
        <v>155</v>
      </c>
      <c r="V20" s="9">
        <v>706</v>
      </c>
      <c r="W20" t="s">
        <v>86</v>
      </c>
      <c r="X20">
        <v>910</v>
      </c>
      <c r="Y20" s="9">
        <v>17065.581000000006</v>
      </c>
      <c r="Z20" s="9">
        <v>17597.510999999991</v>
      </c>
      <c r="AA20" s="9">
        <v>18143.378499999992</v>
      </c>
    </row>
    <row r="21" spans="2:27">
      <c r="B21" t="s">
        <v>156</v>
      </c>
      <c r="C21" t="s">
        <v>157</v>
      </c>
      <c r="D21" t="s">
        <v>81</v>
      </c>
      <c r="E21" t="s">
        <v>81</v>
      </c>
      <c r="F21" t="s">
        <v>81</v>
      </c>
      <c r="G21" s="8">
        <v>10141756</v>
      </c>
      <c r="H21" s="8">
        <f t="shared" si="0"/>
        <v>10312991.999999998</v>
      </c>
      <c r="I21" s="8">
        <f t="shared" si="1"/>
        <v>10358073.999999994</v>
      </c>
      <c r="J21" s="8">
        <f t="shared" si="2"/>
        <v>10412651.499999998</v>
      </c>
      <c r="O21">
        <v>2884</v>
      </c>
      <c r="P21" t="s">
        <v>82</v>
      </c>
      <c r="Q21" t="s">
        <v>158</v>
      </c>
      <c r="R21" t="s">
        <v>81</v>
      </c>
      <c r="S21" s="9">
        <v>728</v>
      </c>
      <c r="T21" s="9" t="s">
        <v>159</v>
      </c>
      <c r="U21" s="9" t="s">
        <v>160</v>
      </c>
      <c r="V21" s="9">
        <v>728</v>
      </c>
      <c r="W21" t="s">
        <v>86</v>
      </c>
      <c r="X21">
        <v>910</v>
      </c>
      <c r="Y21" s="9">
        <v>10748.272499999997</v>
      </c>
      <c r="Z21" s="9">
        <v>10913.163500000001</v>
      </c>
      <c r="AA21" s="9">
        <v>11088.795999999998</v>
      </c>
    </row>
    <row r="22" spans="2:27">
      <c r="B22" t="s">
        <v>84</v>
      </c>
      <c r="C22" t="s">
        <v>83</v>
      </c>
      <c r="D22" t="s">
        <v>81</v>
      </c>
      <c r="E22" t="s">
        <v>81</v>
      </c>
      <c r="F22" t="s">
        <v>81</v>
      </c>
      <c r="G22" s="8">
        <v>12889576</v>
      </c>
      <c r="H22" s="8">
        <f t="shared" si="0"/>
        <v>12551212.999999998</v>
      </c>
      <c r="I22" s="8">
        <f t="shared" si="1"/>
        <v>12889576.499999994</v>
      </c>
      <c r="J22" s="8">
        <f t="shared" si="2"/>
        <v>13238558.999999994</v>
      </c>
      <c r="O22">
        <v>2956</v>
      </c>
      <c r="P22" t="s">
        <v>82</v>
      </c>
      <c r="Q22" t="s">
        <v>161</v>
      </c>
      <c r="R22" t="s">
        <v>81</v>
      </c>
      <c r="S22" s="9">
        <v>800</v>
      </c>
      <c r="T22" s="9" t="s">
        <v>162</v>
      </c>
      <c r="U22" s="9" t="s">
        <v>163</v>
      </c>
      <c r="V22" s="9">
        <v>800</v>
      </c>
      <c r="W22" t="s">
        <v>86</v>
      </c>
      <c r="X22">
        <v>910</v>
      </c>
      <c r="Y22" s="9">
        <v>45853.77800000002</v>
      </c>
      <c r="Z22" s="9">
        <v>47249.584999999977</v>
      </c>
      <c r="AA22" s="9">
        <v>48582.333999999981</v>
      </c>
    </row>
    <row r="23" spans="2:27">
      <c r="B23" t="s">
        <v>164</v>
      </c>
      <c r="C23" t="s">
        <v>165</v>
      </c>
      <c r="D23" t="s">
        <v>80</v>
      </c>
      <c r="E23" t="s">
        <v>81</v>
      </c>
      <c r="F23" t="s">
        <v>57</v>
      </c>
      <c r="G23" s="8">
        <v>11685814</v>
      </c>
      <c r="H23" s="8">
        <f t="shared" si="0"/>
        <v>11611419.499999998</v>
      </c>
      <c r="I23" s="8">
        <f t="shared" si="1"/>
        <v>11655930.000000007</v>
      </c>
      <c r="J23" s="8">
        <f t="shared" si="2"/>
        <v>11686140.000000002</v>
      </c>
      <c r="O23">
        <v>3028</v>
      </c>
      <c r="P23" t="s">
        <v>82</v>
      </c>
      <c r="Q23" t="s">
        <v>166</v>
      </c>
      <c r="R23">
        <v>3</v>
      </c>
      <c r="S23" s="9">
        <v>834</v>
      </c>
      <c r="T23" s="9" t="s">
        <v>167</v>
      </c>
      <c r="U23" s="9" t="s">
        <v>168</v>
      </c>
      <c r="V23" s="9">
        <v>834</v>
      </c>
      <c r="W23" t="s">
        <v>86</v>
      </c>
      <c r="X23">
        <v>910</v>
      </c>
      <c r="Y23" s="9">
        <v>63588.333999999995</v>
      </c>
      <c r="Z23" s="9">
        <v>65497.748000000043</v>
      </c>
      <c r="AA23" s="9">
        <v>67438.106000000073</v>
      </c>
    </row>
    <row r="24" spans="2:27">
      <c r="B24" t="s">
        <v>169</v>
      </c>
      <c r="C24" t="s">
        <v>170</v>
      </c>
      <c r="D24" t="s">
        <v>81</v>
      </c>
      <c r="E24" t="s">
        <v>81</v>
      </c>
      <c r="F24" t="s">
        <v>81</v>
      </c>
      <c r="G24" s="8">
        <v>13352864</v>
      </c>
      <c r="H24" s="8">
        <f t="shared" si="0"/>
        <v>12996895</v>
      </c>
      <c r="I24" s="8">
        <f t="shared" si="1"/>
        <v>13352864</v>
      </c>
      <c r="J24" s="8">
        <f t="shared" si="2"/>
        <v>13712828.000000002</v>
      </c>
      <c r="O24">
        <v>3100</v>
      </c>
      <c r="P24" t="s">
        <v>82</v>
      </c>
      <c r="Q24" t="s">
        <v>171</v>
      </c>
      <c r="R24" t="s">
        <v>81</v>
      </c>
      <c r="S24" s="9">
        <v>894</v>
      </c>
      <c r="T24" s="9" t="s">
        <v>172</v>
      </c>
      <c r="U24" s="9" t="s">
        <v>173</v>
      </c>
      <c r="V24" s="9">
        <v>894</v>
      </c>
      <c r="W24" t="s">
        <v>86</v>
      </c>
      <c r="X24">
        <v>910</v>
      </c>
      <c r="Y24" s="9">
        <v>19473.124999999996</v>
      </c>
      <c r="Z24" s="9">
        <v>20017.675000000003</v>
      </c>
      <c r="AA24" s="9">
        <v>20569.73750000001</v>
      </c>
    </row>
    <row r="25" spans="2:27">
      <c r="B25" t="s">
        <v>174</v>
      </c>
      <c r="C25" t="s">
        <v>175</v>
      </c>
      <c r="D25" t="s">
        <v>81</v>
      </c>
      <c r="E25" t="s">
        <v>81</v>
      </c>
      <c r="F25" t="s">
        <v>81</v>
      </c>
      <c r="G25" s="8">
        <v>22673762</v>
      </c>
      <c r="H25" s="8">
        <f t="shared" si="0"/>
        <v>22100683.499999989</v>
      </c>
      <c r="I25" s="8">
        <f t="shared" si="1"/>
        <v>22673762.000000007</v>
      </c>
      <c r="J25" s="8">
        <f t="shared" si="2"/>
        <v>23251484.999999978</v>
      </c>
      <c r="O25">
        <v>3172</v>
      </c>
      <c r="P25" t="s">
        <v>82</v>
      </c>
      <c r="Q25" t="s">
        <v>176</v>
      </c>
      <c r="R25" t="s">
        <v>81</v>
      </c>
      <c r="S25" s="9">
        <v>716</v>
      </c>
      <c r="T25" s="9" t="s">
        <v>177</v>
      </c>
      <c r="U25" s="9" t="s">
        <v>178</v>
      </c>
      <c r="V25" s="9">
        <v>716</v>
      </c>
      <c r="W25" t="s">
        <v>86</v>
      </c>
      <c r="X25">
        <v>910</v>
      </c>
      <c r="Y25" s="9">
        <v>15993.524000000001</v>
      </c>
      <c r="Z25" s="9">
        <v>16320.536999999997</v>
      </c>
      <c r="AA25" s="9">
        <v>16665.408500000012</v>
      </c>
    </row>
    <row r="26" spans="2:27">
      <c r="B26" t="s">
        <v>179</v>
      </c>
      <c r="C26" t="s">
        <v>180</v>
      </c>
      <c r="D26" t="s">
        <v>81</v>
      </c>
      <c r="E26" t="s">
        <v>81</v>
      </c>
      <c r="F26" t="s">
        <v>81</v>
      </c>
      <c r="G26" s="8">
        <v>171186372</v>
      </c>
      <c r="H26" s="8">
        <f t="shared" si="0"/>
        <v>169356251</v>
      </c>
      <c r="I26" s="8">
        <f t="shared" si="1"/>
        <v>171186372.49999997</v>
      </c>
      <c r="J26" s="8">
        <f t="shared" si="2"/>
        <v>172954319.00000009</v>
      </c>
      <c r="O26">
        <v>3316</v>
      </c>
      <c r="P26" t="s">
        <v>82</v>
      </c>
      <c r="Q26" t="s">
        <v>103</v>
      </c>
      <c r="R26" t="s">
        <v>81</v>
      </c>
      <c r="S26" s="9">
        <v>24</v>
      </c>
      <c r="T26" s="9" t="s">
        <v>102</v>
      </c>
      <c r="U26" s="9" t="s">
        <v>181</v>
      </c>
      <c r="V26" s="9">
        <v>24</v>
      </c>
      <c r="W26" t="s">
        <v>86</v>
      </c>
      <c r="X26">
        <v>911</v>
      </c>
      <c r="Y26" s="9">
        <v>34503.773499999974</v>
      </c>
      <c r="Z26" s="9">
        <v>35588.98700000003</v>
      </c>
      <c r="AA26" s="9">
        <v>36684.202499999985</v>
      </c>
    </row>
    <row r="27" spans="2:27">
      <c r="B27" t="s">
        <v>182</v>
      </c>
      <c r="C27" t="s">
        <v>183</v>
      </c>
      <c r="D27" t="s">
        <v>81</v>
      </c>
      <c r="E27" t="s">
        <v>81</v>
      </c>
      <c r="F27" t="s">
        <v>81</v>
      </c>
      <c r="G27" s="8">
        <v>6465097</v>
      </c>
      <c r="H27" s="8">
        <f t="shared" si="0"/>
        <v>6885867.4999999991</v>
      </c>
      <c r="I27" s="8">
        <f t="shared" si="1"/>
        <v>6781952.9999999981</v>
      </c>
      <c r="J27" s="8">
        <f t="shared" si="2"/>
        <v>6687716.9999999991</v>
      </c>
      <c r="O27">
        <v>3388</v>
      </c>
      <c r="P27" t="s">
        <v>82</v>
      </c>
      <c r="Q27" t="s">
        <v>184</v>
      </c>
      <c r="R27" t="s">
        <v>81</v>
      </c>
      <c r="S27" s="9">
        <v>120</v>
      </c>
      <c r="T27" s="9" t="s">
        <v>185</v>
      </c>
      <c r="U27" s="9" t="s">
        <v>186</v>
      </c>
      <c r="V27" s="9">
        <v>120</v>
      </c>
      <c r="W27" t="s">
        <v>86</v>
      </c>
      <c r="X27">
        <v>911</v>
      </c>
      <c r="Y27" s="9">
        <v>27198.627999999986</v>
      </c>
      <c r="Z27" s="9">
        <v>27914.536499999987</v>
      </c>
      <c r="AA27" s="9">
        <v>28647.293000000016</v>
      </c>
    </row>
    <row r="28" spans="2:27">
      <c r="B28" t="s">
        <v>187</v>
      </c>
      <c r="C28" t="s">
        <v>188</v>
      </c>
      <c r="D28" t="s">
        <v>80</v>
      </c>
      <c r="E28" t="s">
        <v>81</v>
      </c>
      <c r="F28" t="s">
        <v>81</v>
      </c>
      <c r="G28" s="8">
        <v>1472233</v>
      </c>
      <c r="H28" s="8">
        <f t="shared" si="0"/>
        <v>1463265.4999999993</v>
      </c>
      <c r="I28" s="8">
        <f t="shared" si="1"/>
        <v>1472233.0000000002</v>
      </c>
      <c r="J28" s="8">
        <f t="shared" si="2"/>
        <v>1485509.4999999988</v>
      </c>
      <c r="O28">
        <v>3460</v>
      </c>
      <c r="P28" t="s">
        <v>82</v>
      </c>
      <c r="Q28" t="s">
        <v>189</v>
      </c>
      <c r="R28" t="s">
        <v>81</v>
      </c>
      <c r="S28" s="9">
        <v>140</v>
      </c>
      <c r="T28" s="9" t="s">
        <v>190</v>
      </c>
      <c r="U28" s="9" t="s">
        <v>191</v>
      </c>
      <c r="V28" s="9">
        <v>140</v>
      </c>
      <c r="W28" t="s">
        <v>86</v>
      </c>
      <c r="X28">
        <v>911</v>
      </c>
      <c r="Y28" s="9">
        <v>5457.1544999999987</v>
      </c>
      <c r="Z28" s="9">
        <v>5579.1435000000047</v>
      </c>
      <c r="AA28" s="9">
        <v>5742.3155000000015</v>
      </c>
    </row>
    <row r="29" spans="2:27">
      <c r="B29" t="s">
        <v>12</v>
      </c>
      <c r="C29" s="76" t="s">
        <v>192</v>
      </c>
      <c r="D29" t="s">
        <v>80</v>
      </c>
      <c r="E29" t="s">
        <v>1</v>
      </c>
      <c r="F29" t="s">
        <v>81</v>
      </c>
      <c r="G29" s="8">
        <v>409984</v>
      </c>
      <c r="H29" s="8">
        <f t="shared" si="0"/>
        <v>407905.50000000017</v>
      </c>
      <c r="I29" s="8">
        <f t="shared" si="1"/>
        <v>409983.99999999983</v>
      </c>
      <c r="J29" s="8">
        <f t="shared" si="2"/>
        <v>412623.50000000029</v>
      </c>
      <c r="O29">
        <v>3532</v>
      </c>
      <c r="P29" t="s">
        <v>82</v>
      </c>
      <c r="Q29" t="s">
        <v>193</v>
      </c>
      <c r="R29" t="s">
        <v>81</v>
      </c>
      <c r="S29" s="9">
        <v>148</v>
      </c>
      <c r="T29" s="9" t="s">
        <v>194</v>
      </c>
      <c r="U29" s="9" t="s">
        <v>195</v>
      </c>
      <c r="V29" s="9">
        <v>148</v>
      </c>
      <c r="W29" t="s">
        <v>86</v>
      </c>
      <c r="X29">
        <v>911</v>
      </c>
      <c r="Y29" s="9">
        <v>17179.739999999998</v>
      </c>
      <c r="Z29" s="9">
        <v>17723.314500000004</v>
      </c>
      <c r="AA29" s="9">
        <v>18278.567499999997</v>
      </c>
    </row>
    <row r="30" spans="2:27">
      <c r="B30" t="s">
        <v>196</v>
      </c>
      <c r="C30" t="s">
        <v>197</v>
      </c>
      <c r="D30" t="s">
        <v>81</v>
      </c>
      <c r="E30" t="s">
        <v>81</v>
      </c>
      <c r="F30" t="s">
        <v>81</v>
      </c>
      <c r="G30" s="8">
        <v>3233526</v>
      </c>
      <c r="H30" s="8">
        <f t="shared" si="0"/>
        <v>3270942.9999999981</v>
      </c>
      <c r="I30" s="8">
        <f t="shared" si="1"/>
        <v>3233526.4999999991</v>
      </c>
      <c r="J30" s="8">
        <f t="shared" si="2"/>
        <v>3210847.5</v>
      </c>
      <c r="O30">
        <v>3604</v>
      </c>
      <c r="P30" t="s">
        <v>82</v>
      </c>
      <c r="Q30" t="s">
        <v>198</v>
      </c>
      <c r="R30" t="s">
        <v>81</v>
      </c>
      <c r="S30" s="9">
        <v>178</v>
      </c>
      <c r="T30" s="9" t="s">
        <v>199</v>
      </c>
      <c r="U30" s="9" t="s">
        <v>200</v>
      </c>
      <c r="V30" s="9">
        <v>178</v>
      </c>
      <c r="W30" t="s">
        <v>86</v>
      </c>
      <c r="X30">
        <v>911</v>
      </c>
      <c r="Y30" s="9">
        <v>5835.8060000000005</v>
      </c>
      <c r="Z30" s="9">
        <v>5970.4240000000009</v>
      </c>
      <c r="AA30" s="9">
        <v>6106.8690000000015</v>
      </c>
    </row>
    <row r="31" spans="2:27">
      <c r="B31" t="s">
        <v>201</v>
      </c>
      <c r="C31" t="s">
        <v>202</v>
      </c>
      <c r="D31" t="s">
        <v>81</v>
      </c>
      <c r="E31" t="s">
        <v>81</v>
      </c>
      <c r="F31" t="s">
        <v>81</v>
      </c>
      <c r="G31" s="8">
        <v>9228071</v>
      </c>
      <c r="H31" s="8">
        <f t="shared" si="0"/>
        <v>9578167.5</v>
      </c>
      <c r="I31" s="8">
        <f t="shared" si="1"/>
        <v>9534954.4999999981</v>
      </c>
      <c r="J31" s="8">
        <f t="shared" si="2"/>
        <v>9498237.9999999981</v>
      </c>
      <c r="O31">
        <v>3676</v>
      </c>
      <c r="P31" t="s">
        <v>82</v>
      </c>
      <c r="Q31" t="s">
        <v>203</v>
      </c>
      <c r="R31" t="s">
        <v>81</v>
      </c>
      <c r="S31" s="9">
        <v>180</v>
      </c>
      <c r="T31" s="9" t="s">
        <v>204</v>
      </c>
      <c r="U31" s="9" t="s">
        <v>205</v>
      </c>
      <c r="V31" s="9">
        <v>180</v>
      </c>
      <c r="W31" t="s">
        <v>86</v>
      </c>
      <c r="X31">
        <v>911</v>
      </c>
      <c r="Y31" s="9">
        <v>95894.118499999982</v>
      </c>
      <c r="Z31" s="9">
        <v>99010.212</v>
      </c>
      <c r="AA31" s="9">
        <v>102262.80850000001</v>
      </c>
    </row>
    <row r="32" spans="2:27">
      <c r="B32" t="s">
        <v>14</v>
      </c>
      <c r="C32" t="s">
        <v>206</v>
      </c>
      <c r="D32" t="s">
        <v>81</v>
      </c>
      <c r="E32" t="s">
        <v>1</v>
      </c>
      <c r="F32" t="s">
        <v>81</v>
      </c>
      <c r="G32" s="8">
        <v>405272</v>
      </c>
      <c r="H32" s="8">
        <f t="shared" si="0"/>
        <v>400031.00000000012</v>
      </c>
      <c r="I32" s="8">
        <f t="shared" si="1"/>
        <v>405272.50000000006</v>
      </c>
      <c r="J32" s="8">
        <f t="shared" si="2"/>
        <v>410825.00000000006</v>
      </c>
      <c r="O32">
        <v>3748</v>
      </c>
      <c r="P32" t="s">
        <v>82</v>
      </c>
      <c r="Q32" t="s">
        <v>207</v>
      </c>
      <c r="R32" t="s">
        <v>81</v>
      </c>
      <c r="S32" s="9">
        <v>226</v>
      </c>
      <c r="T32" s="9" t="s">
        <v>208</v>
      </c>
      <c r="U32" s="9" t="s">
        <v>209</v>
      </c>
      <c r="V32" s="9">
        <v>226</v>
      </c>
      <c r="W32" t="s">
        <v>86</v>
      </c>
      <c r="X32">
        <v>911</v>
      </c>
      <c r="Y32" s="9">
        <v>1634.4655000000002</v>
      </c>
      <c r="Z32" s="9">
        <v>1674.9079999999999</v>
      </c>
      <c r="AA32" s="9">
        <v>1714.6714999999997</v>
      </c>
    </row>
    <row r="33" spans="2:27">
      <c r="B33" t="s">
        <v>210</v>
      </c>
      <c r="C33" t="s">
        <v>211</v>
      </c>
      <c r="D33" t="s">
        <v>80</v>
      </c>
      <c r="E33" t="s">
        <v>81</v>
      </c>
      <c r="F33" t="s">
        <v>81</v>
      </c>
      <c r="G33" s="8">
        <v>63532</v>
      </c>
      <c r="H33" s="8">
        <f t="shared" si="0"/>
        <v>64184.999999999985</v>
      </c>
      <c r="I33" s="8">
        <f t="shared" si="1"/>
        <v>64184.000000000029</v>
      </c>
      <c r="J33" s="8">
        <f t="shared" si="2"/>
        <v>64068.999999999985</v>
      </c>
      <c r="O33">
        <v>3820</v>
      </c>
      <c r="P33" t="s">
        <v>82</v>
      </c>
      <c r="Q33" t="s">
        <v>212</v>
      </c>
      <c r="R33" t="s">
        <v>81</v>
      </c>
      <c r="S33" s="9">
        <v>266</v>
      </c>
      <c r="T33" s="9" t="s">
        <v>213</v>
      </c>
      <c r="U33" s="9" t="s">
        <v>214</v>
      </c>
      <c r="V33" s="9">
        <v>266</v>
      </c>
      <c r="W33" t="s">
        <v>86</v>
      </c>
      <c r="X33">
        <v>911</v>
      </c>
      <c r="Y33" s="9">
        <v>2341.1789999999987</v>
      </c>
      <c r="Z33" s="9">
        <v>2388.9925000000003</v>
      </c>
      <c r="AA33" s="9">
        <v>2436.5665000000017</v>
      </c>
    </row>
    <row r="34" spans="2:27">
      <c r="B34" t="s">
        <v>15</v>
      </c>
      <c r="C34" t="s">
        <v>215</v>
      </c>
      <c r="D34" t="s">
        <v>81</v>
      </c>
      <c r="E34" t="s">
        <v>1</v>
      </c>
      <c r="F34" t="s">
        <v>81</v>
      </c>
      <c r="G34" s="8">
        <v>12224110</v>
      </c>
      <c r="H34" s="8">
        <f t="shared" si="0"/>
        <v>12079471.999999996</v>
      </c>
      <c r="I34" s="8">
        <f t="shared" si="1"/>
        <v>12224109.999999994</v>
      </c>
      <c r="J34" s="8">
        <f t="shared" si="2"/>
        <v>12388570.999999987</v>
      </c>
      <c r="O34">
        <v>3892</v>
      </c>
      <c r="P34" t="s">
        <v>82</v>
      </c>
      <c r="Q34" t="s">
        <v>216</v>
      </c>
      <c r="R34" t="s">
        <v>81</v>
      </c>
      <c r="S34" s="9">
        <v>678</v>
      </c>
      <c r="T34" s="9" t="s">
        <v>217</v>
      </c>
      <c r="U34" s="9" t="s">
        <v>218</v>
      </c>
      <c r="V34" s="9">
        <v>678</v>
      </c>
      <c r="W34" t="s">
        <v>86</v>
      </c>
      <c r="X34">
        <v>911</v>
      </c>
      <c r="Y34" s="9">
        <v>223.1074999999999</v>
      </c>
      <c r="Z34" s="9">
        <v>227.37950000000001</v>
      </c>
      <c r="AA34" s="9">
        <v>231.85549999999998</v>
      </c>
    </row>
    <row r="35" spans="2:27">
      <c r="B35" t="s">
        <v>17</v>
      </c>
      <c r="C35" t="s">
        <v>219</v>
      </c>
      <c r="D35" t="s">
        <v>81</v>
      </c>
      <c r="E35" t="s">
        <v>1</v>
      </c>
      <c r="F35" t="s">
        <v>81</v>
      </c>
      <c r="G35" s="8">
        <v>215313498</v>
      </c>
      <c r="H35" s="8">
        <f t="shared" si="0"/>
        <v>214326223.00000006</v>
      </c>
      <c r="I35" s="8">
        <f t="shared" si="1"/>
        <v>215313497.99999994</v>
      </c>
      <c r="J35" s="8">
        <f t="shared" si="2"/>
        <v>216422446.00000003</v>
      </c>
      <c r="O35">
        <v>4036</v>
      </c>
      <c r="P35" t="s">
        <v>82</v>
      </c>
      <c r="Q35" t="s">
        <v>220</v>
      </c>
      <c r="R35" t="s">
        <v>81</v>
      </c>
      <c r="S35" s="9">
        <v>12</v>
      </c>
      <c r="T35" s="9" t="s">
        <v>221</v>
      </c>
      <c r="U35" s="9" t="s">
        <v>222</v>
      </c>
      <c r="V35" s="9">
        <v>12</v>
      </c>
      <c r="W35" t="s">
        <v>86</v>
      </c>
      <c r="X35">
        <v>912</v>
      </c>
      <c r="Y35" s="9">
        <v>44177.96850000001</v>
      </c>
      <c r="Z35" s="9">
        <v>44903.225000000006</v>
      </c>
      <c r="AA35" s="9">
        <v>45606.480499999983</v>
      </c>
    </row>
    <row r="36" spans="2:27">
      <c r="B36" t="s">
        <v>19</v>
      </c>
      <c r="C36" t="s">
        <v>223</v>
      </c>
      <c r="D36" t="s">
        <v>80</v>
      </c>
      <c r="E36" t="s">
        <v>1</v>
      </c>
      <c r="F36" t="s">
        <v>81</v>
      </c>
      <c r="G36" s="8">
        <v>281635</v>
      </c>
      <c r="H36" s="8">
        <f t="shared" si="0"/>
        <v>281199.49999999994</v>
      </c>
      <c r="I36" s="8">
        <f t="shared" si="1"/>
        <v>281634.99999999988</v>
      </c>
      <c r="J36" s="8">
        <f t="shared" si="2"/>
        <v>281995.49999999988</v>
      </c>
      <c r="O36">
        <v>4108</v>
      </c>
      <c r="P36" t="s">
        <v>82</v>
      </c>
      <c r="Q36" t="s">
        <v>224</v>
      </c>
      <c r="R36" t="s">
        <v>81</v>
      </c>
      <c r="S36" s="9">
        <v>818</v>
      </c>
      <c r="T36" s="9" t="s">
        <v>225</v>
      </c>
      <c r="U36" s="9" t="s">
        <v>226</v>
      </c>
      <c r="V36" s="9">
        <v>818</v>
      </c>
      <c r="W36" t="s">
        <v>86</v>
      </c>
      <c r="X36">
        <v>912</v>
      </c>
      <c r="Y36" s="9">
        <v>109262.17749999998</v>
      </c>
      <c r="Z36" s="9">
        <v>110990.10299999997</v>
      </c>
      <c r="AA36" s="9">
        <v>112716.59850000002</v>
      </c>
    </row>
    <row r="37" spans="2:27">
      <c r="B37" t="s">
        <v>227</v>
      </c>
      <c r="C37" t="s">
        <v>228</v>
      </c>
      <c r="D37" t="s">
        <v>80</v>
      </c>
      <c r="E37" t="s">
        <v>81</v>
      </c>
      <c r="F37" t="s">
        <v>81</v>
      </c>
      <c r="G37" s="8">
        <v>449002</v>
      </c>
      <c r="H37" s="8">
        <f t="shared" si="0"/>
        <v>445372.99999999983</v>
      </c>
      <c r="I37" s="8">
        <f t="shared" si="1"/>
        <v>449001.49999999959</v>
      </c>
      <c r="J37" s="8">
        <f t="shared" si="2"/>
        <v>452523.49999999971</v>
      </c>
      <c r="O37">
        <v>4180</v>
      </c>
      <c r="P37" t="s">
        <v>82</v>
      </c>
      <c r="Q37" t="s">
        <v>229</v>
      </c>
      <c r="R37" t="s">
        <v>81</v>
      </c>
      <c r="S37" s="9">
        <v>434</v>
      </c>
      <c r="T37" s="9" t="s">
        <v>230</v>
      </c>
      <c r="U37" s="9" t="s">
        <v>231</v>
      </c>
      <c r="V37" s="9">
        <v>434</v>
      </c>
      <c r="W37" t="s">
        <v>86</v>
      </c>
      <c r="X37">
        <v>912</v>
      </c>
      <c r="Y37" s="9">
        <v>6735.2769999999982</v>
      </c>
      <c r="Z37" s="9">
        <v>6812.3410000000022</v>
      </c>
      <c r="AA37" s="9">
        <v>6888.3879999999972</v>
      </c>
    </row>
    <row r="38" spans="2:27">
      <c r="B38" t="s">
        <v>232</v>
      </c>
      <c r="C38" t="s">
        <v>233</v>
      </c>
      <c r="D38" t="s">
        <v>81</v>
      </c>
      <c r="E38" t="s">
        <v>81</v>
      </c>
      <c r="F38" t="s">
        <v>81</v>
      </c>
      <c r="G38" s="8">
        <v>782455</v>
      </c>
      <c r="H38" s="8">
        <f t="shared" si="0"/>
        <v>777486.50000000012</v>
      </c>
      <c r="I38" s="8">
        <f t="shared" si="1"/>
        <v>782454.99999999965</v>
      </c>
      <c r="J38" s="8">
        <f t="shared" si="2"/>
        <v>787424.49999999977</v>
      </c>
      <c r="O38">
        <v>4252</v>
      </c>
      <c r="P38" t="s">
        <v>82</v>
      </c>
      <c r="Q38" t="s">
        <v>234</v>
      </c>
      <c r="R38" t="s">
        <v>81</v>
      </c>
      <c r="S38" s="9">
        <v>504</v>
      </c>
      <c r="T38" s="9" t="s">
        <v>235</v>
      </c>
      <c r="U38" s="9" t="s">
        <v>236</v>
      </c>
      <c r="V38" s="9">
        <v>504</v>
      </c>
      <c r="W38" t="s">
        <v>86</v>
      </c>
      <c r="X38">
        <v>912</v>
      </c>
      <c r="Y38" s="9">
        <v>37076.584500000004</v>
      </c>
      <c r="Z38" s="9">
        <v>37457.970500000003</v>
      </c>
      <c r="AA38" s="9">
        <v>37840.044000000002</v>
      </c>
    </row>
    <row r="39" spans="2:27">
      <c r="B39" t="s">
        <v>237</v>
      </c>
      <c r="C39" t="s">
        <v>238</v>
      </c>
      <c r="D39" t="s">
        <v>81</v>
      </c>
      <c r="E39" t="s">
        <v>81</v>
      </c>
      <c r="F39" t="s">
        <v>81</v>
      </c>
      <c r="G39" s="8">
        <v>2630296</v>
      </c>
      <c r="H39" s="8">
        <f t="shared" si="0"/>
        <v>2588422.9999999981</v>
      </c>
      <c r="I39" s="8">
        <f t="shared" si="1"/>
        <v>2630296.0000000019</v>
      </c>
      <c r="J39" s="8">
        <f t="shared" si="2"/>
        <v>2675352.4999999977</v>
      </c>
      <c r="O39">
        <v>4324</v>
      </c>
      <c r="P39" t="s">
        <v>82</v>
      </c>
      <c r="Q39" t="s">
        <v>239</v>
      </c>
      <c r="R39" t="s">
        <v>81</v>
      </c>
      <c r="S39" s="9">
        <v>729</v>
      </c>
      <c r="T39" s="9" t="s">
        <v>240</v>
      </c>
      <c r="U39" s="9" t="s">
        <v>241</v>
      </c>
      <c r="V39" s="9">
        <v>729</v>
      </c>
      <c r="W39" t="s">
        <v>86</v>
      </c>
      <c r="X39">
        <v>912</v>
      </c>
      <c r="Y39" s="9">
        <v>45657.201500000003</v>
      </c>
      <c r="Z39" s="9">
        <v>46874.203999999983</v>
      </c>
      <c r="AA39" s="9">
        <v>48109.006000000001</v>
      </c>
    </row>
    <row r="40" spans="2:27">
      <c r="B40" t="s">
        <v>190</v>
      </c>
      <c r="C40" t="s">
        <v>189</v>
      </c>
      <c r="D40" t="s">
        <v>81</v>
      </c>
      <c r="E40" t="s">
        <v>81</v>
      </c>
      <c r="F40" t="s">
        <v>81</v>
      </c>
      <c r="G40" s="8">
        <v>5579144</v>
      </c>
      <c r="H40" s="8">
        <f t="shared" si="0"/>
        <v>5457154.4999999991</v>
      </c>
      <c r="I40" s="8">
        <f t="shared" si="1"/>
        <v>5579143.5000000047</v>
      </c>
      <c r="J40" s="8">
        <f t="shared" si="2"/>
        <v>5742315.5000000019</v>
      </c>
      <c r="O40">
        <v>4396</v>
      </c>
      <c r="P40" t="s">
        <v>82</v>
      </c>
      <c r="Q40" t="s">
        <v>242</v>
      </c>
      <c r="R40" t="s">
        <v>81</v>
      </c>
      <c r="S40" s="9">
        <v>788</v>
      </c>
      <c r="T40" s="9" t="s">
        <v>243</v>
      </c>
      <c r="U40" s="9" t="s">
        <v>244</v>
      </c>
      <c r="V40" s="9">
        <v>788</v>
      </c>
      <c r="W40" t="s">
        <v>86</v>
      </c>
      <c r="X40">
        <v>912</v>
      </c>
      <c r="Y40" s="9">
        <v>12262.946000000005</v>
      </c>
      <c r="Z40" s="9">
        <v>12356.117000000004</v>
      </c>
      <c r="AA40" s="9">
        <v>12458.222999999998</v>
      </c>
    </row>
    <row r="41" spans="2:27">
      <c r="B41" t="s">
        <v>245</v>
      </c>
      <c r="C41" t="s">
        <v>246</v>
      </c>
      <c r="D41" t="s">
        <v>80</v>
      </c>
      <c r="E41" t="s">
        <v>81</v>
      </c>
      <c r="F41" t="s">
        <v>57</v>
      </c>
      <c r="G41" s="8">
        <v>38929902</v>
      </c>
      <c r="H41" s="8">
        <f t="shared" si="0"/>
        <v>38155011.999999985</v>
      </c>
      <c r="I41" s="8">
        <f t="shared" si="1"/>
        <v>38454327</v>
      </c>
      <c r="J41" s="8">
        <f t="shared" si="2"/>
        <v>38781291.500000007</v>
      </c>
      <c r="O41">
        <v>4468</v>
      </c>
      <c r="P41" t="s">
        <v>82</v>
      </c>
      <c r="Q41" t="s">
        <v>247</v>
      </c>
      <c r="R41" t="s">
        <v>81</v>
      </c>
      <c r="S41" s="9">
        <v>732</v>
      </c>
      <c r="T41" s="9" t="s">
        <v>248</v>
      </c>
      <c r="U41" s="9" t="s">
        <v>249</v>
      </c>
      <c r="V41" s="9">
        <v>732</v>
      </c>
      <c r="W41" t="s">
        <v>86</v>
      </c>
      <c r="X41">
        <v>912</v>
      </c>
      <c r="Y41" s="9">
        <v>565.58100000000013</v>
      </c>
      <c r="Z41" s="9">
        <v>575.98550000000023</v>
      </c>
      <c r="AA41" s="9">
        <v>587.2584999999998</v>
      </c>
    </row>
    <row r="42" spans="2:27">
      <c r="B42" t="s">
        <v>250</v>
      </c>
      <c r="C42" t="s">
        <v>251</v>
      </c>
      <c r="D42" t="s">
        <v>81</v>
      </c>
      <c r="E42" t="s">
        <v>81</v>
      </c>
      <c r="F42" t="s">
        <v>81</v>
      </c>
      <c r="G42" s="8">
        <v>100108221</v>
      </c>
      <c r="H42" s="8" t="str">
        <f t="shared" si="0"/>
        <v/>
      </c>
      <c r="I42" s="8" t="str">
        <f t="shared" si="1"/>
        <v/>
      </c>
      <c r="J42" s="8" t="str">
        <f t="shared" si="2"/>
        <v/>
      </c>
      <c r="O42">
        <v>4612</v>
      </c>
      <c r="P42" t="s">
        <v>82</v>
      </c>
      <c r="Q42" t="s">
        <v>238</v>
      </c>
      <c r="R42" t="s">
        <v>81</v>
      </c>
      <c r="S42" s="9">
        <v>72</v>
      </c>
      <c r="T42" s="9" t="s">
        <v>237</v>
      </c>
      <c r="U42" s="9" t="s">
        <v>252</v>
      </c>
      <c r="V42" s="9">
        <v>72</v>
      </c>
      <c r="W42" t="s">
        <v>86</v>
      </c>
      <c r="X42">
        <v>913</v>
      </c>
      <c r="Y42" s="9">
        <v>2588.422999999998</v>
      </c>
      <c r="Z42" s="9">
        <v>2630.2960000000016</v>
      </c>
      <c r="AA42" s="9">
        <v>2675.3524999999977</v>
      </c>
    </row>
    <row r="43" spans="2:27">
      <c r="B43" t="s">
        <v>253</v>
      </c>
      <c r="C43" t="s">
        <v>254</v>
      </c>
      <c r="D43" t="s">
        <v>80</v>
      </c>
      <c r="E43" t="s">
        <v>81</v>
      </c>
      <c r="F43" t="s">
        <v>57</v>
      </c>
      <c r="G43" s="8">
        <v>8775760</v>
      </c>
      <c r="H43" s="8">
        <f t="shared" si="0"/>
        <v>8691406.5000000019</v>
      </c>
      <c r="I43" s="8">
        <f t="shared" si="1"/>
        <v>8740472</v>
      </c>
      <c r="J43" s="8">
        <f t="shared" si="2"/>
        <v>8796668.9999999963</v>
      </c>
      <c r="O43">
        <v>4684</v>
      </c>
      <c r="P43" t="s">
        <v>82</v>
      </c>
      <c r="Q43" t="s">
        <v>255</v>
      </c>
      <c r="R43" t="s">
        <v>81</v>
      </c>
      <c r="S43" s="9">
        <v>748</v>
      </c>
      <c r="T43" s="9" t="s">
        <v>256</v>
      </c>
      <c r="U43" s="9" t="s">
        <v>257</v>
      </c>
      <c r="V43" s="9">
        <v>748</v>
      </c>
      <c r="W43" t="s">
        <v>86</v>
      </c>
      <c r="X43">
        <v>913</v>
      </c>
      <c r="Y43" s="9">
        <v>1192.2710000000002</v>
      </c>
      <c r="Z43" s="9">
        <v>1201.6704999999995</v>
      </c>
      <c r="AA43" s="9">
        <v>1210.8214999999996</v>
      </c>
    </row>
    <row r="44" spans="2:27">
      <c r="B44" t="s">
        <v>258</v>
      </c>
      <c r="C44" t="s">
        <v>259</v>
      </c>
      <c r="D44" t="s">
        <v>80</v>
      </c>
      <c r="E44" t="s">
        <v>81</v>
      </c>
      <c r="F44" t="s">
        <v>81</v>
      </c>
      <c r="G44" s="8">
        <v>174079</v>
      </c>
      <c r="H44" s="8" t="str">
        <f t="shared" si="0"/>
        <v/>
      </c>
      <c r="I44" s="8" t="str">
        <f t="shared" si="1"/>
        <v/>
      </c>
      <c r="J44" s="8" t="str">
        <f t="shared" si="2"/>
        <v/>
      </c>
      <c r="O44">
        <v>4756</v>
      </c>
      <c r="P44" t="s">
        <v>82</v>
      </c>
      <c r="Q44" t="s">
        <v>260</v>
      </c>
      <c r="R44" t="s">
        <v>81</v>
      </c>
      <c r="S44" s="9">
        <v>426</v>
      </c>
      <c r="T44" s="9" t="s">
        <v>261</v>
      </c>
      <c r="U44" s="9" t="s">
        <v>262</v>
      </c>
      <c r="V44" s="9">
        <v>426</v>
      </c>
      <c r="W44" t="s">
        <v>86</v>
      </c>
      <c r="X44">
        <v>913</v>
      </c>
      <c r="Y44" s="9">
        <v>2281.4545000000012</v>
      </c>
      <c r="Z44" s="9">
        <v>2305.8255000000017</v>
      </c>
      <c r="AA44" s="9">
        <v>2330.3174999999987</v>
      </c>
    </row>
    <row r="45" spans="2:27">
      <c r="B45" t="s">
        <v>21</v>
      </c>
      <c r="C45" t="s">
        <v>263</v>
      </c>
      <c r="D45" t="s">
        <v>80</v>
      </c>
      <c r="E45" t="s">
        <v>1</v>
      </c>
      <c r="F45" t="s">
        <v>57</v>
      </c>
      <c r="G45" s="8">
        <v>19603733</v>
      </c>
      <c r="H45" s="8">
        <f t="shared" si="0"/>
        <v>19493184.5</v>
      </c>
      <c r="I45" s="8">
        <f t="shared" si="1"/>
        <v>19603732.999999996</v>
      </c>
      <c r="J45" s="8">
        <f t="shared" si="2"/>
        <v>19629590.000000004</v>
      </c>
      <c r="O45">
        <v>4828</v>
      </c>
      <c r="P45" t="s">
        <v>82</v>
      </c>
      <c r="Q45" t="s">
        <v>264</v>
      </c>
      <c r="R45" t="s">
        <v>81</v>
      </c>
      <c r="S45" s="9">
        <v>516</v>
      </c>
      <c r="T45" s="9" t="s">
        <v>265</v>
      </c>
      <c r="U45" s="9" t="s">
        <v>266</v>
      </c>
      <c r="V45" s="9">
        <v>516</v>
      </c>
      <c r="W45" t="s">
        <v>86</v>
      </c>
      <c r="X45">
        <v>913</v>
      </c>
      <c r="Y45" s="9">
        <v>2530.1505000000016</v>
      </c>
      <c r="Z45" s="9">
        <v>2567.0124999999994</v>
      </c>
      <c r="AA45" s="9">
        <v>2604.1719999999996</v>
      </c>
    </row>
    <row r="46" spans="2:27">
      <c r="B46" t="s">
        <v>267</v>
      </c>
      <c r="C46" t="s">
        <v>268</v>
      </c>
      <c r="D46" t="s">
        <v>81</v>
      </c>
      <c r="E46" t="s">
        <v>81</v>
      </c>
      <c r="F46" t="s">
        <v>81</v>
      </c>
      <c r="G46" s="8">
        <v>1412175000</v>
      </c>
      <c r="H46" s="8">
        <f t="shared" si="0"/>
        <v>1425893464.4999986</v>
      </c>
      <c r="I46" s="8">
        <f t="shared" si="1"/>
        <v>1425887337</v>
      </c>
      <c r="J46" s="8">
        <f t="shared" si="2"/>
        <v>1425671352.0000012</v>
      </c>
      <c r="O46">
        <v>4900</v>
      </c>
      <c r="P46" t="s">
        <v>82</v>
      </c>
      <c r="Q46" t="s">
        <v>269</v>
      </c>
      <c r="R46" t="s">
        <v>81</v>
      </c>
      <c r="S46" s="9">
        <v>710</v>
      </c>
      <c r="T46" s="9" t="s">
        <v>270</v>
      </c>
      <c r="U46" s="9" t="s">
        <v>271</v>
      </c>
      <c r="V46" s="9">
        <v>710</v>
      </c>
      <c r="W46" t="s">
        <v>86</v>
      </c>
      <c r="X46">
        <v>913</v>
      </c>
      <c r="Y46" s="9">
        <v>59392.254999999997</v>
      </c>
      <c r="Z46" s="9">
        <v>59893.885499999997</v>
      </c>
      <c r="AA46" s="9">
        <v>60414.494500000015</v>
      </c>
    </row>
    <row r="47" spans="2:27">
      <c r="B47" t="s">
        <v>272</v>
      </c>
      <c r="C47" t="s">
        <v>273</v>
      </c>
      <c r="D47" t="s">
        <v>81</v>
      </c>
      <c r="E47" t="s">
        <v>81</v>
      </c>
      <c r="F47" t="s">
        <v>81</v>
      </c>
      <c r="G47" s="8">
        <v>28160542</v>
      </c>
      <c r="H47" s="8">
        <f t="shared" si="0"/>
        <v>27478249.000000004</v>
      </c>
      <c r="I47" s="8">
        <f t="shared" si="1"/>
        <v>28160542.500000004</v>
      </c>
      <c r="J47" s="8">
        <f t="shared" si="2"/>
        <v>28873033.500000007</v>
      </c>
      <c r="O47">
        <v>5044</v>
      </c>
      <c r="P47" t="s">
        <v>82</v>
      </c>
      <c r="Q47" t="s">
        <v>170</v>
      </c>
      <c r="R47" t="s">
        <v>81</v>
      </c>
      <c r="S47" s="9">
        <v>204</v>
      </c>
      <c r="T47" s="9" t="s">
        <v>169</v>
      </c>
      <c r="U47" s="9" t="s">
        <v>274</v>
      </c>
      <c r="V47" s="9">
        <v>204</v>
      </c>
      <c r="W47" t="s">
        <v>86</v>
      </c>
      <c r="X47">
        <v>914</v>
      </c>
      <c r="Y47" s="9">
        <v>12996.895</v>
      </c>
      <c r="Z47" s="9">
        <v>13352.864</v>
      </c>
      <c r="AA47" s="9">
        <v>13712.828000000001</v>
      </c>
    </row>
    <row r="48" spans="2:27">
      <c r="B48" t="s">
        <v>185</v>
      </c>
      <c r="C48" t="s">
        <v>184</v>
      </c>
      <c r="D48" t="s">
        <v>81</v>
      </c>
      <c r="E48" t="s">
        <v>81</v>
      </c>
      <c r="F48" t="s">
        <v>81</v>
      </c>
      <c r="G48" s="8">
        <v>27914536</v>
      </c>
      <c r="H48" s="8">
        <f t="shared" si="0"/>
        <v>27198627.999999985</v>
      </c>
      <c r="I48" s="8">
        <f t="shared" si="1"/>
        <v>27914536.499999989</v>
      </c>
      <c r="J48" s="8">
        <f t="shared" si="2"/>
        <v>28647293.000000015</v>
      </c>
      <c r="O48">
        <v>5116</v>
      </c>
      <c r="P48" t="s">
        <v>82</v>
      </c>
      <c r="Q48" t="s">
        <v>175</v>
      </c>
      <c r="R48" t="s">
        <v>81</v>
      </c>
      <c r="S48" s="9">
        <v>854</v>
      </c>
      <c r="T48" s="9" t="s">
        <v>174</v>
      </c>
      <c r="U48" s="9" t="s">
        <v>275</v>
      </c>
      <c r="V48" s="9">
        <v>854</v>
      </c>
      <c r="W48" t="s">
        <v>86</v>
      </c>
      <c r="X48">
        <v>914</v>
      </c>
      <c r="Y48">
        <v>22100.683499999988</v>
      </c>
      <c r="Z48">
        <v>22673.762000000006</v>
      </c>
      <c r="AA48">
        <v>23251.484999999979</v>
      </c>
    </row>
    <row r="49" spans="2:27">
      <c r="B49" t="s">
        <v>204</v>
      </c>
      <c r="C49" t="s">
        <v>276</v>
      </c>
      <c r="D49" t="s">
        <v>81</v>
      </c>
      <c r="E49" t="s">
        <v>81</v>
      </c>
      <c r="F49" t="s">
        <v>81</v>
      </c>
      <c r="G49" s="8">
        <v>99010212</v>
      </c>
      <c r="H49" s="8">
        <f t="shared" si="0"/>
        <v>95894118.499999985</v>
      </c>
      <c r="I49" s="8">
        <f t="shared" si="1"/>
        <v>99010212</v>
      </c>
      <c r="J49" s="8">
        <f t="shared" si="2"/>
        <v>102262808.50000001</v>
      </c>
      <c r="O49">
        <v>5188</v>
      </c>
      <c r="P49" t="s">
        <v>82</v>
      </c>
      <c r="Q49" t="s">
        <v>277</v>
      </c>
      <c r="R49" t="s">
        <v>81</v>
      </c>
      <c r="S49" s="9">
        <v>132</v>
      </c>
      <c r="T49" s="9" t="s">
        <v>278</v>
      </c>
      <c r="U49" s="9" t="s">
        <v>279</v>
      </c>
      <c r="V49" s="9">
        <v>132</v>
      </c>
      <c r="W49" t="s">
        <v>86</v>
      </c>
      <c r="X49">
        <v>914</v>
      </c>
      <c r="Y49">
        <v>587.92499999999995</v>
      </c>
      <c r="Z49">
        <v>593.1495000000001</v>
      </c>
      <c r="AA49">
        <v>598.68200000000002</v>
      </c>
    </row>
    <row r="50" spans="2:27">
      <c r="B50" t="s">
        <v>199</v>
      </c>
      <c r="C50" t="s">
        <v>280</v>
      </c>
      <c r="D50" t="s">
        <v>81</v>
      </c>
      <c r="E50" t="s">
        <v>81</v>
      </c>
      <c r="F50" t="s">
        <v>81</v>
      </c>
      <c r="G50" s="8">
        <v>5970424</v>
      </c>
      <c r="H50" s="8">
        <f t="shared" si="0"/>
        <v>5835806.0000000009</v>
      </c>
      <c r="I50" s="8">
        <f t="shared" si="1"/>
        <v>5970424.0000000009</v>
      </c>
      <c r="J50" s="8">
        <f t="shared" si="2"/>
        <v>6106869.0000000019</v>
      </c>
      <c r="O50">
        <v>5260</v>
      </c>
      <c r="P50" t="s">
        <v>82</v>
      </c>
      <c r="Q50" t="s">
        <v>281</v>
      </c>
      <c r="R50" t="s">
        <v>81</v>
      </c>
      <c r="S50" s="9">
        <v>384</v>
      </c>
      <c r="T50" s="9" t="s">
        <v>272</v>
      </c>
      <c r="U50" s="9" t="s">
        <v>282</v>
      </c>
      <c r="V50" s="9">
        <v>384</v>
      </c>
      <c r="W50" t="s">
        <v>86</v>
      </c>
      <c r="X50">
        <v>914</v>
      </c>
      <c r="Y50">
        <v>27478.249000000003</v>
      </c>
      <c r="Z50">
        <v>28160.542500000003</v>
      </c>
      <c r="AA50">
        <v>28873.033500000009</v>
      </c>
    </row>
    <row r="51" spans="2:27">
      <c r="B51" t="s">
        <v>23</v>
      </c>
      <c r="C51" t="s">
        <v>283</v>
      </c>
      <c r="D51" t="s">
        <v>81</v>
      </c>
      <c r="E51" t="s">
        <v>1</v>
      </c>
      <c r="F51" t="s">
        <v>57</v>
      </c>
      <c r="G51" s="8">
        <v>51874024</v>
      </c>
      <c r="H51" s="8">
        <f t="shared" si="0"/>
        <v>51516562</v>
      </c>
      <c r="I51" s="8">
        <f t="shared" si="1"/>
        <v>51874024.000000007</v>
      </c>
      <c r="J51" s="8">
        <f t="shared" si="2"/>
        <v>52085167.500000007</v>
      </c>
      <c r="O51">
        <v>5332</v>
      </c>
      <c r="P51" t="s">
        <v>82</v>
      </c>
      <c r="Q51" t="s">
        <v>284</v>
      </c>
      <c r="R51" t="s">
        <v>81</v>
      </c>
      <c r="S51" s="9">
        <v>270</v>
      </c>
      <c r="T51" s="9" t="s">
        <v>285</v>
      </c>
      <c r="U51" s="9" t="s">
        <v>286</v>
      </c>
      <c r="V51" s="9">
        <v>270</v>
      </c>
      <c r="W51" t="s">
        <v>86</v>
      </c>
      <c r="X51">
        <v>914</v>
      </c>
      <c r="Y51">
        <v>2639.9155000000005</v>
      </c>
      <c r="Z51">
        <v>2705.9919999999997</v>
      </c>
      <c r="AA51">
        <v>2773.1679999999997</v>
      </c>
    </row>
    <row r="52" spans="2:27">
      <c r="B52" t="s">
        <v>90</v>
      </c>
      <c r="C52" t="s">
        <v>89</v>
      </c>
      <c r="D52" t="s">
        <v>81</v>
      </c>
      <c r="E52" t="s">
        <v>81</v>
      </c>
      <c r="F52" t="s">
        <v>81</v>
      </c>
      <c r="G52" s="8">
        <v>836774</v>
      </c>
      <c r="H52" s="8">
        <f t="shared" si="0"/>
        <v>821625.49999999988</v>
      </c>
      <c r="I52" s="8">
        <f t="shared" si="1"/>
        <v>836773.49999999977</v>
      </c>
      <c r="J52" s="8">
        <f t="shared" si="2"/>
        <v>852074.99999999988</v>
      </c>
      <c r="O52">
        <v>5404</v>
      </c>
      <c r="P52" t="s">
        <v>82</v>
      </c>
      <c r="Q52" t="s">
        <v>287</v>
      </c>
      <c r="R52" t="s">
        <v>81</v>
      </c>
      <c r="S52" s="9">
        <v>288</v>
      </c>
      <c r="T52" s="9" t="s">
        <v>288</v>
      </c>
      <c r="U52" s="9" t="s">
        <v>289</v>
      </c>
      <c r="V52" s="9">
        <v>288</v>
      </c>
      <c r="W52" t="s">
        <v>86</v>
      </c>
      <c r="X52">
        <v>914</v>
      </c>
      <c r="Y52">
        <v>32833.031499999997</v>
      </c>
      <c r="Z52">
        <v>33475.870500000012</v>
      </c>
      <c r="AA52">
        <v>34121.98500000003</v>
      </c>
    </row>
    <row r="53" spans="2:27">
      <c r="B53" t="s">
        <v>278</v>
      </c>
      <c r="C53" t="s">
        <v>277</v>
      </c>
      <c r="D53" t="s">
        <v>81</v>
      </c>
      <c r="E53" t="s">
        <v>81</v>
      </c>
      <c r="F53" t="s">
        <v>81</v>
      </c>
      <c r="G53" s="8">
        <v>593149</v>
      </c>
      <c r="H53" s="8">
        <f t="shared" si="0"/>
        <v>587925</v>
      </c>
      <c r="I53" s="8">
        <f t="shared" si="1"/>
        <v>593149.50000000012</v>
      </c>
      <c r="J53" s="8">
        <f t="shared" si="2"/>
        <v>598682</v>
      </c>
      <c r="O53">
        <v>5476</v>
      </c>
      <c r="P53" t="s">
        <v>82</v>
      </c>
      <c r="Q53" t="s">
        <v>290</v>
      </c>
      <c r="R53" t="s">
        <v>81</v>
      </c>
      <c r="S53" s="9">
        <v>324</v>
      </c>
      <c r="T53" s="9" t="s">
        <v>291</v>
      </c>
      <c r="U53" s="9" t="s">
        <v>292</v>
      </c>
      <c r="V53" s="9">
        <v>324</v>
      </c>
      <c r="W53" t="s">
        <v>86</v>
      </c>
      <c r="X53">
        <v>914</v>
      </c>
      <c r="Y53">
        <v>13531.906000000004</v>
      </c>
      <c r="Z53">
        <v>13859.340500000006</v>
      </c>
      <c r="AA53">
        <v>14190.611999999999</v>
      </c>
    </row>
    <row r="54" spans="2:27">
      <c r="B54" t="s">
        <v>25</v>
      </c>
      <c r="C54" t="s">
        <v>293</v>
      </c>
      <c r="D54" t="s">
        <v>81</v>
      </c>
      <c r="E54" t="s">
        <v>1</v>
      </c>
      <c r="F54" t="s">
        <v>57</v>
      </c>
      <c r="G54" s="8">
        <v>5180829</v>
      </c>
      <c r="H54" s="8">
        <f t="shared" si="0"/>
        <v>5153956.9999999981</v>
      </c>
      <c r="I54" s="8">
        <f t="shared" si="1"/>
        <v>5180829.0000000028</v>
      </c>
      <c r="J54" s="8">
        <f t="shared" si="2"/>
        <v>5212173.0000000028</v>
      </c>
      <c r="O54">
        <v>5548</v>
      </c>
      <c r="P54" t="s">
        <v>82</v>
      </c>
      <c r="Q54" t="s">
        <v>294</v>
      </c>
      <c r="R54" t="s">
        <v>81</v>
      </c>
      <c r="S54" s="9">
        <v>624</v>
      </c>
      <c r="T54" s="9" t="s">
        <v>295</v>
      </c>
      <c r="U54" s="9" t="s">
        <v>296</v>
      </c>
      <c r="V54" s="9">
        <v>624</v>
      </c>
      <c r="W54" t="s">
        <v>86</v>
      </c>
      <c r="X54">
        <v>914</v>
      </c>
      <c r="Y54">
        <v>2060.7209999999991</v>
      </c>
      <c r="Z54">
        <v>2105.5654999999992</v>
      </c>
      <c r="AA54">
        <v>2150.8419999999992</v>
      </c>
    </row>
    <row r="55" spans="2:27">
      <c r="B55" t="s">
        <v>297</v>
      </c>
      <c r="C55" t="s">
        <v>298</v>
      </c>
      <c r="D55" t="s">
        <v>81</v>
      </c>
      <c r="E55" t="s">
        <v>81</v>
      </c>
      <c r="F55" t="s">
        <v>81</v>
      </c>
      <c r="G55" s="8">
        <v>7505478</v>
      </c>
      <c r="H55" s="8" t="str">
        <f t="shared" si="0"/>
        <v/>
      </c>
      <c r="I55" s="8" t="str">
        <f t="shared" si="1"/>
        <v/>
      </c>
      <c r="J55" s="8" t="str">
        <f t="shared" si="2"/>
        <v/>
      </c>
      <c r="O55">
        <v>5620</v>
      </c>
      <c r="P55" t="s">
        <v>82</v>
      </c>
      <c r="Q55" t="s">
        <v>299</v>
      </c>
      <c r="R55" t="s">
        <v>81</v>
      </c>
      <c r="S55" s="9">
        <v>430</v>
      </c>
      <c r="T55" s="9" t="s">
        <v>300</v>
      </c>
      <c r="U55" s="9" t="s">
        <v>301</v>
      </c>
      <c r="V55" s="9">
        <v>430</v>
      </c>
      <c r="W55" t="s">
        <v>86</v>
      </c>
      <c r="X55">
        <v>914</v>
      </c>
      <c r="Y55">
        <v>5193.4155000000019</v>
      </c>
      <c r="Z55">
        <v>5302.6810000000032</v>
      </c>
      <c r="AA55">
        <v>5418.3764999999967</v>
      </c>
    </row>
    <row r="56" spans="2:27">
      <c r="B56" t="s">
        <v>302</v>
      </c>
      <c r="C56" t="s">
        <v>303</v>
      </c>
      <c r="D56" t="s">
        <v>81</v>
      </c>
      <c r="E56" t="s">
        <v>81</v>
      </c>
      <c r="F56" t="s">
        <v>81</v>
      </c>
      <c r="G56" s="8">
        <v>11212191</v>
      </c>
      <c r="H56" s="8">
        <f t="shared" si="0"/>
        <v>11256372.500000007</v>
      </c>
      <c r="I56" s="8">
        <f t="shared" si="1"/>
        <v>11212190.999999998</v>
      </c>
      <c r="J56" s="8">
        <f t="shared" si="2"/>
        <v>11194449.000000002</v>
      </c>
      <c r="O56">
        <v>5692</v>
      </c>
      <c r="P56" t="s">
        <v>82</v>
      </c>
      <c r="Q56" t="s">
        <v>304</v>
      </c>
      <c r="R56" t="s">
        <v>81</v>
      </c>
      <c r="S56" s="9">
        <v>466</v>
      </c>
      <c r="T56" s="9" t="s">
        <v>305</v>
      </c>
      <c r="U56" s="9" t="s">
        <v>306</v>
      </c>
      <c r="V56" s="9">
        <v>466</v>
      </c>
      <c r="W56" t="s">
        <v>86</v>
      </c>
      <c r="X56">
        <v>914</v>
      </c>
      <c r="Y56">
        <v>21904.982999999997</v>
      </c>
      <c r="Z56">
        <v>22593.590500000024</v>
      </c>
      <c r="AA56">
        <v>23293.698499999995</v>
      </c>
    </row>
    <row r="57" spans="2:27">
      <c r="B57" t="s">
        <v>307</v>
      </c>
      <c r="C57" t="s">
        <v>308</v>
      </c>
      <c r="D57" t="s">
        <v>80</v>
      </c>
      <c r="E57" t="s">
        <v>81</v>
      </c>
      <c r="F57" t="s">
        <v>81</v>
      </c>
      <c r="G57" s="8">
        <v>149996</v>
      </c>
      <c r="H57" s="8">
        <f t="shared" si="0"/>
        <v>190338.00000000009</v>
      </c>
      <c r="I57" s="8">
        <f t="shared" si="1"/>
        <v>191163.49999999997</v>
      </c>
      <c r="J57" s="8">
        <f t="shared" si="2"/>
        <v>192077.00000000003</v>
      </c>
      <c r="O57">
        <v>5764</v>
      </c>
      <c r="P57" t="s">
        <v>82</v>
      </c>
      <c r="Q57" t="s">
        <v>309</v>
      </c>
      <c r="R57" t="s">
        <v>81</v>
      </c>
      <c r="S57" s="9">
        <v>478</v>
      </c>
      <c r="T57" s="9" t="s">
        <v>310</v>
      </c>
      <c r="U57" s="9" t="s">
        <v>311</v>
      </c>
      <c r="V57" s="9">
        <v>478</v>
      </c>
      <c r="W57" t="s">
        <v>86</v>
      </c>
      <c r="X57">
        <v>914</v>
      </c>
      <c r="Y57">
        <v>4614.9740000000002</v>
      </c>
      <c r="Z57">
        <v>4736.1389999999992</v>
      </c>
      <c r="AA57">
        <v>4862.9884999999949</v>
      </c>
    </row>
    <row r="58" spans="2:27">
      <c r="B58" t="s">
        <v>312</v>
      </c>
      <c r="C58" t="s">
        <v>313</v>
      </c>
      <c r="D58" t="s">
        <v>80</v>
      </c>
      <c r="E58" t="s">
        <v>81</v>
      </c>
      <c r="F58" t="s">
        <v>81</v>
      </c>
      <c r="G58" s="8">
        <v>68706</v>
      </c>
      <c r="H58" s="8">
        <f t="shared" si="0"/>
        <v>68136.000000000029</v>
      </c>
      <c r="I58" s="8">
        <f t="shared" si="1"/>
        <v>68705.499999999985</v>
      </c>
      <c r="J58" s="8">
        <f t="shared" si="2"/>
        <v>69309.999999999971</v>
      </c>
      <c r="O58">
        <v>5836</v>
      </c>
      <c r="P58" t="s">
        <v>82</v>
      </c>
      <c r="Q58" t="s">
        <v>314</v>
      </c>
      <c r="R58" t="s">
        <v>81</v>
      </c>
      <c r="S58" s="9">
        <v>562</v>
      </c>
      <c r="T58" s="9" t="s">
        <v>315</v>
      </c>
      <c r="U58" s="9" t="s">
        <v>316</v>
      </c>
      <c r="V58" s="9">
        <v>562</v>
      </c>
      <c r="W58" t="s">
        <v>86</v>
      </c>
      <c r="X58">
        <v>914</v>
      </c>
      <c r="Y58">
        <v>25252.721999999987</v>
      </c>
      <c r="Z58">
        <v>26207.976500000001</v>
      </c>
      <c r="AA58">
        <v>27202.843000000001</v>
      </c>
    </row>
    <row r="59" spans="2:27">
      <c r="B59" t="s">
        <v>317</v>
      </c>
      <c r="C59" t="s">
        <v>318</v>
      </c>
      <c r="D59" t="s">
        <v>80</v>
      </c>
      <c r="E59" t="s">
        <v>81</v>
      </c>
      <c r="F59" t="s">
        <v>81</v>
      </c>
      <c r="G59" s="8">
        <v>1251488</v>
      </c>
      <c r="H59" s="8">
        <f t="shared" si="0"/>
        <v>1244188</v>
      </c>
      <c r="I59" s="8">
        <f t="shared" si="1"/>
        <v>1251488.5</v>
      </c>
      <c r="J59" s="8">
        <f t="shared" si="2"/>
        <v>1260138</v>
      </c>
      <c r="O59">
        <v>5908</v>
      </c>
      <c r="P59" t="s">
        <v>82</v>
      </c>
      <c r="Q59" t="s">
        <v>319</v>
      </c>
      <c r="R59" t="s">
        <v>81</v>
      </c>
      <c r="S59" s="9">
        <v>566</v>
      </c>
      <c r="T59" s="9" t="s">
        <v>320</v>
      </c>
      <c r="U59" s="9" t="s">
        <v>321</v>
      </c>
      <c r="V59" s="9">
        <v>566</v>
      </c>
      <c r="W59" t="s">
        <v>86</v>
      </c>
      <c r="X59">
        <v>914</v>
      </c>
      <c r="Y59">
        <v>213401.32249999998</v>
      </c>
      <c r="Z59">
        <v>218541.21150000003</v>
      </c>
      <c r="AA59">
        <v>223804.6320000001</v>
      </c>
    </row>
    <row r="60" spans="2:27">
      <c r="B60" t="s">
        <v>322</v>
      </c>
      <c r="C60" t="s">
        <v>323</v>
      </c>
      <c r="D60" t="s">
        <v>80</v>
      </c>
      <c r="E60" t="s">
        <v>81</v>
      </c>
      <c r="F60" t="s">
        <v>57</v>
      </c>
      <c r="G60" s="8">
        <v>10672118</v>
      </c>
      <c r="H60" s="8">
        <f t="shared" si="0"/>
        <v>10510750.5</v>
      </c>
      <c r="I60" s="8">
        <f t="shared" si="1"/>
        <v>10493986</v>
      </c>
      <c r="J60" s="8">
        <f t="shared" si="2"/>
        <v>10495294.999999996</v>
      </c>
      <c r="O60">
        <v>5980</v>
      </c>
      <c r="P60" t="s">
        <v>82</v>
      </c>
      <c r="Q60" t="s">
        <v>324</v>
      </c>
      <c r="R60">
        <v>4</v>
      </c>
      <c r="S60" s="9">
        <v>654</v>
      </c>
      <c r="T60" s="9" t="s">
        <v>325</v>
      </c>
      <c r="U60" s="9" t="s">
        <v>326</v>
      </c>
      <c r="V60" s="9">
        <v>654</v>
      </c>
      <c r="W60" t="s">
        <v>86</v>
      </c>
      <c r="X60">
        <v>914</v>
      </c>
      <c r="Y60">
        <v>5.4034999999999984</v>
      </c>
      <c r="Z60">
        <v>5.3740000000000041</v>
      </c>
      <c r="AA60">
        <v>5.3135000000000012</v>
      </c>
    </row>
    <row r="61" spans="2:27">
      <c r="B61" t="s">
        <v>327</v>
      </c>
      <c r="C61" t="s">
        <v>328</v>
      </c>
      <c r="D61" t="s">
        <v>80</v>
      </c>
      <c r="E61" t="s">
        <v>81</v>
      </c>
      <c r="F61" t="s">
        <v>57</v>
      </c>
      <c r="G61" s="8">
        <v>83797985</v>
      </c>
      <c r="H61" s="8">
        <f t="shared" si="0"/>
        <v>83408554.500000015</v>
      </c>
      <c r="I61" s="8">
        <f t="shared" si="1"/>
        <v>83369843.00000003</v>
      </c>
      <c r="J61" s="8">
        <f t="shared" si="2"/>
        <v>83294632.5</v>
      </c>
      <c r="O61">
        <v>6052</v>
      </c>
      <c r="P61" t="s">
        <v>82</v>
      </c>
      <c r="Q61" t="s">
        <v>329</v>
      </c>
      <c r="R61" t="s">
        <v>81</v>
      </c>
      <c r="S61" s="9">
        <v>686</v>
      </c>
      <c r="T61" s="9" t="s">
        <v>330</v>
      </c>
      <c r="U61" s="9" t="s">
        <v>331</v>
      </c>
      <c r="V61" s="9">
        <v>686</v>
      </c>
      <c r="W61" t="s">
        <v>86</v>
      </c>
      <c r="X61">
        <v>914</v>
      </c>
      <c r="Y61">
        <v>16876.719999999998</v>
      </c>
      <c r="Z61">
        <v>17316.449000000001</v>
      </c>
      <c r="AA61">
        <v>17763.163000000011</v>
      </c>
    </row>
    <row r="62" spans="2:27">
      <c r="B62" t="s">
        <v>95</v>
      </c>
      <c r="C62" t="s">
        <v>94</v>
      </c>
      <c r="D62" t="s">
        <v>81</v>
      </c>
      <c r="E62" t="s">
        <v>81</v>
      </c>
      <c r="F62" t="s">
        <v>81</v>
      </c>
      <c r="G62" s="8">
        <v>1120849</v>
      </c>
      <c r="H62" s="8">
        <f t="shared" si="0"/>
        <v>1105557.5</v>
      </c>
      <c r="I62" s="8">
        <f t="shared" si="1"/>
        <v>1120848.5000000005</v>
      </c>
      <c r="J62" s="8">
        <f t="shared" si="2"/>
        <v>1136454.4999999988</v>
      </c>
      <c r="O62">
        <v>6124</v>
      </c>
      <c r="P62" t="s">
        <v>82</v>
      </c>
      <c r="Q62" t="s">
        <v>332</v>
      </c>
      <c r="R62" t="s">
        <v>81</v>
      </c>
      <c r="S62" s="9">
        <v>694</v>
      </c>
      <c r="T62" s="9" t="s">
        <v>333</v>
      </c>
      <c r="U62" s="9" t="s">
        <v>334</v>
      </c>
      <c r="V62" s="9">
        <v>694</v>
      </c>
      <c r="W62" t="s">
        <v>86</v>
      </c>
      <c r="X62">
        <v>914</v>
      </c>
      <c r="Y62">
        <v>8420.6410000000033</v>
      </c>
      <c r="Z62">
        <v>8605.7180000000062</v>
      </c>
      <c r="AA62">
        <v>8791.0919999999951</v>
      </c>
    </row>
    <row r="63" spans="2:27">
      <c r="B63" t="s">
        <v>335</v>
      </c>
      <c r="C63" t="s">
        <v>336</v>
      </c>
      <c r="D63" t="s">
        <v>81</v>
      </c>
      <c r="E63" t="s">
        <v>81</v>
      </c>
      <c r="F63" t="s">
        <v>81</v>
      </c>
      <c r="G63" s="8">
        <v>72737</v>
      </c>
      <c r="H63" s="8">
        <f t="shared" si="0"/>
        <v>72412.500000000029</v>
      </c>
      <c r="I63" s="8">
        <f t="shared" si="1"/>
        <v>72737.5</v>
      </c>
      <c r="J63" s="8">
        <f t="shared" si="2"/>
        <v>73040</v>
      </c>
      <c r="O63">
        <v>6196</v>
      </c>
      <c r="P63" t="s">
        <v>82</v>
      </c>
      <c r="Q63" t="s">
        <v>337</v>
      </c>
      <c r="R63" t="s">
        <v>81</v>
      </c>
      <c r="S63" s="9">
        <v>768</v>
      </c>
      <c r="T63" s="9" t="s">
        <v>338</v>
      </c>
      <c r="U63" s="9" t="s">
        <v>339</v>
      </c>
      <c r="V63" s="9">
        <v>768</v>
      </c>
      <c r="W63" t="s">
        <v>86</v>
      </c>
      <c r="X63">
        <v>914</v>
      </c>
      <c r="Y63">
        <v>8644.8289999999979</v>
      </c>
      <c r="Z63">
        <v>8848.6985000000022</v>
      </c>
      <c r="AA63">
        <v>9053.7990000000045</v>
      </c>
    </row>
    <row r="64" spans="2:27">
      <c r="B64" t="s">
        <v>340</v>
      </c>
      <c r="C64" t="s">
        <v>341</v>
      </c>
      <c r="D64" t="s">
        <v>80</v>
      </c>
      <c r="E64" t="s">
        <v>81</v>
      </c>
      <c r="F64" t="s">
        <v>57</v>
      </c>
      <c r="G64" s="8">
        <v>5903037</v>
      </c>
      <c r="H64" s="8">
        <f t="shared" si="0"/>
        <v>5854240.5</v>
      </c>
      <c r="I64" s="8">
        <f t="shared" si="1"/>
        <v>5882261.4999999981</v>
      </c>
      <c r="J64" s="8">
        <f t="shared" si="2"/>
        <v>5910912.9999999972</v>
      </c>
      <c r="O64">
        <v>6412</v>
      </c>
      <c r="P64" t="s">
        <v>82</v>
      </c>
      <c r="Q64" t="s">
        <v>342</v>
      </c>
      <c r="R64" t="s">
        <v>81</v>
      </c>
      <c r="S64" s="9">
        <v>398</v>
      </c>
      <c r="T64" s="9" t="s">
        <v>343</v>
      </c>
      <c r="U64" s="9" t="s">
        <v>344</v>
      </c>
      <c r="V64" s="9">
        <v>398</v>
      </c>
      <c r="W64" t="s">
        <v>86</v>
      </c>
      <c r="X64">
        <v>5500</v>
      </c>
      <c r="Y64">
        <v>19196.465500000002</v>
      </c>
      <c r="Z64">
        <v>19397.997999999992</v>
      </c>
      <c r="AA64">
        <v>19606.633500000007</v>
      </c>
    </row>
    <row r="65" spans="2:27">
      <c r="B65" t="s">
        <v>27</v>
      </c>
      <c r="C65" t="s">
        <v>345</v>
      </c>
      <c r="D65" t="s">
        <v>81</v>
      </c>
      <c r="E65" t="s">
        <v>1</v>
      </c>
      <c r="F65" t="s">
        <v>81</v>
      </c>
      <c r="G65" s="8">
        <v>11228821</v>
      </c>
      <c r="H65" s="8">
        <f t="shared" si="0"/>
        <v>11117873.5</v>
      </c>
      <c r="I65" s="8">
        <f t="shared" si="1"/>
        <v>11228821.000000002</v>
      </c>
      <c r="J65" s="8">
        <f t="shared" si="2"/>
        <v>11332972.5</v>
      </c>
      <c r="O65">
        <v>6484</v>
      </c>
      <c r="P65" t="s">
        <v>82</v>
      </c>
      <c r="Q65" t="s">
        <v>346</v>
      </c>
      <c r="R65" t="s">
        <v>81</v>
      </c>
      <c r="S65" s="9">
        <v>417</v>
      </c>
      <c r="T65" s="9" t="s">
        <v>347</v>
      </c>
      <c r="U65" s="9" t="s">
        <v>348</v>
      </c>
      <c r="V65" s="9">
        <v>417</v>
      </c>
      <c r="W65" t="s">
        <v>86</v>
      </c>
      <c r="X65">
        <v>5500</v>
      </c>
      <c r="Y65">
        <v>6527.7435000000014</v>
      </c>
      <c r="Z65">
        <v>6630.6229999999996</v>
      </c>
      <c r="AA65">
        <v>6735.3475000000017</v>
      </c>
    </row>
    <row r="66" spans="2:27">
      <c r="B66" t="s">
        <v>221</v>
      </c>
      <c r="C66" t="s">
        <v>220</v>
      </c>
      <c r="D66" t="s">
        <v>81</v>
      </c>
      <c r="E66" t="s">
        <v>81</v>
      </c>
      <c r="F66" t="s">
        <v>81</v>
      </c>
      <c r="G66" s="8">
        <v>44903225</v>
      </c>
      <c r="H66" s="8">
        <f t="shared" si="0"/>
        <v>44177968.500000007</v>
      </c>
      <c r="I66" s="8">
        <f t="shared" si="1"/>
        <v>44903225.000000007</v>
      </c>
      <c r="J66" s="8">
        <f t="shared" si="2"/>
        <v>45606480.499999985</v>
      </c>
      <c r="O66">
        <v>6556</v>
      </c>
      <c r="P66" t="s">
        <v>82</v>
      </c>
      <c r="Q66" t="s">
        <v>349</v>
      </c>
      <c r="R66" t="s">
        <v>81</v>
      </c>
      <c r="S66" s="9">
        <v>762</v>
      </c>
      <c r="T66" s="9" t="s">
        <v>350</v>
      </c>
      <c r="U66" s="9" t="s">
        <v>351</v>
      </c>
      <c r="V66" s="9">
        <v>762</v>
      </c>
      <c r="W66" t="s">
        <v>86</v>
      </c>
      <c r="X66">
        <v>5500</v>
      </c>
      <c r="Y66">
        <v>9750.0640000000021</v>
      </c>
      <c r="Z66">
        <v>9952.7869999999984</v>
      </c>
      <c r="AA66">
        <v>10143.543000000003</v>
      </c>
    </row>
    <row r="67" spans="2:27">
      <c r="B67" t="s">
        <v>352</v>
      </c>
      <c r="C67" t="s">
        <v>353</v>
      </c>
      <c r="D67" t="s">
        <v>81</v>
      </c>
      <c r="E67" t="s">
        <v>81</v>
      </c>
      <c r="F67" t="s">
        <v>81</v>
      </c>
      <c r="G67" s="8">
        <v>2129112126</v>
      </c>
      <c r="H67" s="8" t="str">
        <f t="shared" si="0"/>
        <v/>
      </c>
      <c r="I67" s="8" t="str">
        <f t="shared" si="1"/>
        <v/>
      </c>
      <c r="J67" s="8" t="str">
        <f t="shared" si="2"/>
        <v/>
      </c>
      <c r="O67">
        <v>6628</v>
      </c>
      <c r="P67" t="s">
        <v>82</v>
      </c>
      <c r="Q67" t="s">
        <v>354</v>
      </c>
      <c r="R67" t="s">
        <v>81</v>
      </c>
      <c r="S67" s="9">
        <v>795</v>
      </c>
      <c r="T67" s="9" t="s">
        <v>355</v>
      </c>
      <c r="U67" s="9" t="s">
        <v>356</v>
      </c>
      <c r="V67" s="9">
        <v>795</v>
      </c>
      <c r="W67" t="s">
        <v>86</v>
      </c>
      <c r="X67">
        <v>5500</v>
      </c>
      <c r="Y67">
        <v>6341.8550000000023</v>
      </c>
      <c r="Z67">
        <v>6430.7705000000024</v>
      </c>
      <c r="AA67">
        <v>6516.0999999999967</v>
      </c>
    </row>
    <row r="68" spans="2:27">
      <c r="B68" t="s">
        <v>357</v>
      </c>
      <c r="C68" t="s">
        <v>358</v>
      </c>
      <c r="D68" t="s">
        <v>81</v>
      </c>
      <c r="E68" t="s">
        <v>81</v>
      </c>
      <c r="F68" t="s">
        <v>81</v>
      </c>
      <c r="G68" s="8">
        <v>3447398652</v>
      </c>
      <c r="H68" s="8" t="str">
        <f t="shared" si="0"/>
        <v/>
      </c>
      <c r="I68" s="8" t="str">
        <f t="shared" si="1"/>
        <v/>
      </c>
      <c r="J68" s="8" t="str">
        <f t="shared" si="2"/>
        <v/>
      </c>
      <c r="O68">
        <v>6700</v>
      </c>
      <c r="P68" t="s">
        <v>82</v>
      </c>
      <c r="Q68" t="s">
        <v>359</v>
      </c>
      <c r="R68" t="s">
        <v>81</v>
      </c>
      <c r="S68" s="9">
        <v>860</v>
      </c>
      <c r="T68" s="9" t="s">
        <v>360</v>
      </c>
      <c r="U68" s="9" t="s">
        <v>361</v>
      </c>
      <c r="V68" s="9">
        <v>860</v>
      </c>
      <c r="W68" t="s">
        <v>86</v>
      </c>
      <c r="X68">
        <v>5500</v>
      </c>
      <c r="Y68">
        <v>34081.448999999993</v>
      </c>
      <c r="Z68">
        <v>34627.652500000026</v>
      </c>
      <c r="AA68">
        <v>35163.943500000016</v>
      </c>
    </row>
    <row r="69" spans="2:27">
      <c r="B69" t="s">
        <v>362</v>
      </c>
      <c r="C69" t="s">
        <v>363</v>
      </c>
      <c r="D69" t="s">
        <v>81</v>
      </c>
      <c r="E69" t="s">
        <v>81</v>
      </c>
      <c r="F69" t="s">
        <v>81</v>
      </c>
      <c r="G69" s="8">
        <v>2375162207</v>
      </c>
      <c r="H69" s="8" t="str">
        <f t="shared" si="0"/>
        <v/>
      </c>
      <c r="I69" s="8" t="str">
        <f t="shared" si="1"/>
        <v/>
      </c>
      <c r="J69" s="8" t="str">
        <f t="shared" si="2"/>
        <v/>
      </c>
      <c r="O69">
        <v>6844</v>
      </c>
      <c r="P69" t="s">
        <v>82</v>
      </c>
      <c r="Q69" t="s">
        <v>268</v>
      </c>
      <c r="R69">
        <v>5</v>
      </c>
      <c r="S69" s="9">
        <v>156</v>
      </c>
      <c r="T69" s="9" t="s">
        <v>267</v>
      </c>
      <c r="U69" s="9" t="s">
        <v>364</v>
      </c>
      <c r="V69" s="9">
        <v>156</v>
      </c>
      <c r="W69" t="s">
        <v>86</v>
      </c>
      <c r="X69">
        <v>906</v>
      </c>
      <c r="Y69">
        <v>1425893.4644999986</v>
      </c>
      <c r="Z69">
        <v>1425887.3370000001</v>
      </c>
      <c r="AA69">
        <v>1425671.3520000011</v>
      </c>
    </row>
    <row r="70" spans="2:27">
      <c r="B70" t="s">
        <v>365</v>
      </c>
      <c r="C70" t="s">
        <v>366</v>
      </c>
      <c r="D70" t="s">
        <v>81</v>
      </c>
      <c r="E70" t="s">
        <v>81</v>
      </c>
      <c r="F70" t="s">
        <v>81</v>
      </c>
      <c r="G70" s="8">
        <v>397824705</v>
      </c>
      <c r="H70" s="8" t="str">
        <f t="shared" ref="H70:H133" si="3">IFERROR(VLOOKUP(B70,$T$6:$AA$241,6,0)*1000,"")</f>
        <v/>
      </c>
      <c r="I70" s="8" t="str">
        <f t="shared" ref="I70:I133" si="4">IFERROR(VLOOKUP(B70,$T$6:$AA$241,7,0)*1000,"")</f>
        <v/>
      </c>
      <c r="J70" s="8" t="str">
        <f t="shared" ref="J70:J133" si="5">IFERROR(VLOOKUP(B70,$T$6:$AA$241,8,0)*1000,"")</f>
        <v/>
      </c>
      <c r="O70">
        <v>6916</v>
      </c>
      <c r="P70" t="s">
        <v>82</v>
      </c>
      <c r="Q70" t="s">
        <v>367</v>
      </c>
      <c r="R70">
        <v>6</v>
      </c>
      <c r="S70" s="9">
        <v>344</v>
      </c>
      <c r="T70" s="9" t="s">
        <v>368</v>
      </c>
      <c r="U70" s="9" t="s">
        <v>369</v>
      </c>
      <c r="V70" s="9">
        <v>344</v>
      </c>
      <c r="W70" t="s">
        <v>86</v>
      </c>
      <c r="X70">
        <v>906</v>
      </c>
      <c r="Y70">
        <v>7494.5784999999987</v>
      </c>
      <c r="Z70">
        <v>7488.8650000000007</v>
      </c>
      <c r="AA70">
        <v>7491.6084999999975</v>
      </c>
    </row>
    <row r="71" spans="2:27">
      <c r="B71" t="s">
        <v>370</v>
      </c>
      <c r="C71" t="s">
        <v>371</v>
      </c>
      <c r="D71" t="s">
        <v>81</v>
      </c>
      <c r="E71" t="s">
        <v>81</v>
      </c>
      <c r="F71" t="s">
        <v>81</v>
      </c>
      <c r="G71" s="8">
        <v>920375568</v>
      </c>
      <c r="H71" s="8" t="str">
        <f t="shared" si="3"/>
        <v/>
      </c>
      <c r="I71" s="8" t="str">
        <f t="shared" si="4"/>
        <v/>
      </c>
      <c r="J71" s="8" t="str">
        <f t="shared" si="5"/>
        <v/>
      </c>
      <c r="O71">
        <v>6988</v>
      </c>
      <c r="P71" t="s">
        <v>82</v>
      </c>
      <c r="Q71" t="s">
        <v>372</v>
      </c>
      <c r="R71">
        <v>7</v>
      </c>
      <c r="S71" s="9">
        <v>446</v>
      </c>
      <c r="T71" s="9" t="s">
        <v>373</v>
      </c>
      <c r="U71" s="9" t="s">
        <v>374</v>
      </c>
      <c r="V71" s="9">
        <v>446</v>
      </c>
      <c r="W71" t="s">
        <v>86</v>
      </c>
      <c r="X71">
        <v>906</v>
      </c>
      <c r="Y71">
        <v>686.6070000000002</v>
      </c>
      <c r="Z71">
        <v>695.16849999999954</v>
      </c>
      <c r="AA71">
        <v>704.14950000000022</v>
      </c>
    </row>
    <row r="72" spans="2:27">
      <c r="B72" t="s">
        <v>29</v>
      </c>
      <c r="C72" t="s">
        <v>375</v>
      </c>
      <c r="D72" t="s">
        <v>81</v>
      </c>
      <c r="E72" t="s">
        <v>1</v>
      </c>
      <c r="F72" t="s">
        <v>81</v>
      </c>
      <c r="G72" s="8">
        <v>18001000</v>
      </c>
      <c r="H72" s="8">
        <f t="shared" si="3"/>
        <v>17797737.000000015</v>
      </c>
      <c r="I72" s="8">
        <f t="shared" si="4"/>
        <v>18000999.999999996</v>
      </c>
      <c r="J72" s="8">
        <f t="shared" si="5"/>
        <v>18190483.999999996</v>
      </c>
      <c r="O72">
        <v>7060</v>
      </c>
      <c r="P72" t="s">
        <v>82</v>
      </c>
      <c r="Q72" t="s">
        <v>376</v>
      </c>
      <c r="R72">
        <v>8</v>
      </c>
      <c r="S72" s="9">
        <v>158</v>
      </c>
      <c r="T72" s="9" t="s">
        <v>377</v>
      </c>
      <c r="U72" s="9" t="s">
        <v>378</v>
      </c>
      <c r="V72" s="9">
        <v>158</v>
      </c>
      <c r="W72" t="s">
        <v>86</v>
      </c>
      <c r="X72">
        <v>906</v>
      </c>
      <c r="Y72">
        <v>23859.912000000011</v>
      </c>
      <c r="Z72">
        <v>23893.394500000006</v>
      </c>
      <c r="AA72">
        <v>23923.276500000007</v>
      </c>
    </row>
    <row r="73" spans="2:27">
      <c r="B73" t="s">
        <v>225</v>
      </c>
      <c r="C73" t="s">
        <v>379</v>
      </c>
      <c r="D73" t="s">
        <v>81</v>
      </c>
      <c r="E73" t="s">
        <v>81</v>
      </c>
      <c r="F73" t="s">
        <v>81</v>
      </c>
      <c r="G73" s="8">
        <v>110990103</v>
      </c>
      <c r="H73" s="8">
        <f t="shared" si="3"/>
        <v>109262177.49999997</v>
      </c>
      <c r="I73" s="8">
        <f t="shared" si="4"/>
        <v>110990102.99999997</v>
      </c>
      <c r="J73" s="8">
        <f t="shared" si="5"/>
        <v>112716598.50000001</v>
      </c>
      <c r="O73">
        <v>7132</v>
      </c>
      <c r="P73" t="s">
        <v>82</v>
      </c>
      <c r="Q73" t="s">
        <v>380</v>
      </c>
      <c r="R73" t="s">
        <v>81</v>
      </c>
      <c r="S73" s="9">
        <v>408</v>
      </c>
      <c r="T73" s="9" t="s">
        <v>381</v>
      </c>
      <c r="U73" s="9" t="s">
        <v>382</v>
      </c>
      <c r="V73" s="9">
        <v>408</v>
      </c>
      <c r="W73" t="s">
        <v>86</v>
      </c>
      <c r="X73">
        <v>906</v>
      </c>
      <c r="Y73">
        <v>25971.909</v>
      </c>
      <c r="Z73">
        <v>26069.416500000003</v>
      </c>
      <c r="AA73">
        <v>26160.821499999998</v>
      </c>
    </row>
    <row r="74" spans="2:27">
      <c r="B74" t="s">
        <v>383</v>
      </c>
      <c r="C74" t="s">
        <v>384</v>
      </c>
      <c r="D74" t="s">
        <v>81</v>
      </c>
      <c r="E74" t="s">
        <v>81</v>
      </c>
      <c r="F74" t="s">
        <v>81</v>
      </c>
      <c r="G74" s="8">
        <v>348331511</v>
      </c>
      <c r="H74" s="8" t="str">
        <f t="shared" si="3"/>
        <v/>
      </c>
      <c r="I74" s="8" t="str">
        <f t="shared" si="4"/>
        <v/>
      </c>
      <c r="J74" s="8" t="str">
        <f t="shared" si="5"/>
        <v/>
      </c>
      <c r="O74">
        <v>7204</v>
      </c>
      <c r="P74" t="s">
        <v>82</v>
      </c>
      <c r="Q74" t="s">
        <v>385</v>
      </c>
      <c r="R74" t="s">
        <v>81</v>
      </c>
      <c r="S74" s="9">
        <v>392</v>
      </c>
      <c r="T74" s="9" t="s">
        <v>386</v>
      </c>
      <c r="U74" s="9" t="s">
        <v>387</v>
      </c>
      <c r="V74" s="9">
        <v>392</v>
      </c>
      <c r="W74" t="s">
        <v>86</v>
      </c>
      <c r="X74">
        <v>906</v>
      </c>
      <c r="Y74">
        <v>124612.53049999995</v>
      </c>
      <c r="Z74">
        <v>123951.69200000002</v>
      </c>
      <c r="AA74">
        <v>123294.51300000005</v>
      </c>
    </row>
    <row r="75" spans="2:27">
      <c r="B75" t="s">
        <v>100</v>
      </c>
      <c r="C75" t="s">
        <v>99</v>
      </c>
      <c r="D75" t="s">
        <v>81</v>
      </c>
      <c r="E75" t="s">
        <v>81</v>
      </c>
      <c r="F75" t="s">
        <v>81</v>
      </c>
      <c r="G75" s="8">
        <v>3684032</v>
      </c>
      <c r="H75" s="8">
        <f t="shared" si="3"/>
        <v>3620312.0000000023</v>
      </c>
      <c r="I75" s="8">
        <f t="shared" si="4"/>
        <v>3684031.5000000019</v>
      </c>
      <c r="J75" s="8">
        <f t="shared" si="5"/>
        <v>3748901.5</v>
      </c>
      <c r="O75">
        <v>7276</v>
      </c>
      <c r="P75" t="s">
        <v>82</v>
      </c>
      <c r="Q75" t="s">
        <v>388</v>
      </c>
      <c r="R75" t="s">
        <v>81</v>
      </c>
      <c r="S75" s="9">
        <v>496</v>
      </c>
      <c r="T75" s="9" t="s">
        <v>389</v>
      </c>
      <c r="U75" s="9" t="s">
        <v>390</v>
      </c>
      <c r="V75" s="9">
        <v>496</v>
      </c>
      <c r="W75" t="s">
        <v>86</v>
      </c>
      <c r="X75">
        <v>906</v>
      </c>
      <c r="Y75">
        <v>3347.7824999999975</v>
      </c>
      <c r="Z75">
        <v>3398.3660000000004</v>
      </c>
      <c r="AA75">
        <v>3447.1565000000005</v>
      </c>
    </row>
    <row r="76" spans="2:27">
      <c r="B76" t="s">
        <v>391</v>
      </c>
      <c r="C76" t="s">
        <v>392</v>
      </c>
      <c r="D76" t="s">
        <v>80</v>
      </c>
      <c r="E76" t="s">
        <v>81</v>
      </c>
      <c r="F76" t="s">
        <v>57</v>
      </c>
      <c r="G76" s="8">
        <v>47778340</v>
      </c>
      <c r="H76" s="8">
        <f t="shared" si="3"/>
        <v>47486934.999999993</v>
      </c>
      <c r="I76" s="8">
        <f t="shared" si="4"/>
        <v>47558629.500000022</v>
      </c>
      <c r="J76" s="8">
        <f t="shared" si="5"/>
        <v>47519627.5</v>
      </c>
      <c r="O76">
        <v>7348</v>
      </c>
      <c r="P76" t="s">
        <v>82</v>
      </c>
      <c r="Q76" t="s">
        <v>393</v>
      </c>
      <c r="R76" t="s">
        <v>81</v>
      </c>
      <c r="S76" s="9">
        <v>410</v>
      </c>
      <c r="T76" s="9" t="s">
        <v>394</v>
      </c>
      <c r="U76" s="9" t="s">
        <v>395</v>
      </c>
      <c r="V76" s="9">
        <v>410</v>
      </c>
      <c r="W76" t="s">
        <v>86</v>
      </c>
      <c r="X76">
        <v>906</v>
      </c>
      <c r="Y76">
        <v>51830.139000000003</v>
      </c>
      <c r="Z76">
        <v>51815.809499999996</v>
      </c>
      <c r="AA76">
        <v>51784.058999999994</v>
      </c>
    </row>
    <row r="77" spans="2:27">
      <c r="B77" t="s">
        <v>396</v>
      </c>
      <c r="C77" t="s">
        <v>397</v>
      </c>
      <c r="D77" t="s">
        <v>80</v>
      </c>
      <c r="E77" t="s">
        <v>81</v>
      </c>
      <c r="F77" t="s">
        <v>57</v>
      </c>
      <c r="G77" s="8">
        <v>1348840</v>
      </c>
      <c r="H77" s="8">
        <f t="shared" si="3"/>
        <v>1328701.0000000002</v>
      </c>
      <c r="I77" s="8">
        <f t="shared" si="4"/>
        <v>1326062.0000000007</v>
      </c>
      <c r="J77" s="8">
        <f t="shared" si="5"/>
        <v>1322765.4999999991</v>
      </c>
      <c r="O77">
        <v>7492</v>
      </c>
      <c r="P77" t="s">
        <v>82</v>
      </c>
      <c r="Q77" t="s">
        <v>93</v>
      </c>
      <c r="R77" t="s">
        <v>81</v>
      </c>
      <c r="S77" s="9">
        <v>4</v>
      </c>
      <c r="T77" s="9" t="s">
        <v>92</v>
      </c>
      <c r="U77" s="9" t="s">
        <v>398</v>
      </c>
      <c r="V77" s="11">
        <v>4</v>
      </c>
      <c r="W77" t="s">
        <v>86</v>
      </c>
      <c r="X77">
        <v>5501</v>
      </c>
      <c r="Y77">
        <v>40099.461999999978</v>
      </c>
      <c r="Z77">
        <v>41128.771000000037</v>
      </c>
      <c r="AA77">
        <v>42239.853999999999</v>
      </c>
    </row>
    <row r="78" spans="2:27">
      <c r="B78" t="s">
        <v>105</v>
      </c>
      <c r="C78" t="s">
        <v>104</v>
      </c>
      <c r="D78" t="s">
        <v>81</v>
      </c>
      <c r="E78" t="s">
        <v>81</v>
      </c>
      <c r="F78" t="s">
        <v>81</v>
      </c>
      <c r="G78" s="8">
        <v>123379924</v>
      </c>
      <c r="H78" s="8">
        <f t="shared" si="3"/>
        <v>120283026.00000006</v>
      </c>
      <c r="I78" s="8">
        <f t="shared" si="4"/>
        <v>123379924.50000004</v>
      </c>
      <c r="J78" s="8">
        <f t="shared" si="5"/>
        <v>126527060.00000003</v>
      </c>
      <c r="O78">
        <v>7564</v>
      </c>
      <c r="P78" t="s">
        <v>82</v>
      </c>
      <c r="Q78" t="s">
        <v>180</v>
      </c>
      <c r="R78" t="s">
        <v>81</v>
      </c>
      <c r="S78" s="9">
        <v>50</v>
      </c>
      <c r="T78" s="9" t="s">
        <v>179</v>
      </c>
      <c r="U78" s="9" t="s">
        <v>399</v>
      </c>
      <c r="V78" s="9">
        <v>50</v>
      </c>
      <c r="W78" t="s">
        <v>86</v>
      </c>
      <c r="X78">
        <v>5501</v>
      </c>
      <c r="Y78">
        <v>169356.25099999999</v>
      </c>
      <c r="Z78">
        <v>171186.37249999997</v>
      </c>
      <c r="AA78">
        <v>172954.31900000008</v>
      </c>
    </row>
    <row r="79" spans="2:27">
      <c r="B79" t="s">
        <v>400</v>
      </c>
      <c r="C79" t="s">
        <v>401</v>
      </c>
      <c r="D79" t="s">
        <v>81</v>
      </c>
      <c r="E79" t="s">
        <v>81</v>
      </c>
      <c r="F79" t="s">
        <v>81</v>
      </c>
      <c r="G79" s="8">
        <v>447370510</v>
      </c>
      <c r="H79" s="8" t="str">
        <f t="shared" si="3"/>
        <v/>
      </c>
      <c r="I79" s="8" t="str">
        <f t="shared" si="4"/>
        <v/>
      </c>
      <c r="J79" s="8" t="str">
        <f t="shared" si="5"/>
        <v/>
      </c>
      <c r="O79">
        <v>7636</v>
      </c>
      <c r="P79" t="s">
        <v>82</v>
      </c>
      <c r="Q79" t="s">
        <v>233</v>
      </c>
      <c r="R79" t="s">
        <v>81</v>
      </c>
      <c r="S79" s="9">
        <v>64</v>
      </c>
      <c r="T79" s="9" t="s">
        <v>232</v>
      </c>
      <c r="U79" s="9" t="s">
        <v>402</v>
      </c>
      <c r="V79" s="9">
        <v>64</v>
      </c>
      <c r="W79" t="s">
        <v>86</v>
      </c>
      <c r="X79">
        <v>5501</v>
      </c>
      <c r="Y79">
        <v>777.48650000000009</v>
      </c>
      <c r="Z79">
        <v>782.4549999999997</v>
      </c>
      <c r="AA79">
        <v>787.42449999999974</v>
      </c>
    </row>
    <row r="80" spans="2:27">
      <c r="B80" t="s">
        <v>403</v>
      </c>
      <c r="C80" t="s">
        <v>404</v>
      </c>
      <c r="D80" t="s">
        <v>81</v>
      </c>
      <c r="E80" t="s">
        <v>81</v>
      </c>
      <c r="F80" t="s">
        <v>81</v>
      </c>
      <c r="G80" s="8">
        <v>1019139254</v>
      </c>
      <c r="H80" s="8" t="str">
        <f t="shared" si="3"/>
        <v/>
      </c>
      <c r="I80" s="8" t="str">
        <f t="shared" si="4"/>
        <v/>
      </c>
      <c r="J80" s="8" t="str">
        <f t="shared" si="5"/>
        <v/>
      </c>
      <c r="O80">
        <v>7708</v>
      </c>
      <c r="P80" t="s">
        <v>82</v>
      </c>
      <c r="Q80" t="s">
        <v>405</v>
      </c>
      <c r="R80" t="s">
        <v>81</v>
      </c>
      <c r="S80" s="9">
        <v>356</v>
      </c>
      <c r="T80" s="9" t="s">
        <v>406</v>
      </c>
      <c r="U80" s="9" t="s">
        <v>407</v>
      </c>
      <c r="V80" s="9">
        <v>356</v>
      </c>
      <c r="W80" t="s">
        <v>86</v>
      </c>
      <c r="X80">
        <v>5501</v>
      </c>
      <c r="Y80">
        <v>1407563.8420000004</v>
      </c>
      <c r="Z80">
        <v>1417173.1725000006</v>
      </c>
      <c r="AA80">
        <v>1428627.6629999999</v>
      </c>
    </row>
    <row r="81" spans="2:27">
      <c r="B81" t="s">
        <v>408</v>
      </c>
      <c r="C81" t="s">
        <v>409</v>
      </c>
      <c r="D81" t="s">
        <v>80</v>
      </c>
      <c r="E81" t="s">
        <v>81</v>
      </c>
      <c r="F81" t="s">
        <v>57</v>
      </c>
      <c r="G81" s="8">
        <v>5556106</v>
      </c>
      <c r="H81" s="8">
        <f t="shared" si="3"/>
        <v>5535991.9999999981</v>
      </c>
      <c r="I81" s="8">
        <f t="shared" si="4"/>
        <v>5540745.5000000009</v>
      </c>
      <c r="J81" s="8">
        <f t="shared" si="5"/>
        <v>5545474.4999999981</v>
      </c>
      <c r="O81">
        <v>7780</v>
      </c>
      <c r="P81" t="s">
        <v>82</v>
      </c>
      <c r="Q81" t="s">
        <v>410</v>
      </c>
      <c r="R81" t="s">
        <v>81</v>
      </c>
      <c r="S81" s="9">
        <v>364</v>
      </c>
      <c r="T81" s="9" t="s">
        <v>411</v>
      </c>
      <c r="U81" s="9" t="s">
        <v>412</v>
      </c>
      <c r="V81" s="9">
        <v>364</v>
      </c>
      <c r="W81" t="s">
        <v>86</v>
      </c>
      <c r="X81">
        <v>5501</v>
      </c>
      <c r="Y81">
        <v>87923.432499999995</v>
      </c>
      <c r="Z81">
        <v>88550.570000000036</v>
      </c>
      <c r="AA81">
        <v>89172.766999999993</v>
      </c>
    </row>
    <row r="82" spans="2:27">
      <c r="B82" t="s">
        <v>413</v>
      </c>
      <c r="C82" t="s">
        <v>414</v>
      </c>
      <c r="D82" t="s">
        <v>81</v>
      </c>
      <c r="E82" t="s">
        <v>81</v>
      </c>
      <c r="F82" t="s">
        <v>81</v>
      </c>
      <c r="G82" s="8">
        <v>929766</v>
      </c>
      <c r="H82" s="8">
        <f t="shared" si="3"/>
        <v>924609.49999999965</v>
      </c>
      <c r="I82" s="8">
        <f t="shared" si="4"/>
        <v>929766.00000000035</v>
      </c>
      <c r="J82" s="8">
        <f t="shared" si="5"/>
        <v>936375.50000000012</v>
      </c>
      <c r="O82">
        <v>7852</v>
      </c>
      <c r="P82" t="s">
        <v>82</v>
      </c>
      <c r="Q82" t="s">
        <v>415</v>
      </c>
      <c r="R82" t="s">
        <v>81</v>
      </c>
      <c r="S82" s="9">
        <v>462</v>
      </c>
      <c r="T82" s="9" t="s">
        <v>416</v>
      </c>
      <c r="U82" s="9" t="s">
        <v>417</v>
      </c>
      <c r="V82" s="9">
        <v>462</v>
      </c>
      <c r="W82" t="s">
        <v>86</v>
      </c>
      <c r="X82">
        <v>5501</v>
      </c>
      <c r="Y82">
        <v>521.45750000000032</v>
      </c>
      <c r="Z82">
        <v>523.78699999999969</v>
      </c>
      <c r="AA82">
        <v>521.02149999999972</v>
      </c>
    </row>
    <row r="83" spans="2:27">
      <c r="B83" t="s">
        <v>418</v>
      </c>
      <c r="C83" t="s">
        <v>419</v>
      </c>
      <c r="D83" t="s">
        <v>80</v>
      </c>
      <c r="E83" t="s">
        <v>81</v>
      </c>
      <c r="F83" t="s">
        <v>57</v>
      </c>
      <c r="G83" s="8">
        <v>67971311</v>
      </c>
      <c r="H83" s="8">
        <f t="shared" si="3"/>
        <v>64531443.999999993</v>
      </c>
      <c r="I83" s="8">
        <f t="shared" si="4"/>
        <v>64626628</v>
      </c>
      <c r="J83" s="8">
        <f t="shared" si="5"/>
        <v>64756584.00000003</v>
      </c>
      <c r="O83">
        <v>7924</v>
      </c>
      <c r="P83" t="s">
        <v>82</v>
      </c>
      <c r="Q83" t="s">
        <v>420</v>
      </c>
      <c r="R83" t="s">
        <v>81</v>
      </c>
      <c r="S83" s="9">
        <v>524</v>
      </c>
      <c r="T83" s="9" t="s">
        <v>421</v>
      </c>
      <c r="U83" s="9" t="s">
        <v>422</v>
      </c>
      <c r="V83" s="9">
        <v>524</v>
      </c>
      <c r="W83" t="s">
        <v>86</v>
      </c>
      <c r="X83">
        <v>5501</v>
      </c>
      <c r="Y83">
        <v>30034.989500000011</v>
      </c>
      <c r="Z83">
        <v>30547.579999999994</v>
      </c>
      <c r="AA83">
        <v>30896.590000000022</v>
      </c>
    </row>
    <row r="84" spans="2:27">
      <c r="B84" t="s">
        <v>423</v>
      </c>
      <c r="C84" t="s">
        <v>424</v>
      </c>
      <c r="D84" t="s">
        <v>80</v>
      </c>
      <c r="E84" t="s">
        <v>81</v>
      </c>
      <c r="F84" t="s">
        <v>81</v>
      </c>
      <c r="G84" s="8">
        <v>53090</v>
      </c>
      <c r="H84" s="8">
        <f t="shared" si="3"/>
        <v>52888.500000000029</v>
      </c>
      <c r="I84" s="8">
        <f t="shared" si="4"/>
        <v>53089.499999999978</v>
      </c>
      <c r="J84" s="8">
        <f t="shared" si="5"/>
        <v>53269.499999999993</v>
      </c>
      <c r="O84">
        <v>7996</v>
      </c>
      <c r="P84" t="s">
        <v>82</v>
      </c>
      <c r="Q84" t="s">
        <v>425</v>
      </c>
      <c r="R84" t="s">
        <v>81</v>
      </c>
      <c r="S84" s="9">
        <v>586</v>
      </c>
      <c r="T84" s="9" t="s">
        <v>426</v>
      </c>
      <c r="U84" s="9" t="s">
        <v>427</v>
      </c>
      <c r="V84" s="9">
        <v>586</v>
      </c>
      <c r="W84" t="s">
        <v>86</v>
      </c>
      <c r="X84">
        <v>5501</v>
      </c>
      <c r="Y84">
        <v>231402.11649999997</v>
      </c>
      <c r="Z84">
        <v>235824.8625000001</v>
      </c>
      <c r="AA84">
        <v>240485.65749999986</v>
      </c>
    </row>
    <row r="85" spans="2:27">
      <c r="B85" t="s">
        <v>428</v>
      </c>
      <c r="C85" t="s">
        <v>429</v>
      </c>
      <c r="D85" t="s">
        <v>81</v>
      </c>
      <c r="E85" t="s">
        <v>81</v>
      </c>
      <c r="F85" t="s">
        <v>81</v>
      </c>
      <c r="G85" s="8">
        <v>114164</v>
      </c>
      <c r="H85" s="8">
        <f t="shared" si="3"/>
        <v>113130.99999999999</v>
      </c>
      <c r="I85" s="8">
        <f t="shared" si="4"/>
        <v>114164</v>
      </c>
      <c r="J85" s="8">
        <f t="shared" si="5"/>
        <v>115224.00000000007</v>
      </c>
      <c r="O85">
        <v>8068</v>
      </c>
      <c r="P85" t="s">
        <v>82</v>
      </c>
      <c r="Q85" t="s">
        <v>430</v>
      </c>
      <c r="R85" t="s">
        <v>81</v>
      </c>
      <c r="S85" s="9">
        <v>144</v>
      </c>
      <c r="T85" s="9" t="s">
        <v>431</v>
      </c>
      <c r="U85" s="9" t="s">
        <v>432</v>
      </c>
      <c r="V85" s="9">
        <v>144</v>
      </c>
      <c r="W85" t="s">
        <v>86</v>
      </c>
      <c r="X85">
        <v>5501</v>
      </c>
      <c r="Y85">
        <v>21773.440500000004</v>
      </c>
      <c r="Z85">
        <v>21832.143000000004</v>
      </c>
      <c r="AA85">
        <v>21893.578999999987</v>
      </c>
    </row>
    <row r="86" spans="2:27">
      <c r="B86" t="s">
        <v>213</v>
      </c>
      <c r="C86" t="s">
        <v>212</v>
      </c>
      <c r="D86" t="s">
        <v>81</v>
      </c>
      <c r="E86" t="s">
        <v>81</v>
      </c>
      <c r="F86" t="s">
        <v>81</v>
      </c>
      <c r="G86" s="8">
        <v>2388992</v>
      </c>
      <c r="H86" s="8">
        <f t="shared" si="3"/>
        <v>2341178.9999999986</v>
      </c>
      <c r="I86" s="8">
        <f t="shared" si="4"/>
        <v>2388992.5000000005</v>
      </c>
      <c r="J86" s="8">
        <f t="shared" si="5"/>
        <v>2436566.5000000019</v>
      </c>
      <c r="O86">
        <v>8212</v>
      </c>
      <c r="P86" t="s">
        <v>82</v>
      </c>
      <c r="Q86" t="s">
        <v>228</v>
      </c>
      <c r="R86" t="s">
        <v>81</v>
      </c>
      <c r="S86" s="9">
        <v>96</v>
      </c>
      <c r="T86" s="9" t="s">
        <v>227</v>
      </c>
      <c r="U86" s="9" t="s">
        <v>433</v>
      </c>
      <c r="V86" s="11">
        <v>96</v>
      </c>
      <c r="W86" t="s">
        <v>86</v>
      </c>
      <c r="X86">
        <v>920</v>
      </c>
      <c r="Y86">
        <v>445.37299999999982</v>
      </c>
      <c r="Z86">
        <v>449.00149999999957</v>
      </c>
      <c r="AA86">
        <v>452.52349999999973</v>
      </c>
    </row>
    <row r="87" spans="2:27">
      <c r="B87" t="s">
        <v>434</v>
      </c>
      <c r="C87" t="s">
        <v>435</v>
      </c>
      <c r="D87" t="s">
        <v>80</v>
      </c>
      <c r="E87" t="s">
        <v>81</v>
      </c>
      <c r="F87" t="s">
        <v>57</v>
      </c>
      <c r="G87" s="8">
        <v>66971395</v>
      </c>
      <c r="H87" s="8">
        <f t="shared" si="3"/>
        <v>67281039.500000015</v>
      </c>
      <c r="I87" s="8">
        <f t="shared" si="4"/>
        <v>67508935.499999985</v>
      </c>
      <c r="J87" s="8">
        <f t="shared" si="5"/>
        <v>67736802.000000015</v>
      </c>
      <c r="O87">
        <v>8284</v>
      </c>
      <c r="P87" t="s">
        <v>82</v>
      </c>
      <c r="Q87" t="s">
        <v>436</v>
      </c>
      <c r="R87" t="s">
        <v>81</v>
      </c>
      <c r="S87" s="9">
        <v>116</v>
      </c>
      <c r="T87" s="9" t="s">
        <v>437</v>
      </c>
      <c r="U87" s="9" t="s">
        <v>438</v>
      </c>
      <c r="V87" s="9">
        <v>116</v>
      </c>
      <c r="W87" t="s">
        <v>86</v>
      </c>
      <c r="X87">
        <v>920</v>
      </c>
      <c r="Y87">
        <v>16589.023500000003</v>
      </c>
      <c r="Z87">
        <v>16767.842499999999</v>
      </c>
      <c r="AA87">
        <v>16944.825999999997</v>
      </c>
    </row>
    <row r="88" spans="2:27">
      <c r="B88" t="s">
        <v>439</v>
      </c>
      <c r="C88" t="s">
        <v>440</v>
      </c>
      <c r="D88" t="s">
        <v>81</v>
      </c>
      <c r="E88" t="s">
        <v>81</v>
      </c>
      <c r="F88" t="s">
        <v>81</v>
      </c>
      <c r="G88" s="8">
        <v>3712502</v>
      </c>
      <c r="H88" s="8">
        <f t="shared" si="3"/>
        <v>3757979.9999999986</v>
      </c>
      <c r="I88" s="8">
        <f t="shared" si="4"/>
        <v>3744385.5000000005</v>
      </c>
      <c r="J88" s="8">
        <f t="shared" si="5"/>
        <v>3728282.0000000014</v>
      </c>
      <c r="O88">
        <v>8356</v>
      </c>
      <c r="P88" t="s">
        <v>82</v>
      </c>
      <c r="Q88" t="s">
        <v>441</v>
      </c>
      <c r="R88" t="s">
        <v>81</v>
      </c>
      <c r="S88" s="9">
        <v>360</v>
      </c>
      <c r="T88" s="9" t="s">
        <v>442</v>
      </c>
      <c r="U88" s="9" t="s">
        <v>443</v>
      </c>
      <c r="V88" s="9">
        <v>360</v>
      </c>
      <c r="W88" t="s">
        <v>86</v>
      </c>
      <c r="X88">
        <v>920</v>
      </c>
      <c r="Y88">
        <v>273753.19099999976</v>
      </c>
      <c r="Z88">
        <v>275501.33900000009</v>
      </c>
      <c r="AA88">
        <v>277534.1225</v>
      </c>
    </row>
    <row r="89" spans="2:27">
      <c r="B89" t="s">
        <v>288</v>
      </c>
      <c r="C89" t="s">
        <v>287</v>
      </c>
      <c r="D89" t="s">
        <v>81</v>
      </c>
      <c r="E89" t="s">
        <v>81</v>
      </c>
      <c r="F89" t="s">
        <v>81</v>
      </c>
      <c r="G89" s="8">
        <v>33475870</v>
      </c>
      <c r="H89" s="8">
        <f t="shared" si="3"/>
        <v>32833031.499999996</v>
      </c>
      <c r="I89" s="8">
        <f t="shared" si="4"/>
        <v>33475870.500000011</v>
      </c>
      <c r="J89" s="8">
        <f t="shared" si="5"/>
        <v>34121985.00000003</v>
      </c>
      <c r="O89">
        <v>8428</v>
      </c>
      <c r="P89" t="s">
        <v>82</v>
      </c>
      <c r="Q89" t="s">
        <v>444</v>
      </c>
      <c r="R89" t="s">
        <v>81</v>
      </c>
      <c r="S89" s="9">
        <v>418</v>
      </c>
      <c r="T89" s="9" t="s">
        <v>445</v>
      </c>
      <c r="U89" s="9" t="s">
        <v>446</v>
      </c>
      <c r="V89" s="9">
        <v>418</v>
      </c>
      <c r="W89" t="s">
        <v>86</v>
      </c>
      <c r="X89">
        <v>920</v>
      </c>
      <c r="Y89">
        <v>7425.0574999999981</v>
      </c>
      <c r="Z89">
        <v>7529.4749999999995</v>
      </c>
      <c r="AA89">
        <v>7633.7785000000013</v>
      </c>
    </row>
    <row r="90" spans="2:27">
      <c r="B90" t="s">
        <v>447</v>
      </c>
      <c r="C90" t="s">
        <v>448</v>
      </c>
      <c r="D90" t="s">
        <v>80</v>
      </c>
      <c r="E90" t="s">
        <v>81</v>
      </c>
      <c r="F90" t="s">
        <v>81</v>
      </c>
      <c r="G90" s="8">
        <v>32649</v>
      </c>
      <c r="H90" s="8">
        <f t="shared" si="3"/>
        <v>32669.500000000015</v>
      </c>
      <c r="I90" s="8">
        <f t="shared" si="4"/>
        <v>32649</v>
      </c>
      <c r="J90" s="8">
        <f t="shared" si="5"/>
        <v>32688.500000000011</v>
      </c>
      <c r="O90">
        <v>8500</v>
      </c>
      <c r="P90" t="s">
        <v>82</v>
      </c>
      <c r="Q90" t="s">
        <v>449</v>
      </c>
      <c r="R90">
        <v>9</v>
      </c>
      <c r="S90" s="9">
        <v>458</v>
      </c>
      <c r="T90" s="9" t="s">
        <v>450</v>
      </c>
      <c r="U90" s="9" t="s">
        <v>451</v>
      </c>
      <c r="V90" s="9">
        <v>458</v>
      </c>
      <c r="W90" t="s">
        <v>86</v>
      </c>
      <c r="X90">
        <v>920</v>
      </c>
      <c r="Y90">
        <v>33573.873499999994</v>
      </c>
      <c r="Z90">
        <v>33938.221499999992</v>
      </c>
      <c r="AA90">
        <v>34308.524999999994</v>
      </c>
    </row>
    <row r="91" spans="2:27">
      <c r="B91" t="s">
        <v>291</v>
      </c>
      <c r="C91" t="s">
        <v>290</v>
      </c>
      <c r="D91" t="s">
        <v>81</v>
      </c>
      <c r="E91" t="s">
        <v>81</v>
      </c>
      <c r="F91" t="s">
        <v>81</v>
      </c>
      <c r="G91" s="8">
        <v>13859341</v>
      </c>
      <c r="H91" s="8">
        <f t="shared" si="3"/>
        <v>13531906.000000004</v>
      </c>
      <c r="I91" s="8">
        <f t="shared" si="4"/>
        <v>13859340.500000006</v>
      </c>
      <c r="J91" s="8">
        <f t="shared" si="5"/>
        <v>14190612</v>
      </c>
      <c r="O91">
        <v>8572</v>
      </c>
      <c r="P91" t="s">
        <v>82</v>
      </c>
      <c r="Q91" t="s">
        <v>452</v>
      </c>
      <c r="R91" t="s">
        <v>81</v>
      </c>
      <c r="S91" s="9">
        <v>104</v>
      </c>
      <c r="T91" s="9" t="s">
        <v>453</v>
      </c>
      <c r="U91" s="9" t="s">
        <v>454</v>
      </c>
      <c r="V91" s="9">
        <v>104</v>
      </c>
      <c r="W91" t="s">
        <v>86</v>
      </c>
      <c r="X91">
        <v>920</v>
      </c>
      <c r="Y91">
        <v>53798.084500000012</v>
      </c>
      <c r="Z91">
        <v>54179.305999999982</v>
      </c>
      <c r="AA91">
        <v>54577.996999999996</v>
      </c>
    </row>
    <row r="92" spans="2:27">
      <c r="B92" t="s">
        <v>285</v>
      </c>
      <c r="C92" t="s">
        <v>455</v>
      </c>
      <c r="D92" t="s">
        <v>81</v>
      </c>
      <c r="E92" t="s">
        <v>81</v>
      </c>
      <c r="F92" t="s">
        <v>81</v>
      </c>
      <c r="G92" s="8">
        <v>2705992</v>
      </c>
      <c r="H92" s="8">
        <f t="shared" si="3"/>
        <v>2639915.5000000005</v>
      </c>
      <c r="I92" s="8">
        <f t="shared" si="4"/>
        <v>2705991.9999999995</v>
      </c>
      <c r="J92" s="8">
        <f t="shared" si="5"/>
        <v>2773167.9999999995</v>
      </c>
      <c r="O92">
        <v>8644</v>
      </c>
      <c r="P92" t="s">
        <v>82</v>
      </c>
      <c r="Q92" t="s">
        <v>456</v>
      </c>
      <c r="R92" t="s">
        <v>81</v>
      </c>
      <c r="S92" s="9">
        <v>608</v>
      </c>
      <c r="T92" s="9" t="s">
        <v>457</v>
      </c>
      <c r="U92" s="9" t="s">
        <v>458</v>
      </c>
      <c r="V92" s="11">
        <v>608</v>
      </c>
      <c r="W92" t="s">
        <v>86</v>
      </c>
      <c r="X92">
        <v>920</v>
      </c>
      <c r="Y92">
        <v>113880.32800000001</v>
      </c>
      <c r="Z92">
        <v>115559.00899999996</v>
      </c>
      <c r="AA92">
        <v>117337.36799999996</v>
      </c>
    </row>
    <row r="93" spans="2:27">
      <c r="B93" t="s">
        <v>295</v>
      </c>
      <c r="C93" t="s">
        <v>294</v>
      </c>
      <c r="D93" t="s">
        <v>81</v>
      </c>
      <c r="E93" t="s">
        <v>81</v>
      </c>
      <c r="F93" t="s">
        <v>81</v>
      </c>
      <c r="G93" s="8">
        <v>2105566</v>
      </c>
      <c r="H93" s="8">
        <f t="shared" si="3"/>
        <v>2060720.9999999991</v>
      </c>
      <c r="I93" s="8">
        <f t="shared" si="4"/>
        <v>2105565.4999999991</v>
      </c>
      <c r="J93" s="8">
        <f t="shared" si="5"/>
        <v>2150841.9999999991</v>
      </c>
      <c r="O93">
        <v>8716</v>
      </c>
      <c r="P93" t="s">
        <v>82</v>
      </c>
      <c r="Q93" t="s">
        <v>459</v>
      </c>
      <c r="R93" t="s">
        <v>81</v>
      </c>
      <c r="S93" s="9">
        <v>702</v>
      </c>
      <c r="T93" s="9" t="s">
        <v>460</v>
      </c>
      <c r="U93" s="9" t="s">
        <v>461</v>
      </c>
      <c r="V93" s="9">
        <v>702</v>
      </c>
      <c r="W93" t="s">
        <v>86</v>
      </c>
      <c r="X93">
        <v>920</v>
      </c>
      <c r="Y93">
        <v>5941.0605000000005</v>
      </c>
      <c r="Z93">
        <v>5975.6885000000029</v>
      </c>
      <c r="AA93">
        <v>6014.722999999999</v>
      </c>
    </row>
    <row r="94" spans="2:27">
      <c r="B94" t="s">
        <v>208</v>
      </c>
      <c r="C94" t="s">
        <v>207</v>
      </c>
      <c r="D94" t="s">
        <v>81</v>
      </c>
      <c r="E94" t="s">
        <v>81</v>
      </c>
      <c r="F94" t="s">
        <v>81</v>
      </c>
      <c r="G94" s="8">
        <v>1674908</v>
      </c>
      <c r="H94" s="8">
        <f t="shared" si="3"/>
        <v>1634465.5000000002</v>
      </c>
      <c r="I94" s="8">
        <f t="shared" si="4"/>
        <v>1674908</v>
      </c>
      <c r="J94" s="8">
        <f t="shared" si="5"/>
        <v>1714671.4999999998</v>
      </c>
      <c r="O94">
        <v>8788</v>
      </c>
      <c r="P94" t="s">
        <v>82</v>
      </c>
      <c r="Q94" t="s">
        <v>462</v>
      </c>
      <c r="R94" t="s">
        <v>81</v>
      </c>
      <c r="S94" s="9">
        <v>764</v>
      </c>
      <c r="T94" s="9" t="s">
        <v>463</v>
      </c>
      <c r="U94" s="9" t="s">
        <v>464</v>
      </c>
      <c r="V94" s="9">
        <v>764</v>
      </c>
      <c r="W94" t="s">
        <v>86</v>
      </c>
      <c r="X94">
        <v>920</v>
      </c>
      <c r="Y94">
        <v>71601.103000000003</v>
      </c>
      <c r="Z94">
        <v>71697.029500000019</v>
      </c>
      <c r="AA94">
        <v>71801.27899999998</v>
      </c>
    </row>
    <row r="95" spans="2:27">
      <c r="B95" t="s">
        <v>465</v>
      </c>
      <c r="C95" t="s">
        <v>466</v>
      </c>
      <c r="D95" t="s">
        <v>80</v>
      </c>
      <c r="E95" t="s">
        <v>81</v>
      </c>
      <c r="F95" t="s">
        <v>57</v>
      </c>
      <c r="G95" s="8">
        <v>10426919</v>
      </c>
      <c r="H95" s="8">
        <f t="shared" si="3"/>
        <v>10445365</v>
      </c>
      <c r="I95" s="8">
        <f t="shared" si="4"/>
        <v>10384971</v>
      </c>
      <c r="J95" s="8">
        <f t="shared" si="5"/>
        <v>10341277.000000004</v>
      </c>
      <c r="O95">
        <v>8860</v>
      </c>
      <c r="P95" t="s">
        <v>82</v>
      </c>
      <c r="Q95" t="s">
        <v>467</v>
      </c>
      <c r="R95" t="s">
        <v>81</v>
      </c>
      <c r="S95" s="9">
        <v>626</v>
      </c>
      <c r="T95" s="9" t="s">
        <v>468</v>
      </c>
      <c r="U95" s="9" t="s">
        <v>469</v>
      </c>
      <c r="V95" s="9">
        <v>626</v>
      </c>
      <c r="W95" t="s">
        <v>86</v>
      </c>
      <c r="X95">
        <v>920</v>
      </c>
      <c r="Y95">
        <v>1320.9419999999998</v>
      </c>
      <c r="Z95">
        <v>1341.2960000000003</v>
      </c>
      <c r="AA95">
        <v>1360.5959999999998</v>
      </c>
    </row>
    <row r="96" spans="2:27">
      <c r="B96" t="s">
        <v>470</v>
      </c>
      <c r="C96" t="s">
        <v>471</v>
      </c>
      <c r="D96" t="s">
        <v>81</v>
      </c>
      <c r="E96" t="s">
        <v>81</v>
      </c>
      <c r="F96" t="s">
        <v>81</v>
      </c>
      <c r="G96" s="8">
        <v>125438</v>
      </c>
      <c r="H96" s="8">
        <f t="shared" si="3"/>
        <v>124610.00000000007</v>
      </c>
      <c r="I96" s="8">
        <f t="shared" si="4"/>
        <v>125437.50000000003</v>
      </c>
      <c r="J96" s="8">
        <f t="shared" si="5"/>
        <v>126183.5</v>
      </c>
      <c r="O96">
        <v>8932</v>
      </c>
      <c r="P96" t="s">
        <v>82</v>
      </c>
      <c r="Q96" t="s">
        <v>472</v>
      </c>
      <c r="R96" t="s">
        <v>81</v>
      </c>
      <c r="S96" s="9">
        <v>704</v>
      </c>
      <c r="T96" s="9" t="s">
        <v>473</v>
      </c>
      <c r="U96" s="9" t="s">
        <v>474</v>
      </c>
      <c r="V96" s="9">
        <v>704</v>
      </c>
      <c r="W96" t="s">
        <v>86</v>
      </c>
      <c r="X96">
        <v>920</v>
      </c>
      <c r="Y96">
        <v>97468.028499999986</v>
      </c>
      <c r="Z96">
        <v>98186.855999999956</v>
      </c>
      <c r="AA96">
        <v>98858.949999999968</v>
      </c>
    </row>
    <row r="97" spans="2:27">
      <c r="B97" t="s">
        <v>475</v>
      </c>
      <c r="C97" t="s">
        <v>476</v>
      </c>
      <c r="D97" t="s">
        <v>80</v>
      </c>
      <c r="E97" t="s">
        <v>81</v>
      </c>
      <c r="F97" t="s">
        <v>81</v>
      </c>
      <c r="G97" s="8">
        <v>56661</v>
      </c>
      <c r="H97" s="8">
        <f t="shared" si="3"/>
        <v>56243.000000000007</v>
      </c>
      <c r="I97" s="8">
        <f t="shared" si="4"/>
        <v>56465.999999999985</v>
      </c>
      <c r="J97" s="8">
        <f t="shared" si="5"/>
        <v>56643.000000000029</v>
      </c>
      <c r="O97">
        <v>9076</v>
      </c>
      <c r="P97" t="s">
        <v>82</v>
      </c>
      <c r="Q97" t="s">
        <v>132</v>
      </c>
      <c r="R97" t="s">
        <v>81</v>
      </c>
      <c r="S97" s="9">
        <v>51</v>
      </c>
      <c r="T97" s="9" t="s">
        <v>131</v>
      </c>
      <c r="U97" s="9" t="s">
        <v>477</v>
      </c>
      <c r="V97" s="9">
        <v>51</v>
      </c>
      <c r="W97" t="s">
        <v>86</v>
      </c>
      <c r="X97">
        <v>922</v>
      </c>
      <c r="Y97">
        <v>2790.9734999999991</v>
      </c>
      <c r="Z97">
        <v>2780.4690000000005</v>
      </c>
      <c r="AA97">
        <v>2777.9705000000004</v>
      </c>
    </row>
    <row r="98" spans="2:27">
      <c r="B98" t="s">
        <v>31</v>
      </c>
      <c r="C98" t="s">
        <v>478</v>
      </c>
      <c r="D98" t="s">
        <v>81</v>
      </c>
      <c r="E98" t="s">
        <v>1</v>
      </c>
      <c r="F98" t="s">
        <v>81</v>
      </c>
      <c r="G98" s="8">
        <v>17357886</v>
      </c>
      <c r="H98" s="8">
        <f t="shared" si="3"/>
        <v>17608483.500000011</v>
      </c>
      <c r="I98" s="8">
        <f t="shared" si="4"/>
        <v>17843908.000000007</v>
      </c>
      <c r="J98" s="8">
        <f t="shared" si="5"/>
        <v>18092026.000000007</v>
      </c>
      <c r="O98">
        <v>9148</v>
      </c>
      <c r="P98" t="s">
        <v>82</v>
      </c>
      <c r="Q98" t="s">
        <v>157</v>
      </c>
      <c r="R98">
        <v>10</v>
      </c>
      <c r="S98" s="9">
        <v>31</v>
      </c>
      <c r="T98" s="9" t="s">
        <v>156</v>
      </c>
      <c r="U98" s="9" t="s">
        <v>479</v>
      </c>
      <c r="V98" s="9">
        <v>31</v>
      </c>
      <c r="W98" t="s">
        <v>86</v>
      </c>
      <c r="X98">
        <v>922</v>
      </c>
      <c r="Y98">
        <v>10312.991999999998</v>
      </c>
      <c r="Z98">
        <v>10358.073999999995</v>
      </c>
      <c r="AA98">
        <v>10412.651499999998</v>
      </c>
    </row>
    <row r="99" spans="2:27">
      <c r="B99" t="s">
        <v>480</v>
      </c>
      <c r="C99" t="s">
        <v>481</v>
      </c>
      <c r="D99" t="s">
        <v>80</v>
      </c>
      <c r="E99" t="s">
        <v>81</v>
      </c>
      <c r="F99" t="s">
        <v>81</v>
      </c>
      <c r="G99" s="8">
        <v>171774</v>
      </c>
      <c r="H99" s="8">
        <f t="shared" si="3"/>
        <v>170534.00000000006</v>
      </c>
      <c r="I99" s="8">
        <f t="shared" si="4"/>
        <v>171774.49999999994</v>
      </c>
      <c r="J99" s="8">
        <f t="shared" si="5"/>
        <v>172951.99999999997</v>
      </c>
      <c r="O99">
        <v>9220</v>
      </c>
      <c r="P99" t="s">
        <v>82</v>
      </c>
      <c r="Q99" t="s">
        <v>188</v>
      </c>
      <c r="R99" t="s">
        <v>81</v>
      </c>
      <c r="S99" s="9">
        <v>48</v>
      </c>
      <c r="T99" s="9" t="s">
        <v>187</v>
      </c>
      <c r="U99" s="9" t="s">
        <v>482</v>
      </c>
      <c r="V99" s="9">
        <v>48</v>
      </c>
      <c r="W99" t="s">
        <v>86</v>
      </c>
      <c r="X99">
        <v>922</v>
      </c>
      <c r="Y99">
        <v>1463.2654999999993</v>
      </c>
      <c r="Z99">
        <v>1472.2330000000002</v>
      </c>
      <c r="AA99">
        <v>1485.5094999999988</v>
      </c>
    </row>
    <row r="100" spans="2:27">
      <c r="B100" t="s">
        <v>33</v>
      </c>
      <c r="C100" t="s">
        <v>483</v>
      </c>
      <c r="D100" t="s">
        <v>80</v>
      </c>
      <c r="E100" t="s">
        <v>1</v>
      </c>
      <c r="F100" t="s">
        <v>81</v>
      </c>
      <c r="G100" s="8">
        <v>808726</v>
      </c>
      <c r="H100" s="8">
        <f t="shared" si="3"/>
        <v>804567</v>
      </c>
      <c r="I100" s="8">
        <f t="shared" si="4"/>
        <v>808725.49999999988</v>
      </c>
      <c r="J100" s="8">
        <f t="shared" si="5"/>
        <v>813833.99999999977</v>
      </c>
      <c r="O100">
        <v>9292</v>
      </c>
      <c r="P100" t="s">
        <v>82</v>
      </c>
      <c r="Q100" t="s">
        <v>318</v>
      </c>
      <c r="R100">
        <v>11</v>
      </c>
      <c r="S100" s="9">
        <v>196</v>
      </c>
      <c r="T100" s="9" t="s">
        <v>317</v>
      </c>
      <c r="U100" s="9" t="s">
        <v>484</v>
      </c>
      <c r="V100" s="9">
        <v>196</v>
      </c>
      <c r="W100" t="s">
        <v>86</v>
      </c>
      <c r="X100">
        <v>922</v>
      </c>
      <c r="Y100">
        <v>1244.1880000000001</v>
      </c>
      <c r="Z100">
        <v>1251.4884999999999</v>
      </c>
      <c r="AA100">
        <v>1260.1379999999999</v>
      </c>
    </row>
    <row r="101" spans="2:27">
      <c r="B101" t="s">
        <v>485</v>
      </c>
      <c r="C101" t="s">
        <v>80</v>
      </c>
      <c r="D101" t="s">
        <v>81</v>
      </c>
      <c r="E101" t="s">
        <v>81</v>
      </c>
      <c r="F101" t="s">
        <v>81</v>
      </c>
      <c r="G101" s="8">
        <v>1244364814</v>
      </c>
      <c r="H101" s="8" t="str">
        <f t="shared" si="3"/>
        <v/>
      </c>
      <c r="I101" s="8" t="str">
        <f t="shared" si="4"/>
        <v/>
      </c>
      <c r="J101" s="8" t="str">
        <f t="shared" si="5"/>
        <v/>
      </c>
      <c r="O101">
        <v>9364</v>
      </c>
      <c r="P101" t="s">
        <v>82</v>
      </c>
      <c r="Q101" t="s">
        <v>440</v>
      </c>
      <c r="R101">
        <v>12</v>
      </c>
      <c r="S101" s="9">
        <v>268</v>
      </c>
      <c r="T101" s="9" t="s">
        <v>439</v>
      </c>
      <c r="U101" s="9" t="s">
        <v>486</v>
      </c>
      <c r="V101" s="9">
        <v>268</v>
      </c>
      <c r="W101" t="s">
        <v>86</v>
      </c>
      <c r="X101">
        <v>922</v>
      </c>
      <c r="Y101">
        <v>3757.9799999999987</v>
      </c>
      <c r="Z101">
        <v>3744.3855000000003</v>
      </c>
      <c r="AA101">
        <v>3728.2820000000015</v>
      </c>
    </row>
    <row r="102" spans="2:27">
      <c r="B102" t="s">
        <v>368</v>
      </c>
      <c r="C102" t="s">
        <v>487</v>
      </c>
      <c r="D102" t="s">
        <v>80</v>
      </c>
      <c r="E102" t="s">
        <v>81</v>
      </c>
      <c r="F102" t="s">
        <v>81</v>
      </c>
      <c r="G102" s="8">
        <v>7346100</v>
      </c>
      <c r="H102" s="8">
        <f t="shared" si="3"/>
        <v>7494578.4999999991</v>
      </c>
      <c r="I102" s="8">
        <f t="shared" si="4"/>
        <v>7488865.0000000009</v>
      </c>
      <c r="J102" s="8">
        <f t="shared" si="5"/>
        <v>7491608.4999999972</v>
      </c>
      <c r="O102">
        <v>9436</v>
      </c>
      <c r="P102" t="s">
        <v>82</v>
      </c>
      <c r="Q102" t="s">
        <v>488</v>
      </c>
      <c r="R102" t="s">
        <v>81</v>
      </c>
      <c r="S102" s="9">
        <v>368</v>
      </c>
      <c r="T102" s="9" t="s">
        <v>489</v>
      </c>
      <c r="U102" s="9" t="s">
        <v>490</v>
      </c>
      <c r="V102" s="11">
        <v>368</v>
      </c>
      <c r="W102" t="s">
        <v>86</v>
      </c>
      <c r="X102">
        <v>922</v>
      </c>
      <c r="Y102">
        <v>43533.592500000013</v>
      </c>
      <c r="Z102">
        <v>44496.121500000001</v>
      </c>
      <c r="AA102">
        <v>45504.560000000012</v>
      </c>
    </row>
    <row r="103" spans="2:27">
      <c r="B103" t="s">
        <v>34</v>
      </c>
      <c r="C103" t="s">
        <v>491</v>
      </c>
      <c r="D103" t="s">
        <v>81</v>
      </c>
      <c r="E103" t="s">
        <v>1</v>
      </c>
      <c r="F103" t="s">
        <v>81</v>
      </c>
      <c r="G103" s="8">
        <v>10432860</v>
      </c>
      <c r="H103" s="8">
        <f t="shared" si="3"/>
        <v>10278345.499999994</v>
      </c>
      <c r="I103" s="8">
        <f t="shared" si="4"/>
        <v>10432859.5</v>
      </c>
      <c r="J103" s="8">
        <f t="shared" si="5"/>
        <v>10593797.999999996</v>
      </c>
      <c r="O103">
        <v>9508</v>
      </c>
      <c r="P103" t="s">
        <v>82</v>
      </c>
      <c r="Q103" t="s">
        <v>492</v>
      </c>
      <c r="R103" t="s">
        <v>81</v>
      </c>
      <c r="S103" s="9">
        <v>376</v>
      </c>
      <c r="T103" s="9" t="s">
        <v>493</v>
      </c>
      <c r="U103" s="9" t="s">
        <v>494</v>
      </c>
      <c r="V103" s="9">
        <v>376</v>
      </c>
      <c r="W103" t="s">
        <v>86</v>
      </c>
      <c r="X103">
        <v>922</v>
      </c>
      <c r="Y103">
        <v>8900.0590000000047</v>
      </c>
      <c r="Z103">
        <v>9038.3090000000011</v>
      </c>
      <c r="AA103">
        <v>9174.5194999999985</v>
      </c>
    </row>
    <row r="104" spans="2:27">
      <c r="B104" t="s">
        <v>495</v>
      </c>
      <c r="C104" t="s">
        <v>496</v>
      </c>
      <c r="D104" t="s">
        <v>81</v>
      </c>
      <c r="E104" t="s">
        <v>81</v>
      </c>
      <c r="F104" t="s">
        <v>81</v>
      </c>
      <c r="G104" s="8">
        <v>884288332</v>
      </c>
      <c r="H104" s="8" t="str">
        <f t="shared" si="3"/>
        <v/>
      </c>
      <c r="I104" s="8" t="str">
        <f t="shared" si="4"/>
        <v/>
      </c>
      <c r="J104" s="8" t="str">
        <f t="shared" si="5"/>
        <v/>
      </c>
      <c r="O104">
        <v>9580</v>
      </c>
      <c r="P104" t="s">
        <v>82</v>
      </c>
      <c r="Q104" t="s">
        <v>497</v>
      </c>
      <c r="R104" t="s">
        <v>81</v>
      </c>
      <c r="S104" s="9">
        <v>400</v>
      </c>
      <c r="T104" s="9" t="s">
        <v>498</v>
      </c>
      <c r="U104" s="9" t="s">
        <v>499</v>
      </c>
      <c r="V104" s="9">
        <v>400</v>
      </c>
      <c r="W104" t="s">
        <v>86</v>
      </c>
      <c r="X104">
        <v>922</v>
      </c>
      <c r="Y104">
        <v>11148.2775</v>
      </c>
      <c r="Z104">
        <v>11285.868500000004</v>
      </c>
      <c r="AA104">
        <v>11337.052500000003</v>
      </c>
    </row>
    <row r="105" spans="2:27">
      <c r="B105" t="s">
        <v>500</v>
      </c>
      <c r="C105" t="s">
        <v>501</v>
      </c>
      <c r="D105" t="s">
        <v>80</v>
      </c>
      <c r="E105" t="s">
        <v>81</v>
      </c>
      <c r="F105" t="s">
        <v>81</v>
      </c>
      <c r="G105" s="8">
        <v>3855600</v>
      </c>
      <c r="H105" s="8">
        <f t="shared" si="3"/>
        <v>4060135.5000000014</v>
      </c>
      <c r="I105" s="8">
        <f t="shared" si="4"/>
        <v>4030357.5</v>
      </c>
      <c r="J105" s="8">
        <f t="shared" si="5"/>
        <v>4008616.5000000023</v>
      </c>
      <c r="O105">
        <v>9652</v>
      </c>
      <c r="P105" t="s">
        <v>82</v>
      </c>
      <c r="Q105" t="s">
        <v>502</v>
      </c>
      <c r="R105" t="s">
        <v>81</v>
      </c>
      <c r="S105" s="9">
        <v>414</v>
      </c>
      <c r="T105" s="9" t="s">
        <v>503</v>
      </c>
      <c r="U105" s="9" t="s">
        <v>504</v>
      </c>
      <c r="V105" s="9">
        <v>414</v>
      </c>
      <c r="W105" t="s">
        <v>86</v>
      </c>
      <c r="X105">
        <v>922</v>
      </c>
      <c r="Y105">
        <v>4250.1139999999968</v>
      </c>
      <c r="Z105">
        <v>4268.8729999999996</v>
      </c>
      <c r="AA105">
        <v>4310.107500000001</v>
      </c>
    </row>
    <row r="106" spans="2:27">
      <c r="B106" t="s">
        <v>36</v>
      </c>
      <c r="C106" t="s">
        <v>505</v>
      </c>
      <c r="D106" t="s">
        <v>81</v>
      </c>
      <c r="E106" t="s">
        <v>1</v>
      </c>
      <c r="F106" t="s">
        <v>81</v>
      </c>
      <c r="G106" s="8">
        <v>11584996</v>
      </c>
      <c r="H106" s="8">
        <f t="shared" si="3"/>
        <v>11447569.000000004</v>
      </c>
      <c r="I106" s="8">
        <f t="shared" si="4"/>
        <v>11584995.499999994</v>
      </c>
      <c r="J106" s="8">
        <f t="shared" si="5"/>
        <v>11724763.499999994</v>
      </c>
      <c r="O106">
        <v>9724</v>
      </c>
      <c r="P106" t="s">
        <v>82</v>
      </c>
      <c r="Q106" t="s">
        <v>506</v>
      </c>
      <c r="R106" t="s">
        <v>81</v>
      </c>
      <c r="S106" s="9">
        <v>422</v>
      </c>
      <c r="T106" s="9" t="s">
        <v>507</v>
      </c>
      <c r="U106" s="9" t="s">
        <v>508</v>
      </c>
      <c r="V106" s="9">
        <v>422</v>
      </c>
      <c r="W106" t="s">
        <v>86</v>
      </c>
      <c r="X106">
        <v>922</v>
      </c>
      <c r="Y106">
        <v>5592.6309999999994</v>
      </c>
      <c r="Z106">
        <v>5489.7395000000042</v>
      </c>
      <c r="AA106">
        <v>5353.9294999999984</v>
      </c>
    </row>
    <row r="107" spans="2:27">
      <c r="B107" t="s">
        <v>509</v>
      </c>
      <c r="C107" t="s">
        <v>510</v>
      </c>
      <c r="D107" t="s">
        <v>80</v>
      </c>
      <c r="E107" t="s">
        <v>81</v>
      </c>
      <c r="F107" t="s">
        <v>57</v>
      </c>
      <c r="G107" s="8">
        <v>9643048</v>
      </c>
      <c r="H107" s="8">
        <f t="shared" si="3"/>
        <v>9709786.0000000019</v>
      </c>
      <c r="I107" s="8">
        <f t="shared" si="4"/>
        <v>9967307.4999999981</v>
      </c>
      <c r="J107" s="8">
        <f t="shared" si="5"/>
        <v>10156238.999999998</v>
      </c>
      <c r="O107">
        <v>9796</v>
      </c>
      <c r="P107" t="s">
        <v>82</v>
      </c>
      <c r="Q107" t="s">
        <v>511</v>
      </c>
      <c r="R107" t="s">
        <v>81</v>
      </c>
      <c r="S107" s="9">
        <v>512</v>
      </c>
      <c r="T107" s="9" t="s">
        <v>512</v>
      </c>
      <c r="U107" s="9" t="s">
        <v>513</v>
      </c>
      <c r="V107" s="9">
        <v>512</v>
      </c>
      <c r="W107" t="s">
        <v>86</v>
      </c>
      <c r="X107">
        <v>922</v>
      </c>
      <c r="Y107">
        <v>4520.4710000000014</v>
      </c>
      <c r="Z107">
        <v>4576.2979999999989</v>
      </c>
      <c r="AA107">
        <v>4644.3840000000009</v>
      </c>
    </row>
    <row r="108" spans="2:27">
      <c r="B108" t="s">
        <v>514</v>
      </c>
      <c r="C108" t="s">
        <v>515</v>
      </c>
      <c r="D108" t="s">
        <v>81</v>
      </c>
      <c r="E108" t="s">
        <v>81</v>
      </c>
      <c r="F108" t="s">
        <v>81</v>
      </c>
      <c r="G108" s="8">
        <v>4913887020</v>
      </c>
      <c r="H108" s="8" t="str">
        <f t="shared" si="3"/>
        <v/>
      </c>
      <c r="I108" s="8" t="str">
        <f t="shared" si="4"/>
        <v/>
      </c>
      <c r="J108" s="8" t="str">
        <f t="shared" si="5"/>
        <v/>
      </c>
      <c r="O108">
        <v>9868</v>
      </c>
      <c r="P108" t="s">
        <v>82</v>
      </c>
      <c r="Q108" t="s">
        <v>516</v>
      </c>
      <c r="R108" t="s">
        <v>81</v>
      </c>
      <c r="S108" s="9">
        <v>634</v>
      </c>
      <c r="T108" s="9" t="s">
        <v>517</v>
      </c>
      <c r="U108" s="9" t="s">
        <v>518</v>
      </c>
      <c r="V108" s="9">
        <v>634</v>
      </c>
      <c r="W108" t="s">
        <v>86</v>
      </c>
      <c r="X108">
        <v>922</v>
      </c>
      <c r="Y108">
        <v>2688.2349999999992</v>
      </c>
      <c r="Z108">
        <v>2695.1220000000003</v>
      </c>
      <c r="AA108">
        <v>2716.3910000000001</v>
      </c>
    </row>
    <row r="109" spans="2:27">
      <c r="B109" t="s">
        <v>519</v>
      </c>
      <c r="C109" t="s">
        <v>520</v>
      </c>
      <c r="D109" t="s">
        <v>81</v>
      </c>
      <c r="E109" t="s">
        <v>81</v>
      </c>
      <c r="F109" t="s">
        <v>81</v>
      </c>
      <c r="G109" s="8">
        <v>6754029970</v>
      </c>
      <c r="H109" s="8" t="str">
        <f t="shared" si="3"/>
        <v/>
      </c>
      <c r="I109" s="8" t="str">
        <f t="shared" si="4"/>
        <v/>
      </c>
      <c r="J109" s="8" t="str">
        <f t="shared" si="5"/>
        <v/>
      </c>
      <c r="O109">
        <v>9940</v>
      </c>
      <c r="P109" t="s">
        <v>82</v>
      </c>
      <c r="Q109" t="s">
        <v>521</v>
      </c>
      <c r="R109" t="s">
        <v>81</v>
      </c>
      <c r="S109" s="9">
        <v>682</v>
      </c>
      <c r="T109" s="9" t="s">
        <v>522</v>
      </c>
      <c r="U109" s="9" t="s">
        <v>523</v>
      </c>
      <c r="V109" s="9">
        <v>682</v>
      </c>
      <c r="W109" t="s">
        <v>86</v>
      </c>
      <c r="X109">
        <v>922</v>
      </c>
      <c r="Y109">
        <v>35950.396000000022</v>
      </c>
      <c r="Z109">
        <v>36408.819999999992</v>
      </c>
      <c r="AA109">
        <v>36947.02499999998</v>
      </c>
    </row>
    <row r="110" spans="2:27">
      <c r="B110" t="s">
        <v>524</v>
      </c>
      <c r="C110" t="s">
        <v>525</v>
      </c>
      <c r="D110" t="s">
        <v>81</v>
      </c>
      <c r="E110" t="s">
        <v>81</v>
      </c>
      <c r="F110" t="s">
        <v>81</v>
      </c>
      <c r="G110" s="8">
        <v>1840142950</v>
      </c>
      <c r="H110" s="8" t="str">
        <f t="shared" si="3"/>
        <v/>
      </c>
      <c r="I110" s="8" t="str">
        <f t="shared" si="4"/>
        <v/>
      </c>
      <c r="J110" s="8" t="str">
        <f t="shared" si="5"/>
        <v/>
      </c>
      <c r="O110">
        <v>10012</v>
      </c>
      <c r="P110" t="s">
        <v>82</v>
      </c>
      <c r="Q110" t="s">
        <v>526</v>
      </c>
      <c r="R110">
        <v>13</v>
      </c>
      <c r="S110" s="9">
        <v>275</v>
      </c>
      <c r="T110" s="9" t="s">
        <v>527</v>
      </c>
      <c r="U110" s="9" t="s">
        <v>528</v>
      </c>
      <c r="V110" s="9">
        <v>275</v>
      </c>
      <c r="W110" t="s">
        <v>86</v>
      </c>
      <c r="X110">
        <v>922</v>
      </c>
      <c r="Y110">
        <v>5133.3920000000007</v>
      </c>
      <c r="Z110">
        <v>5250.0719999999983</v>
      </c>
      <c r="AA110">
        <v>5371.2300000000014</v>
      </c>
    </row>
    <row r="111" spans="2:27">
      <c r="B111" t="s">
        <v>529</v>
      </c>
      <c r="C111" t="s">
        <v>530</v>
      </c>
      <c r="D111" t="s">
        <v>81</v>
      </c>
      <c r="E111" t="s">
        <v>81</v>
      </c>
      <c r="F111" t="s">
        <v>81</v>
      </c>
      <c r="G111" s="8">
        <v>607735968</v>
      </c>
      <c r="H111" s="8" t="str">
        <f t="shared" si="3"/>
        <v/>
      </c>
      <c r="I111" s="8" t="str">
        <f t="shared" si="4"/>
        <v/>
      </c>
      <c r="J111" s="8" t="str">
        <f t="shared" si="5"/>
        <v/>
      </c>
      <c r="O111">
        <v>10084</v>
      </c>
      <c r="P111" t="s">
        <v>82</v>
      </c>
      <c r="Q111" t="s">
        <v>531</v>
      </c>
      <c r="R111" t="s">
        <v>81</v>
      </c>
      <c r="S111" s="9">
        <v>760</v>
      </c>
      <c r="T111" s="9" t="s">
        <v>532</v>
      </c>
      <c r="U111" s="9" t="s">
        <v>533</v>
      </c>
      <c r="V111" s="9">
        <v>760</v>
      </c>
      <c r="W111" t="s">
        <v>86</v>
      </c>
      <c r="X111">
        <v>922</v>
      </c>
      <c r="Y111">
        <v>21324.367000000002</v>
      </c>
      <c r="Z111">
        <v>22125.248499999991</v>
      </c>
      <c r="AA111">
        <v>23227.013499999986</v>
      </c>
    </row>
    <row r="112" spans="2:27">
      <c r="B112" t="s">
        <v>442</v>
      </c>
      <c r="C112" t="s">
        <v>441</v>
      </c>
      <c r="D112" t="s">
        <v>81</v>
      </c>
      <c r="E112" t="s">
        <v>81</v>
      </c>
      <c r="F112" t="s">
        <v>81</v>
      </c>
      <c r="G112" s="8">
        <v>275501339</v>
      </c>
      <c r="H112" s="8">
        <f t="shared" si="3"/>
        <v>273753190.99999976</v>
      </c>
      <c r="I112" s="8">
        <f t="shared" si="4"/>
        <v>275501339.00000012</v>
      </c>
      <c r="J112" s="8">
        <f t="shared" si="5"/>
        <v>277534122.5</v>
      </c>
      <c r="O112">
        <v>10156</v>
      </c>
      <c r="P112" t="s">
        <v>82</v>
      </c>
      <c r="Q112" t="s">
        <v>534</v>
      </c>
      <c r="R112" t="s">
        <v>81</v>
      </c>
      <c r="S112" s="9">
        <v>792</v>
      </c>
      <c r="T112" s="9" t="s">
        <v>535</v>
      </c>
      <c r="U112" s="9" t="s">
        <v>536</v>
      </c>
      <c r="V112" s="9">
        <v>792</v>
      </c>
      <c r="W112" t="s">
        <v>86</v>
      </c>
      <c r="X112">
        <v>922</v>
      </c>
      <c r="Y112">
        <v>84775.403500000029</v>
      </c>
      <c r="Z112">
        <v>85341.241000000009</v>
      </c>
      <c r="AA112">
        <v>85816.199000000008</v>
      </c>
    </row>
    <row r="113" spans="2:27">
      <c r="B113" t="s">
        <v>537</v>
      </c>
      <c r="C113" t="s">
        <v>538</v>
      </c>
      <c r="D113" t="s">
        <v>81</v>
      </c>
      <c r="E113" t="s">
        <v>81</v>
      </c>
      <c r="F113" t="s">
        <v>81</v>
      </c>
      <c r="G113" s="8">
        <v>1232406982</v>
      </c>
      <c r="H113" s="8" t="str">
        <f t="shared" si="3"/>
        <v/>
      </c>
      <c r="I113" s="8" t="str">
        <f t="shared" si="4"/>
        <v/>
      </c>
      <c r="J113" s="8" t="str">
        <f t="shared" si="5"/>
        <v/>
      </c>
      <c r="O113">
        <v>10228</v>
      </c>
      <c r="P113" t="s">
        <v>82</v>
      </c>
      <c r="Q113" t="s">
        <v>123</v>
      </c>
      <c r="R113" t="s">
        <v>81</v>
      </c>
      <c r="S113" s="9">
        <v>784</v>
      </c>
      <c r="T113" s="9" t="s">
        <v>122</v>
      </c>
      <c r="U113" s="9" t="s">
        <v>539</v>
      </c>
      <c r="V113" s="9">
        <v>784</v>
      </c>
      <c r="W113" t="s">
        <v>86</v>
      </c>
      <c r="X113">
        <v>922</v>
      </c>
      <c r="Y113">
        <v>9365.1444999999949</v>
      </c>
      <c r="Z113">
        <v>9441.1285000000025</v>
      </c>
      <c r="AA113">
        <v>9516.8709999999992</v>
      </c>
    </row>
    <row r="114" spans="2:27">
      <c r="B114" t="s">
        <v>540</v>
      </c>
      <c r="C114" t="s">
        <v>541</v>
      </c>
      <c r="D114" t="s">
        <v>80</v>
      </c>
      <c r="E114" t="s">
        <v>81</v>
      </c>
      <c r="F114" t="s">
        <v>81</v>
      </c>
      <c r="G114" s="8">
        <v>84519</v>
      </c>
      <c r="H114" s="8">
        <f t="shared" si="3"/>
        <v>84263.499999999985</v>
      </c>
      <c r="I114" s="8">
        <f t="shared" si="4"/>
        <v>84519.5</v>
      </c>
      <c r="J114" s="8">
        <f t="shared" si="5"/>
        <v>84710.000000000015</v>
      </c>
      <c r="O114">
        <v>10300</v>
      </c>
      <c r="P114" t="s">
        <v>82</v>
      </c>
      <c r="Q114" t="s">
        <v>542</v>
      </c>
      <c r="R114" t="s">
        <v>81</v>
      </c>
      <c r="S114" s="9">
        <v>887</v>
      </c>
      <c r="T114" s="9" t="s">
        <v>543</v>
      </c>
      <c r="U114" s="9" t="s">
        <v>544</v>
      </c>
      <c r="V114" s="9">
        <v>887</v>
      </c>
      <c r="W114" t="s">
        <v>86</v>
      </c>
      <c r="X114">
        <v>922</v>
      </c>
      <c r="Y114">
        <v>32981.641499999991</v>
      </c>
      <c r="Z114">
        <v>33696.613999999994</v>
      </c>
      <c r="AA114">
        <v>34449.825000000012</v>
      </c>
    </row>
    <row r="115" spans="2:27">
      <c r="B115" t="s">
        <v>406</v>
      </c>
      <c r="C115" t="s">
        <v>405</v>
      </c>
      <c r="D115" t="s">
        <v>81</v>
      </c>
      <c r="E115" t="s">
        <v>81</v>
      </c>
      <c r="F115" t="s">
        <v>81</v>
      </c>
      <c r="G115" s="5">
        <v>1417173173</v>
      </c>
      <c r="H115" s="5">
        <f t="shared" si="3"/>
        <v>1407563842.0000005</v>
      </c>
      <c r="I115" s="5">
        <f t="shared" si="4"/>
        <v>1417173172.5000005</v>
      </c>
      <c r="J115" s="5">
        <f t="shared" si="5"/>
        <v>1428627663</v>
      </c>
      <c r="O115">
        <v>10516</v>
      </c>
      <c r="P115" t="s">
        <v>82</v>
      </c>
      <c r="Q115" t="s">
        <v>202</v>
      </c>
      <c r="R115" t="s">
        <v>81</v>
      </c>
      <c r="S115" s="9">
        <v>112</v>
      </c>
      <c r="T115" s="9" t="s">
        <v>201</v>
      </c>
      <c r="U115" s="9" t="s">
        <v>545</v>
      </c>
      <c r="V115" s="9">
        <v>112</v>
      </c>
      <c r="W115" t="s">
        <v>86</v>
      </c>
      <c r="X115">
        <v>923</v>
      </c>
      <c r="Y115">
        <v>9578.1674999999996</v>
      </c>
      <c r="Z115">
        <v>9534.954499999998</v>
      </c>
      <c r="AA115">
        <v>9498.2379999999976</v>
      </c>
    </row>
    <row r="116" spans="2:27">
      <c r="B116" t="s">
        <v>546</v>
      </c>
      <c r="C116" t="s">
        <v>547</v>
      </c>
      <c r="D116" t="s">
        <v>81</v>
      </c>
      <c r="E116" t="s">
        <v>81</v>
      </c>
      <c r="F116" t="s">
        <v>81</v>
      </c>
      <c r="H116" s="8" t="str">
        <f t="shared" si="3"/>
        <v/>
      </c>
      <c r="I116" s="8" t="str">
        <f t="shared" si="4"/>
        <v/>
      </c>
      <c r="J116" s="8" t="str">
        <f t="shared" si="5"/>
        <v/>
      </c>
      <c r="O116">
        <v>10588</v>
      </c>
      <c r="P116" t="s">
        <v>82</v>
      </c>
      <c r="Q116" t="s">
        <v>183</v>
      </c>
      <c r="R116" t="s">
        <v>81</v>
      </c>
      <c r="S116" s="9">
        <v>100</v>
      </c>
      <c r="T116" s="9" t="s">
        <v>182</v>
      </c>
      <c r="U116" s="9" t="s">
        <v>548</v>
      </c>
      <c r="V116" s="9">
        <v>100</v>
      </c>
      <c r="W116" t="s">
        <v>86</v>
      </c>
      <c r="X116">
        <v>923</v>
      </c>
      <c r="Y116">
        <v>6885.8674999999994</v>
      </c>
      <c r="Z116">
        <v>6781.9529999999977</v>
      </c>
      <c r="AA116">
        <v>6687.7169999999987</v>
      </c>
    </row>
    <row r="117" spans="2:27">
      <c r="B117" t="s">
        <v>549</v>
      </c>
      <c r="C117" t="s">
        <v>550</v>
      </c>
      <c r="D117" t="s">
        <v>80</v>
      </c>
      <c r="E117" t="s">
        <v>81</v>
      </c>
      <c r="F117" t="s">
        <v>57</v>
      </c>
      <c r="G117" s="8">
        <v>5127170</v>
      </c>
      <c r="H117" s="8">
        <f t="shared" si="3"/>
        <v>4986526.0000000019</v>
      </c>
      <c r="I117" s="8">
        <f t="shared" si="4"/>
        <v>5023108.5</v>
      </c>
      <c r="J117" s="8">
        <f t="shared" si="5"/>
        <v>5056934.5000000028</v>
      </c>
      <c r="O117">
        <v>10660</v>
      </c>
      <c r="P117" t="s">
        <v>82</v>
      </c>
      <c r="Q117" t="s">
        <v>323</v>
      </c>
      <c r="R117" t="s">
        <v>81</v>
      </c>
      <c r="S117" s="9">
        <v>203</v>
      </c>
      <c r="T117" s="9" t="s">
        <v>322</v>
      </c>
      <c r="U117" s="9" t="s">
        <v>551</v>
      </c>
      <c r="V117" s="9">
        <v>203</v>
      </c>
      <c r="W117" t="s">
        <v>86</v>
      </c>
      <c r="X117">
        <v>923</v>
      </c>
      <c r="Y117">
        <v>10510.7505</v>
      </c>
      <c r="Z117">
        <v>10493.986000000001</v>
      </c>
      <c r="AA117">
        <v>10495.294999999996</v>
      </c>
    </row>
    <row r="118" spans="2:27">
      <c r="B118" t="s">
        <v>411</v>
      </c>
      <c r="C118" t="s">
        <v>552</v>
      </c>
      <c r="D118" t="s">
        <v>81</v>
      </c>
      <c r="E118" t="s">
        <v>81</v>
      </c>
      <c r="F118" t="s">
        <v>81</v>
      </c>
      <c r="G118" s="8">
        <v>88550570</v>
      </c>
      <c r="H118" s="8">
        <f t="shared" si="3"/>
        <v>87923432.5</v>
      </c>
      <c r="I118" s="8">
        <f t="shared" si="4"/>
        <v>88550570.00000003</v>
      </c>
      <c r="J118" s="8">
        <f t="shared" si="5"/>
        <v>89172767</v>
      </c>
      <c r="O118">
        <v>10732</v>
      </c>
      <c r="P118" t="s">
        <v>82</v>
      </c>
      <c r="Q118" t="s">
        <v>510</v>
      </c>
      <c r="R118" t="s">
        <v>81</v>
      </c>
      <c r="S118" s="9">
        <v>348</v>
      </c>
      <c r="T118" s="9" t="s">
        <v>509</v>
      </c>
      <c r="U118" s="9" t="s">
        <v>553</v>
      </c>
      <c r="V118" s="9">
        <v>348</v>
      </c>
      <c r="W118" t="s">
        <v>86</v>
      </c>
      <c r="X118">
        <v>923</v>
      </c>
      <c r="Y118">
        <v>9709.7860000000019</v>
      </c>
      <c r="Z118">
        <v>9967.307499999999</v>
      </c>
      <c r="AA118">
        <v>10156.238999999998</v>
      </c>
    </row>
    <row r="119" spans="2:27">
      <c r="B119" t="s">
        <v>489</v>
      </c>
      <c r="C119" t="s">
        <v>488</v>
      </c>
      <c r="D119" t="s">
        <v>81</v>
      </c>
      <c r="E119" t="s">
        <v>81</v>
      </c>
      <c r="F119" t="s">
        <v>81</v>
      </c>
      <c r="G119" s="8">
        <v>44496122</v>
      </c>
      <c r="H119" s="8">
        <f t="shared" si="3"/>
        <v>43533592.500000015</v>
      </c>
      <c r="I119" s="8">
        <f t="shared" si="4"/>
        <v>44496121.5</v>
      </c>
      <c r="J119" s="8">
        <f t="shared" si="5"/>
        <v>45504560.000000015</v>
      </c>
      <c r="O119">
        <v>10804</v>
      </c>
      <c r="P119" t="s">
        <v>82</v>
      </c>
      <c r="Q119" t="s">
        <v>554</v>
      </c>
      <c r="R119" t="s">
        <v>81</v>
      </c>
      <c r="S119" s="9">
        <v>616</v>
      </c>
      <c r="T119" s="9" t="s">
        <v>555</v>
      </c>
      <c r="U119" s="9" t="s">
        <v>556</v>
      </c>
      <c r="V119" s="9">
        <v>616</v>
      </c>
      <c r="W119" t="s">
        <v>86</v>
      </c>
      <c r="X119">
        <v>923</v>
      </c>
      <c r="Y119">
        <v>38307.725500000037</v>
      </c>
      <c r="Z119">
        <v>39857.145499999984</v>
      </c>
      <c r="AA119">
        <v>41026.067500000012</v>
      </c>
    </row>
    <row r="120" spans="2:27">
      <c r="B120" t="s">
        <v>557</v>
      </c>
      <c r="C120" t="s">
        <v>558</v>
      </c>
      <c r="D120" t="s">
        <v>80</v>
      </c>
      <c r="E120" t="s">
        <v>81</v>
      </c>
      <c r="F120" t="s">
        <v>57</v>
      </c>
      <c r="G120" s="8">
        <v>382003</v>
      </c>
      <c r="H120" s="8">
        <f t="shared" si="3"/>
        <v>370335</v>
      </c>
      <c r="I120" s="8">
        <f t="shared" si="4"/>
        <v>372898.5</v>
      </c>
      <c r="J120" s="8">
        <f t="shared" si="5"/>
        <v>375318.50000000012</v>
      </c>
      <c r="O120">
        <v>10876</v>
      </c>
      <c r="P120" t="s">
        <v>82</v>
      </c>
      <c r="Q120" t="s">
        <v>559</v>
      </c>
      <c r="R120">
        <v>14</v>
      </c>
      <c r="S120" s="9">
        <v>498</v>
      </c>
      <c r="T120" s="9" t="s">
        <v>560</v>
      </c>
      <c r="U120" s="9" t="s">
        <v>561</v>
      </c>
      <c r="V120" s="9">
        <v>498</v>
      </c>
      <c r="W120" t="s">
        <v>86</v>
      </c>
      <c r="X120">
        <v>923</v>
      </c>
      <c r="Y120">
        <v>3061.5064999999991</v>
      </c>
      <c r="Z120">
        <v>3272.9959999999987</v>
      </c>
      <c r="AA120">
        <v>3435.931</v>
      </c>
    </row>
    <row r="121" spans="2:27">
      <c r="B121" t="s">
        <v>493</v>
      </c>
      <c r="C121" t="s">
        <v>492</v>
      </c>
      <c r="D121" t="s">
        <v>80</v>
      </c>
      <c r="E121" t="s">
        <v>81</v>
      </c>
      <c r="F121" t="s">
        <v>57</v>
      </c>
      <c r="G121" s="8">
        <v>9557500</v>
      </c>
      <c r="H121" s="8">
        <f t="shared" si="3"/>
        <v>8900059.0000000056</v>
      </c>
      <c r="I121" s="8">
        <f t="shared" si="4"/>
        <v>9038309.0000000019</v>
      </c>
      <c r="J121" s="8">
        <f t="shared" si="5"/>
        <v>9174519.4999999981</v>
      </c>
      <c r="O121">
        <v>10948</v>
      </c>
      <c r="P121" t="s">
        <v>82</v>
      </c>
      <c r="Q121" t="s">
        <v>562</v>
      </c>
      <c r="R121" t="s">
        <v>81</v>
      </c>
      <c r="S121" s="9">
        <v>642</v>
      </c>
      <c r="T121" s="9" t="s">
        <v>563</v>
      </c>
      <c r="U121" s="9" t="s">
        <v>564</v>
      </c>
      <c r="V121" s="9">
        <v>642</v>
      </c>
      <c r="W121" t="s">
        <v>86</v>
      </c>
      <c r="X121">
        <v>923</v>
      </c>
      <c r="Y121">
        <v>19328.559999999994</v>
      </c>
      <c r="Z121">
        <v>19659.266499999983</v>
      </c>
      <c r="AA121">
        <v>19892.811999999987</v>
      </c>
    </row>
    <row r="122" spans="2:27">
      <c r="B122" t="s">
        <v>565</v>
      </c>
      <c r="C122" t="s">
        <v>566</v>
      </c>
      <c r="D122" t="s">
        <v>80</v>
      </c>
      <c r="E122" t="s">
        <v>81</v>
      </c>
      <c r="F122" t="s">
        <v>57</v>
      </c>
      <c r="G122" s="8">
        <v>58940425</v>
      </c>
      <c r="H122" s="8">
        <f t="shared" si="3"/>
        <v>59240329.499999993</v>
      </c>
      <c r="I122" s="8">
        <f t="shared" si="4"/>
        <v>59037473.999999978</v>
      </c>
      <c r="J122" s="8">
        <f t="shared" si="5"/>
        <v>58870762.499999985</v>
      </c>
      <c r="O122">
        <v>11020</v>
      </c>
      <c r="P122" t="s">
        <v>82</v>
      </c>
      <c r="Q122" t="s">
        <v>567</v>
      </c>
      <c r="R122" t="s">
        <v>81</v>
      </c>
      <c r="S122" s="9">
        <v>643</v>
      </c>
      <c r="T122" s="9" t="s">
        <v>568</v>
      </c>
      <c r="U122" s="9" t="s">
        <v>569</v>
      </c>
      <c r="V122" s="9">
        <v>643</v>
      </c>
      <c r="W122" t="s">
        <v>86</v>
      </c>
      <c r="X122">
        <v>923</v>
      </c>
      <c r="Y122">
        <v>145102.75499999998</v>
      </c>
      <c r="Z122">
        <v>144713.31400000001</v>
      </c>
      <c r="AA122">
        <v>144444.35900000008</v>
      </c>
    </row>
    <row r="123" spans="2:27">
      <c r="B123" t="s">
        <v>37</v>
      </c>
      <c r="C123" t="s">
        <v>570</v>
      </c>
      <c r="D123" t="s">
        <v>81</v>
      </c>
      <c r="E123" t="s">
        <v>1</v>
      </c>
      <c r="F123" t="s">
        <v>81</v>
      </c>
      <c r="G123" s="8">
        <v>2827377</v>
      </c>
      <c r="H123" s="8">
        <f t="shared" si="3"/>
        <v>2827694.4999999995</v>
      </c>
      <c r="I123" s="8">
        <f t="shared" si="4"/>
        <v>2827377.0000000009</v>
      </c>
      <c r="J123" s="8">
        <f t="shared" si="5"/>
        <v>2825543.5</v>
      </c>
      <c r="O123">
        <v>11092</v>
      </c>
      <c r="P123" t="s">
        <v>82</v>
      </c>
      <c r="Q123" t="s">
        <v>571</v>
      </c>
      <c r="R123" t="s">
        <v>81</v>
      </c>
      <c r="S123" s="9">
        <v>703</v>
      </c>
      <c r="T123" s="9" t="s">
        <v>572</v>
      </c>
      <c r="U123" s="9" t="s">
        <v>573</v>
      </c>
      <c r="V123" s="9">
        <v>703</v>
      </c>
      <c r="W123" t="s">
        <v>86</v>
      </c>
      <c r="X123">
        <v>923</v>
      </c>
      <c r="Y123">
        <v>5447.6219999999985</v>
      </c>
      <c r="Z123">
        <v>5643.4529999999986</v>
      </c>
      <c r="AA123">
        <v>5795.1990000000042</v>
      </c>
    </row>
    <row r="124" spans="2:27">
      <c r="B124" t="s">
        <v>498</v>
      </c>
      <c r="C124" t="s">
        <v>497</v>
      </c>
      <c r="D124" t="s">
        <v>81</v>
      </c>
      <c r="E124" t="s">
        <v>81</v>
      </c>
      <c r="F124" t="s">
        <v>81</v>
      </c>
      <c r="G124" s="8">
        <v>11285869</v>
      </c>
      <c r="H124" s="8">
        <f t="shared" si="3"/>
        <v>11148277.5</v>
      </c>
      <c r="I124" s="8">
        <f t="shared" si="4"/>
        <v>11285868.500000004</v>
      </c>
      <c r="J124" s="8">
        <f t="shared" si="5"/>
        <v>11337052.500000004</v>
      </c>
      <c r="O124">
        <v>11164</v>
      </c>
      <c r="P124" t="s">
        <v>82</v>
      </c>
      <c r="Q124" t="s">
        <v>574</v>
      </c>
      <c r="R124">
        <v>15</v>
      </c>
      <c r="S124" s="9">
        <v>804</v>
      </c>
      <c r="T124" s="9" t="s">
        <v>575</v>
      </c>
      <c r="U124" s="9" t="s">
        <v>576</v>
      </c>
      <c r="V124" s="9">
        <v>804</v>
      </c>
      <c r="W124" t="s">
        <v>86</v>
      </c>
      <c r="X124">
        <v>923</v>
      </c>
      <c r="Y124">
        <v>43531.421999999977</v>
      </c>
      <c r="Z124">
        <v>39701.738999999994</v>
      </c>
      <c r="AA124">
        <v>36744.633500000011</v>
      </c>
    </row>
    <row r="125" spans="2:27">
      <c r="B125" t="s">
        <v>386</v>
      </c>
      <c r="C125" t="s">
        <v>385</v>
      </c>
      <c r="D125" t="s">
        <v>80</v>
      </c>
      <c r="E125" t="s">
        <v>81</v>
      </c>
      <c r="F125" t="s">
        <v>57</v>
      </c>
      <c r="G125" s="8">
        <v>125124989</v>
      </c>
      <c r="H125" s="8">
        <f t="shared" si="3"/>
        <v>124612530.49999996</v>
      </c>
      <c r="I125" s="8">
        <f t="shared" si="4"/>
        <v>123951692.00000003</v>
      </c>
      <c r="J125" s="8">
        <f t="shared" si="5"/>
        <v>123294513.00000004</v>
      </c>
      <c r="O125">
        <v>11308</v>
      </c>
      <c r="P125" t="s">
        <v>82</v>
      </c>
      <c r="Q125" t="s">
        <v>341</v>
      </c>
      <c r="R125">
        <v>16</v>
      </c>
      <c r="S125" s="9">
        <v>208</v>
      </c>
      <c r="T125" s="9" t="s">
        <v>340</v>
      </c>
      <c r="U125" s="9" t="s">
        <v>577</v>
      </c>
      <c r="V125" s="9">
        <v>208</v>
      </c>
      <c r="W125" t="s">
        <v>86</v>
      </c>
      <c r="X125">
        <v>924</v>
      </c>
      <c r="Y125">
        <v>5854.2404999999999</v>
      </c>
      <c r="Z125">
        <v>5882.2614999999978</v>
      </c>
      <c r="AA125">
        <v>5910.9129999999968</v>
      </c>
    </row>
    <row r="126" spans="2:27">
      <c r="B126" t="s">
        <v>343</v>
      </c>
      <c r="C126" t="s">
        <v>342</v>
      </c>
      <c r="D126" t="s">
        <v>81</v>
      </c>
      <c r="E126" t="s">
        <v>81</v>
      </c>
      <c r="F126" t="s">
        <v>81</v>
      </c>
      <c r="G126" s="8">
        <v>19621972</v>
      </c>
      <c r="H126" s="8">
        <f t="shared" si="3"/>
        <v>19196465.500000004</v>
      </c>
      <c r="I126" s="8">
        <f t="shared" si="4"/>
        <v>19397997.999999993</v>
      </c>
      <c r="J126" s="8">
        <f t="shared" si="5"/>
        <v>19606633.500000007</v>
      </c>
      <c r="O126">
        <v>11380</v>
      </c>
      <c r="P126" t="s">
        <v>82</v>
      </c>
      <c r="Q126" t="s">
        <v>397</v>
      </c>
      <c r="R126" t="s">
        <v>81</v>
      </c>
      <c r="S126" s="9">
        <v>233</v>
      </c>
      <c r="T126" s="9" t="s">
        <v>396</v>
      </c>
      <c r="U126" s="9" t="s">
        <v>578</v>
      </c>
      <c r="V126" s="9">
        <v>233</v>
      </c>
      <c r="W126" t="s">
        <v>86</v>
      </c>
      <c r="X126">
        <v>924</v>
      </c>
      <c r="Y126">
        <v>1328.7010000000002</v>
      </c>
      <c r="Z126">
        <v>1326.0620000000008</v>
      </c>
      <c r="AA126">
        <v>1322.7654999999991</v>
      </c>
    </row>
    <row r="127" spans="2:27">
      <c r="B127" t="s">
        <v>110</v>
      </c>
      <c r="C127" t="s">
        <v>109</v>
      </c>
      <c r="D127" t="s">
        <v>81</v>
      </c>
      <c r="E127" t="s">
        <v>81</v>
      </c>
      <c r="F127" t="s">
        <v>81</v>
      </c>
      <c r="G127" s="8">
        <v>54027487</v>
      </c>
      <c r="H127" s="8">
        <f t="shared" si="3"/>
        <v>53005614.000000022</v>
      </c>
      <c r="I127" s="8">
        <f t="shared" si="4"/>
        <v>54027486.999999985</v>
      </c>
      <c r="J127" s="8">
        <f t="shared" si="5"/>
        <v>55100586.500000022</v>
      </c>
      <c r="O127">
        <v>11452</v>
      </c>
      <c r="P127" t="s">
        <v>82</v>
      </c>
      <c r="Q127" t="s">
        <v>424</v>
      </c>
      <c r="R127">
        <v>17</v>
      </c>
      <c r="S127" s="9">
        <v>234</v>
      </c>
      <c r="T127" s="9" t="s">
        <v>423</v>
      </c>
      <c r="U127" s="9" t="s">
        <v>579</v>
      </c>
      <c r="V127" s="9">
        <v>234</v>
      </c>
      <c r="W127" t="s">
        <v>86</v>
      </c>
      <c r="X127">
        <v>924</v>
      </c>
      <c r="Y127">
        <v>52.888500000000029</v>
      </c>
      <c r="Z127">
        <v>53.08949999999998</v>
      </c>
      <c r="AA127">
        <v>53.269499999999994</v>
      </c>
    </row>
    <row r="128" spans="2:27">
      <c r="B128" t="s">
        <v>347</v>
      </c>
      <c r="C128" t="s">
        <v>580</v>
      </c>
      <c r="D128" t="s">
        <v>81</v>
      </c>
      <c r="E128" t="s">
        <v>81</v>
      </c>
      <c r="F128" t="s">
        <v>81</v>
      </c>
      <c r="G128" s="8">
        <v>6974900</v>
      </c>
      <c r="H128" s="8">
        <f t="shared" si="3"/>
        <v>6527743.5000000019</v>
      </c>
      <c r="I128" s="8">
        <f t="shared" si="4"/>
        <v>6630623</v>
      </c>
      <c r="J128" s="8">
        <f t="shared" si="5"/>
        <v>6735347.5000000019</v>
      </c>
      <c r="O128">
        <v>11524</v>
      </c>
      <c r="P128" t="s">
        <v>82</v>
      </c>
      <c r="Q128" t="s">
        <v>409</v>
      </c>
      <c r="R128">
        <v>18</v>
      </c>
      <c r="S128" s="9">
        <v>246</v>
      </c>
      <c r="T128" s="9" t="s">
        <v>408</v>
      </c>
      <c r="U128" s="9" t="s">
        <v>581</v>
      </c>
      <c r="V128" s="9">
        <v>246</v>
      </c>
      <c r="W128" t="s">
        <v>86</v>
      </c>
      <c r="X128">
        <v>924</v>
      </c>
      <c r="Y128">
        <v>5535.9919999999984</v>
      </c>
      <c r="Z128">
        <v>5540.7455000000009</v>
      </c>
      <c r="AA128">
        <v>5545.4744999999984</v>
      </c>
    </row>
    <row r="129" spans="2:27">
      <c r="B129" t="s">
        <v>437</v>
      </c>
      <c r="C129" t="s">
        <v>436</v>
      </c>
      <c r="D129" t="s">
        <v>81</v>
      </c>
      <c r="E129" t="s">
        <v>81</v>
      </c>
      <c r="F129" t="s">
        <v>81</v>
      </c>
      <c r="G129" s="8">
        <v>16767842</v>
      </c>
      <c r="H129" s="8">
        <f t="shared" si="3"/>
        <v>16589023.500000004</v>
      </c>
      <c r="I129" s="8">
        <f t="shared" si="4"/>
        <v>16767842.499999998</v>
      </c>
      <c r="J129" s="8">
        <f t="shared" si="5"/>
        <v>16944825.999999996</v>
      </c>
      <c r="O129">
        <v>11596</v>
      </c>
      <c r="P129" t="s">
        <v>82</v>
      </c>
      <c r="Q129" t="s">
        <v>582</v>
      </c>
      <c r="R129">
        <v>19</v>
      </c>
      <c r="S129" s="9">
        <v>831</v>
      </c>
      <c r="T129" s="9" t="s">
        <v>583</v>
      </c>
      <c r="U129" s="9" t="s">
        <v>584</v>
      </c>
      <c r="V129" s="9">
        <v>831</v>
      </c>
      <c r="W129" t="s">
        <v>86</v>
      </c>
      <c r="X129">
        <v>924</v>
      </c>
      <c r="Y129">
        <v>63.064999999999991</v>
      </c>
      <c r="Z129">
        <v>63.301499999999997</v>
      </c>
      <c r="AA129">
        <v>63.544000000000061</v>
      </c>
    </row>
    <row r="130" spans="2:27">
      <c r="B130" t="s">
        <v>585</v>
      </c>
      <c r="C130" t="s">
        <v>586</v>
      </c>
      <c r="D130" t="s">
        <v>81</v>
      </c>
      <c r="E130" t="s">
        <v>81</v>
      </c>
      <c r="F130" t="s">
        <v>81</v>
      </c>
      <c r="G130" s="8">
        <v>131232</v>
      </c>
      <c r="H130" s="8">
        <f t="shared" si="3"/>
        <v>128874.00000000003</v>
      </c>
      <c r="I130" s="8">
        <f t="shared" si="4"/>
        <v>131231.49999999997</v>
      </c>
      <c r="J130" s="8">
        <f t="shared" si="5"/>
        <v>133515</v>
      </c>
      <c r="O130">
        <v>11668</v>
      </c>
      <c r="P130" t="s">
        <v>82</v>
      </c>
      <c r="Q130" t="s">
        <v>558</v>
      </c>
      <c r="R130" t="s">
        <v>81</v>
      </c>
      <c r="S130" s="9">
        <v>352</v>
      </c>
      <c r="T130" s="9" t="s">
        <v>557</v>
      </c>
      <c r="U130" s="9" t="s">
        <v>587</v>
      </c>
      <c r="V130" s="9">
        <v>352</v>
      </c>
      <c r="W130" t="s">
        <v>86</v>
      </c>
      <c r="X130">
        <v>924</v>
      </c>
      <c r="Y130">
        <v>370.33499999999998</v>
      </c>
      <c r="Z130">
        <v>372.89850000000001</v>
      </c>
      <c r="AA130">
        <v>375.31850000000014</v>
      </c>
    </row>
    <row r="131" spans="2:27">
      <c r="B131" t="s">
        <v>588</v>
      </c>
      <c r="C131" t="s">
        <v>589</v>
      </c>
      <c r="D131" t="s">
        <v>80</v>
      </c>
      <c r="E131" t="s">
        <v>81</v>
      </c>
      <c r="F131" t="s">
        <v>81</v>
      </c>
      <c r="G131" s="8">
        <v>47657</v>
      </c>
      <c r="H131" s="8">
        <f t="shared" si="3"/>
        <v>47606.499999999993</v>
      </c>
      <c r="I131" s="8">
        <f t="shared" si="4"/>
        <v>47657.500000000022</v>
      </c>
      <c r="J131" s="8">
        <f t="shared" si="5"/>
        <v>47754.999999999978</v>
      </c>
      <c r="O131">
        <v>11740</v>
      </c>
      <c r="P131" t="s">
        <v>82</v>
      </c>
      <c r="Q131" t="s">
        <v>550</v>
      </c>
      <c r="R131" t="s">
        <v>81</v>
      </c>
      <c r="S131" s="9">
        <v>372</v>
      </c>
      <c r="T131" s="9" t="s">
        <v>549</v>
      </c>
      <c r="U131" s="9" t="s">
        <v>590</v>
      </c>
      <c r="V131" s="9">
        <v>372</v>
      </c>
      <c r="W131" t="s">
        <v>86</v>
      </c>
      <c r="X131">
        <v>924</v>
      </c>
      <c r="Y131">
        <v>4986.5260000000017</v>
      </c>
      <c r="Z131">
        <v>5023.1085000000003</v>
      </c>
      <c r="AA131">
        <v>5056.934500000003</v>
      </c>
    </row>
    <row r="132" spans="2:27">
      <c r="B132" t="s">
        <v>394</v>
      </c>
      <c r="C132" t="s">
        <v>591</v>
      </c>
      <c r="D132" t="s">
        <v>80</v>
      </c>
      <c r="E132" t="s">
        <v>81</v>
      </c>
      <c r="F132" t="s">
        <v>57</v>
      </c>
      <c r="G132" s="8">
        <v>51628117</v>
      </c>
      <c r="H132" s="8">
        <f t="shared" si="3"/>
        <v>51830139</v>
      </c>
      <c r="I132" s="8">
        <f t="shared" si="4"/>
        <v>51815809.499999993</v>
      </c>
      <c r="J132" s="8">
        <f t="shared" si="5"/>
        <v>51784058.999999993</v>
      </c>
      <c r="O132">
        <v>11812</v>
      </c>
      <c r="P132" t="s">
        <v>82</v>
      </c>
      <c r="Q132" t="s">
        <v>541</v>
      </c>
      <c r="R132">
        <v>19</v>
      </c>
      <c r="S132" s="9">
        <v>833</v>
      </c>
      <c r="T132" s="9" t="s">
        <v>540</v>
      </c>
      <c r="U132" s="9" t="s">
        <v>592</v>
      </c>
      <c r="V132" s="9">
        <v>833</v>
      </c>
      <c r="W132" t="s">
        <v>86</v>
      </c>
      <c r="X132">
        <v>924</v>
      </c>
      <c r="Y132">
        <v>84.263499999999979</v>
      </c>
      <c r="Z132">
        <v>84.519499999999994</v>
      </c>
      <c r="AA132">
        <v>84.710000000000008</v>
      </c>
    </row>
    <row r="133" spans="2:27">
      <c r="B133" t="s">
        <v>503</v>
      </c>
      <c r="C133" t="s">
        <v>502</v>
      </c>
      <c r="D133" t="s">
        <v>80</v>
      </c>
      <c r="E133" t="s">
        <v>81</v>
      </c>
      <c r="F133" t="s">
        <v>81</v>
      </c>
      <c r="G133" s="8">
        <v>4268873</v>
      </c>
      <c r="H133" s="8">
        <f t="shared" si="3"/>
        <v>4250113.9999999972</v>
      </c>
      <c r="I133" s="8">
        <f t="shared" si="4"/>
        <v>4268873</v>
      </c>
      <c r="J133" s="8">
        <f t="shared" si="5"/>
        <v>4310107.5000000009</v>
      </c>
      <c r="O133">
        <v>11884</v>
      </c>
      <c r="P133" t="s">
        <v>82</v>
      </c>
      <c r="Q133" t="s">
        <v>593</v>
      </c>
      <c r="R133">
        <v>19</v>
      </c>
      <c r="S133" s="9">
        <v>832</v>
      </c>
      <c r="T133" s="9" t="s">
        <v>594</v>
      </c>
      <c r="U133" s="9" t="s">
        <v>595</v>
      </c>
      <c r="V133" s="9">
        <v>832</v>
      </c>
      <c r="W133" t="s">
        <v>86</v>
      </c>
      <c r="X133">
        <v>924</v>
      </c>
      <c r="Y133">
        <v>109.61850000000001</v>
      </c>
      <c r="Z133">
        <v>110.77850000000002</v>
      </c>
      <c r="AA133">
        <v>111.80250000000001</v>
      </c>
    </row>
    <row r="134" spans="2:27">
      <c r="B134" t="s">
        <v>0</v>
      </c>
      <c r="C134" t="s">
        <v>596</v>
      </c>
      <c r="D134" t="s">
        <v>81</v>
      </c>
      <c r="E134" t="s">
        <v>81</v>
      </c>
      <c r="F134" t="s">
        <v>81</v>
      </c>
      <c r="G134" s="8">
        <v>596596955</v>
      </c>
      <c r="H134" s="8" t="str">
        <f t="shared" ref="H134:H197" si="6">IFERROR(VLOOKUP(B134,$T$6:$AA$241,6,0)*1000,"")</f>
        <v/>
      </c>
      <c r="I134" s="8" t="str">
        <f t="shared" ref="I134:I197" si="7">IFERROR(VLOOKUP(B134,$T$6:$AA$241,7,0)*1000,"")</f>
        <v/>
      </c>
      <c r="J134" s="8" t="str">
        <f t="shared" ref="J134:J197" si="8">IFERROR(VLOOKUP(B134,$T$6:$AA$241,8,0)*1000,"")</f>
        <v/>
      </c>
      <c r="O134">
        <v>11956</v>
      </c>
      <c r="P134" t="s">
        <v>82</v>
      </c>
      <c r="Q134" t="s">
        <v>597</v>
      </c>
      <c r="R134" t="s">
        <v>81</v>
      </c>
      <c r="S134" s="9">
        <v>428</v>
      </c>
      <c r="T134" s="9" t="s">
        <v>598</v>
      </c>
      <c r="U134" s="9" t="s">
        <v>599</v>
      </c>
      <c r="V134" s="9">
        <v>428</v>
      </c>
      <c r="W134" t="s">
        <v>86</v>
      </c>
      <c r="X134">
        <v>924</v>
      </c>
      <c r="Y134">
        <v>1873.9189999999999</v>
      </c>
      <c r="Z134">
        <v>1850.6509999999994</v>
      </c>
      <c r="AA134">
        <v>1830.2115000000003</v>
      </c>
    </row>
    <row r="135" spans="2:27">
      <c r="B135" t="s">
        <v>445</v>
      </c>
      <c r="C135" t="s">
        <v>600</v>
      </c>
      <c r="D135" t="s">
        <v>81</v>
      </c>
      <c r="E135" t="s">
        <v>81</v>
      </c>
      <c r="F135" t="s">
        <v>81</v>
      </c>
      <c r="G135" s="8">
        <v>7529475</v>
      </c>
      <c r="H135" s="8">
        <f t="shared" si="6"/>
        <v>7425057.4999999981</v>
      </c>
      <c r="I135" s="8">
        <f t="shared" si="7"/>
        <v>7529474.9999999991</v>
      </c>
      <c r="J135" s="8">
        <f t="shared" si="8"/>
        <v>7633778.5000000009</v>
      </c>
      <c r="O135">
        <v>12028</v>
      </c>
      <c r="P135" t="s">
        <v>82</v>
      </c>
      <c r="Q135" t="s">
        <v>601</v>
      </c>
      <c r="R135" t="s">
        <v>81</v>
      </c>
      <c r="S135" s="9">
        <v>440</v>
      </c>
      <c r="T135" s="9" t="s">
        <v>602</v>
      </c>
      <c r="U135" s="9" t="s">
        <v>603</v>
      </c>
      <c r="V135" s="9">
        <v>440</v>
      </c>
      <c r="W135" t="s">
        <v>86</v>
      </c>
      <c r="X135">
        <v>924</v>
      </c>
      <c r="Y135">
        <v>2786.6505000000011</v>
      </c>
      <c r="Z135">
        <v>2750.0550000000003</v>
      </c>
      <c r="AA135">
        <v>2718.3515000000007</v>
      </c>
    </row>
    <row r="136" spans="2:27">
      <c r="B136" t="s">
        <v>507</v>
      </c>
      <c r="C136" t="s">
        <v>506</v>
      </c>
      <c r="D136" t="s">
        <v>81</v>
      </c>
      <c r="E136" t="s">
        <v>81</v>
      </c>
      <c r="F136" t="s">
        <v>81</v>
      </c>
      <c r="G136" s="8">
        <v>5489739</v>
      </c>
      <c r="H136" s="8">
        <f t="shared" si="6"/>
        <v>5592630.9999999991</v>
      </c>
      <c r="I136" s="8">
        <f t="shared" si="7"/>
        <v>5489739.5000000047</v>
      </c>
      <c r="J136" s="8">
        <f t="shared" si="8"/>
        <v>5353929.4999999981</v>
      </c>
      <c r="O136">
        <v>12100</v>
      </c>
      <c r="P136" t="s">
        <v>82</v>
      </c>
      <c r="Q136" t="s">
        <v>604</v>
      </c>
      <c r="R136">
        <v>20</v>
      </c>
      <c r="S136" s="9">
        <v>578</v>
      </c>
      <c r="T136" s="9" t="s">
        <v>605</v>
      </c>
      <c r="U136" s="9" t="s">
        <v>606</v>
      </c>
      <c r="V136" s="9">
        <v>578</v>
      </c>
      <c r="W136" t="s">
        <v>86</v>
      </c>
      <c r="X136">
        <v>924</v>
      </c>
      <c r="Y136">
        <v>5403.0209999999997</v>
      </c>
      <c r="Z136">
        <v>5434.3189999999986</v>
      </c>
      <c r="AA136">
        <v>5474.3599999999988</v>
      </c>
    </row>
    <row r="137" spans="2:27">
      <c r="B137" t="s">
        <v>300</v>
      </c>
      <c r="C137" t="s">
        <v>299</v>
      </c>
      <c r="D137" t="s">
        <v>81</v>
      </c>
      <c r="E137" t="s">
        <v>81</v>
      </c>
      <c r="F137" t="s">
        <v>81</v>
      </c>
      <c r="G137" s="8">
        <v>5302681</v>
      </c>
      <c r="H137" s="8">
        <f t="shared" si="6"/>
        <v>5193415.5000000019</v>
      </c>
      <c r="I137" s="8">
        <f t="shared" si="7"/>
        <v>5302681.0000000028</v>
      </c>
      <c r="J137" s="8">
        <f t="shared" si="8"/>
        <v>5418376.4999999963</v>
      </c>
      <c r="O137">
        <v>12172</v>
      </c>
      <c r="P137" t="s">
        <v>82</v>
      </c>
      <c r="Q137" t="s">
        <v>607</v>
      </c>
      <c r="R137" t="s">
        <v>81</v>
      </c>
      <c r="S137" s="9">
        <v>752</v>
      </c>
      <c r="T137" s="9" t="s">
        <v>608</v>
      </c>
      <c r="U137" s="9" t="s">
        <v>609</v>
      </c>
      <c r="V137" s="9">
        <v>752</v>
      </c>
      <c r="W137" t="s">
        <v>86</v>
      </c>
      <c r="X137">
        <v>924</v>
      </c>
      <c r="Y137">
        <v>10467.097</v>
      </c>
      <c r="Z137">
        <v>10549.347</v>
      </c>
      <c r="AA137">
        <v>10612.085999999999</v>
      </c>
    </row>
    <row r="138" spans="2:27">
      <c r="B138" t="s">
        <v>230</v>
      </c>
      <c r="C138" t="s">
        <v>229</v>
      </c>
      <c r="D138" t="s">
        <v>81</v>
      </c>
      <c r="E138" t="s">
        <v>81</v>
      </c>
      <c r="F138" t="s">
        <v>81</v>
      </c>
      <c r="G138" s="8">
        <v>6812341</v>
      </c>
      <c r="H138" s="8">
        <f t="shared" si="6"/>
        <v>6735276.9999999981</v>
      </c>
      <c r="I138" s="8">
        <f t="shared" si="7"/>
        <v>6812341.0000000019</v>
      </c>
      <c r="J138" s="8">
        <f t="shared" si="8"/>
        <v>6888387.9999999972</v>
      </c>
      <c r="O138">
        <v>12244</v>
      </c>
      <c r="P138" t="s">
        <v>82</v>
      </c>
      <c r="Q138" t="s">
        <v>435</v>
      </c>
      <c r="R138">
        <v>21</v>
      </c>
      <c r="S138" s="9">
        <v>826</v>
      </c>
      <c r="T138" s="9" t="s">
        <v>434</v>
      </c>
      <c r="U138" s="9" t="s">
        <v>610</v>
      </c>
      <c r="V138" s="9">
        <v>826</v>
      </c>
      <c r="W138" t="s">
        <v>86</v>
      </c>
      <c r="X138">
        <v>924</v>
      </c>
      <c r="Y138">
        <v>67281.039500000014</v>
      </c>
      <c r="Z138">
        <v>67508.935499999992</v>
      </c>
      <c r="AA138">
        <v>67736.802000000011</v>
      </c>
    </row>
    <row r="139" spans="2:27">
      <c r="B139" t="s">
        <v>611</v>
      </c>
      <c r="C139" t="s">
        <v>612</v>
      </c>
      <c r="D139" t="s">
        <v>81</v>
      </c>
      <c r="E139" t="s">
        <v>81</v>
      </c>
      <c r="F139" t="s">
        <v>81</v>
      </c>
      <c r="G139" s="8">
        <v>179857</v>
      </c>
      <c r="H139" s="8">
        <f t="shared" si="6"/>
        <v>179651.49999999991</v>
      </c>
      <c r="I139" s="8">
        <f t="shared" si="7"/>
        <v>179857.50000000003</v>
      </c>
      <c r="J139" s="8">
        <f t="shared" si="8"/>
        <v>180251</v>
      </c>
      <c r="O139">
        <v>12388</v>
      </c>
      <c r="P139" t="s">
        <v>82</v>
      </c>
      <c r="Q139" t="s">
        <v>108</v>
      </c>
      <c r="R139" t="s">
        <v>81</v>
      </c>
      <c r="S139" s="9">
        <v>8</v>
      </c>
      <c r="T139" s="9" t="s">
        <v>107</v>
      </c>
      <c r="U139" s="9" t="s">
        <v>613</v>
      </c>
      <c r="V139" s="9">
        <v>8</v>
      </c>
      <c r="W139" t="s">
        <v>86</v>
      </c>
      <c r="X139">
        <v>925</v>
      </c>
      <c r="Y139">
        <v>2854.71</v>
      </c>
      <c r="Z139">
        <v>2842.3209999999999</v>
      </c>
      <c r="AA139">
        <v>2832.4390000000003</v>
      </c>
    </row>
    <row r="140" spans="2:27">
      <c r="B140" t="s">
        <v>614</v>
      </c>
      <c r="C140" t="s">
        <v>615</v>
      </c>
      <c r="D140" t="s">
        <v>81</v>
      </c>
      <c r="E140" t="s">
        <v>81</v>
      </c>
      <c r="F140" t="s">
        <v>81</v>
      </c>
      <c r="G140" s="8">
        <v>659310564</v>
      </c>
      <c r="H140" s="8" t="str">
        <f t="shared" si="6"/>
        <v/>
      </c>
      <c r="I140" s="8" t="str">
        <f t="shared" si="7"/>
        <v/>
      </c>
      <c r="J140" s="8" t="str">
        <f t="shared" si="8"/>
        <v/>
      </c>
      <c r="O140">
        <v>12460</v>
      </c>
      <c r="P140" t="s">
        <v>82</v>
      </c>
      <c r="Q140" t="s">
        <v>113</v>
      </c>
      <c r="R140" t="s">
        <v>81</v>
      </c>
      <c r="S140" s="9">
        <v>20</v>
      </c>
      <c r="T140" s="9" t="s">
        <v>112</v>
      </c>
      <c r="U140" s="9" t="s">
        <v>616</v>
      </c>
      <c r="V140" s="9">
        <v>20</v>
      </c>
      <c r="W140" t="s">
        <v>86</v>
      </c>
      <c r="X140">
        <v>925</v>
      </c>
      <c r="Y140">
        <v>79.033999999999963</v>
      </c>
      <c r="Z140">
        <v>79.823999999999998</v>
      </c>
      <c r="AA140">
        <v>80.088000000000036</v>
      </c>
    </row>
    <row r="141" spans="2:27">
      <c r="B141" t="s">
        <v>617</v>
      </c>
      <c r="C141" t="s">
        <v>618</v>
      </c>
      <c r="D141" t="s">
        <v>81</v>
      </c>
      <c r="E141" t="s">
        <v>81</v>
      </c>
      <c r="F141" t="s">
        <v>81</v>
      </c>
      <c r="G141" s="8">
        <v>1124396999</v>
      </c>
      <c r="H141" s="8" t="str">
        <f t="shared" si="6"/>
        <v/>
      </c>
      <c r="I141" s="8" t="str">
        <f t="shared" si="7"/>
        <v/>
      </c>
      <c r="J141" s="8" t="str">
        <f t="shared" si="8"/>
        <v/>
      </c>
      <c r="O141">
        <v>12532</v>
      </c>
      <c r="P141" t="s">
        <v>82</v>
      </c>
      <c r="Q141" t="s">
        <v>197</v>
      </c>
      <c r="R141" t="s">
        <v>81</v>
      </c>
      <c r="S141" s="9">
        <v>70</v>
      </c>
      <c r="T141" s="9" t="s">
        <v>196</v>
      </c>
      <c r="U141" s="9" t="s">
        <v>619</v>
      </c>
      <c r="V141" s="9">
        <v>70</v>
      </c>
      <c r="W141" t="s">
        <v>86</v>
      </c>
      <c r="X141">
        <v>925</v>
      </c>
      <c r="Y141">
        <v>3270.9429999999979</v>
      </c>
      <c r="Z141">
        <v>3233.526499999999</v>
      </c>
      <c r="AA141">
        <v>3210.8474999999999</v>
      </c>
    </row>
    <row r="142" spans="2:27">
      <c r="B142" t="s">
        <v>620</v>
      </c>
      <c r="C142" t="s">
        <v>621</v>
      </c>
      <c r="D142" t="s">
        <v>81</v>
      </c>
      <c r="E142" t="s">
        <v>81</v>
      </c>
      <c r="F142" t="s">
        <v>81</v>
      </c>
      <c r="G142" s="8">
        <v>703727949</v>
      </c>
      <c r="H142" s="8" t="str">
        <f t="shared" si="6"/>
        <v/>
      </c>
      <c r="I142" s="8" t="str">
        <f t="shared" si="7"/>
        <v/>
      </c>
      <c r="J142" s="8" t="str">
        <f t="shared" si="8"/>
        <v/>
      </c>
      <c r="O142">
        <v>12604</v>
      </c>
      <c r="P142" t="s">
        <v>82</v>
      </c>
      <c r="Q142" t="s">
        <v>501</v>
      </c>
      <c r="R142" t="s">
        <v>81</v>
      </c>
      <c r="S142" s="9">
        <v>191</v>
      </c>
      <c r="T142" s="9" t="s">
        <v>500</v>
      </c>
      <c r="U142" s="9" t="s">
        <v>622</v>
      </c>
      <c r="V142" s="9">
        <v>191</v>
      </c>
      <c r="W142" t="s">
        <v>86</v>
      </c>
      <c r="X142">
        <v>925</v>
      </c>
      <c r="Y142">
        <v>4060.1355000000012</v>
      </c>
      <c r="Z142">
        <v>4030.3575000000001</v>
      </c>
      <c r="AA142">
        <v>4008.6165000000024</v>
      </c>
    </row>
    <row r="143" spans="2:27">
      <c r="B143" t="s">
        <v>623</v>
      </c>
      <c r="C143" t="s">
        <v>624</v>
      </c>
      <c r="D143" t="s">
        <v>80</v>
      </c>
      <c r="E143" t="s">
        <v>81</v>
      </c>
      <c r="F143" t="s">
        <v>81</v>
      </c>
      <c r="G143" s="8">
        <v>39327</v>
      </c>
      <c r="H143" s="8">
        <f t="shared" si="6"/>
        <v>39039.5</v>
      </c>
      <c r="I143" s="8">
        <f t="shared" si="7"/>
        <v>39326.999999999993</v>
      </c>
      <c r="J143" s="8">
        <f t="shared" si="8"/>
        <v>39584.500000000007</v>
      </c>
      <c r="O143">
        <v>12676</v>
      </c>
      <c r="P143" t="s">
        <v>82</v>
      </c>
      <c r="Q143" t="s">
        <v>448</v>
      </c>
      <c r="R143">
        <v>19</v>
      </c>
      <c r="S143" s="9">
        <v>292</v>
      </c>
      <c r="T143" s="9" t="s">
        <v>447</v>
      </c>
      <c r="U143" s="9" t="s">
        <v>625</v>
      </c>
      <c r="V143" s="9">
        <v>292</v>
      </c>
      <c r="W143" t="s">
        <v>86</v>
      </c>
      <c r="X143">
        <v>925</v>
      </c>
      <c r="Y143">
        <v>32.669500000000014</v>
      </c>
      <c r="Z143">
        <v>32.649000000000001</v>
      </c>
      <c r="AA143">
        <v>32.688500000000012</v>
      </c>
    </row>
    <row r="144" spans="2:27">
      <c r="B144" t="s">
        <v>431</v>
      </c>
      <c r="C144" t="s">
        <v>430</v>
      </c>
      <c r="D144" t="s">
        <v>81</v>
      </c>
      <c r="E144" t="s">
        <v>81</v>
      </c>
      <c r="F144" t="s">
        <v>81</v>
      </c>
      <c r="G144" s="8">
        <v>22181000</v>
      </c>
      <c r="H144" s="8">
        <f t="shared" si="6"/>
        <v>21773440.500000004</v>
      </c>
      <c r="I144" s="8">
        <f t="shared" si="7"/>
        <v>21832143.000000004</v>
      </c>
      <c r="J144" s="8">
        <f t="shared" si="8"/>
        <v>21893578.999999989</v>
      </c>
      <c r="O144">
        <v>12748</v>
      </c>
      <c r="P144" t="s">
        <v>82</v>
      </c>
      <c r="Q144" t="s">
        <v>466</v>
      </c>
      <c r="R144" t="s">
        <v>81</v>
      </c>
      <c r="S144" s="9">
        <v>300</v>
      </c>
      <c r="T144" s="9" t="s">
        <v>465</v>
      </c>
      <c r="U144" s="9" t="s">
        <v>626</v>
      </c>
      <c r="V144" s="9">
        <v>300</v>
      </c>
      <c r="W144" t="s">
        <v>86</v>
      </c>
      <c r="X144">
        <v>925</v>
      </c>
      <c r="Y144">
        <v>10445.365</v>
      </c>
      <c r="Z144">
        <v>10384.971</v>
      </c>
      <c r="AA144">
        <v>10341.277000000004</v>
      </c>
    </row>
    <row r="145" spans="2:27">
      <c r="B145" t="s">
        <v>627</v>
      </c>
      <c r="C145" t="s">
        <v>628</v>
      </c>
      <c r="D145" t="s">
        <v>81</v>
      </c>
      <c r="E145" t="s">
        <v>81</v>
      </c>
      <c r="F145" t="s">
        <v>81</v>
      </c>
      <c r="G145" s="8">
        <v>3190184199</v>
      </c>
      <c r="H145" s="8" t="str">
        <f t="shared" si="6"/>
        <v/>
      </c>
      <c r="I145" s="8" t="str">
        <f t="shared" si="7"/>
        <v/>
      </c>
      <c r="J145" s="8" t="str">
        <f t="shared" si="8"/>
        <v/>
      </c>
      <c r="O145">
        <v>12820</v>
      </c>
      <c r="P145" t="s">
        <v>82</v>
      </c>
      <c r="Q145" t="s">
        <v>566</v>
      </c>
      <c r="R145" t="s">
        <v>81</v>
      </c>
      <c r="S145" s="9">
        <v>380</v>
      </c>
      <c r="T145" s="9" t="s">
        <v>565</v>
      </c>
      <c r="U145" s="9" t="s">
        <v>629</v>
      </c>
      <c r="V145" s="9">
        <v>380</v>
      </c>
      <c r="W145" t="s">
        <v>86</v>
      </c>
      <c r="X145">
        <v>925</v>
      </c>
      <c r="Y145">
        <v>59240.329499999993</v>
      </c>
      <c r="Z145">
        <v>59037.47399999998</v>
      </c>
      <c r="AA145">
        <v>58870.762499999983</v>
      </c>
    </row>
    <row r="146" spans="2:27">
      <c r="B146" t="s">
        <v>630</v>
      </c>
      <c r="C146" t="s">
        <v>631</v>
      </c>
      <c r="D146" t="s">
        <v>81</v>
      </c>
      <c r="E146" t="s">
        <v>81</v>
      </c>
      <c r="F146" t="s">
        <v>81</v>
      </c>
      <c r="G146" s="8">
        <v>6678280291</v>
      </c>
      <c r="H146" s="8" t="str">
        <f t="shared" si="6"/>
        <v/>
      </c>
      <c r="I146" s="8" t="str">
        <f t="shared" si="7"/>
        <v/>
      </c>
      <c r="J146" s="8" t="str">
        <f t="shared" si="8"/>
        <v/>
      </c>
      <c r="O146">
        <v>12892</v>
      </c>
      <c r="P146" t="s">
        <v>82</v>
      </c>
      <c r="Q146" t="s">
        <v>632</v>
      </c>
      <c r="R146">
        <v>22</v>
      </c>
      <c r="S146" s="9">
        <v>412</v>
      </c>
      <c r="T146" s="9" t="s">
        <v>633</v>
      </c>
      <c r="U146" s="9" t="s">
        <v>634</v>
      </c>
      <c r="V146" s="9">
        <v>412</v>
      </c>
      <c r="W146" t="s">
        <v>86</v>
      </c>
      <c r="X146">
        <v>925</v>
      </c>
      <c r="Y146">
        <v>1662.0094999999994</v>
      </c>
      <c r="Z146">
        <v>1659.7135000000007</v>
      </c>
      <c r="AA146">
        <v>1663.5944999999997</v>
      </c>
    </row>
    <row r="147" spans="2:27">
      <c r="B147" t="s">
        <v>261</v>
      </c>
      <c r="C147" t="s">
        <v>260</v>
      </c>
      <c r="D147" t="s">
        <v>81</v>
      </c>
      <c r="E147" t="s">
        <v>81</v>
      </c>
      <c r="F147" t="s">
        <v>81</v>
      </c>
      <c r="G147" s="8">
        <v>2305825</v>
      </c>
      <c r="H147" s="8">
        <f t="shared" si="6"/>
        <v>2281454.5000000014</v>
      </c>
      <c r="I147" s="8">
        <f t="shared" si="7"/>
        <v>2305825.5000000019</v>
      </c>
      <c r="J147" s="8">
        <f t="shared" si="8"/>
        <v>2330317.4999999986</v>
      </c>
      <c r="O147">
        <v>12964</v>
      </c>
      <c r="P147" t="s">
        <v>82</v>
      </c>
      <c r="Q147" t="s">
        <v>635</v>
      </c>
      <c r="R147" t="s">
        <v>81</v>
      </c>
      <c r="S147" s="9">
        <v>470</v>
      </c>
      <c r="T147" s="9" t="s">
        <v>636</v>
      </c>
      <c r="U147" s="9" t="s">
        <v>637</v>
      </c>
      <c r="V147" s="9">
        <v>470</v>
      </c>
      <c r="W147" t="s">
        <v>86</v>
      </c>
      <c r="X147">
        <v>925</v>
      </c>
      <c r="Y147">
        <v>526.74800000000005</v>
      </c>
      <c r="Z147">
        <v>533.28599999999994</v>
      </c>
      <c r="AA147">
        <v>535.06449999999995</v>
      </c>
    </row>
    <row r="148" spans="2:27">
      <c r="B148" t="s">
        <v>638</v>
      </c>
      <c r="C148" t="s">
        <v>639</v>
      </c>
      <c r="D148" t="s">
        <v>81</v>
      </c>
      <c r="E148" t="s">
        <v>81</v>
      </c>
      <c r="F148" t="s">
        <v>81</v>
      </c>
      <c r="G148" s="8">
        <v>2325542891</v>
      </c>
      <c r="H148" s="8" t="str">
        <f t="shared" si="6"/>
        <v/>
      </c>
      <c r="I148" s="8" t="str">
        <f t="shared" si="7"/>
        <v/>
      </c>
      <c r="J148" s="8" t="str">
        <f t="shared" si="8"/>
        <v/>
      </c>
      <c r="O148">
        <v>13036</v>
      </c>
      <c r="P148" t="s">
        <v>82</v>
      </c>
      <c r="Q148" t="s">
        <v>640</v>
      </c>
      <c r="R148" t="s">
        <v>81</v>
      </c>
      <c r="S148" s="9">
        <v>499</v>
      </c>
      <c r="T148" s="9" t="s">
        <v>641</v>
      </c>
      <c r="U148" s="9" t="s">
        <v>642</v>
      </c>
      <c r="V148" s="9">
        <v>499</v>
      </c>
      <c r="W148" t="s">
        <v>86</v>
      </c>
      <c r="X148">
        <v>925</v>
      </c>
      <c r="Y148">
        <v>627.85849999999971</v>
      </c>
      <c r="Z148">
        <v>627.08249999999998</v>
      </c>
      <c r="AA148">
        <v>626.48449999999991</v>
      </c>
    </row>
    <row r="149" spans="2:27">
      <c r="B149" t="s">
        <v>602</v>
      </c>
      <c r="C149" t="s">
        <v>601</v>
      </c>
      <c r="D149" t="s">
        <v>80</v>
      </c>
      <c r="E149" t="s">
        <v>81</v>
      </c>
      <c r="F149" t="s">
        <v>57</v>
      </c>
      <c r="G149" s="8">
        <v>2831639</v>
      </c>
      <c r="H149" s="8">
        <f t="shared" si="6"/>
        <v>2786650.5000000009</v>
      </c>
      <c r="I149" s="8">
        <f t="shared" si="7"/>
        <v>2750055.0000000005</v>
      </c>
      <c r="J149" s="8">
        <f t="shared" si="8"/>
        <v>2718351.5000000005</v>
      </c>
      <c r="O149">
        <v>13108</v>
      </c>
      <c r="P149" t="s">
        <v>82</v>
      </c>
      <c r="Q149" t="s">
        <v>643</v>
      </c>
      <c r="R149" t="s">
        <v>81</v>
      </c>
      <c r="S149" s="9">
        <v>807</v>
      </c>
      <c r="T149" s="9" t="s">
        <v>644</v>
      </c>
      <c r="U149" s="9" t="s">
        <v>645</v>
      </c>
      <c r="V149" s="9">
        <v>807</v>
      </c>
      <c r="W149" t="s">
        <v>86</v>
      </c>
      <c r="X149">
        <v>925</v>
      </c>
      <c r="Y149">
        <v>2103.3300000000004</v>
      </c>
      <c r="Z149">
        <v>2093.5985000000001</v>
      </c>
      <c r="AA149">
        <v>2085.6789999999992</v>
      </c>
    </row>
    <row r="150" spans="2:27">
      <c r="B150" t="s">
        <v>646</v>
      </c>
      <c r="C150" t="s">
        <v>647</v>
      </c>
      <c r="D150" t="s">
        <v>80</v>
      </c>
      <c r="E150" t="s">
        <v>81</v>
      </c>
      <c r="F150" t="s">
        <v>57</v>
      </c>
      <c r="G150" s="8">
        <v>653103</v>
      </c>
      <c r="H150" s="8">
        <f t="shared" si="6"/>
        <v>639321</v>
      </c>
      <c r="I150" s="8">
        <f t="shared" si="7"/>
        <v>647599.00000000012</v>
      </c>
      <c r="J150" s="8">
        <f t="shared" si="8"/>
        <v>654767.49999999977</v>
      </c>
      <c r="O150">
        <v>13180</v>
      </c>
      <c r="P150" t="s">
        <v>82</v>
      </c>
      <c r="Q150" t="s">
        <v>648</v>
      </c>
      <c r="R150" t="s">
        <v>81</v>
      </c>
      <c r="S150" s="9">
        <v>620</v>
      </c>
      <c r="T150" s="9" t="s">
        <v>649</v>
      </c>
      <c r="U150" s="9" t="s">
        <v>650</v>
      </c>
      <c r="V150" s="9">
        <v>620</v>
      </c>
      <c r="W150" t="s">
        <v>86</v>
      </c>
      <c r="X150">
        <v>925</v>
      </c>
      <c r="Y150">
        <v>10290.102999999999</v>
      </c>
      <c r="Z150">
        <v>10270.865000000003</v>
      </c>
      <c r="AA150">
        <v>10247.605000000001</v>
      </c>
    </row>
    <row r="151" spans="2:27">
      <c r="B151" t="s">
        <v>598</v>
      </c>
      <c r="C151" t="s">
        <v>597</v>
      </c>
      <c r="D151" t="s">
        <v>80</v>
      </c>
      <c r="E151" t="s">
        <v>81</v>
      </c>
      <c r="F151" t="s">
        <v>57</v>
      </c>
      <c r="G151" s="8">
        <v>1879383</v>
      </c>
      <c r="H151" s="8">
        <f t="shared" si="6"/>
        <v>1873918.9999999998</v>
      </c>
      <c r="I151" s="8">
        <f t="shared" si="7"/>
        <v>1850650.9999999993</v>
      </c>
      <c r="J151" s="8">
        <f t="shared" si="8"/>
        <v>1830211.5000000002</v>
      </c>
      <c r="O151">
        <v>13252</v>
      </c>
      <c r="P151" t="s">
        <v>82</v>
      </c>
      <c r="Q151" t="s">
        <v>651</v>
      </c>
      <c r="R151" t="s">
        <v>81</v>
      </c>
      <c r="S151" s="9">
        <v>674</v>
      </c>
      <c r="T151" s="9" t="s">
        <v>652</v>
      </c>
      <c r="U151" s="9" t="s">
        <v>653</v>
      </c>
      <c r="V151" s="9">
        <v>674</v>
      </c>
      <c r="W151" t="s">
        <v>86</v>
      </c>
      <c r="X151">
        <v>925</v>
      </c>
      <c r="Y151">
        <v>33.7455</v>
      </c>
      <c r="Z151">
        <v>33.660500000000006</v>
      </c>
      <c r="AA151">
        <v>33.641999999999996</v>
      </c>
    </row>
    <row r="152" spans="2:27">
      <c r="B152" t="s">
        <v>373</v>
      </c>
      <c r="C152" t="s">
        <v>654</v>
      </c>
      <c r="D152" t="s">
        <v>80</v>
      </c>
      <c r="E152" t="s">
        <v>81</v>
      </c>
      <c r="F152" t="s">
        <v>81</v>
      </c>
      <c r="G152" s="8">
        <v>695168</v>
      </c>
      <c r="H152" s="8">
        <f t="shared" si="6"/>
        <v>686607.00000000023</v>
      </c>
      <c r="I152" s="8">
        <f t="shared" si="7"/>
        <v>695168.49999999953</v>
      </c>
      <c r="J152" s="8">
        <f t="shared" si="8"/>
        <v>704149.50000000023</v>
      </c>
      <c r="O152">
        <v>13324</v>
      </c>
      <c r="P152" t="s">
        <v>82</v>
      </c>
      <c r="Q152" t="s">
        <v>655</v>
      </c>
      <c r="R152">
        <v>23</v>
      </c>
      <c r="S152" s="9">
        <v>688</v>
      </c>
      <c r="T152" s="9" t="s">
        <v>656</v>
      </c>
      <c r="U152" s="9" t="s">
        <v>657</v>
      </c>
      <c r="V152" s="9">
        <v>688</v>
      </c>
      <c r="W152" t="s">
        <v>86</v>
      </c>
      <c r="X152">
        <v>925</v>
      </c>
      <c r="Y152">
        <v>7296.7684999999992</v>
      </c>
      <c r="Z152">
        <v>7221.3655000000017</v>
      </c>
      <c r="AA152">
        <v>7149.0764999999983</v>
      </c>
    </row>
    <row r="153" spans="2:27">
      <c r="B153" t="s">
        <v>658</v>
      </c>
      <c r="C153" t="s">
        <v>659</v>
      </c>
      <c r="D153" t="s">
        <v>80</v>
      </c>
      <c r="E153" t="s">
        <v>81</v>
      </c>
      <c r="F153" t="s">
        <v>81</v>
      </c>
      <c r="G153" s="8">
        <v>31791</v>
      </c>
      <c r="H153" s="8">
        <f t="shared" si="6"/>
        <v>31947.500000000004</v>
      </c>
      <c r="I153" s="8">
        <f t="shared" si="7"/>
        <v>31790.999999999996</v>
      </c>
      <c r="J153" s="8">
        <f t="shared" si="8"/>
        <v>32077</v>
      </c>
      <c r="O153">
        <v>13396</v>
      </c>
      <c r="P153" t="s">
        <v>82</v>
      </c>
      <c r="Q153" t="s">
        <v>660</v>
      </c>
      <c r="R153" t="s">
        <v>81</v>
      </c>
      <c r="S153" s="9">
        <v>705</v>
      </c>
      <c r="T153" s="9" t="s">
        <v>661</v>
      </c>
      <c r="U153" s="9" t="s">
        <v>662</v>
      </c>
      <c r="V153" s="9">
        <v>705</v>
      </c>
      <c r="W153" t="s">
        <v>86</v>
      </c>
      <c r="X153">
        <v>925</v>
      </c>
      <c r="Y153">
        <v>2119.4095000000007</v>
      </c>
      <c r="Z153">
        <v>2119.8439999999991</v>
      </c>
      <c r="AA153">
        <v>2119.6745000000001</v>
      </c>
    </row>
    <row r="154" spans="2:27">
      <c r="B154" t="s">
        <v>235</v>
      </c>
      <c r="C154" t="s">
        <v>234</v>
      </c>
      <c r="D154" t="s">
        <v>81</v>
      </c>
      <c r="E154" t="s">
        <v>81</v>
      </c>
      <c r="F154" t="s">
        <v>81</v>
      </c>
      <c r="G154" s="8">
        <v>37457971</v>
      </c>
      <c r="H154" s="8">
        <f t="shared" si="6"/>
        <v>37076584.500000007</v>
      </c>
      <c r="I154" s="8">
        <f t="shared" si="7"/>
        <v>37457970.5</v>
      </c>
      <c r="J154" s="8">
        <f t="shared" si="8"/>
        <v>37840044</v>
      </c>
      <c r="O154">
        <v>13468</v>
      </c>
      <c r="P154" t="s">
        <v>82</v>
      </c>
      <c r="Q154" t="s">
        <v>392</v>
      </c>
      <c r="R154">
        <v>24</v>
      </c>
      <c r="S154" s="9">
        <v>724</v>
      </c>
      <c r="T154" s="9" t="s">
        <v>391</v>
      </c>
      <c r="U154" s="9" t="s">
        <v>663</v>
      </c>
      <c r="V154" s="9">
        <v>724</v>
      </c>
      <c r="W154" t="s">
        <v>86</v>
      </c>
      <c r="X154">
        <v>925</v>
      </c>
      <c r="Y154">
        <v>47486.93499999999</v>
      </c>
      <c r="Z154">
        <v>47558.629500000025</v>
      </c>
      <c r="AA154">
        <v>47519.627500000002</v>
      </c>
    </row>
    <row r="155" spans="2:27">
      <c r="B155" t="s">
        <v>664</v>
      </c>
      <c r="C155" t="s">
        <v>665</v>
      </c>
      <c r="D155" t="s">
        <v>80</v>
      </c>
      <c r="E155" t="s">
        <v>81</v>
      </c>
      <c r="F155" t="s">
        <v>81</v>
      </c>
      <c r="G155" s="8">
        <v>36469</v>
      </c>
      <c r="H155" s="8">
        <f t="shared" si="6"/>
        <v>36685.999999999993</v>
      </c>
      <c r="I155" s="8">
        <f t="shared" si="7"/>
        <v>36469</v>
      </c>
      <c r="J155" s="8">
        <f t="shared" si="8"/>
        <v>36297.499999999985</v>
      </c>
      <c r="O155">
        <v>13612</v>
      </c>
      <c r="P155" t="s">
        <v>82</v>
      </c>
      <c r="Q155" t="s">
        <v>152</v>
      </c>
      <c r="R155" t="s">
        <v>81</v>
      </c>
      <c r="S155" s="9">
        <v>40</v>
      </c>
      <c r="T155" s="9" t="s">
        <v>151</v>
      </c>
      <c r="U155" s="9" t="s">
        <v>666</v>
      </c>
      <c r="V155" s="9">
        <v>40</v>
      </c>
      <c r="W155" t="s">
        <v>86</v>
      </c>
      <c r="X155">
        <v>926</v>
      </c>
      <c r="Y155">
        <v>8922.0820000000076</v>
      </c>
      <c r="Z155">
        <v>8939.6170000000002</v>
      </c>
      <c r="AA155">
        <v>8958.960500000001</v>
      </c>
    </row>
    <row r="156" spans="2:27">
      <c r="B156" t="s">
        <v>560</v>
      </c>
      <c r="C156" t="s">
        <v>667</v>
      </c>
      <c r="D156" t="s">
        <v>81</v>
      </c>
      <c r="E156" t="s">
        <v>81</v>
      </c>
      <c r="F156" t="s">
        <v>81</v>
      </c>
      <c r="G156" s="8">
        <v>2538894</v>
      </c>
      <c r="H156" s="8">
        <f t="shared" si="6"/>
        <v>3061506.4999999991</v>
      </c>
      <c r="I156" s="8">
        <f t="shared" si="7"/>
        <v>3272995.9999999986</v>
      </c>
      <c r="J156" s="8">
        <f t="shared" si="8"/>
        <v>3435931</v>
      </c>
      <c r="O156">
        <v>13684</v>
      </c>
      <c r="P156" t="s">
        <v>82</v>
      </c>
      <c r="Q156" t="s">
        <v>165</v>
      </c>
      <c r="R156" t="s">
        <v>81</v>
      </c>
      <c r="S156" s="9">
        <v>56</v>
      </c>
      <c r="T156" s="9" t="s">
        <v>164</v>
      </c>
      <c r="U156" s="9" t="s">
        <v>668</v>
      </c>
      <c r="V156" s="9">
        <v>56</v>
      </c>
      <c r="W156" t="s">
        <v>86</v>
      </c>
      <c r="X156">
        <v>926</v>
      </c>
      <c r="Y156">
        <v>11611.419499999998</v>
      </c>
      <c r="Z156">
        <v>11655.930000000008</v>
      </c>
      <c r="AA156">
        <v>11686.140000000001</v>
      </c>
    </row>
    <row r="157" spans="2:27">
      <c r="B157" t="s">
        <v>115</v>
      </c>
      <c r="C157" t="s">
        <v>114</v>
      </c>
      <c r="D157" t="s">
        <v>81</v>
      </c>
      <c r="E157" t="s">
        <v>81</v>
      </c>
      <c r="F157" t="s">
        <v>81</v>
      </c>
      <c r="G157" s="8">
        <v>29611714</v>
      </c>
      <c r="H157" s="8">
        <f t="shared" si="6"/>
        <v>28915652.500000004</v>
      </c>
      <c r="I157" s="8">
        <f t="shared" si="7"/>
        <v>29611714.000000004</v>
      </c>
      <c r="J157" s="8">
        <f t="shared" si="8"/>
        <v>30325731.999999996</v>
      </c>
      <c r="O157">
        <v>13756</v>
      </c>
      <c r="P157" t="s">
        <v>82</v>
      </c>
      <c r="Q157" t="s">
        <v>419</v>
      </c>
      <c r="R157">
        <v>25</v>
      </c>
      <c r="S157" s="9">
        <v>250</v>
      </c>
      <c r="T157" s="9" t="s">
        <v>418</v>
      </c>
      <c r="U157" s="9" t="s">
        <v>669</v>
      </c>
      <c r="V157" s="9">
        <v>250</v>
      </c>
      <c r="W157" t="s">
        <v>86</v>
      </c>
      <c r="X157">
        <v>926</v>
      </c>
      <c r="Y157">
        <v>64531.443999999996</v>
      </c>
      <c r="Z157">
        <v>64626.627999999997</v>
      </c>
      <c r="AA157">
        <v>64756.584000000032</v>
      </c>
    </row>
    <row r="158" spans="2:27">
      <c r="B158" t="s">
        <v>416</v>
      </c>
      <c r="C158" t="s">
        <v>415</v>
      </c>
      <c r="D158" t="s">
        <v>81</v>
      </c>
      <c r="E158" t="s">
        <v>81</v>
      </c>
      <c r="F158" t="s">
        <v>81</v>
      </c>
      <c r="G158" s="8">
        <v>523787</v>
      </c>
      <c r="H158" s="8">
        <f t="shared" si="6"/>
        <v>521457.50000000035</v>
      </c>
      <c r="I158" s="8">
        <f t="shared" si="7"/>
        <v>523786.99999999971</v>
      </c>
      <c r="J158" s="8">
        <f t="shared" si="8"/>
        <v>521021.49999999971</v>
      </c>
      <c r="O158">
        <v>13828</v>
      </c>
      <c r="P158" t="s">
        <v>82</v>
      </c>
      <c r="Q158" t="s">
        <v>328</v>
      </c>
      <c r="R158" t="s">
        <v>81</v>
      </c>
      <c r="S158" s="9">
        <v>276</v>
      </c>
      <c r="T158" s="9" t="s">
        <v>327</v>
      </c>
      <c r="U158" s="9" t="s">
        <v>670</v>
      </c>
      <c r="V158" s="9">
        <v>276</v>
      </c>
      <c r="W158" t="s">
        <v>86</v>
      </c>
      <c r="X158">
        <v>926</v>
      </c>
      <c r="Y158">
        <v>83408.554500000013</v>
      </c>
      <c r="Z158">
        <v>83369.843000000023</v>
      </c>
      <c r="AA158">
        <v>83294.632500000007</v>
      </c>
    </row>
    <row r="159" spans="2:27">
      <c r="B159" t="s">
        <v>671</v>
      </c>
      <c r="C159" t="s">
        <v>672</v>
      </c>
      <c r="D159" t="s">
        <v>81</v>
      </c>
      <c r="E159" t="s">
        <v>81</v>
      </c>
      <c r="F159" t="s">
        <v>81</v>
      </c>
      <c r="G159" s="8">
        <v>493279469</v>
      </c>
      <c r="H159" s="8" t="str">
        <f t="shared" si="6"/>
        <v/>
      </c>
      <c r="I159" s="8" t="str">
        <f t="shared" si="7"/>
        <v/>
      </c>
      <c r="J159" s="8" t="str">
        <f t="shared" si="8"/>
        <v/>
      </c>
      <c r="O159">
        <v>13900</v>
      </c>
      <c r="P159" t="s">
        <v>82</v>
      </c>
      <c r="Q159" t="s">
        <v>624</v>
      </c>
      <c r="R159" t="s">
        <v>81</v>
      </c>
      <c r="S159" s="9">
        <v>438</v>
      </c>
      <c r="T159" s="9" t="s">
        <v>623</v>
      </c>
      <c r="U159" s="9" t="s">
        <v>673</v>
      </c>
      <c r="V159" s="9">
        <v>438</v>
      </c>
      <c r="W159" t="s">
        <v>86</v>
      </c>
      <c r="X159">
        <v>926</v>
      </c>
      <c r="Y159">
        <v>39.039499999999997</v>
      </c>
      <c r="Z159">
        <v>39.326999999999991</v>
      </c>
      <c r="AA159">
        <v>39.584500000000006</v>
      </c>
    </row>
    <row r="160" spans="2:27">
      <c r="B160" t="s">
        <v>38</v>
      </c>
      <c r="C160" t="s">
        <v>674</v>
      </c>
      <c r="D160" t="s">
        <v>81</v>
      </c>
      <c r="E160" t="s">
        <v>1</v>
      </c>
      <c r="F160" s="76" t="s">
        <v>57</v>
      </c>
      <c r="G160" s="8">
        <v>127504125</v>
      </c>
      <c r="H160" s="8">
        <f t="shared" si="6"/>
        <v>126705138.00000001</v>
      </c>
      <c r="I160" s="8">
        <f t="shared" si="7"/>
        <v>127504125.49999999</v>
      </c>
      <c r="J160" s="8">
        <f t="shared" si="8"/>
        <v>128455566.49999999</v>
      </c>
      <c r="O160">
        <v>13972</v>
      </c>
      <c r="P160" t="s">
        <v>82</v>
      </c>
      <c r="Q160" t="s">
        <v>647</v>
      </c>
      <c r="R160" t="s">
        <v>81</v>
      </c>
      <c r="S160" s="9">
        <v>442</v>
      </c>
      <c r="T160" s="9" t="s">
        <v>646</v>
      </c>
      <c r="U160" s="9" t="s">
        <v>675</v>
      </c>
      <c r="V160" s="9">
        <v>442</v>
      </c>
      <c r="W160" t="s">
        <v>86</v>
      </c>
      <c r="X160">
        <v>926</v>
      </c>
      <c r="Y160">
        <v>639.32100000000003</v>
      </c>
      <c r="Z160">
        <v>647.59900000000016</v>
      </c>
      <c r="AA160">
        <v>654.76749999999981</v>
      </c>
    </row>
    <row r="161" spans="2:27">
      <c r="B161" t="s">
        <v>676</v>
      </c>
      <c r="C161" t="s">
        <v>677</v>
      </c>
      <c r="D161" t="s">
        <v>81</v>
      </c>
      <c r="E161" t="s">
        <v>81</v>
      </c>
      <c r="F161" t="s">
        <v>81</v>
      </c>
      <c r="G161" s="8">
        <v>41569</v>
      </c>
      <c r="H161" s="8">
        <f t="shared" si="6"/>
        <v>42050.000000000022</v>
      </c>
      <c r="I161" s="8">
        <f t="shared" si="7"/>
        <v>41569.000000000007</v>
      </c>
      <c r="J161" s="8">
        <f t="shared" si="8"/>
        <v>41996.000000000007</v>
      </c>
      <c r="O161">
        <v>14044</v>
      </c>
      <c r="P161" t="s">
        <v>82</v>
      </c>
      <c r="Q161" t="s">
        <v>665</v>
      </c>
      <c r="R161" t="s">
        <v>81</v>
      </c>
      <c r="S161" s="9">
        <v>492</v>
      </c>
      <c r="T161" s="9" t="s">
        <v>664</v>
      </c>
      <c r="U161" s="9" t="s">
        <v>678</v>
      </c>
      <c r="V161" s="9">
        <v>492</v>
      </c>
      <c r="W161" t="s">
        <v>86</v>
      </c>
      <c r="X161">
        <v>926</v>
      </c>
      <c r="Y161">
        <v>36.685999999999993</v>
      </c>
      <c r="Z161">
        <v>36.469000000000001</v>
      </c>
      <c r="AA161">
        <v>36.297499999999985</v>
      </c>
    </row>
    <row r="162" spans="2:27">
      <c r="B162" t="s">
        <v>679</v>
      </c>
      <c r="C162" t="s">
        <v>680</v>
      </c>
      <c r="D162" t="s">
        <v>81</v>
      </c>
      <c r="E162" t="s">
        <v>81</v>
      </c>
      <c r="F162" t="s">
        <v>81</v>
      </c>
      <c r="G162" s="8">
        <v>5974552342</v>
      </c>
      <c r="H162" s="8" t="str">
        <f t="shared" si="6"/>
        <v/>
      </c>
      <c r="I162" s="8" t="str">
        <f t="shared" si="7"/>
        <v/>
      </c>
      <c r="J162" s="8" t="str">
        <f t="shared" si="8"/>
        <v/>
      </c>
      <c r="O162">
        <v>14116</v>
      </c>
      <c r="P162" t="s">
        <v>82</v>
      </c>
      <c r="Q162" t="s">
        <v>681</v>
      </c>
      <c r="R162">
        <v>26</v>
      </c>
      <c r="S162" s="9">
        <v>528</v>
      </c>
      <c r="T162" s="9" t="s">
        <v>682</v>
      </c>
      <c r="U162" s="9" t="s">
        <v>683</v>
      </c>
      <c r="V162" s="9">
        <v>528</v>
      </c>
      <c r="W162" t="s">
        <v>86</v>
      </c>
      <c r="X162">
        <v>926</v>
      </c>
      <c r="Y162">
        <v>17501.695499999991</v>
      </c>
      <c r="Z162">
        <v>17564.014000000006</v>
      </c>
      <c r="AA162">
        <v>17618.298500000001</v>
      </c>
    </row>
    <row r="163" spans="2:27">
      <c r="B163" t="s">
        <v>644</v>
      </c>
      <c r="C163" t="s">
        <v>643</v>
      </c>
      <c r="D163" t="s">
        <v>81</v>
      </c>
      <c r="E163" t="s">
        <v>81</v>
      </c>
      <c r="F163" t="s">
        <v>81</v>
      </c>
      <c r="G163" s="8">
        <v>2057679</v>
      </c>
      <c r="H163" s="8">
        <f t="shared" si="6"/>
        <v>2103330.0000000005</v>
      </c>
      <c r="I163" s="8">
        <f t="shared" si="7"/>
        <v>2093598.5</v>
      </c>
      <c r="J163" s="8">
        <f t="shared" si="8"/>
        <v>2085678.9999999991</v>
      </c>
      <c r="O163">
        <v>14188</v>
      </c>
      <c r="P163" t="s">
        <v>82</v>
      </c>
      <c r="Q163" t="s">
        <v>254</v>
      </c>
      <c r="R163" t="s">
        <v>81</v>
      </c>
      <c r="S163" s="9">
        <v>756</v>
      </c>
      <c r="T163" s="9" t="s">
        <v>253</v>
      </c>
      <c r="U163" s="9" t="s">
        <v>684</v>
      </c>
      <c r="V163" s="9">
        <v>756</v>
      </c>
      <c r="W163" t="s">
        <v>86</v>
      </c>
      <c r="X163">
        <v>926</v>
      </c>
      <c r="Y163">
        <v>8691.406500000001</v>
      </c>
      <c r="Z163">
        <v>8740.4719999999998</v>
      </c>
      <c r="AA163">
        <v>8796.6689999999962</v>
      </c>
    </row>
    <row r="164" spans="2:27">
      <c r="B164" t="s">
        <v>305</v>
      </c>
      <c r="C164" t="s">
        <v>304</v>
      </c>
      <c r="D164" t="s">
        <v>81</v>
      </c>
      <c r="E164" t="s">
        <v>81</v>
      </c>
      <c r="F164" t="s">
        <v>81</v>
      </c>
      <c r="G164" s="8">
        <v>22593590</v>
      </c>
      <c r="H164" s="8">
        <f t="shared" si="6"/>
        <v>21904982.999999996</v>
      </c>
      <c r="I164" s="8">
        <f t="shared" si="7"/>
        <v>22593590.500000022</v>
      </c>
      <c r="J164" s="8">
        <f t="shared" si="8"/>
        <v>23293698.499999996</v>
      </c>
      <c r="O164">
        <v>14404</v>
      </c>
      <c r="P164" t="s">
        <v>82</v>
      </c>
      <c r="Q164" t="s">
        <v>685</v>
      </c>
      <c r="R164">
        <v>19</v>
      </c>
      <c r="S164" s="9">
        <v>660</v>
      </c>
      <c r="T164" s="9" t="s">
        <v>686</v>
      </c>
      <c r="U164" s="9" t="s">
        <v>687</v>
      </c>
      <c r="V164" s="9">
        <v>660</v>
      </c>
      <c r="W164" t="s">
        <v>86</v>
      </c>
      <c r="X164">
        <v>915</v>
      </c>
      <c r="Y164">
        <v>15.753000000000004</v>
      </c>
      <c r="Z164">
        <v>15.856999999999999</v>
      </c>
      <c r="AA164">
        <v>15.8995</v>
      </c>
    </row>
    <row r="165" spans="2:27">
      <c r="B165" t="s">
        <v>636</v>
      </c>
      <c r="C165" t="s">
        <v>635</v>
      </c>
      <c r="D165" t="s">
        <v>80</v>
      </c>
      <c r="E165" t="s">
        <v>81</v>
      </c>
      <c r="F165" t="s">
        <v>81</v>
      </c>
      <c r="G165" s="8">
        <v>531113</v>
      </c>
      <c r="H165" s="8">
        <f t="shared" si="6"/>
        <v>526748</v>
      </c>
      <c r="I165" s="8">
        <f t="shared" si="7"/>
        <v>533286</v>
      </c>
      <c r="J165" s="8">
        <f t="shared" si="8"/>
        <v>535064.5</v>
      </c>
      <c r="O165">
        <v>14476</v>
      </c>
      <c r="P165" t="s">
        <v>82</v>
      </c>
      <c r="Q165" t="s">
        <v>142</v>
      </c>
      <c r="R165" t="s">
        <v>81</v>
      </c>
      <c r="S165" s="9">
        <v>28</v>
      </c>
      <c r="T165" s="9" t="s">
        <v>141</v>
      </c>
      <c r="U165" s="9" t="s">
        <v>688</v>
      </c>
      <c r="V165" s="9">
        <v>28</v>
      </c>
      <c r="W165" t="s">
        <v>86</v>
      </c>
      <c r="X165">
        <v>915</v>
      </c>
      <c r="Y165">
        <v>93.219500000000011</v>
      </c>
      <c r="Z165">
        <v>93.763000000000034</v>
      </c>
      <c r="AA165">
        <v>94.298000000000002</v>
      </c>
    </row>
    <row r="166" spans="2:27">
      <c r="B166" t="s">
        <v>453</v>
      </c>
      <c r="C166" t="s">
        <v>452</v>
      </c>
      <c r="D166" t="s">
        <v>81</v>
      </c>
      <c r="E166" t="s">
        <v>81</v>
      </c>
      <c r="F166" t="s">
        <v>81</v>
      </c>
      <c r="G166" s="8">
        <v>54179306</v>
      </c>
      <c r="H166" s="8">
        <f t="shared" si="6"/>
        <v>53798084.500000015</v>
      </c>
      <c r="I166" s="8">
        <f t="shared" si="7"/>
        <v>54179305.999999985</v>
      </c>
      <c r="J166" s="8">
        <f t="shared" si="8"/>
        <v>54577996.999999993</v>
      </c>
      <c r="O166">
        <v>14548</v>
      </c>
      <c r="P166" t="s">
        <v>82</v>
      </c>
      <c r="Q166" t="s">
        <v>79</v>
      </c>
      <c r="R166">
        <v>27</v>
      </c>
      <c r="S166" s="9">
        <v>533</v>
      </c>
      <c r="T166" s="9" t="s">
        <v>78</v>
      </c>
      <c r="U166" s="9" t="s">
        <v>689</v>
      </c>
      <c r="V166" s="11">
        <v>533</v>
      </c>
      <c r="W166" t="s">
        <v>86</v>
      </c>
      <c r="X166">
        <v>915</v>
      </c>
      <c r="Y166">
        <v>106.53649999999999</v>
      </c>
      <c r="Z166">
        <v>106.44499999999998</v>
      </c>
      <c r="AA166">
        <v>106.27699999999997</v>
      </c>
    </row>
    <row r="167" spans="2:27">
      <c r="B167" t="s">
        <v>690</v>
      </c>
      <c r="C167" t="s">
        <v>691</v>
      </c>
      <c r="D167" t="s">
        <v>81</v>
      </c>
      <c r="E167" t="s">
        <v>81</v>
      </c>
      <c r="F167" t="s">
        <v>81</v>
      </c>
      <c r="G167" s="8">
        <v>424328381</v>
      </c>
      <c r="H167" s="8" t="str">
        <f t="shared" si="6"/>
        <v/>
      </c>
      <c r="I167" s="8" t="str">
        <f t="shared" si="7"/>
        <v/>
      </c>
      <c r="J167" s="8" t="str">
        <f t="shared" si="8"/>
        <v/>
      </c>
      <c r="O167">
        <v>14620</v>
      </c>
      <c r="P167" t="s">
        <v>82</v>
      </c>
      <c r="Q167" t="s">
        <v>692</v>
      </c>
      <c r="R167" t="s">
        <v>81</v>
      </c>
      <c r="S167" s="9">
        <v>44</v>
      </c>
      <c r="T167" s="9" t="s">
        <v>12</v>
      </c>
      <c r="U167" s="9" t="s">
        <v>693</v>
      </c>
      <c r="V167" s="9">
        <v>44</v>
      </c>
      <c r="W167" t="s">
        <v>86</v>
      </c>
      <c r="X167">
        <v>915</v>
      </c>
      <c r="Y167">
        <v>407.90550000000019</v>
      </c>
      <c r="Z167">
        <v>409.98399999999981</v>
      </c>
      <c r="AA167">
        <v>412.62350000000026</v>
      </c>
    </row>
    <row r="168" spans="2:27">
      <c r="B168" t="s">
        <v>641</v>
      </c>
      <c r="C168" t="s">
        <v>640</v>
      </c>
      <c r="D168" t="s">
        <v>81</v>
      </c>
      <c r="E168" t="s">
        <v>81</v>
      </c>
      <c r="F168" t="s">
        <v>81</v>
      </c>
      <c r="G168" s="8">
        <v>617213</v>
      </c>
      <c r="H168" s="8">
        <f t="shared" si="6"/>
        <v>627858.49999999965</v>
      </c>
      <c r="I168" s="8">
        <f t="shared" si="7"/>
        <v>627082.5</v>
      </c>
      <c r="J168" s="8">
        <f t="shared" si="8"/>
        <v>626484.49999999988</v>
      </c>
      <c r="O168">
        <v>14692</v>
      </c>
      <c r="P168" t="s">
        <v>82</v>
      </c>
      <c r="Q168" t="s">
        <v>223</v>
      </c>
      <c r="R168" t="s">
        <v>81</v>
      </c>
      <c r="S168" s="9">
        <v>52</v>
      </c>
      <c r="T168" s="9" t="s">
        <v>19</v>
      </c>
      <c r="U168" s="9" t="s">
        <v>694</v>
      </c>
      <c r="V168" s="9">
        <v>52</v>
      </c>
      <c r="W168" t="s">
        <v>86</v>
      </c>
      <c r="X168">
        <v>915</v>
      </c>
      <c r="Y168">
        <v>281.19949999999994</v>
      </c>
      <c r="Z168">
        <v>281.63499999999988</v>
      </c>
      <c r="AA168">
        <v>281.99549999999988</v>
      </c>
    </row>
    <row r="169" spans="2:27">
      <c r="B169" t="s">
        <v>389</v>
      </c>
      <c r="C169" t="s">
        <v>388</v>
      </c>
      <c r="D169" t="s">
        <v>81</v>
      </c>
      <c r="E169" t="s">
        <v>81</v>
      </c>
      <c r="F169" t="s">
        <v>81</v>
      </c>
      <c r="G169" s="8">
        <v>3398366</v>
      </c>
      <c r="H169" s="8">
        <f t="shared" si="6"/>
        <v>3347782.4999999977</v>
      </c>
      <c r="I169" s="8">
        <f t="shared" si="7"/>
        <v>3398366.0000000005</v>
      </c>
      <c r="J169" s="8">
        <f t="shared" si="8"/>
        <v>3447156.5000000005</v>
      </c>
      <c r="O169">
        <v>14764</v>
      </c>
      <c r="P169" t="s">
        <v>82</v>
      </c>
      <c r="Q169" t="s">
        <v>695</v>
      </c>
      <c r="R169">
        <v>27</v>
      </c>
      <c r="S169" s="9">
        <v>535</v>
      </c>
      <c r="T169" s="9" t="s">
        <v>696</v>
      </c>
      <c r="U169" s="9" t="s">
        <v>697</v>
      </c>
      <c r="V169" s="9">
        <v>535</v>
      </c>
      <c r="W169" t="s">
        <v>86</v>
      </c>
      <c r="X169">
        <v>915</v>
      </c>
      <c r="Y169">
        <v>26.706000000000007</v>
      </c>
      <c r="Z169">
        <v>27.026499999999995</v>
      </c>
      <c r="AA169">
        <v>27.147999999999993</v>
      </c>
    </row>
    <row r="170" spans="2:27">
      <c r="B170" t="s">
        <v>698</v>
      </c>
      <c r="C170" t="s">
        <v>699</v>
      </c>
      <c r="D170" t="s">
        <v>80</v>
      </c>
      <c r="E170" t="s">
        <v>81</v>
      </c>
      <c r="F170" t="s">
        <v>81</v>
      </c>
      <c r="G170" s="8">
        <v>49551</v>
      </c>
      <c r="H170" s="8">
        <f t="shared" si="6"/>
        <v>49481.5</v>
      </c>
      <c r="I170" s="8">
        <f t="shared" si="7"/>
        <v>49550.999999999985</v>
      </c>
      <c r="J170" s="8">
        <f t="shared" si="8"/>
        <v>49795.999999999985</v>
      </c>
      <c r="O170">
        <v>14836</v>
      </c>
      <c r="P170" t="s">
        <v>82</v>
      </c>
      <c r="Q170" t="s">
        <v>700</v>
      </c>
      <c r="R170">
        <v>19</v>
      </c>
      <c r="S170" s="9">
        <v>92</v>
      </c>
      <c r="T170" s="9" t="s">
        <v>701</v>
      </c>
      <c r="U170" s="9" t="s">
        <v>702</v>
      </c>
      <c r="V170" s="9">
        <v>92</v>
      </c>
      <c r="W170" t="s">
        <v>86</v>
      </c>
      <c r="X170">
        <v>915</v>
      </c>
      <c r="Y170">
        <v>31.121999999999996</v>
      </c>
      <c r="Z170">
        <v>31.304500000000008</v>
      </c>
      <c r="AA170">
        <v>31.538000000000007</v>
      </c>
    </row>
    <row r="171" spans="2:27">
      <c r="B171" t="s">
        <v>134</v>
      </c>
      <c r="C171" t="s">
        <v>133</v>
      </c>
      <c r="D171" t="s">
        <v>81</v>
      </c>
      <c r="E171" t="s">
        <v>81</v>
      </c>
      <c r="F171" t="s">
        <v>81</v>
      </c>
      <c r="G171" s="8">
        <v>32969518</v>
      </c>
      <c r="H171" s="8">
        <f t="shared" si="6"/>
        <v>32077072.000000011</v>
      </c>
      <c r="I171" s="8">
        <f t="shared" si="7"/>
        <v>32969518.500000007</v>
      </c>
      <c r="J171" s="8">
        <f t="shared" si="8"/>
        <v>33897353.999999985</v>
      </c>
      <c r="O171">
        <v>14908</v>
      </c>
      <c r="P171" t="s">
        <v>82</v>
      </c>
      <c r="Q171" t="s">
        <v>313</v>
      </c>
      <c r="R171">
        <v>19</v>
      </c>
      <c r="S171" s="9">
        <v>136</v>
      </c>
      <c r="T171" s="9" t="s">
        <v>312</v>
      </c>
      <c r="U171" s="9" t="s">
        <v>703</v>
      </c>
      <c r="V171" s="9">
        <v>136</v>
      </c>
      <c r="W171" t="s">
        <v>86</v>
      </c>
      <c r="X171">
        <v>915</v>
      </c>
      <c r="Y171">
        <v>68.136000000000024</v>
      </c>
      <c r="Z171">
        <v>68.705499999999986</v>
      </c>
      <c r="AA171">
        <v>69.309999999999974</v>
      </c>
    </row>
    <row r="172" spans="2:27">
      <c r="B172" t="s">
        <v>310</v>
      </c>
      <c r="C172" t="s">
        <v>309</v>
      </c>
      <c r="D172" t="s">
        <v>81</v>
      </c>
      <c r="E172" t="s">
        <v>81</v>
      </c>
      <c r="F172" t="s">
        <v>81</v>
      </c>
      <c r="G172" s="8">
        <v>4736139</v>
      </c>
      <c r="H172" s="8">
        <f t="shared" si="6"/>
        <v>4614974</v>
      </c>
      <c r="I172" s="8">
        <f t="shared" si="7"/>
        <v>4736138.9999999991</v>
      </c>
      <c r="J172" s="8">
        <f t="shared" si="8"/>
        <v>4862988.4999999953</v>
      </c>
      <c r="O172">
        <v>14980</v>
      </c>
      <c r="P172" t="s">
        <v>82</v>
      </c>
      <c r="Q172" t="s">
        <v>303</v>
      </c>
      <c r="R172" t="s">
        <v>81</v>
      </c>
      <c r="S172" s="9">
        <v>192</v>
      </c>
      <c r="T172" s="9" t="s">
        <v>302</v>
      </c>
      <c r="U172" s="9" t="s">
        <v>704</v>
      </c>
      <c r="V172" s="9">
        <v>192</v>
      </c>
      <c r="W172" t="s">
        <v>86</v>
      </c>
      <c r="X172">
        <v>915</v>
      </c>
      <c r="Y172">
        <v>11256.372500000007</v>
      </c>
      <c r="Z172">
        <v>11212.190999999999</v>
      </c>
      <c r="AA172">
        <v>11194.449000000002</v>
      </c>
    </row>
    <row r="173" spans="2:27">
      <c r="B173" t="s">
        <v>125</v>
      </c>
      <c r="C173" t="s">
        <v>124</v>
      </c>
      <c r="D173" t="s">
        <v>81</v>
      </c>
      <c r="E173" t="s">
        <v>81</v>
      </c>
      <c r="F173" t="s">
        <v>81</v>
      </c>
      <c r="G173" s="8">
        <v>1262523</v>
      </c>
      <c r="H173" s="8">
        <f t="shared" si="6"/>
        <v>1298914.4999999995</v>
      </c>
      <c r="I173" s="8">
        <f t="shared" si="7"/>
        <v>1299468.9999999986</v>
      </c>
      <c r="J173" s="8">
        <f t="shared" si="8"/>
        <v>1300557.0000000002</v>
      </c>
      <c r="O173">
        <v>15052</v>
      </c>
      <c r="P173" t="s">
        <v>82</v>
      </c>
      <c r="Q173" t="s">
        <v>705</v>
      </c>
      <c r="R173">
        <v>27</v>
      </c>
      <c r="S173" s="9">
        <v>531</v>
      </c>
      <c r="T173" s="9" t="s">
        <v>307</v>
      </c>
      <c r="U173" s="9" t="s">
        <v>706</v>
      </c>
      <c r="V173" s="9">
        <v>531</v>
      </c>
      <c r="W173" t="s">
        <v>86</v>
      </c>
      <c r="X173">
        <v>915</v>
      </c>
      <c r="Y173">
        <v>190.33800000000008</v>
      </c>
      <c r="Z173">
        <v>191.16349999999997</v>
      </c>
      <c r="AA173">
        <v>192.07700000000003</v>
      </c>
    </row>
    <row r="174" spans="2:27">
      <c r="B174" t="s">
        <v>120</v>
      </c>
      <c r="C174" t="s">
        <v>119</v>
      </c>
      <c r="D174" t="s">
        <v>81</v>
      </c>
      <c r="E174" t="s">
        <v>81</v>
      </c>
      <c r="F174" t="s">
        <v>81</v>
      </c>
      <c r="G174" s="8">
        <v>20405317</v>
      </c>
      <c r="H174" s="8">
        <f t="shared" si="6"/>
        <v>19889742.000000011</v>
      </c>
      <c r="I174" s="8">
        <f t="shared" si="7"/>
        <v>20405316.500000019</v>
      </c>
      <c r="J174" s="8">
        <f t="shared" si="8"/>
        <v>20931750.999999989</v>
      </c>
      <c r="O174">
        <v>15124</v>
      </c>
      <c r="P174" t="s">
        <v>82</v>
      </c>
      <c r="Q174" t="s">
        <v>336</v>
      </c>
      <c r="R174" t="s">
        <v>81</v>
      </c>
      <c r="S174" s="9">
        <v>212</v>
      </c>
      <c r="T174" s="9" t="s">
        <v>335</v>
      </c>
      <c r="U174" s="9" t="s">
        <v>707</v>
      </c>
      <c r="V174" s="9">
        <v>212</v>
      </c>
      <c r="W174" t="s">
        <v>86</v>
      </c>
      <c r="X174">
        <v>915</v>
      </c>
      <c r="Y174">
        <v>72.412500000000023</v>
      </c>
      <c r="Z174">
        <v>72.737499999999997</v>
      </c>
      <c r="AA174">
        <v>73.040000000000006</v>
      </c>
    </row>
    <row r="175" spans="2:27">
      <c r="B175" t="s">
        <v>450</v>
      </c>
      <c r="C175" t="s">
        <v>449</v>
      </c>
      <c r="D175" t="s">
        <v>81</v>
      </c>
      <c r="E175" t="s">
        <v>81</v>
      </c>
      <c r="F175" t="s">
        <v>81</v>
      </c>
      <c r="G175" s="8">
        <v>33938221</v>
      </c>
      <c r="H175" s="8">
        <f t="shared" si="6"/>
        <v>33573873.499999993</v>
      </c>
      <c r="I175" s="8">
        <f t="shared" si="7"/>
        <v>33938221.499999993</v>
      </c>
      <c r="J175" s="8">
        <f t="shared" si="8"/>
        <v>34308524.999999993</v>
      </c>
      <c r="O175">
        <v>15196</v>
      </c>
      <c r="P175" t="s">
        <v>82</v>
      </c>
      <c r="Q175" t="s">
        <v>345</v>
      </c>
      <c r="R175" t="s">
        <v>81</v>
      </c>
      <c r="S175" s="9">
        <v>214</v>
      </c>
      <c r="T175" s="9" t="s">
        <v>27</v>
      </c>
      <c r="U175" s="9" t="s">
        <v>708</v>
      </c>
      <c r="V175" s="9">
        <v>214</v>
      </c>
      <c r="W175" t="s">
        <v>86</v>
      </c>
      <c r="X175">
        <v>915</v>
      </c>
      <c r="Y175">
        <v>11117.8735</v>
      </c>
      <c r="Z175">
        <v>11228.821000000002</v>
      </c>
      <c r="AA175">
        <v>11332.9725</v>
      </c>
    </row>
    <row r="176" spans="2:27">
      <c r="B176" t="s">
        <v>709</v>
      </c>
      <c r="C176" t="s">
        <v>710</v>
      </c>
      <c r="D176" t="s">
        <v>81</v>
      </c>
      <c r="E176" t="s">
        <v>81</v>
      </c>
      <c r="F176" t="s">
        <v>81</v>
      </c>
      <c r="G176" s="8">
        <v>372280991</v>
      </c>
      <c r="H176" s="8" t="str">
        <f t="shared" si="6"/>
        <v/>
      </c>
      <c r="I176" s="8" t="str">
        <f t="shared" si="7"/>
        <v/>
      </c>
      <c r="J176" s="8" t="str">
        <f t="shared" si="8"/>
        <v/>
      </c>
      <c r="O176">
        <v>15268</v>
      </c>
      <c r="P176" t="s">
        <v>82</v>
      </c>
      <c r="Q176" t="s">
        <v>471</v>
      </c>
      <c r="R176" t="s">
        <v>81</v>
      </c>
      <c r="S176" s="9">
        <v>308</v>
      </c>
      <c r="T176" s="9" t="s">
        <v>470</v>
      </c>
      <c r="U176" s="9" t="s">
        <v>711</v>
      </c>
      <c r="V176" s="9">
        <v>308</v>
      </c>
      <c r="W176" t="s">
        <v>86</v>
      </c>
      <c r="X176">
        <v>915</v>
      </c>
      <c r="Y176">
        <v>124.61000000000007</v>
      </c>
      <c r="Z176">
        <v>125.43750000000003</v>
      </c>
      <c r="AA176">
        <v>126.1835</v>
      </c>
    </row>
    <row r="177" spans="2:27">
      <c r="B177" t="s">
        <v>265</v>
      </c>
      <c r="C177" t="s">
        <v>264</v>
      </c>
      <c r="D177" t="s">
        <v>81</v>
      </c>
      <c r="E177" t="s">
        <v>81</v>
      </c>
      <c r="F177" t="s">
        <v>81</v>
      </c>
      <c r="G177" s="8">
        <v>2567012</v>
      </c>
      <c r="H177" s="8">
        <f t="shared" si="6"/>
        <v>2530150.5000000014</v>
      </c>
      <c r="I177" s="8">
        <f t="shared" si="7"/>
        <v>2567012.4999999995</v>
      </c>
      <c r="J177" s="8">
        <f t="shared" si="8"/>
        <v>2604171.9999999995</v>
      </c>
      <c r="O177">
        <v>15340</v>
      </c>
      <c r="P177" t="s">
        <v>82</v>
      </c>
      <c r="Q177" t="s">
        <v>712</v>
      </c>
      <c r="R177">
        <v>2</v>
      </c>
      <c r="S177" s="9">
        <v>312</v>
      </c>
      <c r="T177" s="9" t="s">
        <v>713</v>
      </c>
      <c r="U177" s="9" t="s">
        <v>714</v>
      </c>
      <c r="V177" s="9">
        <v>312</v>
      </c>
      <c r="W177" t="s">
        <v>86</v>
      </c>
      <c r="X177">
        <v>915</v>
      </c>
      <c r="Y177">
        <v>396.05099999999976</v>
      </c>
      <c r="Z177">
        <v>395.75249999999977</v>
      </c>
      <c r="AA177">
        <v>395.83899999999988</v>
      </c>
    </row>
    <row r="178" spans="2:27">
      <c r="B178" t="s">
        <v>715</v>
      </c>
      <c r="C178" t="s">
        <v>716</v>
      </c>
      <c r="D178" t="s">
        <v>80</v>
      </c>
      <c r="E178" t="s">
        <v>81</v>
      </c>
      <c r="F178" t="s">
        <v>81</v>
      </c>
      <c r="G178" s="8">
        <v>269220</v>
      </c>
      <c r="H178" s="8">
        <f t="shared" si="6"/>
        <v>287800</v>
      </c>
      <c r="I178" s="8">
        <f t="shared" si="7"/>
        <v>289950.49999999988</v>
      </c>
      <c r="J178" s="8">
        <f t="shared" si="8"/>
        <v>292991.00000000012</v>
      </c>
      <c r="O178">
        <v>15412</v>
      </c>
      <c r="P178" t="s">
        <v>82</v>
      </c>
      <c r="Q178" t="s">
        <v>505</v>
      </c>
      <c r="R178" t="s">
        <v>81</v>
      </c>
      <c r="S178" s="9">
        <v>332</v>
      </c>
      <c r="T178" s="9" t="s">
        <v>36</v>
      </c>
      <c r="U178" s="9" t="s">
        <v>717</v>
      </c>
      <c r="V178" s="11">
        <v>332</v>
      </c>
      <c r="W178" t="s">
        <v>86</v>
      </c>
      <c r="X178">
        <v>915</v>
      </c>
      <c r="Y178">
        <v>11447.569000000003</v>
      </c>
      <c r="Z178">
        <v>11584.995499999994</v>
      </c>
      <c r="AA178">
        <v>11724.763499999994</v>
      </c>
    </row>
    <row r="179" spans="2:27">
      <c r="B179" t="s">
        <v>315</v>
      </c>
      <c r="C179" t="s">
        <v>314</v>
      </c>
      <c r="D179" t="s">
        <v>81</v>
      </c>
      <c r="E179" t="s">
        <v>81</v>
      </c>
      <c r="F179" t="s">
        <v>81</v>
      </c>
      <c r="G179" s="8">
        <v>26207977</v>
      </c>
      <c r="H179" s="8">
        <f t="shared" si="6"/>
        <v>25252721.999999989</v>
      </c>
      <c r="I179" s="8">
        <f t="shared" si="7"/>
        <v>26207976.5</v>
      </c>
      <c r="J179" s="8">
        <f t="shared" si="8"/>
        <v>27202843</v>
      </c>
      <c r="O179">
        <v>15484</v>
      </c>
      <c r="P179" t="s">
        <v>82</v>
      </c>
      <c r="Q179" t="s">
        <v>570</v>
      </c>
      <c r="R179" t="s">
        <v>81</v>
      </c>
      <c r="S179" s="9">
        <v>388</v>
      </c>
      <c r="T179" s="9" t="s">
        <v>37</v>
      </c>
      <c r="U179" s="9" t="s">
        <v>718</v>
      </c>
      <c r="V179" s="9">
        <v>388</v>
      </c>
      <c r="W179" t="s">
        <v>86</v>
      </c>
      <c r="X179">
        <v>915</v>
      </c>
      <c r="Y179">
        <v>2827.6944999999996</v>
      </c>
      <c r="Z179">
        <v>2827.3770000000009</v>
      </c>
      <c r="AA179">
        <v>2825.5435000000002</v>
      </c>
    </row>
    <row r="180" spans="2:27">
      <c r="B180" t="s">
        <v>320</v>
      </c>
      <c r="C180" t="s">
        <v>319</v>
      </c>
      <c r="D180" t="s">
        <v>81</v>
      </c>
      <c r="E180" t="s">
        <v>81</v>
      </c>
      <c r="F180" t="s">
        <v>81</v>
      </c>
      <c r="G180" s="8">
        <v>218541212</v>
      </c>
      <c r="H180" s="8">
        <f t="shared" si="6"/>
        <v>213401322.49999997</v>
      </c>
      <c r="I180" s="8">
        <f t="shared" si="7"/>
        <v>218541211.50000003</v>
      </c>
      <c r="J180" s="8">
        <f t="shared" si="8"/>
        <v>223804632.00000009</v>
      </c>
      <c r="O180">
        <v>15556</v>
      </c>
      <c r="P180" t="s">
        <v>82</v>
      </c>
      <c r="Q180" t="s">
        <v>719</v>
      </c>
      <c r="R180">
        <v>2</v>
      </c>
      <c r="S180" s="9">
        <v>474</v>
      </c>
      <c r="T180" s="9" t="s">
        <v>720</v>
      </c>
      <c r="U180" s="9" t="s">
        <v>721</v>
      </c>
      <c r="V180" s="9">
        <v>474</v>
      </c>
      <c r="W180" t="s">
        <v>86</v>
      </c>
      <c r="X180">
        <v>915</v>
      </c>
      <c r="Y180">
        <v>368.79550000000006</v>
      </c>
      <c r="Z180">
        <v>367.50700000000018</v>
      </c>
      <c r="AA180">
        <v>366.98049999999995</v>
      </c>
    </row>
    <row r="181" spans="2:27">
      <c r="B181" t="s">
        <v>40</v>
      </c>
      <c r="C181" t="s">
        <v>722</v>
      </c>
      <c r="D181" t="s">
        <v>81</v>
      </c>
      <c r="E181" t="s">
        <v>1</v>
      </c>
      <c r="F181" t="s">
        <v>81</v>
      </c>
      <c r="G181" s="8">
        <v>6948392</v>
      </c>
      <c r="H181" s="8">
        <f t="shared" si="6"/>
        <v>6850539.9999999981</v>
      </c>
      <c r="I181" s="8">
        <f t="shared" si="7"/>
        <v>6948392</v>
      </c>
      <c r="J181" s="8">
        <f t="shared" si="8"/>
        <v>7046310.5</v>
      </c>
      <c r="O181">
        <v>15628</v>
      </c>
      <c r="P181" t="s">
        <v>82</v>
      </c>
      <c r="Q181" t="s">
        <v>723</v>
      </c>
      <c r="R181">
        <v>19</v>
      </c>
      <c r="S181" s="9">
        <v>500</v>
      </c>
      <c r="T181" s="9" t="s">
        <v>724</v>
      </c>
      <c r="U181" s="9" t="s">
        <v>725</v>
      </c>
      <c r="V181" s="9">
        <v>500</v>
      </c>
      <c r="W181" t="s">
        <v>86</v>
      </c>
      <c r="X181">
        <v>915</v>
      </c>
      <c r="Y181">
        <v>4.4169999999999998</v>
      </c>
      <c r="Z181">
        <v>4.3900000000000006</v>
      </c>
      <c r="AA181">
        <v>4.3865000000000016</v>
      </c>
    </row>
    <row r="182" spans="2:27">
      <c r="B182" t="s">
        <v>682</v>
      </c>
      <c r="C182" t="s">
        <v>681</v>
      </c>
      <c r="D182" t="s">
        <v>80</v>
      </c>
      <c r="E182" t="s">
        <v>81</v>
      </c>
      <c r="F182" t="s">
        <v>57</v>
      </c>
      <c r="G182" s="8">
        <v>17700982</v>
      </c>
      <c r="H182" s="8">
        <f t="shared" si="6"/>
        <v>17501695.499999993</v>
      </c>
      <c r="I182" s="8">
        <f t="shared" si="7"/>
        <v>17564014.000000007</v>
      </c>
      <c r="J182" s="8">
        <f t="shared" si="8"/>
        <v>17618298.5</v>
      </c>
      <c r="O182">
        <v>15700</v>
      </c>
      <c r="P182" t="s">
        <v>82</v>
      </c>
      <c r="Q182" t="s">
        <v>726</v>
      </c>
      <c r="R182">
        <v>28</v>
      </c>
      <c r="S182" s="9">
        <v>630</v>
      </c>
      <c r="T182" s="9" t="s">
        <v>727</v>
      </c>
      <c r="U182" s="9" t="s">
        <v>728</v>
      </c>
      <c r="V182" s="9">
        <v>630</v>
      </c>
      <c r="W182" t="s">
        <v>86</v>
      </c>
      <c r="X182">
        <v>915</v>
      </c>
      <c r="Y182">
        <v>3256.0274999999997</v>
      </c>
      <c r="Z182">
        <v>3252.4070000000006</v>
      </c>
      <c r="AA182">
        <v>3260.3140000000021</v>
      </c>
    </row>
    <row r="183" spans="2:27">
      <c r="B183" t="s">
        <v>605</v>
      </c>
      <c r="C183" t="s">
        <v>604</v>
      </c>
      <c r="D183" t="s">
        <v>80</v>
      </c>
      <c r="E183" t="s">
        <v>81</v>
      </c>
      <c r="F183" t="s">
        <v>57</v>
      </c>
      <c r="G183" s="8">
        <v>5457127</v>
      </c>
      <c r="H183" s="8">
        <f t="shared" si="6"/>
        <v>5403021</v>
      </c>
      <c r="I183" s="8">
        <f t="shared" si="7"/>
        <v>5434318.9999999981</v>
      </c>
      <c r="J183" s="8">
        <f t="shared" si="8"/>
        <v>5474359.9999999991</v>
      </c>
      <c r="O183">
        <v>15772</v>
      </c>
      <c r="P183" t="s">
        <v>82</v>
      </c>
      <c r="Q183" t="s">
        <v>729</v>
      </c>
      <c r="R183">
        <v>2</v>
      </c>
      <c r="S183" s="9">
        <v>652</v>
      </c>
      <c r="T183" s="9" t="s">
        <v>730</v>
      </c>
      <c r="U183" s="9" t="s">
        <v>731</v>
      </c>
      <c r="V183" s="9">
        <v>652</v>
      </c>
      <c r="W183" t="s">
        <v>86</v>
      </c>
      <c r="X183">
        <v>915</v>
      </c>
      <c r="Y183">
        <v>10.861500000000001</v>
      </c>
      <c r="Z183">
        <v>10.967000000000006</v>
      </c>
      <c r="AA183">
        <v>10.994</v>
      </c>
    </row>
    <row r="184" spans="2:27">
      <c r="B184" t="s">
        <v>421</v>
      </c>
      <c r="C184" t="s">
        <v>420</v>
      </c>
      <c r="D184" t="s">
        <v>81</v>
      </c>
      <c r="E184" t="s">
        <v>81</v>
      </c>
      <c r="F184" t="s">
        <v>81</v>
      </c>
      <c r="G184" s="8">
        <v>30547580</v>
      </c>
      <c r="H184" s="8">
        <f t="shared" si="6"/>
        <v>30034989.500000011</v>
      </c>
      <c r="I184" s="8">
        <f t="shared" si="7"/>
        <v>30547579.999999996</v>
      </c>
      <c r="J184" s="8">
        <f t="shared" si="8"/>
        <v>30896590.000000022</v>
      </c>
      <c r="O184">
        <v>15844</v>
      </c>
      <c r="P184" t="s">
        <v>82</v>
      </c>
      <c r="Q184" t="s">
        <v>732</v>
      </c>
      <c r="R184" t="s">
        <v>81</v>
      </c>
      <c r="S184" s="9">
        <v>659</v>
      </c>
      <c r="T184" s="9" t="s">
        <v>588</v>
      </c>
      <c r="U184" s="9" t="s">
        <v>733</v>
      </c>
      <c r="V184" s="9">
        <v>659</v>
      </c>
      <c r="W184" t="s">
        <v>86</v>
      </c>
      <c r="X184">
        <v>915</v>
      </c>
      <c r="Y184">
        <v>47.60649999999999</v>
      </c>
      <c r="Z184">
        <v>47.65750000000002</v>
      </c>
      <c r="AA184">
        <v>47.754999999999981</v>
      </c>
    </row>
    <row r="185" spans="2:27">
      <c r="B185" t="s">
        <v>734</v>
      </c>
      <c r="C185" t="s">
        <v>735</v>
      </c>
      <c r="D185" t="s">
        <v>80</v>
      </c>
      <c r="E185" t="s">
        <v>81</v>
      </c>
      <c r="F185" t="s">
        <v>81</v>
      </c>
      <c r="G185" s="8">
        <v>12668</v>
      </c>
      <c r="H185" s="8">
        <f t="shared" si="6"/>
        <v>12511.5</v>
      </c>
      <c r="I185" s="8">
        <f t="shared" si="7"/>
        <v>12668.000000000009</v>
      </c>
      <c r="J185" s="8">
        <f t="shared" si="8"/>
        <v>12780.000000000011</v>
      </c>
      <c r="O185">
        <v>15916</v>
      </c>
      <c r="P185" t="s">
        <v>82</v>
      </c>
      <c r="Q185" t="s">
        <v>736</v>
      </c>
      <c r="R185" t="s">
        <v>81</v>
      </c>
      <c r="S185" s="9">
        <v>662</v>
      </c>
      <c r="T185" s="9" t="s">
        <v>611</v>
      </c>
      <c r="U185" s="9" t="s">
        <v>737</v>
      </c>
      <c r="V185" s="9">
        <v>662</v>
      </c>
      <c r="W185" t="s">
        <v>86</v>
      </c>
      <c r="X185">
        <v>915</v>
      </c>
      <c r="Y185">
        <v>179.65149999999991</v>
      </c>
      <c r="Z185">
        <v>179.85750000000002</v>
      </c>
      <c r="AA185">
        <v>180.251</v>
      </c>
    </row>
    <row r="186" spans="2:27">
      <c r="B186" t="s">
        <v>738</v>
      </c>
      <c r="C186" t="s">
        <v>739</v>
      </c>
      <c r="D186" t="s">
        <v>80</v>
      </c>
      <c r="E186" t="s">
        <v>81</v>
      </c>
      <c r="F186" t="s">
        <v>57</v>
      </c>
      <c r="G186" s="8">
        <v>5124100</v>
      </c>
      <c r="H186" s="8">
        <f t="shared" si="6"/>
        <v>5129727.4999999972</v>
      </c>
      <c r="I186" s="8">
        <f t="shared" si="7"/>
        <v>5185288.5</v>
      </c>
      <c r="J186" s="8">
        <f t="shared" si="8"/>
        <v>5228099.4999999981</v>
      </c>
      <c r="O186">
        <v>15988</v>
      </c>
      <c r="P186" t="s">
        <v>82</v>
      </c>
      <c r="Q186" t="s">
        <v>740</v>
      </c>
      <c r="R186">
        <v>2</v>
      </c>
      <c r="S186" s="9">
        <v>663</v>
      </c>
      <c r="T186" s="9" t="s">
        <v>658</v>
      </c>
      <c r="U186" s="9" t="s">
        <v>741</v>
      </c>
      <c r="V186" s="9">
        <v>663</v>
      </c>
      <c r="W186" t="s">
        <v>86</v>
      </c>
      <c r="X186">
        <v>915</v>
      </c>
      <c r="Y186">
        <v>31.947500000000005</v>
      </c>
      <c r="Z186">
        <v>31.790999999999997</v>
      </c>
      <c r="AA186">
        <v>32.076999999999998</v>
      </c>
    </row>
    <row r="187" spans="2:27">
      <c r="B187" t="s">
        <v>742</v>
      </c>
      <c r="C187" t="s">
        <v>743</v>
      </c>
      <c r="D187" t="s">
        <v>81</v>
      </c>
      <c r="E187" t="s">
        <v>81</v>
      </c>
      <c r="F187" t="s">
        <v>81</v>
      </c>
      <c r="G187" s="8">
        <v>1376606817</v>
      </c>
      <c r="H187" s="8" t="str">
        <f t="shared" si="6"/>
        <v/>
      </c>
      <c r="I187" s="8" t="str">
        <f t="shared" si="7"/>
        <v/>
      </c>
      <c r="J187" s="8" t="str">
        <f t="shared" si="8"/>
        <v/>
      </c>
      <c r="O187">
        <v>16060</v>
      </c>
      <c r="P187" t="s">
        <v>82</v>
      </c>
      <c r="Q187" t="s">
        <v>744</v>
      </c>
      <c r="R187" t="s">
        <v>81</v>
      </c>
      <c r="S187" s="9">
        <v>670</v>
      </c>
      <c r="T187" s="9" t="s">
        <v>745</v>
      </c>
      <c r="U187" s="9" t="s">
        <v>746</v>
      </c>
      <c r="V187" s="9">
        <v>670</v>
      </c>
      <c r="W187" t="s">
        <v>86</v>
      </c>
      <c r="X187">
        <v>915</v>
      </c>
      <c r="Y187">
        <v>104.33199999999999</v>
      </c>
      <c r="Z187">
        <v>103.94750000000002</v>
      </c>
      <c r="AA187">
        <v>103.6985</v>
      </c>
    </row>
    <row r="188" spans="2:27">
      <c r="B188" t="s">
        <v>512</v>
      </c>
      <c r="C188" t="s">
        <v>511</v>
      </c>
      <c r="D188" t="s">
        <v>80</v>
      </c>
      <c r="E188" t="s">
        <v>81</v>
      </c>
      <c r="F188" t="s">
        <v>81</v>
      </c>
      <c r="G188" s="8">
        <v>4576298</v>
      </c>
      <c r="H188" s="8">
        <f t="shared" si="6"/>
        <v>4520471.0000000009</v>
      </c>
      <c r="I188" s="8">
        <f t="shared" si="7"/>
        <v>4576297.9999999991</v>
      </c>
      <c r="J188" s="8">
        <f t="shared" si="8"/>
        <v>4644384.0000000009</v>
      </c>
      <c r="O188">
        <v>16132</v>
      </c>
      <c r="P188" t="s">
        <v>82</v>
      </c>
      <c r="Q188" t="s">
        <v>747</v>
      </c>
      <c r="R188">
        <v>27</v>
      </c>
      <c r="S188" s="9">
        <v>534</v>
      </c>
      <c r="T188" s="9" t="s">
        <v>748</v>
      </c>
      <c r="U188" s="9" t="s">
        <v>749</v>
      </c>
      <c r="V188" s="9">
        <v>534</v>
      </c>
      <c r="W188" t="s">
        <v>86</v>
      </c>
      <c r="X188">
        <v>915</v>
      </c>
      <c r="Y188">
        <v>44.041999999999994</v>
      </c>
      <c r="Z188">
        <v>44.175000000000011</v>
      </c>
      <c r="AA188">
        <v>44.222000000000008</v>
      </c>
    </row>
    <row r="189" spans="2:27">
      <c r="B189" t="s">
        <v>750</v>
      </c>
      <c r="C189" t="s">
        <v>751</v>
      </c>
      <c r="D189" t="s">
        <v>81</v>
      </c>
      <c r="E189" t="s">
        <v>81</v>
      </c>
      <c r="F189" t="s">
        <v>81</v>
      </c>
      <c r="G189" s="8">
        <v>33169026</v>
      </c>
      <c r="H189" s="8" t="str">
        <f t="shared" si="6"/>
        <v/>
      </c>
      <c r="I189" s="8" t="str">
        <f t="shared" si="7"/>
        <v/>
      </c>
      <c r="J189" s="8" t="str">
        <f t="shared" si="8"/>
        <v/>
      </c>
      <c r="O189">
        <v>16204</v>
      </c>
      <c r="P189" t="s">
        <v>82</v>
      </c>
      <c r="Q189" t="s">
        <v>752</v>
      </c>
      <c r="R189" t="s">
        <v>81</v>
      </c>
      <c r="S189" s="9">
        <v>780</v>
      </c>
      <c r="T189" s="9" t="s">
        <v>47</v>
      </c>
      <c r="U189" s="9" t="s">
        <v>753</v>
      </c>
      <c r="V189" s="9">
        <v>780</v>
      </c>
      <c r="W189" t="s">
        <v>86</v>
      </c>
      <c r="X189">
        <v>915</v>
      </c>
      <c r="Y189">
        <v>1525.6629999999991</v>
      </c>
      <c r="Z189">
        <v>1531.0444999999997</v>
      </c>
      <c r="AA189">
        <v>1534.9370000000004</v>
      </c>
    </row>
    <row r="190" spans="2:27">
      <c r="B190" t="s">
        <v>426</v>
      </c>
      <c r="C190" t="s">
        <v>425</v>
      </c>
      <c r="D190" t="s">
        <v>81</v>
      </c>
      <c r="E190" t="s">
        <v>81</v>
      </c>
      <c r="F190" t="s">
        <v>81</v>
      </c>
      <c r="G190" s="8">
        <v>235824862</v>
      </c>
      <c r="H190" s="8">
        <f t="shared" si="6"/>
        <v>231402116.49999997</v>
      </c>
      <c r="I190" s="8">
        <f t="shared" si="7"/>
        <v>235824862.50000012</v>
      </c>
      <c r="J190" s="8">
        <f t="shared" si="8"/>
        <v>240485657.49999985</v>
      </c>
      <c r="O190">
        <v>16276</v>
      </c>
      <c r="P190" t="s">
        <v>82</v>
      </c>
      <c r="Q190" t="s">
        <v>754</v>
      </c>
      <c r="R190">
        <v>19</v>
      </c>
      <c r="S190" s="9">
        <v>796</v>
      </c>
      <c r="T190" s="9" t="s">
        <v>755</v>
      </c>
      <c r="U190" s="9" t="s">
        <v>756</v>
      </c>
      <c r="V190" s="9">
        <v>796</v>
      </c>
      <c r="W190" t="s">
        <v>86</v>
      </c>
      <c r="X190">
        <v>915</v>
      </c>
      <c r="Y190">
        <v>45.114000000000033</v>
      </c>
      <c r="Z190">
        <v>45.702500000000029</v>
      </c>
      <c r="AA190">
        <v>46.061500000000031</v>
      </c>
    </row>
    <row r="191" spans="2:27">
      <c r="B191" t="s">
        <v>42</v>
      </c>
      <c r="C191" t="s">
        <v>757</v>
      </c>
      <c r="D191" t="s">
        <v>80</v>
      </c>
      <c r="E191" t="s">
        <v>1</v>
      </c>
      <c r="F191" t="s">
        <v>81</v>
      </c>
      <c r="G191" s="8">
        <v>4408581</v>
      </c>
      <c r="H191" s="8">
        <f t="shared" si="6"/>
        <v>4351266.9999999963</v>
      </c>
      <c r="I191" s="8">
        <f t="shared" si="7"/>
        <v>4408580.5</v>
      </c>
      <c r="J191" s="8">
        <f t="shared" si="8"/>
        <v>4468086.4999999972</v>
      </c>
      <c r="O191">
        <v>16348</v>
      </c>
      <c r="P191" t="s">
        <v>82</v>
      </c>
      <c r="Q191" t="s">
        <v>758</v>
      </c>
      <c r="R191">
        <v>28</v>
      </c>
      <c r="S191" s="9">
        <v>850</v>
      </c>
      <c r="T191" s="9" t="s">
        <v>759</v>
      </c>
      <c r="U191" s="9" t="s">
        <v>760</v>
      </c>
      <c r="V191" s="9">
        <v>850</v>
      </c>
      <c r="W191" t="s">
        <v>86</v>
      </c>
      <c r="X191">
        <v>915</v>
      </c>
      <c r="Y191">
        <v>100.09099999999999</v>
      </c>
      <c r="Z191">
        <v>99.464999999999989</v>
      </c>
      <c r="AA191">
        <v>98.750000000000043</v>
      </c>
    </row>
    <row r="192" spans="2:27">
      <c r="B192" t="s">
        <v>44</v>
      </c>
      <c r="C192" t="s">
        <v>761</v>
      </c>
      <c r="D192" t="s">
        <v>81</v>
      </c>
      <c r="E192" t="s">
        <v>1</v>
      </c>
      <c r="F192" t="s">
        <v>81</v>
      </c>
      <c r="G192" s="8">
        <v>34049588</v>
      </c>
      <c r="H192" s="8">
        <f t="shared" si="6"/>
        <v>33715471.499999985</v>
      </c>
      <c r="I192" s="8">
        <f t="shared" si="7"/>
        <v>34049588.499999993</v>
      </c>
      <c r="J192" s="8">
        <f t="shared" si="8"/>
        <v>34352718.499999978</v>
      </c>
      <c r="O192">
        <v>16492</v>
      </c>
      <c r="P192" t="s">
        <v>82</v>
      </c>
      <c r="Q192" t="s">
        <v>206</v>
      </c>
      <c r="R192" t="s">
        <v>81</v>
      </c>
      <c r="S192" s="9">
        <v>84</v>
      </c>
      <c r="T192" s="9" t="s">
        <v>14</v>
      </c>
      <c r="U192" s="9" t="s">
        <v>762</v>
      </c>
      <c r="V192" s="9">
        <v>84</v>
      </c>
      <c r="W192" t="s">
        <v>86</v>
      </c>
      <c r="X192">
        <v>916</v>
      </c>
      <c r="Y192">
        <v>400.03100000000012</v>
      </c>
      <c r="Z192">
        <v>405.27250000000004</v>
      </c>
      <c r="AA192">
        <v>410.82500000000005</v>
      </c>
    </row>
    <row r="193" spans="2:27">
      <c r="B193" t="s">
        <v>457</v>
      </c>
      <c r="C193" t="s">
        <v>456</v>
      </c>
      <c r="D193" t="s">
        <v>81</v>
      </c>
      <c r="E193" t="s">
        <v>81</v>
      </c>
      <c r="F193" t="s">
        <v>81</v>
      </c>
      <c r="G193" s="8">
        <v>115559009</v>
      </c>
      <c r="H193" s="8">
        <f t="shared" si="6"/>
        <v>113880328.00000001</v>
      </c>
      <c r="I193" s="8">
        <f t="shared" si="7"/>
        <v>115559008.99999996</v>
      </c>
      <c r="J193" s="8">
        <f t="shared" si="8"/>
        <v>117337367.99999996</v>
      </c>
      <c r="O193">
        <v>16564</v>
      </c>
      <c r="P193" t="s">
        <v>82</v>
      </c>
      <c r="Q193" t="s">
        <v>293</v>
      </c>
      <c r="R193" t="s">
        <v>81</v>
      </c>
      <c r="S193" s="9">
        <v>188</v>
      </c>
      <c r="T193" s="9" t="s">
        <v>25</v>
      </c>
      <c r="U193" s="9" t="s">
        <v>763</v>
      </c>
      <c r="V193" s="9">
        <v>188</v>
      </c>
      <c r="W193" t="s">
        <v>86</v>
      </c>
      <c r="X193">
        <v>916</v>
      </c>
      <c r="Y193">
        <v>5153.9569999999985</v>
      </c>
      <c r="Z193">
        <v>5180.8290000000025</v>
      </c>
      <c r="AA193">
        <v>5212.1730000000025</v>
      </c>
    </row>
    <row r="194" spans="2:27">
      <c r="B194" t="s">
        <v>764</v>
      </c>
      <c r="C194" t="s">
        <v>765</v>
      </c>
      <c r="D194" t="s">
        <v>81</v>
      </c>
      <c r="E194" t="s">
        <v>81</v>
      </c>
      <c r="F194" t="s">
        <v>81</v>
      </c>
      <c r="G194" s="8">
        <v>18055</v>
      </c>
      <c r="H194" s="8">
        <f t="shared" si="6"/>
        <v>18024</v>
      </c>
      <c r="I194" s="8">
        <f t="shared" si="7"/>
        <v>18054.5</v>
      </c>
      <c r="J194" s="8">
        <f t="shared" si="8"/>
        <v>18057.500000000004</v>
      </c>
      <c r="O194">
        <v>16636</v>
      </c>
      <c r="P194" t="s">
        <v>82</v>
      </c>
      <c r="Q194" t="s">
        <v>766</v>
      </c>
      <c r="R194" t="s">
        <v>81</v>
      </c>
      <c r="S194" s="9">
        <v>222</v>
      </c>
      <c r="T194" s="9" t="s">
        <v>46</v>
      </c>
      <c r="U194" s="9" t="s">
        <v>767</v>
      </c>
      <c r="V194" s="9">
        <v>222</v>
      </c>
      <c r="W194" t="s">
        <v>86</v>
      </c>
      <c r="X194">
        <v>916</v>
      </c>
      <c r="Y194">
        <v>6314.1675000000023</v>
      </c>
      <c r="Z194">
        <v>6336.3920000000007</v>
      </c>
      <c r="AA194">
        <v>6364.9424999999974</v>
      </c>
    </row>
    <row r="195" spans="2:27">
      <c r="B195" t="s">
        <v>768</v>
      </c>
      <c r="C195" t="s">
        <v>769</v>
      </c>
      <c r="D195" t="s">
        <v>81</v>
      </c>
      <c r="E195" t="s">
        <v>81</v>
      </c>
      <c r="F195" t="s">
        <v>81</v>
      </c>
      <c r="G195" s="8">
        <v>10142619</v>
      </c>
      <c r="H195" s="8">
        <f t="shared" si="6"/>
        <v>9949436.9999999925</v>
      </c>
      <c r="I195" s="8">
        <f t="shared" si="7"/>
        <v>10142618.5</v>
      </c>
      <c r="J195" s="8">
        <f t="shared" si="8"/>
        <v>10329930.499999993</v>
      </c>
      <c r="O195">
        <v>16708</v>
      </c>
      <c r="P195" t="s">
        <v>82</v>
      </c>
      <c r="Q195" t="s">
        <v>478</v>
      </c>
      <c r="R195" t="s">
        <v>81</v>
      </c>
      <c r="S195" s="9">
        <v>320</v>
      </c>
      <c r="T195" s="9" t="s">
        <v>31</v>
      </c>
      <c r="U195" s="9" t="s">
        <v>770</v>
      </c>
      <c r="V195" s="9">
        <v>320</v>
      </c>
      <c r="W195" t="s">
        <v>86</v>
      </c>
      <c r="X195">
        <v>916</v>
      </c>
      <c r="Y195">
        <v>17608.483500000009</v>
      </c>
      <c r="Z195">
        <v>17843.908000000007</v>
      </c>
      <c r="AA195">
        <v>18092.026000000009</v>
      </c>
    </row>
    <row r="196" spans="2:27">
      <c r="B196" t="s">
        <v>555</v>
      </c>
      <c r="C196" t="s">
        <v>554</v>
      </c>
      <c r="D196" t="s">
        <v>80</v>
      </c>
      <c r="E196" t="s">
        <v>81</v>
      </c>
      <c r="F196" t="s">
        <v>57</v>
      </c>
      <c r="G196" s="8">
        <v>36821749</v>
      </c>
      <c r="H196" s="8">
        <f t="shared" si="6"/>
        <v>38307725.500000037</v>
      </c>
      <c r="I196" s="8">
        <f t="shared" si="7"/>
        <v>39857145.499999985</v>
      </c>
      <c r="J196" s="8">
        <f t="shared" si="8"/>
        <v>41026067.500000015</v>
      </c>
      <c r="O196">
        <v>16780</v>
      </c>
      <c r="P196" t="s">
        <v>82</v>
      </c>
      <c r="Q196" t="s">
        <v>491</v>
      </c>
      <c r="R196" t="s">
        <v>81</v>
      </c>
      <c r="S196" s="9">
        <v>340</v>
      </c>
      <c r="T196" s="9" t="s">
        <v>34</v>
      </c>
      <c r="U196" s="9" t="s">
        <v>771</v>
      </c>
      <c r="V196" s="9">
        <v>340</v>
      </c>
      <c r="W196" t="s">
        <v>86</v>
      </c>
      <c r="X196">
        <v>916</v>
      </c>
      <c r="Y196">
        <v>10278.345499999994</v>
      </c>
      <c r="Z196">
        <v>10432.8595</v>
      </c>
      <c r="AA196">
        <v>10593.797999999997</v>
      </c>
    </row>
    <row r="197" spans="2:27">
      <c r="B197" t="s">
        <v>772</v>
      </c>
      <c r="C197" t="s">
        <v>773</v>
      </c>
      <c r="D197" t="s">
        <v>81</v>
      </c>
      <c r="E197" t="s">
        <v>81</v>
      </c>
      <c r="F197" t="s">
        <v>81</v>
      </c>
      <c r="G197" s="8">
        <v>1038012552</v>
      </c>
      <c r="H197" s="8" t="str">
        <f t="shared" si="6"/>
        <v/>
      </c>
      <c r="I197" s="8" t="str">
        <f t="shared" si="7"/>
        <v/>
      </c>
      <c r="J197" s="8" t="str">
        <f t="shared" si="8"/>
        <v/>
      </c>
      <c r="O197">
        <v>16852</v>
      </c>
      <c r="P197" t="s">
        <v>82</v>
      </c>
      <c r="Q197" t="s">
        <v>674</v>
      </c>
      <c r="R197" t="s">
        <v>81</v>
      </c>
      <c r="S197" s="9">
        <v>484</v>
      </c>
      <c r="T197" s="9" t="s">
        <v>38</v>
      </c>
      <c r="U197" s="9" t="s">
        <v>774</v>
      </c>
      <c r="V197" s="9">
        <v>484</v>
      </c>
      <c r="W197" t="s">
        <v>86</v>
      </c>
      <c r="X197">
        <v>916</v>
      </c>
      <c r="Y197">
        <v>126705.13800000002</v>
      </c>
      <c r="Z197">
        <v>127504.12549999998</v>
      </c>
      <c r="AA197">
        <v>128455.56649999999</v>
      </c>
    </row>
    <row r="198" spans="2:27">
      <c r="B198" t="s">
        <v>727</v>
      </c>
      <c r="C198" t="s">
        <v>726</v>
      </c>
      <c r="D198" t="s">
        <v>80</v>
      </c>
      <c r="E198" t="s">
        <v>81</v>
      </c>
      <c r="F198" t="s">
        <v>81</v>
      </c>
      <c r="G198" s="8">
        <v>3221789</v>
      </c>
      <c r="H198" s="8">
        <f t="shared" ref="H198:H261" si="9">IFERROR(VLOOKUP(B198,$T$6:$AA$241,6,0)*1000,"")</f>
        <v>3256027.4999999995</v>
      </c>
      <c r="I198" s="8">
        <f t="shared" ref="I198:I261" si="10">IFERROR(VLOOKUP(B198,$T$6:$AA$241,7,0)*1000,"")</f>
        <v>3252407.0000000005</v>
      </c>
      <c r="J198" s="8">
        <f t="shared" ref="J198:J261" si="11">IFERROR(VLOOKUP(B198,$T$6:$AA$241,8,0)*1000,"")</f>
        <v>3260314.0000000023</v>
      </c>
      <c r="O198">
        <v>16924</v>
      </c>
      <c r="P198" t="s">
        <v>82</v>
      </c>
      <c r="Q198" t="s">
        <v>722</v>
      </c>
      <c r="R198" t="s">
        <v>81</v>
      </c>
      <c r="S198" s="9">
        <v>558</v>
      </c>
      <c r="T198" s="9" t="s">
        <v>40</v>
      </c>
      <c r="U198" s="9" t="s">
        <v>775</v>
      </c>
      <c r="V198" s="9">
        <v>558</v>
      </c>
      <c r="W198" t="s">
        <v>86</v>
      </c>
      <c r="X198">
        <v>916</v>
      </c>
      <c r="Y198">
        <v>6850.5399999999981</v>
      </c>
      <c r="Z198">
        <v>6948.3919999999998</v>
      </c>
      <c r="AA198">
        <v>7046.3104999999996</v>
      </c>
    </row>
    <row r="199" spans="2:27">
      <c r="B199" t="s">
        <v>381</v>
      </c>
      <c r="C199" t="s">
        <v>776</v>
      </c>
      <c r="D199" t="s">
        <v>81</v>
      </c>
      <c r="E199" t="s">
        <v>81</v>
      </c>
      <c r="F199" t="s">
        <v>81</v>
      </c>
      <c r="G199" s="8">
        <v>26069416</v>
      </c>
      <c r="H199" s="8">
        <f t="shared" si="9"/>
        <v>25971909</v>
      </c>
      <c r="I199" s="8">
        <f t="shared" si="10"/>
        <v>26069416.500000004</v>
      </c>
      <c r="J199" s="8">
        <f t="shared" si="11"/>
        <v>26160821.5</v>
      </c>
      <c r="O199">
        <v>16996</v>
      </c>
      <c r="P199" t="s">
        <v>82</v>
      </c>
      <c r="Q199" t="s">
        <v>757</v>
      </c>
      <c r="R199" t="s">
        <v>81</v>
      </c>
      <c r="S199" s="9">
        <v>591</v>
      </c>
      <c r="T199" s="9" t="s">
        <v>42</v>
      </c>
      <c r="U199" s="9" t="s">
        <v>777</v>
      </c>
      <c r="V199" s="9">
        <v>591</v>
      </c>
      <c r="W199" t="s">
        <v>86</v>
      </c>
      <c r="X199">
        <v>916</v>
      </c>
      <c r="Y199">
        <v>4351.2669999999962</v>
      </c>
      <c r="Z199">
        <v>4408.5805</v>
      </c>
      <c r="AA199">
        <v>4468.0864999999976</v>
      </c>
    </row>
    <row r="200" spans="2:27">
      <c r="B200" t="s">
        <v>649</v>
      </c>
      <c r="C200" t="s">
        <v>648</v>
      </c>
      <c r="D200" t="s">
        <v>80</v>
      </c>
      <c r="E200" t="s">
        <v>81</v>
      </c>
      <c r="F200" t="s">
        <v>57</v>
      </c>
      <c r="G200" s="8">
        <v>10409704</v>
      </c>
      <c r="H200" s="8">
        <f t="shared" si="9"/>
        <v>10290103</v>
      </c>
      <c r="I200" s="8">
        <f t="shared" si="10"/>
        <v>10270865.000000004</v>
      </c>
      <c r="J200" s="8">
        <f t="shared" si="11"/>
        <v>10247605.000000002</v>
      </c>
      <c r="O200">
        <v>17140</v>
      </c>
      <c r="P200" t="s">
        <v>82</v>
      </c>
      <c r="Q200" t="s">
        <v>127</v>
      </c>
      <c r="R200" t="s">
        <v>81</v>
      </c>
      <c r="S200" s="9">
        <v>32</v>
      </c>
      <c r="T200" s="9" t="s">
        <v>10</v>
      </c>
      <c r="U200" s="9" t="s">
        <v>778</v>
      </c>
      <c r="V200" s="9">
        <v>32</v>
      </c>
      <c r="W200" t="s">
        <v>86</v>
      </c>
      <c r="X200">
        <v>931</v>
      </c>
      <c r="Y200">
        <v>45276.780000000028</v>
      </c>
      <c r="Z200">
        <v>45510.317999999992</v>
      </c>
      <c r="AA200">
        <v>45773.883999999991</v>
      </c>
    </row>
    <row r="201" spans="2:27">
      <c r="B201" t="s">
        <v>45</v>
      </c>
      <c r="C201" t="s">
        <v>779</v>
      </c>
      <c r="D201" t="s">
        <v>81</v>
      </c>
      <c r="E201" t="s">
        <v>1</v>
      </c>
      <c r="F201" t="s">
        <v>81</v>
      </c>
      <c r="G201" s="8">
        <v>6780744</v>
      </c>
      <c r="H201" s="8">
        <f t="shared" si="9"/>
        <v>6703799.0000000028</v>
      </c>
      <c r="I201" s="8">
        <f t="shared" si="10"/>
        <v>6780744</v>
      </c>
      <c r="J201" s="8">
        <f t="shared" si="11"/>
        <v>6861523.5000000028</v>
      </c>
      <c r="O201">
        <v>17212</v>
      </c>
      <c r="P201" t="s">
        <v>82</v>
      </c>
      <c r="Q201" t="s">
        <v>780</v>
      </c>
      <c r="R201" t="s">
        <v>81</v>
      </c>
      <c r="S201" s="9">
        <v>68</v>
      </c>
      <c r="T201" s="9" t="s">
        <v>15</v>
      </c>
      <c r="U201" s="9" t="s">
        <v>781</v>
      </c>
      <c r="V201" s="9">
        <v>68</v>
      </c>
      <c r="W201" t="s">
        <v>86</v>
      </c>
      <c r="X201">
        <v>931</v>
      </c>
      <c r="Y201">
        <v>12079.471999999996</v>
      </c>
      <c r="Z201">
        <v>12224.109999999995</v>
      </c>
      <c r="AA201">
        <v>12388.570999999987</v>
      </c>
    </row>
    <row r="202" spans="2:27">
      <c r="B202" t="s">
        <v>527</v>
      </c>
      <c r="C202" t="s">
        <v>782</v>
      </c>
      <c r="D202" t="s">
        <v>81</v>
      </c>
      <c r="E202" t="s">
        <v>81</v>
      </c>
      <c r="F202" t="s">
        <v>81</v>
      </c>
      <c r="G202" s="8">
        <v>5043612</v>
      </c>
      <c r="H202" s="8">
        <f t="shared" si="9"/>
        <v>5133392.0000000009</v>
      </c>
      <c r="I202" s="8">
        <f t="shared" si="10"/>
        <v>5250071.9999999981</v>
      </c>
      <c r="J202" s="8">
        <f t="shared" si="11"/>
        <v>5371230.0000000009</v>
      </c>
      <c r="O202">
        <v>17284</v>
      </c>
      <c r="P202" t="s">
        <v>82</v>
      </c>
      <c r="Q202" t="s">
        <v>219</v>
      </c>
      <c r="R202" t="s">
        <v>81</v>
      </c>
      <c r="S202" s="9">
        <v>76</v>
      </c>
      <c r="T202" s="9" t="s">
        <v>17</v>
      </c>
      <c r="U202" s="9" t="s">
        <v>783</v>
      </c>
      <c r="V202" s="9">
        <v>76</v>
      </c>
      <c r="W202" t="s">
        <v>86</v>
      </c>
      <c r="X202">
        <v>931</v>
      </c>
      <c r="Y202">
        <v>214326.22300000006</v>
      </c>
      <c r="Z202">
        <v>215313.49799999993</v>
      </c>
      <c r="AA202">
        <v>216422.44600000003</v>
      </c>
    </row>
    <row r="203" spans="2:27">
      <c r="B203" t="s">
        <v>784</v>
      </c>
      <c r="C203" t="s">
        <v>785</v>
      </c>
      <c r="D203" t="s">
        <v>81</v>
      </c>
      <c r="E203" t="s">
        <v>81</v>
      </c>
      <c r="F203" t="s">
        <v>81</v>
      </c>
      <c r="G203" s="8">
        <v>2639019</v>
      </c>
      <c r="H203" s="8" t="str">
        <f t="shared" si="9"/>
        <v/>
      </c>
      <c r="I203" s="8" t="str">
        <f t="shared" si="10"/>
        <v/>
      </c>
      <c r="J203" s="8" t="str">
        <f t="shared" si="11"/>
        <v/>
      </c>
      <c r="O203">
        <v>17356</v>
      </c>
      <c r="P203" t="s">
        <v>82</v>
      </c>
      <c r="Q203" t="s">
        <v>263</v>
      </c>
      <c r="R203" t="s">
        <v>81</v>
      </c>
      <c r="S203" s="9">
        <v>152</v>
      </c>
      <c r="T203" s="9" t="s">
        <v>21</v>
      </c>
      <c r="U203" s="9" t="s">
        <v>786</v>
      </c>
      <c r="V203" s="9">
        <v>152</v>
      </c>
      <c r="W203" t="s">
        <v>86</v>
      </c>
      <c r="X203">
        <v>931</v>
      </c>
      <c r="Y203">
        <v>19493.184499999999</v>
      </c>
      <c r="Z203">
        <v>19603.732999999997</v>
      </c>
      <c r="AA203">
        <v>19629.590000000004</v>
      </c>
    </row>
    <row r="204" spans="2:27">
      <c r="B204" t="s">
        <v>787</v>
      </c>
      <c r="C204" t="s">
        <v>788</v>
      </c>
      <c r="D204" t="s">
        <v>81</v>
      </c>
      <c r="E204" t="s">
        <v>81</v>
      </c>
      <c r="F204" t="s">
        <v>81</v>
      </c>
      <c r="G204" s="8">
        <v>1113495082</v>
      </c>
      <c r="H204" s="8" t="str">
        <f t="shared" si="9"/>
        <v/>
      </c>
      <c r="I204" s="8" t="str">
        <f t="shared" si="10"/>
        <v/>
      </c>
      <c r="J204" s="8" t="str">
        <f t="shared" si="11"/>
        <v/>
      </c>
      <c r="O204">
        <v>17428</v>
      </c>
      <c r="P204" t="s">
        <v>82</v>
      </c>
      <c r="Q204" t="s">
        <v>283</v>
      </c>
      <c r="R204" t="s">
        <v>81</v>
      </c>
      <c r="S204" s="9">
        <v>170</v>
      </c>
      <c r="T204" s="9" t="s">
        <v>23</v>
      </c>
      <c r="U204" s="9" t="s">
        <v>789</v>
      </c>
      <c r="V204" s="9">
        <v>170</v>
      </c>
      <c r="W204" t="s">
        <v>86</v>
      </c>
      <c r="X204">
        <v>931</v>
      </c>
      <c r="Y204">
        <v>51516.561999999998</v>
      </c>
      <c r="Z204">
        <v>51874.024000000005</v>
      </c>
      <c r="AA204">
        <v>52085.16750000001</v>
      </c>
    </row>
    <row r="205" spans="2:27">
      <c r="B205" t="s">
        <v>790</v>
      </c>
      <c r="C205" t="s">
        <v>791</v>
      </c>
      <c r="D205" t="s">
        <v>80</v>
      </c>
      <c r="E205" t="s">
        <v>81</v>
      </c>
      <c r="F205" t="s">
        <v>81</v>
      </c>
      <c r="G205" s="8">
        <v>306279</v>
      </c>
      <c r="H205" s="8">
        <f t="shared" si="9"/>
        <v>304031.99999999994</v>
      </c>
      <c r="I205" s="8">
        <f t="shared" si="10"/>
        <v>306279.00000000012</v>
      </c>
      <c r="J205" s="8">
        <f t="shared" si="11"/>
        <v>308871.50000000006</v>
      </c>
      <c r="O205">
        <v>17500</v>
      </c>
      <c r="P205" t="s">
        <v>82</v>
      </c>
      <c r="Q205" t="s">
        <v>375</v>
      </c>
      <c r="R205" t="s">
        <v>81</v>
      </c>
      <c r="S205" s="9">
        <v>218</v>
      </c>
      <c r="T205" s="9" t="s">
        <v>29</v>
      </c>
      <c r="U205" s="9" t="s">
        <v>792</v>
      </c>
      <c r="V205" s="9">
        <v>218</v>
      </c>
      <c r="W205" t="s">
        <v>86</v>
      </c>
      <c r="X205">
        <v>931</v>
      </c>
      <c r="Y205">
        <v>17797.737000000016</v>
      </c>
      <c r="Z205">
        <v>18000.999999999996</v>
      </c>
      <c r="AA205">
        <v>18190.483999999997</v>
      </c>
    </row>
    <row r="206" spans="2:27">
      <c r="B206" t="s">
        <v>517</v>
      </c>
      <c r="C206" t="s">
        <v>516</v>
      </c>
      <c r="D206" t="s">
        <v>80</v>
      </c>
      <c r="E206" t="s">
        <v>81</v>
      </c>
      <c r="F206" t="s">
        <v>81</v>
      </c>
      <c r="G206" s="8">
        <v>2695122</v>
      </c>
      <c r="H206" s="8">
        <f t="shared" si="9"/>
        <v>2688234.9999999991</v>
      </c>
      <c r="I206" s="8">
        <f t="shared" si="10"/>
        <v>2695122.0000000005</v>
      </c>
      <c r="J206" s="8">
        <f t="shared" si="11"/>
        <v>2716391</v>
      </c>
      <c r="O206">
        <v>17572</v>
      </c>
      <c r="P206" t="s">
        <v>82</v>
      </c>
      <c r="Q206" t="s">
        <v>793</v>
      </c>
      <c r="R206">
        <v>29</v>
      </c>
      <c r="S206" s="9">
        <v>238</v>
      </c>
      <c r="T206" s="9" t="s">
        <v>794</v>
      </c>
      <c r="U206" s="9" t="s">
        <v>795</v>
      </c>
      <c r="V206" s="9">
        <v>238</v>
      </c>
      <c r="W206" t="s">
        <v>86</v>
      </c>
      <c r="X206">
        <v>931</v>
      </c>
      <c r="Y206">
        <v>3.7640000000000011</v>
      </c>
      <c r="Z206">
        <v>3.7795000000000014</v>
      </c>
      <c r="AA206">
        <v>3.790999999999999</v>
      </c>
    </row>
    <row r="207" spans="2:27">
      <c r="B207" t="s">
        <v>563</v>
      </c>
      <c r="C207" t="s">
        <v>562</v>
      </c>
      <c r="D207" t="s">
        <v>80</v>
      </c>
      <c r="E207" t="s">
        <v>81</v>
      </c>
      <c r="F207" t="s">
        <v>81</v>
      </c>
      <c r="G207" s="8">
        <v>19047009</v>
      </c>
      <c r="H207" s="8">
        <f t="shared" si="9"/>
        <v>19328559.999999993</v>
      </c>
      <c r="I207" s="8">
        <f t="shared" si="10"/>
        <v>19659266.499999985</v>
      </c>
      <c r="J207" s="8">
        <f t="shared" si="11"/>
        <v>19892811.999999989</v>
      </c>
      <c r="O207">
        <v>17644</v>
      </c>
      <c r="P207" t="s">
        <v>82</v>
      </c>
      <c r="Q207" t="s">
        <v>796</v>
      </c>
      <c r="R207">
        <v>2</v>
      </c>
      <c r="S207" s="9">
        <v>254</v>
      </c>
      <c r="T207" s="9" t="s">
        <v>797</v>
      </c>
      <c r="U207" s="9" t="s">
        <v>798</v>
      </c>
      <c r="V207" s="9">
        <v>254</v>
      </c>
      <c r="W207" t="s">
        <v>86</v>
      </c>
      <c r="X207">
        <v>931</v>
      </c>
      <c r="Y207">
        <v>297.44899999999996</v>
      </c>
      <c r="Z207">
        <v>304.55700000000013</v>
      </c>
      <c r="AA207">
        <v>312.15500000000009</v>
      </c>
    </row>
    <row r="208" spans="2:27">
      <c r="B208" t="s">
        <v>568</v>
      </c>
      <c r="C208" t="s">
        <v>567</v>
      </c>
      <c r="D208" t="s">
        <v>81</v>
      </c>
      <c r="E208" t="s">
        <v>81</v>
      </c>
      <c r="F208" t="s">
        <v>81</v>
      </c>
      <c r="G208" s="8">
        <v>144236933</v>
      </c>
      <c r="H208" s="8">
        <f t="shared" si="9"/>
        <v>145102754.99999997</v>
      </c>
      <c r="I208" s="8">
        <f t="shared" si="10"/>
        <v>144713314</v>
      </c>
      <c r="J208" s="8">
        <f t="shared" si="11"/>
        <v>144444359.00000009</v>
      </c>
      <c r="O208">
        <v>17716</v>
      </c>
      <c r="P208" t="s">
        <v>82</v>
      </c>
      <c r="Q208" t="s">
        <v>483</v>
      </c>
      <c r="R208" t="s">
        <v>81</v>
      </c>
      <c r="S208" s="9">
        <v>328</v>
      </c>
      <c r="T208" s="9" t="s">
        <v>33</v>
      </c>
      <c r="U208" s="9" t="s">
        <v>799</v>
      </c>
      <c r="V208" s="9">
        <v>328</v>
      </c>
      <c r="W208" t="s">
        <v>86</v>
      </c>
      <c r="X208">
        <v>931</v>
      </c>
      <c r="Y208">
        <v>804.56700000000001</v>
      </c>
      <c r="Z208">
        <v>808.7254999999999</v>
      </c>
      <c r="AA208">
        <v>813.83399999999972</v>
      </c>
    </row>
    <row r="209" spans="2:27">
      <c r="B209" t="s">
        <v>144</v>
      </c>
      <c r="C209" t="s">
        <v>143</v>
      </c>
      <c r="D209" t="s">
        <v>81</v>
      </c>
      <c r="E209" t="s">
        <v>81</v>
      </c>
      <c r="F209" t="s">
        <v>81</v>
      </c>
      <c r="G209" s="8">
        <v>13776698</v>
      </c>
      <c r="H209" s="8">
        <f t="shared" si="9"/>
        <v>13461887.499999998</v>
      </c>
      <c r="I209" s="8">
        <f t="shared" si="10"/>
        <v>13776697.499999994</v>
      </c>
      <c r="J209" s="8">
        <f t="shared" si="11"/>
        <v>14094683</v>
      </c>
      <c r="O209">
        <v>17788</v>
      </c>
      <c r="P209" t="s">
        <v>82</v>
      </c>
      <c r="Q209" t="s">
        <v>779</v>
      </c>
      <c r="R209" t="s">
        <v>81</v>
      </c>
      <c r="S209" s="9">
        <v>600</v>
      </c>
      <c r="T209" s="9" t="s">
        <v>45</v>
      </c>
      <c r="U209" s="9" t="s">
        <v>800</v>
      </c>
      <c r="V209" s="9">
        <v>600</v>
      </c>
      <c r="W209" t="s">
        <v>86</v>
      </c>
      <c r="X209">
        <v>931</v>
      </c>
      <c r="Y209">
        <v>6703.7990000000027</v>
      </c>
      <c r="Z209">
        <v>6780.7439999999997</v>
      </c>
      <c r="AA209">
        <v>6861.523500000003</v>
      </c>
    </row>
    <row r="210" spans="2:27">
      <c r="B210" t="s">
        <v>801</v>
      </c>
      <c r="C210" t="s">
        <v>802</v>
      </c>
      <c r="D210" t="s">
        <v>81</v>
      </c>
      <c r="E210" t="s">
        <v>81</v>
      </c>
      <c r="F210" t="s">
        <v>81</v>
      </c>
      <c r="G210" s="8">
        <v>1919348000</v>
      </c>
      <c r="H210" s="8" t="str">
        <f t="shared" si="9"/>
        <v/>
      </c>
      <c r="I210" s="8" t="str">
        <f t="shared" si="10"/>
        <v/>
      </c>
      <c r="J210" s="8" t="str">
        <f t="shared" si="11"/>
        <v/>
      </c>
      <c r="O210">
        <v>17860</v>
      </c>
      <c r="P210" t="s">
        <v>82</v>
      </c>
      <c r="Q210" t="s">
        <v>761</v>
      </c>
      <c r="R210" t="s">
        <v>81</v>
      </c>
      <c r="S210" s="9">
        <v>604</v>
      </c>
      <c r="T210" s="9" t="s">
        <v>44</v>
      </c>
      <c r="U210" s="9" t="s">
        <v>803</v>
      </c>
      <c r="V210" s="9">
        <v>604</v>
      </c>
      <c r="W210" t="s">
        <v>86</v>
      </c>
      <c r="X210">
        <v>931</v>
      </c>
      <c r="Y210">
        <v>33715.471499999985</v>
      </c>
      <c r="Z210">
        <v>34049.588499999991</v>
      </c>
      <c r="AA210">
        <v>34352.718499999981</v>
      </c>
    </row>
    <row r="211" spans="2:27">
      <c r="B211" t="s">
        <v>522</v>
      </c>
      <c r="C211" t="s">
        <v>521</v>
      </c>
      <c r="D211" t="s">
        <v>80</v>
      </c>
      <c r="E211" t="s">
        <v>81</v>
      </c>
      <c r="F211" t="s">
        <v>81</v>
      </c>
      <c r="G211" s="8">
        <v>36408820</v>
      </c>
      <c r="H211" s="8">
        <f t="shared" si="9"/>
        <v>35950396.000000022</v>
      </c>
      <c r="I211" s="8">
        <f t="shared" si="10"/>
        <v>36408819.999999993</v>
      </c>
      <c r="J211" s="8">
        <f t="shared" si="11"/>
        <v>36947024.999999978</v>
      </c>
      <c r="O211">
        <v>17932</v>
      </c>
      <c r="P211" t="s">
        <v>82</v>
      </c>
      <c r="Q211" t="s">
        <v>804</v>
      </c>
      <c r="R211" t="s">
        <v>81</v>
      </c>
      <c r="S211" s="9">
        <v>740</v>
      </c>
      <c r="T211" s="9" t="s">
        <v>49</v>
      </c>
      <c r="U211" s="9" t="s">
        <v>805</v>
      </c>
      <c r="V211" s="9">
        <v>740</v>
      </c>
      <c r="W211" t="s">
        <v>86</v>
      </c>
      <c r="X211">
        <v>931</v>
      </c>
      <c r="Y211">
        <v>612.98450000000025</v>
      </c>
      <c r="Z211">
        <v>618.04049999999995</v>
      </c>
      <c r="AA211">
        <v>623.23650000000032</v>
      </c>
    </row>
    <row r="212" spans="2:27">
      <c r="B212" t="s">
        <v>240</v>
      </c>
      <c r="C212" t="s">
        <v>239</v>
      </c>
      <c r="D212" t="s">
        <v>81</v>
      </c>
      <c r="E212" t="s">
        <v>81</v>
      </c>
      <c r="F212" t="s">
        <v>81</v>
      </c>
      <c r="G212" s="8">
        <v>46874204</v>
      </c>
      <c r="H212" s="8">
        <f t="shared" si="9"/>
        <v>45657201.5</v>
      </c>
      <c r="I212" s="8">
        <f t="shared" si="10"/>
        <v>46874203.999999985</v>
      </c>
      <c r="J212" s="8">
        <f t="shared" si="11"/>
        <v>48109006</v>
      </c>
      <c r="O212">
        <v>18004</v>
      </c>
      <c r="P212" t="s">
        <v>82</v>
      </c>
      <c r="Q212" t="s">
        <v>806</v>
      </c>
      <c r="R212" t="s">
        <v>81</v>
      </c>
      <c r="S212" s="9">
        <v>858</v>
      </c>
      <c r="T212" s="9" t="s">
        <v>50</v>
      </c>
      <c r="U212" s="9" t="s">
        <v>807</v>
      </c>
      <c r="V212" s="9">
        <v>858</v>
      </c>
      <c r="W212" t="s">
        <v>86</v>
      </c>
      <c r="X212">
        <v>931</v>
      </c>
      <c r="Y212">
        <v>3426.2594999999997</v>
      </c>
      <c r="Z212">
        <v>3422.7935000000002</v>
      </c>
      <c r="AA212">
        <v>3423.1084999999985</v>
      </c>
    </row>
    <row r="213" spans="2:27">
      <c r="B213" t="s">
        <v>330</v>
      </c>
      <c r="C213" t="s">
        <v>329</v>
      </c>
      <c r="D213" t="s">
        <v>81</v>
      </c>
      <c r="E213" t="s">
        <v>81</v>
      </c>
      <c r="F213" t="s">
        <v>81</v>
      </c>
      <c r="G213" s="8">
        <v>17316449</v>
      </c>
      <c r="H213" s="8">
        <f t="shared" si="9"/>
        <v>16876719.999999996</v>
      </c>
      <c r="I213" s="8">
        <f t="shared" si="10"/>
        <v>17316449</v>
      </c>
      <c r="J213" s="8">
        <f t="shared" si="11"/>
        <v>17763163.000000011</v>
      </c>
      <c r="O213">
        <v>18076</v>
      </c>
      <c r="P213" t="s">
        <v>82</v>
      </c>
      <c r="Q213" t="s">
        <v>808</v>
      </c>
      <c r="R213" t="s">
        <v>81</v>
      </c>
      <c r="S213" s="9">
        <v>862</v>
      </c>
      <c r="T213" s="9" t="s">
        <v>51</v>
      </c>
      <c r="U213" s="9" t="s">
        <v>809</v>
      </c>
      <c r="V213" s="9">
        <v>862</v>
      </c>
      <c r="W213" t="s">
        <v>86</v>
      </c>
      <c r="X213">
        <v>931</v>
      </c>
      <c r="Y213">
        <v>28199.866500000004</v>
      </c>
      <c r="Z213">
        <v>28301.695500000005</v>
      </c>
      <c r="AA213">
        <v>28838.498999999985</v>
      </c>
    </row>
    <row r="214" spans="2:27">
      <c r="B214" t="s">
        <v>460</v>
      </c>
      <c r="C214" t="s">
        <v>459</v>
      </c>
      <c r="D214" t="s">
        <v>80</v>
      </c>
      <c r="E214" t="s">
        <v>81</v>
      </c>
      <c r="F214" t="s">
        <v>81</v>
      </c>
      <c r="G214" s="8">
        <v>5637022</v>
      </c>
      <c r="H214" s="8">
        <f t="shared" si="9"/>
        <v>5941060.5000000009</v>
      </c>
      <c r="I214" s="8">
        <f t="shared" si="10"/>
        <v>5975688.5000000028</v>
      </c>
      <c r="J214" s="8">
        <f t="shared" si="11"/>
        <v>6014722.9999999991</v>
      </c>
      <c r="O214">
        <v>18220</v>
      </c>
      <c r="P214" t="s">
        <v>82</v>
      </c>
      <c r="Q214" t="s">
        <v>211</v>
      </c>
      <c r="R214">
        <v>19</v>
      </c>
      <c r="S214" s="9">
        <v>60</v>
      </c>
      <c r="T214" s="9" t="s">
        <v>210</v>
      </c>
      <c r="U214" s="9" t="s">
        <v>810</v>
      </c>
      <c r="V214" s="9">
        <v>60</v>
      </c>
      <c r="W214" t="s">
        <v>86</v>
      </c>
      <c r="X214">
        <v>905</v>
      </c>
      <c r="Y214">
        <v>64.184999999999988</v>
      </c>
      <c r="Z214">
        <v>64.184000000000026</v>
      </c>
      <c r="AA214">
        <v>64.068999999999988</v>
      </c>
    </row>
    <row r="215" spans="2:27">
      <c r="B215" t="s">
        <v>811</v>
      </c>
      <c r="C215" t="s">
        <v>812</v>
      </c>
      <c r="D215" t="s">
        <v>81</v>
      </c>
      <c r="E215" t="s">
        <v>81</v>
      </c>
      <c r="F215" t="s">
        <v>81</v>
      </c>
      <c r="G215" s="8">
        <v>724273</v>
      </c>
      <c r="H215" s="8">
        <f t="shared" si="9"/>
        <v>707851</v>
      </c>
      <c r="I215" s="8">
        <f t="shared" si="10"/>
        <v>724272.49999999953</v>
      </c>
      <c r="J215" s="8">
        <f t="shared" si="11"/>
        <v>740424.50000000012</v>
      </c>
      <c r="O215">
        <v>18292</v>
      </c>
      <c r="P215" t="s">
        <v>82</v>
      </c>
      <c r="Q215" t="s">
        <v>246</v>
      </c>
      <c r="R215" t="s">
        <v>81</v>
      </c>
      <c r="S215" s="9">
        <v>124</v>
      </c>
      <c r="T215" s="9" t="s">
        <v>245</v>
      </c>
      <c r="U215" s="9" t="s">
        <v>813</v>
      </c>
      <c r="V215" s="9">
        <v>124</v>
      </c>
      <c r="W215" t="s">
        <v>86</v>
      </c>
      <c r="X215">
        <v>905</v>
      </c>
      <c r="Y215">
        <v>38155.011999999988</v>
      </c>
      <c r="Z215">
        <v>38454.326999999997</v>
      </c>
      <c r="AA215">
        <v>38781.291500000007</v>
      </c>
    </row>
    <row r="216" spans="2:27">
      <c r="B216" t="s">
        <v>333</v>
      </c>
      <c r="C216" t="s">
        <v>332</v>
      </c>
      <c r="D216" t="s">
        <v>81</v>
      </c>
      <c r="E216" t="s">
        <v>81</v>
      </c>
      <c r="F216" t="s">
        <v>81</v>
      </c>
      <c r="G216" s="8">
        <v>8605718</v>
      </c>
      <c r="H216" s="8">
        <f t="shared" si="9"/>
        <v>8420641.0000000037</v>
      </c>
      <c r="I216" s="8">
        <f t="shared" si="10"/>
        <v>8605718.0000000056</v>
      </c>
      <c r="J216" s="8">
        <f t="shared" si="11"/>
        <v>8791091.9999999944</v>
      </c>
      <c r="O216">
        <v>18364</v>
      </c>
      <c r="P216" t="s">
        <v>82</v>
      </c>
      <c r="Q216" t="s">
        <v>476</v>
      </c>
      <c r="R216">
        <v>17</v>
      </c>
      <c r="S216" s="9">
        <v>304</v>
      </c>
      <c r="T216" s="9" t="s">
        <v>475</v>
      </c>
      <c r="U216" s="9" t="s">
        <v>814</v>
      </c>
      <c r="V216" s="9">
        <v>304</v>
      </c>
      <c r="W216" t="s">
        <v>86</v>
      </c>
      <c r="X216">
        <v>905</v>
      </c>
      <c r="Y216">
        <v>56.243000000000009</v>
      </c>
      <c r="Z216">
        <v>56.465999999999987</v>
      </c>
      <c r="AA216">
        <v>56.643000000000029</v>
      </c>
    </row>
    <row r="217" spans="2:27">
      <c r="B217" t="s">
        <v>46</v>
      </c>
      <c r="C217" t="s">
        <v>766</v>
      </c>
      <c r="D217" t="s">
        <v>81</v>
      </c>
      <c r="E217" t="s">
        <v>1</v>
      </c>
      <c r="F217" t="s">
        <v>81</v>
      </c>
      <c r="G217" s="8">
        <v>6336392</v>
      </c>
      <c r="H217" s="8">
        <f t="shared" si="9"/>
        <v>6314167.5000000019</v>
      </c>
      <c r="I217" s="8">
        <f t="shared" si="10"/>
        <v>6336392.0000000009</v>
      </c>
      <c r="J217" s="8">
        <f t="shared" si="11"/>
        <v>6364942.4999999972</v>
      </c>
      <c r="O217">
        <v>18436</v>
      </c>
      <c r="P217" t="s">
        <v>82</v>
      </c>
      <c r="Q217" t="s">
        <v>815</v>
      </c>
      <c r="R217">
        <v>2</v>
      </c>
      <c r="S217" s="9">
        <v>666</v>
      </c>
      <c r="T217" s="9" t="s">
        <v>816</v>
      </c>
      <c r="U217" s="9" t="s">
        <v>817</v>
      </c>
      <c r="V217" s="9">
        <v>666</v>
      </c>
      <c r="W217" t="s">
        <v>86</v>
      </c>
      <c r="X217">
        <v>905</v>
      </c>
      <c r="Y217">
        <v>5.8825000000000003</v>
      </c>
      <c r="Z217">
        <v>5.8620000000000001</v>
      </c>
      <c r="AA217">
        <v>5.84</v>
      </c>
    </row>
    <row r="218" spans="2:27">
      <c r="B218" t="s">
        <v>652</v>
      </c>
      <c r="C218" t="s">
        <v>651</v>
      </c>
      <c r="D218" t="s">
        <v>80</v>
      </c>
      <c r="E218" t="s">
        <v>81</v>
      </c>
      <c r="F218" t="s">
        <v>81</v>
      </c>
      <c r="G218" s="8">
        <v>33660</v>
      </c>
      <c r="H218" s="8">
        <f t="shared" si="9"/>
        <v>33745.5</v>
      </c>
      <c r="I218" s="8">
        <f t="shared" si="10"/>
        <v>33660.500000000007</v>
      </c>
      <c r="J218" s="8">
        <f t="shared" si="11"/>
        <v>33641.999999999993</v>
      </c>
      <c r="O218">
        <v>18508</v>
      </c>
      <c r="P218" t="s">
        <v>82</v>
      </c>
      <c r="Q218" t="s">
        <v>818</v>
      </c>
      <c r="R218">
        <v>30</v>
      </c>
      <c r="S218" s="9">
        <v>840</v>
      </c>
      <c r="T218" s="9" t="s">
        <v>819</v>
      </c>
      <c r="U218" s="9" t="s">
        <v>820</v>
      </c>
      <c r="V218" s="9">
        <v>840</v>
      </c>
      <c r="W218" t="s">
        <v>86</v>
      </c>
      <c r="X218">
        <v>905</v>
      </c>
      <c r="Y218">
        <v>336997.62400000001</v>
      </c>
      <c r="Z218">
        <v>338289.85699999984</v>
      </c>
      <c r="AA218">
        <v>339996.56349999987</v>
      </c>
    </row>
    <row r="219" spans="2:27">
      <c r="B219" t="s">
        <v>154</v>
      </c>
      <c r="C219" t="s">
        <v>153</v>
      </c>
      <c r="D219" t="s">
        <v>81</v>
      </c>
      <c r="E219" t="s">
        <v>81</v>
      </c>
      <c r="F219" t="s">
        <v>81</v>
      </c>
      <c r="G219" s="8">
        <v>17597511</v>
      </c>
      <c r="H219" s="8">
        <f t="shared" si="9"/>
        <v>17065581.000000007</v>
      </c>
      <c r="I219" s="8">
        <f t="shared" si="10"/>
        <v>17597510.999999993</v>
      </c>
      <c r="J219" s="8">
        <f t="shared" si="11"/>
        <v>18143378.499999993</v>
      </c>
      <c r="O219">
        <v>18724</v>
      </c>
      <c r="P219" t="s">
        <v>82</v>
      </c>
      <c r="Q219" t="s">
        <v>147</v>
      </c>
      <c r="R219">
        <v>31</v>
      </c>
      <c r="S219" s="9">
        <v>36</v>
      </c>
      <c r="T219" s="9" t="s">
        <v>146</v>
      </c>
      <c r="U219" s="9" t="s">
        <v>821</v>
      </c>
      <c r="V219" s="9">
        <v>36</v>
      </c>
      <c r="W219" t="s">
        <v>86</v>
      </c>
      <c r="X219">
        <v>927</v>
      </c>
      <c r="Y219">
        <v>25921.088999999993</v>
      </c>
      <c r="Z219">
        <v>26177.413500000002</v>
      </c>
      <c r="AA219">
        <v>26439.111499999995</v>
      </c>
    </row>
    <row r="220" spans="2:27">
      <c r="B220" t="s">
        <v>656</v>
      </c>
      <c r="C220" t="s">
        <v>655</v>
      </c>
      <c r="D220" t="s">
        <v>81</v>
      </c>
      <c r="E220" t="s">
        <v>81</v>
      </c>
      <c r="F220" t="s">
        <v>81</v>
      </c>
      <c r="G220" s="8">
        <v>6664449</v>
      </c>
      <c r="H220" s="8">
        <f t="shared" si="9"/>
        <v>7296768.4999999991</v>
      </c>
      <c r="I220" s="8">
        <f t="shared" si="10"/>
        <v>7221365.5000000019</v>
      </c>
      <c r="J220" s="8">
        <f t="shared" si="11"/>
        <v>7149076.4999999981</v>
      </c>
      <c r="O220">
        <v>18796</v>
      </c>
      <c r="P220" t="s">
        <v>82</v>
      </c>
      <c r="Q220" t="s">
        <v>739</v>
      </c>
      <c r="R220">
        <v>32</v>
      </c>
      <c r="S220" s="9">
        <v>554</v>
      </c>
      <c r="T220" s="9" t="s">
        <v>738</v>
      </c>
      <c r="U220" s="9" t="s">
        <v>822</v>
      </c>
      <c r="V220" s="9">
        <v>554</v>
      </c>
      <c r="W220" t="s">
        <v>86</v>
      </c>
      <c r="X220">
        <v>927</v>
      </c>
      <c r="Y220">
        <v>5129.7274999999972</v>
      </c>
      <c r="Z220">
        <v>5185.2884999999997</v>
      </c>
      <c r="AA220">
        <v>5228.0994999999984</v>
      </c>
    </row>
    <row r="221" spans="2:27">
      <c r="B221" t="s">
        <v>823</v>
      </c>
      <c r="C221" t="s">
        <v>824</v>
      </c>
      <c r="D221" t="s">
        <v>81</v>
      </c>
      <c r="E221" t="s">
        <v>81</v>
      </c>
      <c r="F221" t="s">
        <v>81</v>
      </c>
      <c r="G221" s="8">
        <v>1211070124</v>
      </c>
      <c r="H221" s="8" t="str">
        <f t="shared" si="9"/>
        <v/>
      </c>
      <c r="I221" s="8" t="str">
        <f t="shared" si="10"/>
        <v/>
      </c>
      <c r="J221" s="8" t="str">
        <f t="shared" si="11"/>
        <v/>
      </c>
      <c r="O221">
        <v>18940</v>
      </c>
      <c r="P221" t="s">
        <v>82</v>
      </c>
      <c r="Q221" t="s">
        <v>414</v>
      </c>
      <c r="R221" t="s">
        <v>81</v>
      </c>
      <c r="S221" s="9">
        <v>242</v>
      </c>
      <c r="T221" s="9" t="s">
        <v>413</v>
      </c>
      <c r="U221" s="9" t="s">
        <v>825</v>
      </c>
      <c r="V221" s="11">
        <v>242</v>
      </c>
      <c r="W221" t="s">
        <v>86</v>
      </c>
      <c r="X221">
        <v>928</v>
      </c>
      <c r="Y221">
        <v>924.60949999999968</v>
      </c>
      <c r="Z221">
        <v>929.7660000000003</v>
      </c>
      <c r="AA221">
        <v>936.3755000000001</v>
      </c>
    </row>
    <row r="222" spans="2:27">
      <c r="B222" t="s">
        <v>159</v>
      </c>
      <c r="C222" t="s">
        <v>158</v>
      </c>
      <c r="D222" t="s">
        <v>81</v>
      </c>
      <c r="E222" t="s">
        <v>81</v>
      </c>
      <c r="F222" t="s">
        <v>81</v>
      </c>
      <c r="G222" s="8">
        <v>10913164</v>
      </c>
      <c r="H222" s="8">
        <f t="shared" si="9"/>
        <v>10748272.499999998</v>
      </c>
      <c r="I222" s="8">
        <f t="shared" si="10"/>
        <v>10913163.5</v>
      </c>
      <c r="J222" s="8">
        <f t="shared" si="11"/>
        <v>11088795.999999998</v>
      </c>
      <c r="O222">
        <v>19012</v>
      </c>
      <c r="P222" t="s">
        <v>82</v>
      </c>
      <c r="Q222" t="s">
        <v>716</v>
      </c>
      <c r="R222">
        <v>2</v>
      </c>
      <c r="S222" s="9">
        <v>540</v>
      </c>
      <c r="T222" s="9" t="s">
        <v>715</v>
      </c>
      <c r="U222" s="9" t="s">
        <v>826</v>
      </c>
      <c r="V222" s="9">
        <v>540</v>
      </c>
      <c r="W222" t="s">
        <v>86</v>
      </c>
      <c r="X222">
        <v>928</v>
      </c>
      <c r="Y222">
        <v>287.8</v>
      </c>
      <c r="Z222">
        <v>289.95049999999986</v>
      </c>
      <c r="AA222">
        <v>292.9910000000001</v>
      </c>
    </row>
    <row r="223" spans="2:27">
      <c r="B223" t="s">
        <v>827</v>
      </c>
      <c r="C223" t="s">
        <v>828</v>
      </c>
      <c r="D223" t="s">
        <v>81</v>
      </c>
      <c r="E223" t="s">
        <v>81</v>
      </c>
      <c r="F223" t="s">
        <v>81</v>
      </c>
      <c r="G223" s="8">
        <v>1211190002</v>
      </c>
      <c r="H223" s="8" t="str">
        <f t="shared" si="9"/>
        <v/>
      </c>
      <c r="I223" s="8" t="str">
        <f t="shared" si="10"/>
        <v/>
      </c>
      <c r="J223" s="8" t="str">
        <f t="shared" si="11"/>
        <v/>
      </c>
      <c r="O223">
        <v>19084</v>
      </c>
      <c r="P223" t="s">
        <v>82</v>
      </c>
      <c r="Q223" t="s">
        <v>769</v>
      </c>
      <c r="R223" t="s">
        <v>81</v>
      </c>
      <c r="S223">
        <v>598</v>
      </c>
      <c r="T223" t="s">
        <v>768</v>
      </c>
      <c r="U223" t="s">
        <v>829</v>
      </c>
      <c r="V223">
        <v>598</v>
      </c>
      <c r="W223" t="s">
        <v>86</v>
      </c>
      <c r="X223">
        <v>928</v>
      </c>
      <c r="Y223">
        <v>9949.4369999999926</v>
      </c>
      <c r="Z223">
        <v>10142.6185</v>
      </c>
      <c r="AA223">
        <v>10329.930499999993</v>
      </c>
    </row>
    <row r="224" spans="2:27">
      <c r="B224" t="s">
        <v>830</v>
      </c>
      <c r="C224" t="s">
        <v>831</v>
      </c>
      <c r="D224" t="s">
        <v>81</v>
      </c>
      <c r="E224" t="s">
        <v>81</v>
      </c>
      <c r="F224" t="s">
        <v>81</v>
      </c>
      <c r="G224" s="8">
        <v>43313523</v>
      </c>
      <c r="H224" s="8" t="str">
        <f t="shared" si="9"/>
        <v/>
      </c>
      <c r="I224" s="8" t="str">
        <f t="shared" si="10"/>
        <v/>
      </c>
      <c r="J224" s="8" t="str">
        <f t="shared" si="11"/>
        <v/>
      </c>
      <c r="O224">
        <v>19156</v>
      </c>
      <c r="P224" t="s">
        <v>82</v>
      </c>
      <c r="Q224" t="s">
        <v>812</v>
      </c>
      <c r="R224" t="s">
        <v>81</v>
      </c>
      <c r="S224">
        <v>90</v>
      </c>
      <c r="T224" t="s">
        <v>811</v>
      </c>
      <c r="U224" t="s">
        <v>832</v>
      </c>
      <c r="V224">
        <v>90</v>
      </c>
      <c r="W224" t="s">
        <v>86</v>
      </c>
      <c r="X224">
        <v>928</v>
      </c>
      <c r="Y224">
        <v>707.851</v>
      </c>
      <c r="Z224">
        <v>724.27249999999958</v>
      </c>
      <c r="AA224">
        <v>740.42450000000008</v>
      </c>
    </row>
    <row r="225" spans="2:27">
      <c r="B225" t="s">
        <v>217</v>
      </c>
      <c r="C225" t="s">
        <v>216</v>
      </c>
      <c r="D225" t="s">
        <v>81</v>
      </c>
      <c r="E225" t="s">
        <v>81</v>
      </c>
      <c r="F225" t="s">
        <v>81</v>
      </c>
      <c r="G225" s="8">
        <v>227380</v>
      </c>
      <c r="H225" s="8">
        <f t="shared" si="9"/>
        <v>223107.49999999991</v>
      </c>
      <c r="I225" s="8">
        <f t="shared" si="10"/>
        <v>227379.5</v>
      </c>
      <c r="J225" s="8">
        <f t="shared" si="11"/>
        <v>231855.49999999997</v>
      </c>
      <c r="O225">
        <v>19228</v>
      </c>
      <c r="P225" t="s">
        <v>82</v>
      </c>
      <c r="Q225" t="s">
        <v>833</v>
      </c>
      <c r="R225" t="s">
        <v>81</v>
      </c>
      <c r="S225">
        <v>548</v>
      </c>
      <c r="T225" t="s">
        <v>834</v>
      </c>
      <c r="U225" t="s">
        <v>835</v>
      </c>
      <c r="V225">
        <v>548</v>
      </c>
      <c r="W225" t="s">
        <v>86</v>
      </c>
      <c r="X225">
        <v>928</v>
      </c>
      <c r="Y225">
        <v>319.13650000000001</v>
      </c>
      <c r="Z225">
        <v>326.74049999999977</v>
      </c>
      <c r="AA225">
        <v>334.50599999999991</v>
      </c>
    </row>
    <row r="226" spans="2:27">
      <c r="B226" t="s">
        <v>49</v>
      </c>
      <c r="C226" t="s">
        <v>804</v>
      </c>
      <c r="D226" t="s">
        <v>81</v>
      </c>
      <c r="E226" t="s">
        <v>1</v>
      </c>
      <c r="F226" t="s">
        <v>81</v>
      </c>
      <c r="G226" s="8">
        <v>618040</v>
      </c>
      <c r="H226" s="8">
        <f t="shared" si="9"/>
        <v>612984.50000000023</v>
      </c>
      <c r="I226" s="8">
        <f t="shared" si="10"/>
        <v>618040.5</v>
      </c>
      <c r="J226" s="8">
        <f t="shared" si="11"/>
        <v>623236.50000000035</v>
      </c>
      <c r="O226">
        <v>19372</v>
      </c>
      <c r="P226" t="s">
        <v>82</v>
      </c>
      <c r="Q226" t="s">
        <v>481</v>
      </c>
      <c r="R226">
        <v>28</v>
      </c>
      <c r="S226">
        <v>316</v>
      </c>
      <c r="T226" t="s">
        <v>480</v>
      </c>
      <c r="U226" t="s">
        <v>836</v>
      </c>
      <c r="V226">
        <v>316</v>
      </c>
      <c r="W226" t="s">
        <v>86</v>
      </c>
      <c r="X226">
        <v>954</v>
      </c>
      <c r="Y226">
        <v>170.53400000000005</v>
      </c>
      <c r="Z226">
        <v>171.77449999999993</v>
      </c>
      <c r="AA226">
        <v>172.95199999999997</v>
      </c>
    </row>
    <row r="227" spans="2:27">
      <c r="B227" t="s">
        <v>572</v>
      </c>
      <c r="C227" t="s">
        <v>837</v>
      </c>
      <c r="D227" t="s">
        <v>80</v>
      </c>
      <c r="E227" t="s">
        <v>81</v>
      </c>
      <c r="F227" t="s">
        <v>57</v>
      </c>
      <c r="G227" s="8">
        <v>5431752</v>
      </c>
      <c r="H227" s="8">
        <f t="shared" si="9"/>
        <v>5447621.9999999981</v>
      </c>
      <c r="I227" s="8">
        <f t="shared" si="10"/>
        <v>5643452.9999999991</v>
      </c>
      <c r="J227" s="8">
        <f t="shared" si="11"/>
        <v>5795199.0000000037</v>
      </c>
      <c r="O227">
        <v>19444</v>
      </c>
      <c r="P227" t="s">
        <v>82</v>
      </c>
      <c r="Q227" t="s">
        <v>586</v>
      </c>
      <c r="R227" t="s">
        <v>81</v>
      </c>
      <c r="S227">
        <v>296</v>
      </c>
      <c r="T227" t="s">
        <v>585</v>
      </c>
      <c r="U227" t="s">
        <v>838</v>
      </c>
      <c r="V227">
        <v>296</v>
      </c>
      <c r="W227" t="s">
        <v>86</v>
      </c>
      <c r="X227">
        <v>954</v>
      </c>
      <c r="Y227">
        <v>128.87400000000002</v>
      </c>
      <c r="Z227">
        <v>131.23149999999998</v>
      </c>
      <c r="AA227">
        <v>133.51499999999999</v>
      </c>
    </row>
    <row r="228" spans="2:27">
      <c r="B228" t="s">
        <v>661</v>
      </c>
      <c r="C228" t="s">
        <v>660</v>
      </c>
      <c r="D228" t="s">
        <v>80</v>
      </c>
      <c r="E228" t="s">
        <v>81</v>
      </c>
      <c r="F228" t="s">
        <v>57</v>
      </c>
      <c r="G228" s="8">
        <v>2111986</v>
      </c>
      <c r="H228" s="8">
        <f t="shared" si="9"/>
        <v>2119409.5000000005</v>
      </c>
      <c r="I228" s="8">
        <f t="shared" si="10"/>
        <v>2119843.9999999991</v>
      </c>
      <c r="J228" s="8">
        <f t="shared" si="11"/>
        <v>2119674.5</v>
      </c>
      <c r="O228">
        <v>19516</v>
      </c>
      <c r="P228" t="s">
        <v>82</v>
      </c>
      <c r="Q228" t="s">
        <v>677</v>
      </c>
      <c r="R228" t="s">
        <v>81</v>
      </c>
      <c r="S228">
        <v>584</v>
      </c>
      <c r="T228" t="s">
        <v>676</v>
      </c>
      <c r="U228" t="s">
        <v>839</v>
      </c>
      <c r="V228">
        <v>584</v>
      </c>
      <c r="W228" t="s">
        <v>86</v>
      </c>
      <c r="X228">
        <v>954</v>
      </c>
      <c r="Y228">
        <v>42.050000000000018</v>
      </c>
      <c r="Z228">
        <v>41.56900000000001</v>
      </c>
      <c r="AA228">
        <v>41.996000000000009</v>
      </c>
    </row>
    <row r="229" spans="2:27">
      <c r="B229" t="s">
        <v>608</v>
      </c>
      <c r="C229" t="s">
        <v>607</v>
      </c>
      <c r="D229" t="s">
        <v>80</v>
      </c>
      <c r="E229" t="s">
        <v>81</v>
      </c>
      <c r="F229" t="s">
        <v>57</v>
      </c>
      <c r="G229" s="8">
        <v>10486941</v>
      </c>
      <c r="H229" s="8">
        <f t="shared" si="9"/>
        <v>10467097</v>
      </c>
      <c r="I229" s="8">
        <f t="shared" si="10"/>
        <v>10549347</v>
      </c>
      <c r="J229" s="8">
        <f t="shared" si="11"/>
        <v>10612086</v>
      </c>
      <c r="O229">
        <v>19588</v>
      </c>
      <c r="P229" t="s">
        <v>82</v>
      </c>
      <c r="Q229" t="s">
        <v>840</v>
      </c>
      <c r="R229" t="s">
        <v>81</v>
      </c>
      <c r="S229">
        <v>583</v>
      </c>
      <c r="T229" t="s">
        <v>428</v>
      </c>
      <c r="U229" t="s">
        <v>841</v>
      </c>
      <c r="V229">
        <v>583</v>
      </c>
      <c r="W229" t="s">
        <v>86</v>
      </c>
      <c r="X229">
        <v>954</v>
      </c>
      <c r="Y229">
        <v>113.13099999999999</v>
      </c>
      <c r="Z229">
        <v>114.164</v>
      </c>
      <c r="AA229">
        <v>115.22400000000007</v>
      </c>
    </row>
    <row r="230" spans="2:27">
      <c r="B230" t="s">
        <v>256</v>
      </c>
      <c r="C230" t="s">
        <v>255</v>
      </c>
      <c r="D230" t="s">
        <v>81</v>
      </c>
      <c r="E230" t="s">
        <v>81</v>
      </c>
      <c r="F230" t="s">
        <v>81</v>
      </c>
      <c r="G230" s="8">
        <v>1201670</v>
      </c>
      <c r="H230" s="8">
        <f t="shared" si="9"/>
        <v>1192271.0000000002</v>
      </c>
      <c r="I230" s="8">
        <f t="shared" si="10"/>
        <v>1201670.4999999995</v>
      </c>
      <c r="J230" s="8">
        <f t="shared" si="11"/>
        <v>1210821.4999999995</v>
      </c>
      <c r="O230">
        <v>19660</v>
      </c>
      <c r="P230" t="s">
        <v>82</v>
      </c>
      <c r="Q230" t="s">
        <v>735</v>
      </c>
      <c r="R230" t="s">
        <v>81</v>
      </c>
      <c r="S230">
        <v>520</v>
      </c>
      <c r="T230" t="s">
        <v>734</v>
      </c>
      <c r="U230" t="s">
        <v>842</v>
      </c>
      <c r="V230">
        <v>520</v>
      </c>
      <c r="W230" t="s">
        <v>86</v>
      </c>
      <c r="X230">
        <v>954</v>
      </c>
      <c r="Y230">
        <v>12.5115</v>
      </c>
      <c r="Z230">
        <v>12.66800000000001</v>
      </c>
      <c r="AA230">
        <v>12.780000000000012</v>
      </c>
    </row>
    <row r="231" spans="2:27">
      <c r="B231" t="s">
        <v>748</v>
      </c>
      <c r="C231" t="s">
        <v>747</v>
      </c>
      <c r="D231" t="s">
        <v>80</v>
      </c>
      <c r="E231" t="s">
        <v>81</v>
      </c>
      <c r="F231" t="s">
        <v>81</v>
      </c>
      <c r="G231" s="8">
        <v>42848</v>
      </c>
      <c r="H231" s="8">
        <f t="shared" si="9"/>
        <v>44041.999999999993</v>
      </c>
      <c r="I231" s="8">
        <f t="shared" si="10"/>
        <v>44175.000000000015</v>
      </c>
      <c r="J231" s="8">
        <f t="shared" si="11"/>
        <v>44222.000000000007</v>
      </c>
      <c r="O231">
        <v>19732</v>
      </c>
      <c r="P231" t="s">
        <v>82</v>
      </c>
      <c r="Q231" t="s">
        <v>699</v>
      </c>
      <c r="R231">
        <v>28</v>
      </c>
      <c r="S231">
        <v>580</v>
      </c>
      <c r="T231" t="s">
        <v>698</v>
      </c>
      <c r="U231" t="s">
        <v>843</v>
      </c>
      <c r="V231">
        <v>580</v>
      </c>
      <c r="W231" t="s">
        <v>86</v>
      </c>
      <c r="X231">
        <v>954</v>
      </c>
      <c r="Y231">
        <v>49.481499999999997</v>
      </c>
      <c r="Z231">
        <v>49.550999999999988</v>
      </c>
      <c r="AA231">
        <v>49.795999999999985</v>
      </c>
    </row>
    <row r="232" spans="2:27">
      <c r="B232" t="s">
        <v>149</v>
      </c>
      <c r="C232" t="s">
        <v>148</v>
      </c>
      <c r="D232" t="s">
        <v>80</v>
      </c>
      <c r="E232" t="s">
        <v>81</v>
      </c>
      <c r="F232" t="s">
        <v>81</v>
      </c>
      <c r="G232" s="8">
        <v>119878</v>
      </c>
      <c r="H232" s="8">
        <f t="shared" si="9"/>
        <v>106470.49999999996</v>
      </c>
      <c r="I232" s="8">
        <f t="shared" si="10"/>
        <v>107118.5</v>
      </c>
      <c r="J232" s="8">
        <f t="shared" si="11"/>
        <v>107660.00000000001</v>
      </c>
      <c r="O232">
        <v>19804</v>
      </c>
      <c r="P232" t="s">
        <v>82</v>
      </c>
      <c r="Q232" t="s">
        <v>765</v>
      </c>
      <c r="R232" t="s">
        <v>81</v>
      </c>
      <c r="S232">
        <v>585</v>
      </c>
      <c r="T232" t="s">
        <v>764</v>
      </c>
      <c r="U232" t="s">
        <v>844</v>
      </c>
      <c r="V232">
        <v>585</v>
      </c>
      <c r="W232" t="s">
        <v>86</v>
      </c>
      <c r="X232">
        <v>954</v>
      </c>
      <c r="Y232">
        <v>18.024000000000001</v>
      </c>
      <c r="Z232">
        <v>18.054500000000001</v>
      </c>
      <c r="AA232">
        <v>18.057500000000005</v>
      </c>
    </row>
    <row r="233" spans="2:27">
      <c r="B233" t="s">
        <v>532</v>
      </c>
      <c r="C233" t="s">
        <v>531</v>
      </c>
      <c r="D233" t="s">
        <v>81</v>
      </c>
      <c r="E233" t="s">
        <v>81</v>
      </c>
      <c r="F233" t="s">
        <v>81</v>
      </c>
      <c r="G233" s="8">
        <v>22125249</v>
      </c>
      <c r="H233" s="8">
        <f t="shared" si="9"/>
        <v>21324367.000000004</v>
      </c>
      <c r="I233" s="8">
        <f t="shared" si="10"/>
        <v>22125248.499999989</v>
      </c>
      <c r="J233" s="8">
        <f t="shared" si="11"/>
        <v>23227013.499999985</v>
      </c>
      <c r="O233">
        <v>19948</v>
      </c>
      <c r="P233" t="s">
        <v>82</v>
      </c>
      <c r="Q233" t="s">
        <v>137</v>
      </c>
      <c r="R233">
        <v>28</v>
      </c>
      <c r="S233">
        <v>16</v>
      </c>
      <c r="T233" t="s">
        <v>136</v>
      </c>
      <c r="U233" t="s">
        <v>845</v>
      </c>
      <c r="V233">
        <v>16</v>
      </c>
      <c r="W233" t="s">
        <v>86</v>
      </c>
      <c r="X233">
        <v>957</v>
      </c>
      <c r="Y233">
        <v>45.034999999999989</v>
      </c>
      <c r="Z233">
        <v>44.272500000000001</v>
      </c>
      <c r="AA233">
        <v>43.914499999999983</v>
      </c>
    </row>
    <row r="234" spans="2:27">
      <c r="B234" t="s">
        <v>755</v>
      </c>
      <c r="C234" t="s">
        <v>754</v>
      </c>
      <c r="D234" t="s">
        <v>80</v>
      </c>
      <c r="E234" t="s">
        <v>81</v>
      </c>
      <c r="F234" t="s">
        <v>81</v>
      </c>
      <c r="G234" s="8">
        <v>45703</v>
      </c>
      <c r="H234" s="8">
        <f t="shared" si="9"/>
        <v>45114.000000000029</v>
      </c>
      <c r="I234" s="8">
        <f t="shared" si="10"/>
        <v>45702.500000000029</v>
      </c>
      <c r="J234" s="8">
        <f t="shared" si="11"/>
        <v>46061.500000000029</v>
      </c>
      <c r="O234">
        <v>20020</v>
      </c>
      <c r="P234" t="s">
        <v>82</v>
      </c>
      <c r="Q234" t="s">
        <v>846</v>
      </c>
      <c r="R234">
        <v>34</v>
      </c>
      <c r="S234">
        <v>184</v>
      </c>
      <c r="T234" t="s">
        <v>847</v>
      </c>
      <c r="U234" t="s">
        <v>848</v>
      </c>
      <c r="V234">
        <v>184</v>
      </c>
      <c r="W234" t="s">
        <v>86</v>
      </c>
      <c r="X234">
        <v>957</v>
      </c>
      <c r="Y234">
        <v>17.002500000000001</v>
      </c>
      <c r="Z234">
        <v>17.010500000000008</v>
      </c>
      <c r="AA234">
        <v>17.043499999999995</v>
      </c>
    </row>
    <row r="235" spans="2:27">
      <c r="B235" t="s">
        <v>194</v>
      </c>
      <c r="C235" t="s">
        <v>193</v>
      </c>
      <c r="D235" t="s">
        <v>81</v>
      </c>
      <c r="E235" t="s">
        <v>81</v>
      </c>
      <c r="F235" t="s">
        <v>81</v>
      </c>
      <c r="G235" s="8">
        <v>17723315</v>
      </c>
      <c r="H235" s="8">
        <f t="shared" si="9"/>
        <v>17179739.999999996</v>
      </c>
      <c r="I235" s="8">
        <f t="shared" si="10"/>
        <v>17723314.500000004</v>
      </c>
      <c r="J235" s="8">
        <f t="shared" si="11"/>
        <v>18278567.499999996</v>
      </c>
      <c r="O235">
        <v>20092</v>
      </c>
      <c r="P235" t="s">
        <v>82</v>
      </c>
      <c r="Q235" t="s">
        <v>791</v>
      </c>
      <c r="R235">
        <v>2</v>
      </c>
      <c r="S235">
        <v>258</v>
      </c>
      <c r="T235" t="s">
        <v>790</v>
      </c>
      <c r="U235" t="s">
        <v>849</v>
      </c>
      <c r="V235">
        <v>258</v>
      </c>
      <c r="W235" t="s">
        <v>86</v>
      </c>
      <c r="X235">
        <v>957</v>
      </c>
      <c r="Y235">
        <v>304.03199999999993</v>
      </c>
      <c r="Z235">
        <v>306.27900000000011</v>
      </c>
      <c r="AA235">
        <v>308.87150000000008</v>
      </c>
    </row>
    <row r="236" spans="2:27">
      <c r="B236" t="s">
        <v>850</v>
      </c>
      <c r="C236" t="s">
        <v>851</v>
      </c>
      <c r="D236" t="s">
        <v>81</v>
      </c>
      <c r="E236" t="s">
        <v>81</v>
      </c>
      <c r="F236" t="s">
        <v>81</v>
      </c>
      <c r="G236" s="8">
        <v>2103055378</v>
      </c>
      <c r="H236" s="8" t="str">
        <f t="shared" si="9"/>
        <v/>
      </c>
      <c r="I236" s="8" t="str">
        <f t="shared" si="10"/>
        <v/>
      </c>
      <c r="J236" s="8" t="str">
        <f t="shared" si="11"/>
        <v/>
      </c>
      <c r="O236">
        <v>20164</v>
      </c>
      <c r="P236" t="s">
        <v>82</v>
      </c>
      <c r="Q236" t="s">
        <v>852</v>
      </c>
      <c r="R236">
        <v>34</v>
      </c>
      <c r="S236">
        <v>570</v>
      </c>
      <c r="T236" t="s">
        <v>853</v>
      </c>
      <c r="U236" t="s">
        <v>854</v>
      </c>
      <c r="V236">
        <v>570</v>
      </c>
      <c r="W236" t="s">
        <v>86</v>
      </c>
      <c r="X236">
        <v>957</v>
      </c>
      <c r="Y236">
        <v>1.9369999999999989</v>
      </c>
      <c r="Z236">
        <v>1.9334999999999993</v>
      </c>
      <c r="AA236">
        <v>1.9349999999999998</v>
      </c>
    </row>
    <row r="237" spans="2:27">
      <c r="B237" t="s">
        <v>855</v>
      </c>
      <c r="C237" t="s">
        <v>856</v>
      </c>
      <c r="D237" t="s">
        <v>81</v>
      </c>
      <c r="E237" t="s">
        <v>81</v>
      </c>
      <c r="F237" t="s">
        <v>81</v>
      </c>
      <c r="G237" s="8">
        <v>457549063</v>
      </c>
      <c r="H237" s="8" t="str">
        <f t="shared" si="9"/>
        <v/>
      </c>
      <c r="I237" s="8" t="str">
        <f t="shared" si="10"/>
        <v/>
      </c>
      <c r="J237" s="8" t="str">
        <f t="shared" si="11"/>
        <v/>
      </c>
      <c r="O237">
        <v>20236</v>
      </c>
      <c r="P237" t="s">
        <v>82</v>
      </c>
      <c r="Q237" t="s">
        <v>857</v>
      </c>
      <c r="R237" t="s">
        <v>81</v>
      </c>
      <c r="S237">
        <v>882</v>
      </c>
      <c r="T237" t="s">
        <v>858</v>
      </c>
      <c r="U237" t="s">
        <v>859</v>
      </c>
      <c r="V237">
        <v>882</v>
      </c>
      <c r="W237" t="s">
        <v>86</v>
      </c>
      <c r="X237">
        <v>957</v>
      </c>
      <c r="Y237">
        <v>218.76400000000012</v>
      </c>
      <c r="Z237">
        <v>222.38200000000006</v>
      </c>
      <c r="AA237">
        <v>225.68100000000015</v>
      </c>
    </row>
    <row r="238" spans="2:27">
      <c r="B238" t="s">
        <v>338</v>
      </c>
      <c r="C238" t="s">
        <v>337</v>
      </c>
      <c r="D238" t="s">
        <v>81</v>
      </c>
      <c r="E238" t="s">
        <v>81</v>
      </c>
      <c r="F238" t="s">
        <v>81</v>
      </c>
      <c r="G238" s="8">
        <v>8848699</v>
      </c>
      <c r="H238" s="8">
        <f t="shared" si="9"/>
        <v>8644828.9999999981</v>
      </c>
      <c r="I238" s="8">
        <f t="shared" si="10"/>
        <v>8848698.5000000019</v>
      </c>
      <c r="J238" s="8">
        <f t="shared" si="11"/>
        <v>9053799.0000000037</v>
      </c>
      <c r="O238">
        <v>20308</v>
      </c>
      <c r="P238" t="s">
        <v>82</v>
      </c>
      <c r="Q238" t="s">
        <v>860</v>
      </c>
      <c r="R238">
        <v>34</v>
      </c>
      <c r="S238">
        <v>772</v>
      </c>
      <c r="T238" t="s">
        <v>861</v>
      </c>
      <c r="U238" t="s">
        <v>862</v>
      </c>
      <c r="V238">
        <v>772</v>
      </c>
      <c r="W238" t="s">
        <v>86</v>
      </c>
      <c r="X238">
        <v>957</v>
      </c>
      <c r="Y238">
        <v>1.8489999999999989</v>
      </c>
      <c r="Z238">
        <v>1.8709999999999987</v>
      </c>
      <c r="AA238">
        <v>1.8924999999999985</v>
      </c>
    </row>
    <row r="239" spans="2:27">
      <c r="B239" t="s">
        <v>463</v>
      </c>
      <c r="C239" t="s">
        <v>462</v>
      </c>
      <c r="D239" t="s">
        <v>81</v>
      </c>
      <c r="E239" t="s">
        <v>81</v>
      </c>
      <c r="F239" t="s">
        <v>81</v>
      </c>
      <c r="G239" s="8">
        <v>71697030</v>
      </c>
      <c r="H239" s="8">
        <f t="shared" si="9"/>
        <v>71601103</v>
      </c>
      <c r="I239" s="8">
        <f t="shared" si="10"/>
        <v>71697029.500000015</v>
      </c>
      <c r="J239" s="8">
        <f t="shared" si="11"/>
        <v>71801278.999999985</v>
      </c>
      <c r="O239">
        <v>20380</v>
      </c>
      <c r="P239" t="s">
        <v>82</v>
      </c>
      <c r="Q239" t="s">
        <v>863</v>
      </c>
      <c r="R239" t="s">
        <v>81</v>
      </c>
      <c r="S239">
        <v>776</v>
      </c>
      <c r="T239" t="s">
        <v>864</v>
      </c>
      <c r="U239" t="s">
        <v>865</v>
      </c>
      <c r="V239">
        <v>776</v>
      </c>
      <c r="W239" t="s">
        <v>86</v>
      </c>
      <c r="X239">
        <v>957</v>
      </c>
      <c r="Y239">
        <v>106.017</v>
      </c>
      <c r="Z239">
        <v>106.8575</v>
      </c>
      <c r="AA239">
        <v>107.77300000000007</v>
      </c>
    </row>
    <row r="240" spans="2:27">
      <c r="B240" t="s">
        <v>350</v>
      </c>
      <c r="C240" t="s">
        <v>349</v>
      </c>
      <c r="D240" t="s">
        <v>81</v>
      </c>
      <c r="E240" t="s">
        <v>81</v>
      </c>
      <c r="F240" t="s">
        <v>81</v>
      </c>
      <c r="G240" s="8">
        <v>9952787</v>
      </c>
      <c r="H240" s="8">
        <f t="shared" si="9"/>
        <v>9750064.0000000019</v>
      </c>
      <c r="I240" s="8">
        <f t="shared" si="10"/>
        <v>9952786.9999999981</v>
      </c>
      <c r="J240" s="8">
        <f t="shared" si="11"/>
        <v>10143543.000000004</v>
      </c>
      <c r="O240">
        <v>20452</v>
      </c>
      <c r="P240" t="s">
        <v>82</v>
      </c>
      <c r="Q240" t="s">
        <v>866</v>
      </c>
      <c r="R240" t="s">
        <v>81</v>
      </c>
      <c r="S240">
        <v>798</v>
      </c>
      <c r="T240" t="s">
        <v>867</v>
      </c>
      <c r="U240" t="s">
        <v>868</v>
      </c>
      <c r="V240">
        <v>798</v>
      </c>
      <c r="W240" t="s">
        <v>86</v>
      </c>
      <c r="X240">
        <v>957</v>
      </c>
      <c r="Y240">
        <v>11.203500000000004</v>
      </c>
      <c r="Z240">
        <v>11.311500000000001</v>
      </c>
      <c r="AA240">
        <v>11.395999999999992</v>
      </c>
    </row>
    <row r="241" spans="2:27">
      <c r="B241" t="s">
        <v>355</v>
      </c>
      <c r="C241" t="s">
        <v>354</v>
      </c>
      <c r="D241" t="s">
        <v>81</v>
      </c>
      <c r="E241" t="s">
        <v>81</v>
      </c>
      <c r="F241" t="s">
        <v>81</v>
      </c>
      <c r="G241" s="8">
        <v>6430770</v>
      </c>
      <c r="H241" s="8">
        <f t="shared" si="9"/>
        <v>6341855.0000000019</v>
      </c>
      <c r="I241" s="8">
        <f t="shared" si="10"/>
        <v>6430770.5000000028</v>
      </c>
      <c r="J241" s="8">
        <f t="shared" si="11"/>
        <v>6516099.9999999963</v>
      </c>
      <c r="O241">
        <v>20524</v>
      </c>
      <c r="P241" t="s">
        <v>82</v>
      </c>
      <c r="Q241" t="s">
        <v>869</v>
      </c>
      <c r="R241">
        <v>2</v>
      </c>
      <c r="S241">
        <v>876</v>
      </c>
      <c r="T241" t="s">
        <v>870</v>
      </c>
      <c r="U241" t="s">
        <v>871</v>
      </c>
      <c r="V241">
        <v>876</v>
      </c>
      <c r="W241" t="s">
        <v>86</v>
      </c>
      <c r="X241">
        <v>957</v>
      </c>
      <c r="Y241">
        <v>11.6275</v>
      </c>
      <c r="Z241">
        <v>11.5725</v>
      </c>
      <c r="AA241">
        <v>11.501500000000011</v>
      </c>
    </row>
    <row r="242" spans="2:27">
      <c r="B242" t="s">
        <v>872</v>
      </c>
      <c r="C242" t="s">
        <v>873</v>
      </c>
      <c r="D242" t="s">
        <v>81</v>
      </c>
      <c r="E242" t="s">
        <v>81</v>
      </c>
      <c r="F242" t="s">
        <v>81</v>
      </c>
      <c r="G242" s="8">
        <v>643602758</v>
      </c>
      <c r="H242" s="8" t="str">
        <f t="shared" si="9"/>
        <v/>
      </c>
      <c r="I242" s="8" t="str">
        <f t="shared" si="10"/>
        <v/>
      </c>
      <c r="J242" s="8" t="str">
        <f t="shared" si="11"/>
        <v/>
      </c>
    </row>
    <row r="243" spans="2:27">
      <c r="B243" t="s">
        <v>468</v>
      </c>
      <c r="C243" t="s">
        <v>467</v>
      </c>
      <c r="D243" t="s">
        <v>81</v>
      </c>
      <c r="E243" t="s">
        <v>81</v>
      </c>
      <c r="F243" t="s">
        <v>81</v>
      </c>
      <c r="G243" s="8">
        <v>1341296</v>
      </c>
      <c r="H243" s="8">
        <f t="shared" si="9"/>
        <v>1320941.9999999998</v>
      </c>
      <c r="I243" s="8">
        <f t="shared" si="10"/>
        <v>1341296.0000000002</v>
      </c>
      <c r="J243" s="8">
        <f t="shared" si="11"/>
        <v>1360595.9999999998</v>
      </c>
    </row>
    <row r="244" spans="2:27">
      <c r="B244" t="s">
        <v>874</v>
      </c>
      <c r="C244" t="s">
        <v>875</v>
      </c>
      <c r="D244" t="s">
        <v>81</v>
      </c>
      <c r="E244" t="s">
        <v>81</v>
      </c>
      <c r="F244" t="s">
        <v>81</v>
      </c>
      <c r="G244" s="8">
        <v>419284769</v>
      </c>
      <c r="H244" s="8" t="str">
        <f t="shared" si="9"/>
        <v/>
      </c>
      <c r="I244" s="8" t="str">
        <f t="shared" si="10"/>
        <v/>
      </c>
      <c r="J244" s="8" t="str">
        <f t="shared" si="11"/>
        <v/>
      </c>
    </row>
    <row r="245" spans="2:27">
      <c r="B245" t="s">
        <v>864</v>
      </c>
      <c r="C245" t="s">
        <v>863</v>
      </c>
      <c r="D245" t="s">
        <v>81</v>
      </c>
      <c r="E245" t="s">
        <v>81</v>
      </c>
      <c r="F245" t="s">
        <v>81</v>
      </c>
      <c r="G245" s="8">
        <v>106858</v>
      </c>
      <c r="H245" s="8">
        <f t="shared" si="9"/>
        <v>106017</v>
      </c>
      <c r="I245" s="8">
        <f t="shared" si="10"/>
        <v>106857.5</v>
      </c>
      <c r="J245" s="8">
        <f t="shared" si="11"/>
        <v>107773.00000000007</v>
      </c>
    </row>
    <row r="246" spans="2:27">
      <c r="B246" t="s">
        <v>876</v>
      </c>
      <c r="C246" t="s">
        <v>877</v>
      </c>
      <c r="D246" t="s">
        <v>81</v>
      </c>
      <c r="E246" t="s">
        <v>81</v>
      </c>
      <c r="F246" t="s">
        <v>81</v>
      </c>
      <c r="G246" s="8">
        <v>1919348000</v>
      </c>
      <c r="H246" s="8" t="str">
        <f t="shared" si="9"/>
        <v/>
      </c>
      <c r="I246" s="8" t="str">
        <f t="shared" si="10"/>
        <v/>
      </c>
      <c r="J246" s="8" t="str">
        <f t="shared" si="11"/>
        <v/>
      </c>
    </row>
    <row r="247" spans="2:27">
      <c r="B247" t="s">
        <v>878</v>
      </c>
      <c r="C247" t="s">
        <v>879</v>
      </c>
      <c r="D247" t="s">
        <v>81</v>
      </c>
      <c r="E247" t="s">
        <v>81</v>
      </c>
      <c r="F247" t="s">
        <v>81</v>
      </c>
      <c r="G247" s="8">
        <v>1211190002</v>
      </c>
      <c r="H247" s="8" t="str">
        <f t="shared" si="9"/>
        <v/>
      </c>
      <c r="I247" s="8" t="str">
        <f t="shared" si="10"/>
        <v/>
      </c>
      <c r="J247" s="8" t="str">
        <f t="shared" si="11"/>
        <v/>
      </c>
    </row>
    <row r="248" spans="2:27">
      <c r="B248" t="s">
        <v>47</v>
      </c>
      <c r="C248" t="s">
        <v>752</v>
      </c>
      <c r="D248" t="s">
        <v>80</v>
      </c>
      <c r="E248" t="s">
        <v>1</v>
      </c>
      <c r="F248" t="s">
        <v>81</v>
      </c>
      <c r="G248" s="8">
        <v>1531044</v>
      </c>
      <c r="H248" s="8">
        <f t="shared" si="9"/>
        <v>1525662.9999999991</v>
      </c>
      <c r="I248" s="8">
        <f t="shared" si="10"/>
        <v>1531044.4999999998</v>
      </c>
      <c r="J248" s="8">
        <f t="shared" si="11"/>
        <v>1534937.0000000005</v>
      </c>
    </row>
    <row r="249" spans="2:27">
      <c r="B249" t="s">
        <v>243</v>
      </c>
      <c r="C249" t="s">
        <v>242</v>
      </c>
      <c r="D249" t="s">
        <v>81</v>
      </c>
      <c r="E249" t="s">
        <v>81</v>
      </c>
      <c r="F249" t="s">
        <v>81</v>
      </c>
      <c r="G249" s="8">
        <v>12356117</v>
      </c>
      <c r="H249" s="8">
        <f t="shared" si="9"/>
        <v>12262946.000000006</v>
      </c>
      <c r="I249" s="8">
        <f t="shared" si="10"/>
        <v>12356117.000000004</v>
      </c>
      <c r="J249" s="8">
        <f t="shared" si="11"/>
        <v>12458222.999999998</v>
      </c>
    </row>
    <row r="250" spans="2:27">
      <c r="B250" t="s">
        <v>535</v>
      </c>
      <c r="C250" s="76" t="s">
        <v>880</v>
      </c>
      <c r="D250" t="s">
        <v>81</v>
      </c>
      <c r="E250" t="s">
        <v>81</v>
      </c>
      <c r="F250" s="76" t="s">
        <v>57</v>
      </c>
      <c r="G250" s="8">
        <v>84979913</v>
      </c>
      <c r="H250" s="8">
        <f t="shared" si="9"/>
        <v>84775403.50000003</v>
      </c>
      <c r="I250" s="8">
        <f t="shared" si="10"/>
        <v>85341241.000000015</v>
      </c>
      <c r="J250" s="8">
        <f t="shared" si="11"/>
        <v>85816199.000000015</v>
      </c>
    </row>
    <row r="251" spans="2:27">
      <c r="B251" t="s">
        <v>867</v>
      </c>
      <c r="C251" t="s">
        <v>866</v>
      </c>
      <c r="D251" t="s">
        <v>81</v>
      </c>
      <c r="E251" t="s">
        <v>81</v>
      </c>
      <c r="F251" t="s">
        <v>81</v>
      </c>
      <c r="G251" s="8">
        <v>11312</v>
      </c>
      <c r="H251" s="8">
        <f t="shared" si="9"/>
        <v>11203.500000000004</v>
      </c>
      <c r="I251" s="8">
        <f t="shared" si="10"/>
        <v>11311.5</v>
      </c>
      <c r="J251" s="8">
        <f t="shared" si="11"/>
        <v>11395.999999999993</v>
      </c>
    </row>
    <row r="252" spans="2:27">
      <c r="B252" t="s">
        <v>167</v>
      </c>
      <c r="C252" t="s">
        <v>881</v>
      </c>
      <c r="D252" t="s">
        <v>81</v>
      </c>
      <c r="E252" t="s">
        <v>81</v>
      </c>
      <c r="F252" t="s">
        <v>81</v>
      </c>
      <c r="G252" s="8">
        <v>65497748</v>
      </c>
      <c r="H252" s="8">
        <f t="shared" si="9"/>
        <v>63588333.999999993</v>
      </c>
      <c r="I252" s="8">
        <f t="shared" si="10"/>
        <v>65497748.000000045</v>
      </c>
      <c r="J252" s="8">
        <f t="shared" si="11"/>
        <v>67438106.000000075</v>
      </c>
    </row>
    <row r="253" spans="2:27">
      <c r="B253" t="s">
        <v>162</v>
      </c>
      <c r="C253" t="s">
        <v>161</v>
      </c>
      <c r="D253" t="s">
        <v>81</v>
      </c>
      <c r="E253" t="s">
        <v>81</v>
      </c>
      <c r="F253" t="s">
        <v>81</v>
      </c>
      <c r="G253" s="8">
        <v>47249585</v>
      </c>
      <c r="H253" s="8">
        <f t="shared" si="9"/>
        <v>45853778.000000022</v>
      </c>
      <c r="I253" s="8">
        <f t="shared" si="10"/>
        <v>47249584.999999978</v>
      </c>
      <c r="J253" s="8">
        <f t="shared" si="11"/>
        <v>48582333.999999978</v>
      </c>
    </row>
    <row r="254" spans="2:27">
      <c r="B254" t="s">
        <v>575</v>
      </c>
      <c r="C254" t="s">
        <v>574</v>
      </c>
      <c r="D254" t="s">
        <v>81</v>
      </c>
      <c r="E254" t="s">
        <v>81</v>
      </c>
      <c r="F254" t="s">
        <v>81</v>
      </c>
      <c r="G254" s="8">
        <v>38000000</v>
      </c>
      <c r="H254" s="8">
        <f t="shared" si="9"/>
        <v>43531421.999999978</v>
      </c>
      <c r="I254" s="8">
        <f t="shared" si="10"/>
        <v>39701738.999999993</v>
      </c>
      <c r="J254" s="8">
        <f t="shared" si="11"/>
        <v>36744633.500000007</v>
      </c>
    </row>
    <row r="255" spans="2:27">
      <c r="B255" t="s">
        <v>882</v>
      </c>
      <c r="C255" t="s">
        <v>883</v>
      </c>
      <c r="D255" t="s">
        <v>81</v>
      </c>
      <c r="E255" t="s">
        <v>81</v>
      </c>
      <c r="F255" t="s">
        <v>81</v>
      </c>
      <c r="G255" s="8">
        <v>2784368143</v>
      </c>
      <c r="H255" s="8" t="str">
        <f t="shared" si="9"/>
        <v/>
      </c>
      <c r="I255" s="8" t="str">
        <f t="shared" si="10"/>
        <v/>
      </c>
      <c r="J255" s="8" t="str">
        <f t="shared" si="11"/>
        <v/>
      </c>
    </row>
    <row r="256" spans="2:27">
      <c r="B256" t="s">
        <v>50</v>
      </c>
      <c r="C256" t="s">
        <v>806</v>
      </c>
      <c r="D256" t="s">
        <v>80</v>
      </c>
      <c r="E256" t="s">
        <v>1</v>
      </c>
      <c r="F256" t="s">
        <v>81</v>
      </c>
      <c r="G256" s="8">
        <v>3422794</v>
      </c>
      <c r="H256" s="8">
        <f t="shared" si="9"/>
        <v>3426259.4999999995</v>
      </c>
      <c r="I256" s="8">
        <f t="shared" si="10"/>
        <v>3422793.5</v>
      </c>
      <c r="J256" s="8">
        <f t="shared" si="11"/>
        <v>3423108.4999999986</v>
      </c>
    </row>
    <row r="257" spans="2:10">
      <c r="B257" t="s">
        <v>819</v>
      </c>
      <c r="C257" t="s">
        <v>884</v>
      </c>
      <c r="D257" t="s">
        <v>80</v>
      </c>
      <c r="E257" t="s">
        <v>81</v>
      </c>
      <c r="F257" t="s">
        <v>57</v>
      </c>
      <c r="G257" s="8">
        <v>333287557</v>
      </c>
      <c r="H257" s="8">
        <f t="shared" si="9"/>
        <v>336997624</v>
      </c>
      <c r="I257" s="8">
        <f t="shared" si="10"/>
        <v>338289856.99999982</v>
      </c>
      <c r="J257" s="8">
        <f t="shared" si="11"/>
        <v>339996563.49999988</v>
      </c>
    </row>
    <row r="258" spans="2:10">
      <c r="B258" t="s">
        <v>360</v>
      </c>
      <c r="C258" t="s">
        <v>359</v>
      </c>
      <c r="D258" t="s">
        <v>81</v>
      </c>
      <c r="E258" t="s">
        <v>81</v>
      </c>
      <c r="F258" t="s">
        <v>81</v>
      </c>
      <c r="G258" s="8">
        <v>35648100</v>
      </c>
      <c r="H258" s="8">
        <f t="shared" si="9"/>
        <v>34081448.999999993</v>
      </c>
      <c r="I258" s="8">
        <f t="shared" si="10"/>
        <v>34627652.500000022</v>
      </c>
      <c r="J258" s="8">
        <f t="shared" si="11"/>
        <v>35163943.500000015</v>
      </c>
    </row>
    <row r="259" spans="2:10">
      <c r="B259" t="s">
        <v>745</v>
      </c>
      <c r="C259" t="s">
        <v>885</v>
      </c>
      <c r="D259" t="s">
        <v>81</v>
      </c>
      <c r="E259" t="s">
        <v>81</v>
      </c>
      <c r="F259" t="s">
        <v>81</v>
      </c>
      <c r="G259" s="8">
        <v>103948</v>
      </c>
      <c r="H259" s="8">
        <f t="shared" si="9"/>
        <v>104332</v>
      </c>
      <c r="I259" s="8">
        <f t="shared" si="10"/>
        <v>103947.50000000001</v>
      </c>
      <c r="J259" s="8">
        <f t="shared" si="11"/>
        <v>103698.5</v>
      </c>
    </row>
    <row r="260" spans="2:10">
      <c r="B260" t="s">
        <v>51</v>
      </c>
      <c r="C260" s="76" t="s">
        <v>886</v>
      </c>
      <c r="D260" t="s">
        <v>81</v>
      </c>
      <c r="E260" t="s">
        <v>1</v>
      </c>
      <c r="F260" t="s">
        <v>81</v>
      </c>
      <c r="G260" s="8">
        <v>28301696</v>
      </c>
      <c r="H260" s="8">
        <f t="shared" si="9"/>
        <v>28199866.500000004</v>
      </c>
      <c r="I260" s="8">
        <f t="shared" si="10"/>
        <v>28301695.500000004</v>
      </c>
      <c r="J260" s="8">
        <f t="shared" si="11"/>
        <v>28838498.999999985</v>
      </c>
    </row>
    <row r="261" spans="2:10">
      <c r="B261" t="s">
        <v>701</v>
      </c>
      <c r="C261" t="s">
        <v>700</v>
      </c>
      <c r="D261" t="s">
        <v>80</v>
      </c>
      <c r="E261" t="s">
        <v>81</v>
      </c>
      <c r="F261" t="s">
        <v>81</v>
      </c>
      <c r="G261" s="8">
        <v>31305</v>
      </c>
      <c r="H261" s="8">
        <f t="shared" si="9"/>
        <v>31121.999999999996</v>
      </c>
      <c r="I261" s="8">
        <f t="shared" si="10"/>
        <v>31304.500000000007</v>
      </c>
      <c r="J261" s="8">
        <f t="shared" si="11"/>
        <v>31538.000000000007</v>
      </c>
    </row>
    <row r="262" spans="2:10">
      <c r="B262" t="s">
        <v>759</v>
      </c>
      <c r="C262" t="s">
        <v>887</v>
      </c>
      <c r="D262" t="s">
        <v>80</v>
      </c>
      <c r="E262" t="s">
        <v>81</v>
      </c>
      <c r="F262" t="s">
        <v>81</v>
      </c>
      <c r="G262" s="8">
        <v>105413</v>
      </c>
      <c r="H262" s="8">
        <f t="shared" ref="H262:H271" si="12">IFERROR(VLOOKUP(B262,$T$6:$AA$241,6,0)*1000,"")</f>
        <v>100091</v>
      </c>
      <c r="I262" s="8">
        <f t="shared" ref="I262:I271" si="13">IFERROR(VLOOKUP(B262,$T$6:$AA$241,7,0)*1000,"")</f>
        <v>99464.999999999985</v>
      </c>
      <c r="J262" s="8">
        <f t="shared" ref="J262:J271" si="14">IFERROR(VLOOKUP(B262,$T$6:$AA$241,8,0)*1000,"")</f>
        <v>98750.000000000044</v>
      </c>
    </row>
    <row r="263" spans="2:10">
      <c r="B263" t="s">
        <v>473</v>
      </c>
      <c r="C263" t="s">
        <v>472</v>
      </c>
      <c r="D263" t="s">
        <v>81</v>
      </c>
      <c r="E263" t="s">
        <v>81</v>
      </c>
      <c r="F263" t="s">
        <v>81</v>
      </c>
      <c r="G263" s="8">
        <v>98186856</v>
      </c>
      <c r="H263" s="8">
        <f t="shared" si="12"/>
        <v>97468028.499999985</v>
      </c>
      <c r="I263" s="8">
        <f t="shared" si="13"/>
        <v>98186855.999999955</v>
      </c>
      <c r="J263" s="8">
        <f t="shared" si="14"/>
        <v>98858949.99999997</v>
      </c>
    </row>
    <row r="264" spans="2:10">
      <c r="B264" t="s">
        <v>834</v>
      </c>
      <c r="C264" t="s">
        <v>833</v>
      </c>
      <c r="D264" t="s">
        <v>81</v>
      </c>
      <c r="E264" t="s">
        <v>81</v>
      </c>
      <c r="F264" t="s">
        <v>81</v>
      </c>
      <c r="G264" s="8">
        <v>326740</v>
      </c>
      <c r="H264" s="8">
        <f t="shared" si="12"/>
        <v>319136.5</v>
      </c>
      <c r="I264" s="8">
        <f t="shared" si="13"/>
        <v>326740.49999999977</v>
      </c>
      <c r="J264" s="8">
        <f t="shared" si="14"/>
        <v>334505.99999999994</v>
      </c>
    </row>
    <row r="265" spans="2:10">
      <c r="B265" t="s">
        <v>858</v>
      </c>
      <c r="C265" t="s">
        <v>857</v>
      </c>
      <c r="D265" t="s">
        <v>81</v>
      </c>
      <c r="E265" t="s">
        <v>81</v>
      </c>
      <c r="F265" t="s">
        <v>81</v>
      </c>
      <c r="G265" s="8">
        <v>222382</v>
      </c>
      <c r="H265" s="8">
        <f t="shared" si="12"/>
        <v>218764.00000000012</v>
      </c>
      <c r="I265" s="8">
        <f t="shared" si="13"/>
        <v>222382.00000000006</v>
      </c>
      <c r="J265" s="8">
        <f t="shared" si="14"/>
        <v>225681.00000000015</v>
      </c>
    </row>
    <row r="266" spans="2:10">
      <c r="B266" t="s">
        <v>633</v>
      </c>
      <c r="C266" t="s">
        <v>888</v>
      </c>
      <c r="D266" t="s">
        <v>81</v>
      </c>
      <c r="E266" t="s">
        <v>81</v>
      </c>
      <c r="F266" t="s">
        <v>81</v>
      </c>
      <c r="G266" s="8">
        <v>1761985</v>
      </c>
      <c r="H266" s="8">
        <f t="shared" si="12"/>
        <v>1662009.4999999995</v>
      </c>
      <c r="I266" s="8">
        <f t="shared" si="13"/>
        <v>1659713.5000000007</v>
      </c>
      <c r="J266" s="8">
        <f t="shared" si="14"/>
        <v>1663594.4999999998</v>
      </c>
    </row>
    <row r="267" spans="2:10">
      <c r="B267" t="s">
        <v>543</v>
      </c>
      <c r="C267" t="s">
        <v>889</v>
      </c>
      <c r="D267" t="s">
        <v>81</v>
      </c>
      <c r="E267" t="s">
        <v>81</v>
      </c>
      <c r="F267" t="s">
        <v>81</v>
      </c>
      <c r="G267" s="8">
        <v>33696614</v>
      </c>
      <c r="H267" s="8">
        <f t="shared" si="12"/>
        <v>32981641.499999989</v>
      </c>
      <c r="I267" s="8">
        <f t="shared" si="13"/>
        <v>33696613.999999993</v>
      </c>
      <c r="J267" s="8">
        <f t="shared" si="14"/>
        <v>34449825.000000015</v>
      </c>
    </row>
    <row r="268" spans="2:10">
      <c r="B268" t="s">
        <v>270</v>
      </c>
      <c r="C268" t="s">
        <v>269</v>
      </c>
      <c r="D268" t="s">
        <v>81</v>
      </c>
      <c r="E268" t="s">
        <v>81</v>
      </c>
      <c r="F268" t="s">
        <v>81</v>
      </c>
      <c r="G268" s="8">
        <v>59893885</v>
      </c>
      <c r="H268" s="8">
        <f t="shared" si="12"/>
        <v>59392255</v>
      </c>
      <c r="I268" s="8">
        <f t="shared" si="13"/>
        <v>59893885.5</v>
      </c>
      <c r="J268" s="8">
        <f t="shared" si="14"/>
        <v>60414494.500000015</v>
      </c>
    </row>
    <row r="269" spans="2:10">
      <c r="B269" t="s">
        <v>172</v>
      </c>
      <c r="C269" t="s">
        <v>171</v>
      </c>
      <c r="D269" t="s">
        <v>81</v>
      </c>
      <c r="E269" t="s">
        <v>81</v>
      </c>
      <c r="F269" t="s">
        <v>81</v>
      </c>
      <c r="G269" s="8">
        <v>20017675</v>
      </c>
      <c r="H269" s="8">
        <f t="shared" si="12"/>
        <v>19473124.999999996</v>
      </c>
      <c r="I269" s="8">
        <f t="shared" si="13"/>
        <v>20017675.000000004</v>
      </c>
      <c r="J269" s="8">
        <f t="shared" si="14"/>
        <v>20569737.500000011</v>
      </c>
    </row>
    <row r="270" spans="2:10">
      <c r="B270" t="s">
        <v>177</v>
      </c>
      <c r="C270" t="s">
        <v>176</v>
      </c>
      <c r="D270" t="s">
        <v>81</v>
      </c>
      <c r="E270" t="s">
        <v>81</v>
      </c>
      <c r="F270" t="s">
        <v>81</v>
      </c>
      <c r="G270" s="8">
        <v>16320537</v>
      </c>
      <c r="H270" s="8">
        <f t="shared" si="12"/>
        <v>15993524.000000002</v>
      </c>
      <c r="I270" s="8">
        <f t="shared" si="13"/>
        <v>16320536.999999996</v>
      </c>
      <c r="J270" s="8">
        <f t="shared" si="14"/>
        <v>16665408.500000013</v>
      </c>
    </row>
    <row r="271" spans="2:10">
      <c r="B271" s="9" t="s">
        <v>377</v>
      </c>
      <c r="C271" s="9" t="s">
        <v>890</v>
      </c>
      <c r="D271" t="s">
        <v>80</v>
      </c>
      <c r="H271" s="8">
        <f t="shared" si="12"/>
        <v>23859912.000000011</v>
      </c>
      <c r="I271" s="8">
        <f t="shared" si="13"/>
        <v>23893394.500000007</v>
      </c>
      <c r="J271" s="8">
        <f t="shared" si="14"/>
        <v>23923276.500000007</v>
      </c>
    </row>
    <row r="272" spans="2:10">
      <c r="B272" s="9"/>
      <c r="C272" s="9"/>
    </row>
    <row r="273" spans="2:10">
      <c r="B273" t="s">
        <v>891</v>
      </c>
      <c r="C273" s="9" t="s">
        <v>892</v>
      </c>
      <c r="G273" s="8">
        <v>7950946801</v>
      </c>
      <c r="H273" s="8">
        <v>7909295151.5000019</v>
      </c>
      <c r="I273" s="8">
        <v>7975105155.4999981</v>
      </c>
      <c r="J273" s="8">
        <v>8045311447.4999981</v>
      </c>
    </row>
    <row r="274" spans="2:10">
      <c r="C274" s="9"/>
    </row>
    <row r="275" spans="2:10">
      <c r="C275" s="9"/>
    </row>
    <row r="276" spans="2:10">
      <c r="B276" s="9"/>
      <c r="C276" s="9" t="s">
        <v>893</v>
      </c>
    </row>
    <row r="277" spans="2:10">
      <c r="C277" s="136" t="s">
        <v>72</v>
      </c>
      <c r="D277" s="76" t="s">
        <v>894</v>
      </c>
    </row>
    <row r="278" spans="2:10">
      <c r="C278" s="136" t="s">
        <v>73</v>
      </c>
      <c r="D278" s="76" t="s">
        <v>895</v>
      </c>
    </row>
    <row r="279" spans="2:10">
      <c r="C279" s="136" t="s">
        <v>74</v>
      </c>
      <c r="D279" s="76" t="s">
        <v>896</v>
      </c>
    </row>
    <row r="280" spans="2:10">
      <c r="C280" s="136" t="s">
        <v>75</v>
      </c>
      <c r="D280" s="76" t="s">
        <v>897</v>
      </c>
    </row>
    <row r="281" spans="2:10">
      <c r="C281" s="136" t="s">
        <v>76</v>
      </c>
      <c r="D281" s="76" t="s">
        <v>898</v>
      </c>
    </row>
    <row r="282" spans="2:10">
      <c r="C282" s="136" t="s">
        <v>77</v>
      </c>
      <c r="D282" s="76" t="s">
        <v>899</v>
      </c>
    </row>
    <row r="283" spans="2:10">
      <c r="C283" s="137"/>
    </row>
    <row r="284" spans="2:10">
      <c r="C284" s="138">
        <v>45440</v>
      </c>
    </row>
    <row r="285" spans="2:10">
      <c r="C285" s="139"/>
    </row>
    <row r="294" spans="2:3">
      <c r="B294" s="140"/>
      <c r="C294" s="12"/>
    </row>
    <row r="295" spans="2:3">
      <c r="B295" s="140"/>
      <c r="C295" s="12"/>
    </row>
    <row r="296" spans="2:3">
      <c r="B296" s="140"/>
      <c r="C296" s="12"/>
    </row>
    <row r="297" spans="2:3">
      <c r="B297" s="140"/>
      <c r="C297" s="12"/>
    </row>
    <row r="298" spans="2:3">
      <c r="B298" s="140"/>
      <c r="C298" s="12"/>
    </row>
    <row r="299" spans="2:3">
      <c r="B299" s="140"/>
      <c r="C299" s="12"/>
    </row>
    <row r="300" spans="2:3">
      <c r="B300" s="140"/>
      <c r="C300" s="12"/>
    </row>
    <row r="301" spans="2:3">
      <c r="B301" s="140"/>
      <c r="C301" s="12"/>
    </row>
    <row r="302" spans="2:3">
      <c r="B302" s="140"/>
      <c r="C302" s="12"/>
    </row>
    <row r="303" spans="2:3">
      <c r="B303" s="140"/>
      <c r="C303" s="12"/>
    </row>
    <row r="304" spans="2:3">
      <c r="B304" s="140"/>
      <c r="C304" s="12"/>
    </row>
    <row r="305" spans="2:3">
      <c r="B305" s="140"/>
      <c r="C305" s="12"/>
    </row>
    <row r="306" spans="2:3">
      <c r="B306" s="140"/>
      <c r="C306" s="12"/>
    </row>
    <row r="307" spans="2:3">
      <c r="B307" s="140"/>
      <c r="C307" s="12"/>
    </row>
    <row r="308" spans="2:3">
      <c r="B308" s="140"/>
      <c r="C308" s="12"/>
    </row>
    <row r="309" spans="2:3">
      <c r="B309" s="140"/>
      <c r="C309" s="12"/>
    </row>
    <row r="310" spans="2:3">
      <c r="B310" s="140"/>
      <c r="C310" s="12"/>
    </row>
    <row r="311" spans="2:3">
      <c r="B311" s="140"/>
      <c r="C311" s="12"/>
    </row>
    <row r="312" spans="2:3">
      <c r="B312" s="140"/>
      <c r="C312" s="12"/>
    </row>
    <row r="313" spans="2:3">
      <c r="B313" s="140"/>
      <c r="C313" s="12"/>
    </row>
    <row r="314" spans="2:3">
      <c r="B314" s="140"/>
      <c r="C314" s="12"/>
    </row>
    <row r="315" spans="2:3">
      <c r="B315" s="140"/>
      <c r="C315" s="12"/>
    </row>
    <row r="316" spans="2:3">
      <c r="B316" s="140"/>
      <c r="C316" s="12"/>
    </row>
    <row r="317" spans="2:3">
      <c r="B317" s="140"/>
      <c r="C317" s="12"/>
    </row>
    <row r="318" spans="2:3">
      <c r="B318" s="140"/>
      <c r="C318" s="12"/>
    </row>
    <row r="319" spans="2:3">
      <c r="B319" s="140"/>
      <c r="C319" s="12"/>
    </row>
    <row r="320" spans="2:3">
      <c r="B320" s="140"/>
      <c r="C320" s="12"/>
    </row>
    <row r="321" spans="2:3">
      <c r="B321" s="140"/>
      <c r="C321" s="12"/>
    </row>
    <row r="322" spans="2:3">
      <c r="B322" s="140"/>
      <c r="C322" s="12"/>
    </row>
    <row r="323" spans="2:3">
      <c r="B323" s="140"/>
      <c r="C323" s="12"/>
    </row>
    <row r="324" spans="2:3">
      <c r="B324" s="140"/>
      <c r="C324" s="12"/>
    </row>
    <row r="325" spans="2:3">
      <c r="B325" s="140"/>
      <c r="C325" s="12"/>
    </row>
    <row r="326" spans="2:3">
      <c r="B326" s="140"/>
      <c r="C326" s="12"/>
    </row>
    <row r="327" spans="2:3">
      <c r="B327" s="140"/>
      <c r="C327"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64E36-CE01-40BD-9AB8-17BA336094E9}">
  <dimension ref="A1:BN58"/>
  <sheetViews>
    <sheetView showGridLines="0" topLeftCell="D8" zoomScale="40" zoomScaleNormal="40" workbookViewId="0">
      <selection activeCell="AQ8" sqref="I1:AQ1048576"/>
    </sheetView>
  </sheetViews>
  <sheetFormatPr defaultRowHeight="14.5" outlineLevelRow="1"/>
  <cols>
    <col min="2" max="2" width="8.7265625" customWidth="1"/>
    <col min="3" max="3" width="12.1796875" customWidth="1"/>
    <col min="4" max="4" width="13.81640625" customWidth="1"/>
    <col min="6" max="6" width="18.6328125" customWidth="1"/>
    <col min="7" max="7" width="1.54296875" customWidth="1"/>
    <col min="8" max="8" width="13.08984375" customWidth="1"/>
    <col min="9" max="9" width="6.54296875" customWidth="1"/>
    <col min="10" max="10" width="8.453125" customWidth="1"/>
    <col min="11" max="11" width="1.26953125" customWidth="1"/>
    <col min="12" max="12" width="10.26953125" customWidth="1"/>
    <col min="13" max="13" width="9.7265625" customWidth="1"/>
    <col min="14" max="14" width="9.90625" customWidth="1"/>
    <col min="15" max="15" width="1.90625" customWidth="1"/>
    <col min="16" max="16" width="8.1796875" customWidth="1"/>
    <col min="17" max="17" width="6.81640625" bestFit="1" customWidth="1"/>
    <col min="18" max="18" width="10.1796875" customWidth="1"/>
    <col min="19" max="19" width="1.26953125" customWidth="1"/>
    <col min="20" max="20" width="7.453125" customWidth="1"/>
    <col min="21" max="21" width="9.36328125" customWidth="1"/>
    <col min="22" max="22" width="1.08984375" customWidth="1"/>
    <col min="23" max="23" width="6.36328125" customWidth="1"/>
    <col min="24" max="24" width="10.6328125" customWidth="1"/>
    <col min="25" max="25" width="8.6328125" customWidth="1"/>
    <col min="26" max="28" width="8.08984375" customWidth="1"/>
    <col min="29" max="29" width="1.6328125" customWidth="1"/>
    <col min="30" max="30" width="8.08984375" customWidth="1"/>
    <col min="31" max="31" width="10.26953125" customWidth="1"/>
    <col min="32" max="32" width="8.08984375" customWidth="1"/>
    <col min="33" max="33" width="2.08984375" customWidth="1"/>
    <col min="34" max="34" width="8.08984375" customWidth="1"/>
    <col min="35" max="35" width="12.1796875" customWidth="1"/>
    <col min="36" max="36" width="10.453125" customWidth="1"/>
    <col min="37" max="37" width="1.54296875" customWidth="1"/>
    <col min="38" max="39" width="8.08984375" customWidth="1"/>
    <col min="40" max="40" width="1.6328125" customWidth="1"/>
    <col min="41" max="45" width="8.08984375" customWidth="1"/>
    <col min="47" max="47" width="6.453125" customWidth="1"/>
    <col min="48" max="48" width="2.453125" customWidth="1"/>
    <col min="51" max="51" width="3.81640625" customWidth="1"/>
  </cols>
  <sheetData>
    <row r="1" spans="1:66">
      <c r="B1" t="s">
        <v>1284</v>
      </c>
    </row>
    <row r="2" spans="1:66">
      <c r="M2" s="7511"/>
      <c r="N2" s="7511"/>
      <c r="O2" s="7511"/>
      <c r="P2" s="7511"/>
      <c r="Q2" s="7511"/>
      <c r="R2" s="7511"/>
      <c r="S2" s="7511"/>
      <c r="T2" s="7511"/>
      <c r="Y2" s="7797"/>
    </row>
    <row r="3" spans="1:66">
      <c r="M3" s="7511"/>
      <c r="N3" s="7511"/>
      <c r="O3" s="7511"/>
      <c r="P3" s="7511"/>
      <c r="Q3" s="7511"/>
      <c r="R3" s="7511"/>
      <c r="S3" s="7511"/>
      <c r="T3" s="7511"/>
      <c r="Y3" s="7797"/>
    </row>
    <row r="11" spans="1:66" ht="30" customHeight="1"/>
    <row r="12" spans="1:66" s="39" customFormat="1">
      <c r="B12" s="40"/>
      <c r="C12" s="40"/>
      <c r="D12" s="40"/>
      <c r="E12" s="40"/>
      <c r="F12" s="40"/>
      <c r="H12" s="7509"/>
      <c r="I12" s="7509"/>
      <c r="M12" s="7509"/>
      <c r="N12" s="7509"/>
      <c r="O12" s="7509"/>
      <c r="P12" s="7509"/>
      <c r="Q12" s="7509"/>
      <c r="R12" s="7509"/>
      <c r="S12" s="7509"/>
      <c r="T12" s="7509"/>
      <c r="U12" s="142"/>
      <c r="V12" s="7509"/>
      <c r="W12" s="7509"/>
      <c r="X12" s="7509"/>
      <c r="Y12" s="7792"/>
      <c r="Z12" s="7792"/>
      <c r="AA12" s="7792"/>
      <c r="AB12" s="7792"/>
      <c r="AC12" s="7792"/>
      <c r="AD12" s="7792"/>
      <c r="AE12" s="7792"/>
      <c r="AF12" s="7792"/>
      <c r="AG12" s="7792"/>
      <c r="AH12" s="7792"/>
      <c r="AI12" s="7792"/>
      <c r="AJ12" s="7792"/>
      <c r="AK12" s="7792"/>
      <c r="AL12" s="7792"/>
      <c r="AM12" s="7792"/>
      <c r="AN12" s="7792"/>
      <c r="AO12" s="7792"/>
      <c r="AP12" s="7792"/>
      <c r="AQ12" s="7792"/>
      <c r="AR12" s="7792"/>
      <c r="AS12" s="7509"/>
      <c r="AT12" s="40"/>
      <c r="AU12" s="40"/>
      <c r="AW12" s="40"/>
      <c r="AX12" s="40"/>
      <c r="BD12"/>
      <c r="BE12"/>
      <c r="BF12"/>
      <c r="BG12"/>
      <c r="BH12"/>
      <c r="BI12"/>
      <c r="BJ12"/>
      <c r="BK12"/>
      <c r="BL12"/>
      <c r="BM12"/>
      <c r="BN12"/>
    </row>
    <row r="13" spans="1:66" s="39" customFormat="1">
      <c r="B13" s="41"/>
      <c r="C13" s="41"/>
      <c r="D13" s="41"/>
      <c r="H13" s="41"/>
      <c r="I13" s="41"/>
      <c r="J13" s="7505"/>
      <c r="K13" s="7505"/>
      <c r="L13" s="7505"/>
      <c r="M13" s="7505"/>
      <c r="N13" s="7505"/>
      <c r="O13" s="7503"/>
      <c r="P13" s="7505"/>
      <c r="Q13" s="7505"/>
      <c r="R13" s="7505"/>
      <c r="S13" s="7505"/>
      <c r="T13" s="7505"/>
      <c r="U13" s="7505"/>
      <c r="V13" s="7505"/>
      <c r="W13" s="7505"/>
      <c r="X13" s="7505"/>
      <c r="Y13" s="7798"/>
      <c r="Z13" s="7792"/>
      <c r="AA13" s="7792"/>
      <c r="AB13" s="7795"/>
      <c r="AC13" s="7795"/>
      <c r="AD13" s="7795"/>
      <c r="AE13" s="7795"/>
      <c r="AF13" s="7795"/>
      <c r="AG13" s="7795"/>
      <c r="AH13" s="7795"/>
      <c r="AI13" s="7795"/>
      <c r="AJ13" s="7795"/>
      <c r="AK13" s="7795"/>
      <c r="AL13" s="7795"/>
      <c r="AM13" s="7795"/>
      <c r="AN13" s="7795"/>
      <c r="AO13" s="7795"/>
      <c r="AP13" s="7795"/>
      <c r="AQ13" s="7792"/>
      <c r="AR13" s="7792"/>
      <c r="AS13" s="7509"/>
      <c r="AZ13" s="41"/>
      <c r="BD13"/>
      <c r="BE13"/>
      <c r="BF13"/>
      <c r="BG13"/>
      <c r="BH13"/>
      <c r="BI13"/>
      <c r="BJ13"/>
      <c r="BK13"/>
      <c r="BL13"/>
      <c r="BM13"/>
      <c r="BN13"/>
    </row>
    <row r="14" spans="1:66" s="39" customFormat="1" outlineLevel="1">
      <c r="B14" s="143" t="s">
        <v>902</v>
      </c>
      <c r="C14" s="143" t="s">
        <v>903</v>
      </c>
      <c r="D14" s="143"/>
      <c r="J14" s="9356" t="s">
        <v>904</v>
      </c>
      <c r="K14" s="7519"/>
      <c r="L14" s="9355" t="s">
        <v>1306</v>
      </c>
      <c r="M14" s="9355"/>
      <c r="N14" s="9355"/>
      <c r="O14" s="7509"/>
      <c r="P14" s="9355" t="s">
        <v>1307</v>
      </c>
      <c r="Q14" s="9355"/>
      <c r="R14" s="9355"/>
      <c r="S14" s="7504"/>
      <c r="T14" s="9354" t="s">
        <v>893</v>
      </c>
      <c r="U14" s="9354"/>
      <c r="V14" s="9354"/>
      <c r="W14" s="9354"/>
      <c r="X14" s="9354"/>
      <c r="Y14" s="9352" t="s">
        <v>1352</v>
      </c>
      <c r="Z14" s="7792"/>
      <c r="AA14" s="7792"/>
      <c r="AB14" s="9358" t="s">
        <v>904</v>
      </c>
      <c r="AC14" s="7792"/>
      <c r="AD14" s="9351" t="s">
        <v>1306</v>
      </c>
      <c r="AE14" s="9351"/>
      <c r="AF14" s="9351"/>
      <c r="AG14" s="7792"/>
      <c r="AH14" s="9351" t="s">
        <v>1307</v>
      </c>
      <c r="AI14" s="9351"/>
      <c r="AJ14" s="9351"/>
      <c r="AK14" s="7792"/>
      <c r="AL14" s="9351" t="s">
        <v>893</v>
      </c>
      <c r="AM14" s="9351"/>
      <c r="AN14" s="9351"/>
      <c r="AO14" s="9351"/>
      <c r="AP14" s="9351"/>
      <c r="AQ14" s="9352" t="s">
        <v>1352</v>
      </c>
      <c r="AR14" s="7792"/>
      <c r="AS14" s="7509"/>
      <c r="AT14" s="41" t="s">
        <v>907</v>
      </c>
      <c r="AU14" s="41"/>
      <c r="AV14" s="41"/>
      <c r="AW14" s="41" t="s">
        <v>908</v>
      </c>
      <c r="AZ14" s="143" t="s">
        <v>906</v>
      </c>
      <c r="BD14"/>
      <c r="BE14"/>
      <c r="BF14"/>
      <c r="BG14"/>
      <c r="BH14"/>
      <c r="BI14"/>
      <c r="BJ14"/>
      <c r="BK14"/>
      <c r="BL14"/>
      <c r="BM14"/>
      <c r="BN14"/>
    </row>
    <row r="15" spans="1:66" s="39" customFormat="1">
      <c r="B15" s="42"/>
      <c r="C15" s="42"/>
      <c r="D15" s="42"/>
      <c r="J15" s="9357"/>
      <c r="K15" s="7520"/>
      <c r="L15" s="7517" t="s">
        <v>1331</v>
      </c>
      <c r="M15" s="7517" t="s">
        <v>1332</v>
      </c>
      <c r="N15" s="7514" t="s">
        <v>1333</v>
      </c>
      <c r="P15" s="7517" t="s">
        <v>1331</v>
      </c>
      <c r="Q15" s="7517" t="s">
        <v>1332</v>
      </c>
      <c r="R15" s="7514" t="s">
        <v>1333</v>
      </c>
      <c r="S15" s="7510"/>
      <c r="T15" s="7506" t="s">
        <v>529</v>
      </c>
      <c r="U15" s="7506"/>
      <c r="V15" s="7510"/>
      <c r="W15" s="7506" t="s">
        <v>905</v>
      </c>
      <c r="X15" s="7515"/>
      <c r="Y15" s="9353"/>
      <c r="Z15" s="7792"/>
      <c r="AA15" s="7792"/>
      <c r="AB15" s="9357"/>
      <c r="AC15" s="7792"/>
      <c r="AD15" s="7517" t="s">
        <v>1331</v>
      </c>
      <c r="AE15" s="7517" t="s">
        <v>1349</v>
      </c>
      <c r="AF15" s="7514" t="s">
        <v>1333</v>
      </c>
      <c r="AG15" s="7792"/>
      <c r="AH15" s="7517" t="s">
        <v>1331</v>
      </c>
      <c r="AI15" s="7517" t="s">
        <v>1350</v>
      </c>
      <c r="AJ15" s="7514" t="s">
        <v>1333</v>
      </c>
      <c r="AK15" s="7792"/>
      <c r="AL15" s="7506" t="s">
        <v>529</v>
      </c>
      <c r="AM15" s="7506"/>
      <c r="AN15" s="7510"/>
      <c r="AO15" s="7506" t="s">
        <v>1357</v>
      </c>
      <c r="AP15" s="7515"/>
      <c r="AQ15" s="9353"/>
      <c r="AR15" s="7792"/>
      <c r="AS15" s="7503"/>
      <c r="AT15" s="42"/>
      <c r="AU15" s="40"/>
      <c r="AW15" s="42"/>
      <c r="AX15" s="40"/>
      <c r="AZ15" s="42"/>
      <c r="BD15"/>
      <c r="BE15"/>
      <c r="BF15"/>
      <c r="BG15"/>
      <c r="BH15"/>
      <c r="BI15"/>
      <c r="BJ15"/>
      <c r="BK15"/>
      <c r="BL15"/>
      <c r="BM15"/>
      <c r="BN15"/>
    </row>
    <row r="16" spans="1:66" s="39" customFormat="1">
      <c r="A16" s="44" t="s">
        <v>910</v>
      </c>
      <c r="B16" s="43" t="s">
        <v>911</v>
      </c>
      <c r="C16" s="43"/>
      <c r="D16" s="44" t="s">
        <v>51</v>
      </c>
      <c r="J16" s="39" t="s">
        <v>51</v>
      </c>
      <c r="K16" s="7509"/>
      <c r="L16" s="7513">
        <f>VLOOKUP(D16,Fact1_data!$A$2:$K$20,3,0)</f>
        <v>53.867767333984375</v>
      </c>
      <c r="M16" s="7513">
        <v>15.481729507446291</v>
      </c>
      <c r="N16" s="7513">
        <f t="shared" ref="N16:N33" si="0">L16-M16</f>
        <v>38.386037826538086</v>
      </c>
      <c r="O16" s="7513"/>
      <c r="P16" s="7513">
        <f>VLOOKUP(D16,Fact1_data!$A$2:$K$20,5,0)</f>
        <v>71.004470825195313</v>
      </c>
      <c r="Q16" s="7513">
        <v>38.818126678466797</v>
      </c>
      <c r="R16" s="7513">
        <f t="shared" ref="R16:R33" si="1">P16-Q16</f>
        <v>32.186344146728516</v>
      </c>
      <c r="S16" s="7510"/>
      <c r="T16" s="7509">
        <f>VLOOKUP(D16,Fact1_data!$A$2:$K$20,2,0)</f>
        <v>2021</v>
      </c>
      <c r="U16" s="7513" t="s">
        <v>52</v>
      </c>
      <c r="V16" s="7510"/>
      <c r="W16" s="7509">
        <v>2006</v>
      </c>
      <c r="X16" s="7513" t="s">
        <v>913</v>
      </c>
      <c r="Y16" s="7800" t="s">
        <v>1351</v>
      </c>
      <c r="Z16" s="7792"/>
      <c r="AA16" s="7792"/>
      <c r="AB16" s="39" t="s">
        <v>51</v>
      </c>
      <c r="AC16" s="7792"/>
      <c r="AD16" s="7513">
        <f>VLOOKUP(D16,Fact1_data!$A$2:$K$20,3,0)</f>
        <v>53.867767333984375</v>
      </c>
      <c r="AE16" s="7513">
        <f>IFERROR(VLOOKUP(AB16,WB_poverty!$I$39:$M$56,4,0),"")</f>
        <v>12</v>
      </c>
      <c r="AF16" s="7513">
        <f>AD16-AE16</f>
        <v>41.867767333984375</v>
      </c>
      <c r="AG16" s="7792"/>
      <c r="AH16" s="7513">
        <f>VLOOKUP(D16,Fact1_data!$A$2:$K$20,5,0)</f>
        <v>71.004470825195313</v>
      </c>
      <c r="AI16" s="7513">
        <f>IFERROR(VLOOKUP(J16,WB_poverty!$I$39:$N$56,5,0),"")</f>
        <v>28.29999923706055</v>
      </c>
      <c r="AJ16" s="7513">
        <f>AH16-AI16</f>
        <v>42.704471588134766</v>
      </c>
      <c r="AK16" s="7792"/>
      <c r="AL16" s="7509">
        <f>VLOOKUP(D16,Fact1_data!$A$2:$K$20,2,0)</f>
        <v>2021</v>
      </c>
      <c r="AM16" s="7513" t="s">
        <v>52</v>
      </c>
      <c r="AN16" s="7510"/>
      <c r="AO16" s="7509">
        <f>IFERROR(VLOOKUP(AB16,WB_poverty!$I$39:$N$56,6,0),"")</f>
        <v>2014</v>
      </c>
      <c r="AP16" s="7513" t="s">
        <v>913</v>
      </c>
      <c r="AQ16" s="7800" t="s">
        <v>1351</v>
      </c>
      <c r="AR16" s="7792"/>
      <c r="AT16" s="39" t="s">
        <v>912</v>
      </c>
      <c r="AU16" s="39" t="s">
        <v>913</v>
      </c>
      <c r="AW16" s="39" t="s">
        <v>914</v>
      </c>
      <c r="AY16" s="39" t="s">
        <v>1290</v>
      </c>
      <c r="AZ16" s="144"/>
      <c r="BD16"/>
      <c r="BE16"/>
      <c r="BF16"/>
      <c r="BG16"/>
      <c r="BH16"/>
      <c r="BI16"/>
      <c r="BJ16"/>
      <c r="BK16"/>
      <c r="BL16"/>
      <c r="BM16"/>
      <c r="BN16"/>
    </row>
    <row r="17" spans="1:66" s="45" customFormat="1">
      <c r="A17" s="47" t="s">
        <v>915</v>
      </c>
      <c r="B17" s="46" t="s">
        <v>911</v>
      </c>
      <c r="C17" s="46" t="s">
        <v>911</v>
      </c>
      <c r="D17" s="47" t="s">
        <v>34</v>
      </c>
      <c r="J17" s="39" t="s">
        <v>34</v>
      </c>
      <c r="K17" s="39"/>
      <c r="L17" s="7556">
        <f>VLOOKUP(D17,Fact1_data!$A$2:$K$20,3,0)</f>
        <v>35.109729766845703</v>
      </c>
      <c r="M17" s="7513">
        <v>26.427959442138668</v>
      </c>
      <c r="N17" s="7513">
        <f t="shared" si="0"/>
        <v>8.6817703247070348</v>
      </c>
      <c r="O17" s="7513"/>
      <c r="P17" s="7556">
        <f>VLOOKUP(D17,Fact1_data!$A$2:$K$20,5,0)</f>
        <v>60.174953460693359</v>
      </c>
      <c r="Q17" s="7513">
        <v>49.544521331787109</v>
      </c>
      <c r="R17" s="7513">
        <f t="shared" si="1"/>
        <v>10.63043212890625</v>
      </c>
      <c r="S17" s="7510"/>
      <c r="T17" s="39">
        <f>VLOOKUP(D17,Fact1_data!$A$2:$K$20,2,0)</f>
        <v>2023</v>
      </c>
      <c r="U17" s="7512" t="s">
        <v>35</v>
      </c>
      <c r="V17" s="7510"/>
      <c r="W17" s="39">
        <v>2019</v>
      </c>
      <c r="X17" s="7513" t="s">
        <v>35</v>
      </c>
      <c r="Y17" s="7800" t="s">
        <v>1351</v>
      </c>
      <c r="Z17" s="7792"/>
      <c r="AB17" s="39" t="s">
        <v>34</v>
      </c>
      <c r="AC17" s="7792"/>
      <c r="AD17" s="7513">
        <f>VLOOKUP(D17,Fact1_data!$A$2:$K$20,3,0)</f>
        <v>35.109729766845703</v>
      </c>
      <c r="AE17" s="7513">
        <f>IFERROR(VLOOKUP(AB17,WB_poverty!$I$39:$M$56,4,0),"")</f>
        <v>34.400001525878913</v>
      </c>
      <c r="AF17" s="7513">
        <f t="shared" ref="AF17:AF25" si="2">AD17-AE17</f>
        <v>0.70972824096678977</v>
      </c>
      <c r="AG17" s="7792"/>
      <c r="AH17" s="7513">
        <f>VLOOKUP(D17,Fact1_data!$A$2:$K$20,5,0)</f>
        <v>60.174953460693359</v>
      </c>
      <c r="AI17" s="7513">
        <f>IFERROR(VLOOKUP(J17,WB_poverty!$I$39:$N$56,5,0),"")</f>
        <v>67.800003051757813</v>
      </c>
      <c r="AJ17" s="7513">
        <f t="shared" ref="AJ17:AJ25" si="3">AH17-AI17</f>
        <v>-7.6250495910644531</v>
      </c>
      <c r="AK17" s="7792"/>
      <c r="AL17" s="7509">
        <f>VLOOKUP(D17,Fact1_data!$A$2:$K$20,2,0)</f>
        <v>2023</v>
      </c>
      <c r="AM17" s="7512" t="s">
        <v>35</v>
      </c>
      <c r="AN17" s="7510"/>
      <c r="AO17" s="7509">
        <f>IFERROR(VLOOKUP(AB17,WB_poverty!$I$39:$N$56,6,0),"")</f>
        <v>2021</v>
      </c>
      <c r="AP17" s="7512" t="s">
        <v>35</v>
      </c>
      <c r="AQ17" s="7800" t="s">
        <v>1351</v>
      </c>
      <c r="AR17" s="7792"/>
      <c r="AT17" s="39"/>
      <c r="AU17" s="39"/>
      <c r="AV17" s="39"/>
      <c r="AW17" s="39"/>
      <c r="AX17" s="39"/>
      <c r="AY17" s="39" t="s">
        <v>1291</v>
      </c>
      <c r="AZ17" s="48"/>
      <c r="BD17"/>
      <c r="BE17"/>
      <c r="BF17"/>
      <c r="BG17"/>
      <c r="BH17"/>
      <c r="BI17"/>
      <c r="BJ17"/>
      <c r="BK17"/>
      <c r="BL17"/>
      <c r="BM17"/>
      <c r="BN17"/>
    </row>
    <row r="18" spans="1:66" s="39" customFormat="1">
      <c r="A18" s="47" t="s">
        <v>916</v>
      </c>
      <c r="B18" s="46" t="s">
        <v>911</v>
      </c>
      <c r="C18" s="46" t="s">
        <v>911</v>
      </c>
      <c r="D18" s="47" t="s">
        <v>31</v>
      </c>
      <c r="J18" s="39" t="s">
        <v>31</v>
      </c>
      <c r="L18" s="7556">
        <f>VLOOKUP(D18,Fact1_data!$A$2:$K$20,3,0)</f>
        <v>31.91087532043457</v>
      </c>
      <c r="M18" s="7513">
        <v>25.860233306884769</v>
      </c>
      <c r="N18" s="7513">
        <f t="shared" si="0"/>
        <v>6.0506420135498011</v>
      </c>
      <c r="O18" s="7513"/>
      <c r="P18" s="7556">
        <f>VLOOKUP(D18,Fact1_data!$A$2:$K$20,5,0)</f>
        <v>55.366111755371094</v>
      </c>
      <c r="Q18" s="7513">
        <v>55.400352478027337</v>
      </c>
      <c r="R18" s="7513">
        <f t="shared" si="1"/>
        <v>-3.4240722656242895E-2</v>
      </c>
      <c r="S18" s="7510"/>
      <c r="T18" s="39">
        <f>VLOOKUP(D18,Fact1_data!$A$2:$K$20,2,0)</f>
        <v>2022</v>
      </c>
      <c r="U18" s="7512" t="s">
        <v>32</v>
      </c>
      <c r="V18" s="7510"/>
      <c r="W18" s="39">
        <v>2014</v>
      </c>
      <c r="X18" s="7513" t="s">
        <v>52</v>
      </c>
      <c r="Y18" s="7800" t="s">
        <v>1351</v>
      </c>
      <c r="Z18" s="7792"/>
      <c r="AA18" s="7792"/>
      <c r="AB18" s="39" t="s">
        <v>31</v>
      </c>
      <c r="AC18" s="7792"/>
      <c r="AD18" s="7513">
        <f>VLOOKUP(D18,Fact1_data!$A$2:$K$20,3,0)</f>
        <v>31.91087532043457</v>
      </c>
      <c r="AE18" s="7513">
        <f>IFERROR(VLOOKUP(AB18,WB_poverty!$I$39:$M$56,4,0),"")</f>
        <v>15.39999961853027</v>
      </c>
      <c r="AF18" s="7513">
        <f t="shared" si="2"/>
        <v>16.5108757019043</v>
      </c>
      <c r="AG18" s="7792"/>
      <c r="AH18" s="7513">
        <f>VLOOKUP(D18,Fact1_data!$A$2:$K$20,5,0)</f>
        <v>55.366111755371094</v>
      </c>
      <c r="AI18" s="7513">
        <f>IFERROR(VLOOKUP(J18,WB_poverty!$I$39:$N$56,5,0),"")</f>
        <v>50.5</v>
      </c>
      <c r="AJ18" s="7513">
        <f t="shared" si="3"/>
        <v>4.8661117553710938</v>
      </c>
      <c r="AK18" s="7792"/>
      <c r="AL18" s="7509">
        <f>VLOOKUP(D18,Fact1_data!$A$2:$K$20,2,0)</f>
        <v>2022</v>
      </c>
      <c r="AM18" s="7512" t="s">
        <v>32</v>
      </c>
      <c r="AN18" s="7510"/>
      <c r="AO18" s="7509">
        <f>IFERROR(VLOOKUP(AB18,WB_poverty!$I$39:$N$56,6,0),"")</f>
        <v>2014</v>
      </c>
      <c r="AP18" s="7513" t="s">
        <v>52</v>
      </c>
      <c r="AQ18" s="7800" t="s">
        <v>1351</v>
      </c>
      <c r="AR18" s="7792"/>
      <c r="AY18" s="76" t="s">
        <v>1285</v>
      </c>
      <c r="AZ18" s="48"/>
      <c r="BD18"/>
      <c r="BE18"/>
      <c r="BF18"/>
      <c r="BG18"/>
      <c r="BH18"/>
      <c r="BI18"/>
      <c r="BJ18"/>
      <c r="BK18"/>
      <c r="BL18"/>
      <c r="BM18"/>
      <c r="BN18"/>
    </row>
    <row r="19" spans="1:66" s="39" customFormat="1">
      <c r="A19" s="44" t="s">
        <v>33</v>
      </c>
      <c r="B19" s="43" t="s">
        <v>911</v>
      </c>
      <c r="C19" s="43"/>
      <c r="D19" s="44" t="s">
        <v>33</v>
      </c>
      <c r="J19" s="39" t="s">
        <v>33</v>
      </c>
      <c r="L19" s="7556">
        <f>VLOOKUP(D19,Fact1_data!$A$2:$K$20,3,0)</f>
        <v>31.99846076965332</v>
      </c>
      <c r="M19" s="7513">
        <v>24.88643646240234</v>
      </c>
      <c r="N19" s="7513">
        <f t="shared" si="0"/>
        <v>7.1120243072509801</v>
      </c>
      <c r="O19" s="7513"/>
      <c r="P19" s="7556">
        <f>VLOOKUP(D19,Fact1_data!$A$2:$K$20,5,0)</f>
        <v>57.939888000488281</v>
      </c>
      <c r="Q19" s="7513">
        <v>56.56500244140625</v>
      </c>
      <c r="R19" s="7513">
        <f t="shared" si="1"/>
        <v>1.3748855590820313</v>
      </c>
      <c r="S19" s="7510"/>
      <c r="T19" s="39">
        <f>VLOOKUP(D19,Fact1_data!$A$2:$K$20,2,0)</f>
        <v>2021</v>
      </c>
      <c r="U19" s="7512" t="s">
        <v>13</v>
      </c>
      <c r="V19" s="7510"/>
      <c r="W19" s="39">
        <v>1998</v>
      </c>
      <c r="X19" t="s">
        <v>1287</v>
      </c>
      <c r="Y19" s="7800" t="s">
        <v>1351</v>
      </c>
      <c r="AA19" s="7792"/>
      <c r="AB19" s="39" t="s">
        <v>33</v>
      </c>
      <c r="AD19" s="7513">
        <f>VLOOKUP(D19,Fact1_data!$A$2:$K$20,3,0)</f>
        <v>31.99846076965332</v>
      </c>
      <c r="AE19" s="7513"/>
      <c r="AF19" s="7513">
        <f t="shared" si="2"/>
        <v>31.99846076965332</v>
      </c>
      <c r="AH19" s="7513">
        <f>VLOOKUP(D19,Fact1_data!$A$2:$K$20,5,0)</f>
        <v>57.939888000488281</v>
      </c>
      <c r="AI19" s="7513"/>
      <c r="AJ19" s="7513"/>
      <c r="AL19" s="7509">
        <f>VLOOKUP(D19,Fact1_data!$A$2:$K$20,2,0)</f>
        <v>2021</v>
      </c>
      <c r="AM19" s="7512" t="s">
        <v>13</v>
      </c>
      <c r="AN19" s="7510"/>
      <c r="AO19" s="7509" t="str">
        <f>IFERROR(VLOOKUP(AB19,WB_poverty!$I$39:$N$56,6,0),"")</f>
        <v/>
      </c>
      <c r="AP19" s="7518"/>
      <c r="AQ19" s="7800" t="s">
        <v>1351</v>
      </c>
      <c r="AY19" s="7508" t="s">
        <v>1286</v>
      </c>
      <c r="AZ19" s="144"/>
      <c r="BD19"/>
      <c r="BE19"/>
      <c r="BF19"/>
      <c r="BG19"/>
      <c r="BH19"/>
      <c r="BI19"/>
      <c r="BJ19"/>
      <c r="BK19"/>
      <c r="BL19"/>
      <c r="BM19"/>
      <c r="BN19"/>
    </row>
    <row r="20" spans="1:66" s="39" customFormat="1">
      <c r="A20" s="39" t="s">
        <v>917</v>
      </c>
      <c r="B20" s="66" t="s">
        <v>911</v>
      </c>
      <c r="C20" s="66" t="s">
        <v>911</v>
      </c>
      <c r="D20" s="39" t="s">
        <v>17</v>
      </c>
      <c r="J20" s="39" t="s">
        <v>17</v>
      </c>
      <c r="L20" s="7556">
        <f>VLOOKUP(D20,Fact1_data!$A$2:$K$20,3,0)</f>
        <v>10.865315437316895</v>
      </c>
      <c r="M20" s="7513">
        <v>8.415013313293457</v>
      </c>
      <c r="N20" s="7513">
        <f t="shared" si="0"/>
        <v>2.4503021240234375</v>
      </c>
      <c r="O20" s="7513"/>
      <c r="P20" s="7556">
        <f>VLOOKUP(D20,Fact1_data!$A$2:$K$20,5,0)</f>
        <v>29.435735702514648</v>
      </c>
      <c r="Q20" s="7513">
        <v>23.458377838134769</v>
      </c>
      <c r="R20" s="7513">
        <f t="shared" si="1"/>
        <v>5.9773578643798793</v>
      </c>
      <c r="S20" s="7510"/>
      <c r="T20" s="39">
        <f>VLOOKUP(D20,Fact1_data!$A$2:$K$20,2,0)</f>
        <v>2022</v>
      </c>
      <c r="U20" s="7512" t="s">
        <v>1289</v>
      </c>
      <c r="V20" s="7510"/>
      <c r="W20" s="39">
        <v>2022</v>
      </c>
      <c r="X20" s="7512" t="s">
        <v>1289</v>
      </c>
      <c r="Y20" s="7800" t="s">
        <v>1351</v>
      </c>
      <c r="AB20" s="39" t="s">
        <v>17</v>
      </c>
      <c r="AD20" s="7513">
        <f>VLOOKUP(D20,Fact1_data!$A$2:$K$20,3,0)</f>
        <v>10.865315437316895</v>
      </c>
      <c r="AE20" s="7513">
        <f>IFERROR(VLOOKUP(AB20,WB_poverty!$I$39:$M$56,4,0),"")</f>
        <v>5.3000001907348633</v>
      </c>
      <c r="AF20" s="7513">
        <f t="shared" si="2"/>
        <v>5.5653152465820313</v>
      </c>
      <c r="AH20" s="7513">
        <f>VLOOKUP(D20,Fact1_data!$A$2:$K$20,5,0)</f>
        <v>29.435735702514648</v>
      </c>
      <c r="AI20" s="7513">
        <f>IFERROR(VLOOKUP(J20,WB_poverty!$I$39:$N$56,5,0),"")</f>
        <v>19.60000038146973</v>
      </c>
      <c r="AJ20" s="7513">
        <f t="shared" si="3"/>
        <v>9.8357353210449183</v>
      </c>
      <c r="AL20" s="7509">
        <f>VLOOKUP(D20,Fact1_data!$A$2:$K$20,2,0)</f>
        <v>2022</v>
      </c>
      <c r="AM20" s="7512" t="s">
        <v>1289</v>
      </c>
      <c r="AN20" s="7510"/>
      <c r="AO20" s="7509">
        <f>IFERROR(VLOOKUP(AB20,WB_poverty!$I$39:$N$56,6,0),"")</f>
        <v>2022</v>
      </c>
      <c r="AP20" s="7512" t="s">
        <v>18</v>
      </c>
      <c r="AQ20" s="7800" t="s">
        <v>1351</v>
      </c>
      <c r="AT20" s="39" t="s">
        <v>912</v>
      </c>
      <c r="AU20" s="39" t="s">
        <v>918</v>
      </c>
      <c r="AY20" s="45" t="s">
        <v>1288</v>
      </c>
      <c r="AZ20" s="48"/>
      <c r="BD20"/>
      <c r="BE20"/>
      <c r="BF20"/>
      <c r="BG20"/>
      <c r="BH20"/>
      <c r="BI20"/>
      <c r="BJ20"/>
      <c r="BK20"/>
      <c r="BL20"/>
      <c r="BM20"/>
      <c r="BN20"/>
    </row>
    <row r="21" spans="1:66" s="39" customFormat="1">
      <c r="A21" s="47" t="s">
        <v>919</v>
      </c>
      <c r="B21" s="46" t="s">
        <v>911</v>
      </c>
      <c r="C21" s="46" t="s">
        <v>911</v>
      </c>
      <c r="D21" s="47" t="s">
        <v>23</v>
      </c>
      <c r="J21" s="39" t="s">
        <v>23</v>
      </c>
      <c r="L21" s="7556">
        <f>VLOOKUP(D21,Fact1_data!$A$2:$K$20,3,0)</f>
        <v>19.512697219848633</v>
      </c>
      <c r="M21" s="7513">
        <v>14.04505443572998</v>
      </c>
      <c r="N21" s="7513">
        <f t="shared" si="0"/>
        <v>5.4676427841186523</v>
      </c>
      <c r="O21" s="7513"/>
      <c r="P21" s="7556">
        <f>VLOOKUP(D21,Fact1_data!$A$2:$K$20,5,0)</f>
        <v>41.222324371337891</v>
      </c>
      <c r="Q21" s="7513">
        <v>34.785388946533203</v>
      </c>
      <c r="R21" s="7513">
        <f t="shared" si="1"/>
        <v>6.4369354248046875</v>
      </c>
      <c r="S21" s="7510"/>
      <c r="T21" s="39">
        <f>VLOOKUP(D21,Fact1_data!$A$2:$K$20,2,0)</f>
        <v>2022</v>
      </c>
      <c r="U21" s="7512" t="s">
        <v>24</v>
      </c>
      <c r="V21" s="7510"/>
      <c r="W21" s="39">
        <v>2022</v>
      </c>
      <c r="X21" s="7512" t="s">
        <v>24</v>
      </c>
      <c r="Y21" s="7800" t="s">
        <v>1351</v>
      </c>
      <c r="AB21" s="39" t="s">
        <v>23</v>
      </c>
      <c r="AD21" s="7513">
        <f>VLOOKUP(D21,Fact1_data!$A$2:$K$20,3,0)</f>
        <v>19.512697219848633</v>
      </c>
      <c r="AE21" s="7513">
        <f>IFERROR(VLOOKUP(AB21,WB_poverty!$I$39:$M$56,4,0),"")</f>
        <v>14.39999961853027</v>
      </c>
      <c r="AF21" s="7513">
        <f t="shared" si="2"/>
        <v>5.1126976013183629</v>
      </c>
      <c r="AH21" s="7513">
        <f>VLOOKUP(D21,Fact1_data!$A$2:$K$20,5,0)</f>
        <v>41.222324371337891</v>
      </c>
      <c r="AI21" s="7513">
        <f>IFERROR(VLOOKUP(J21,WB_poverty!$I$39:$N$56,5,0),"")</f>
        <v>33.799999237060547</v>
      </c>
      <c r="AJ21" s="7513">
        <f t="shared" si="3"/>
        <v>7.4223251342773438</v>
      </c>
      <c r="AL21" s="7509">
        <f>VLOOKUP(D21,Fact1_data!$A$2:$K$20,2,0)</f>
        <v>2022</v>
      </c>
      <c r="AM21" s="7512" t="s">
        <v>24</v>
      </c>
      <c r="AN21" s="7510"/>
      <c r="AO21" s="7509">
        <f>IFERROR(VLOOKUP(AB21,WB_poverty!$I$39:$N$56,6,0),"")</f>
        <v>2021</v>
      </c>
      <c r="AP21" s="7512" t="s">
        <v>24</v>
      </c>
      <c r="AQ21" s="7800" t="s">
        <v>1351</v>
      </c>
      <c r="AY21" s="39" t="s">
        <v>1292</v>
      </c>
      <c r="AZ21" s="48"/>
      <c r="BD21"/>
      <c r="BE21"/>
      <c r="BF21"/>
      <c r="BG21"/>
      <c r="BH21"/>
      <c r="BI21"/>
      <c r="BJ21"/>
      <c r="BK21"/>
      <c r="BL21"/>
      <c r="BM21"/>
      <c r="BN21"/>
    </row>
    <row r="22" spans="1:66" s="39" customFormat="1">
      <c r="A22" s="47" t="s">
        <v>920</v>
      </c>
      <c r="B22" s="46" t="s">
        <v>911</v>
      </c>
      <c r="C22" s="46" t="s">
        <v>911</v>
      </c>
      <c r="D22" s="47" t="s">
        <v>29</v>
      </c>
      <c r="J22" s="39" t="s">
        <v>29</v>
      </c>
      <c r="L22" s="7556">
        <f>VLOOKUP(D22,Fact1_data!$A$2:$K$20,3,0)</f>
        <v>15.846808433532715</v>
      </c>
      <c r="M22" s="7513">
        <v>9.4800472259521484</v>
      </c>
      <c r="N22" s="7513">
        <f t="shared" si="0"/>
        <v>6.3667612075805664</v>
      </c>
      <c r="O22" s="7513"/>
      <c r="P22" s="7556">
        <f>VLOOKUP(D22,Fact1_data!$A$2:$K$20,5,0)</f>
        <v>40.369815826416016</v>
      </c>
      <c r="Q22" s="7513">
        <v>29.931489944458011</v>
      </c>
      <c r="R22" s="7513">
        <f t="shared" si="1"/>
        <v>10.438325881958004</v>
      </c>
      <c r="S22" s="7510"/>
      <c r="T22" s="39">
        <f>VLOOKUP(D22,Fact1_data!$A$2:$K$20,2,0)</f>
        <v>2023</v>
      </c>
      <c r="U22" s="7512" t="s">
        <v>30</v>
      </c>
      <c r="V22" s="7510"/>
      <c r="W22" s="39">
        <v>2022</v>
      </c>
      <c r="X22" s="7512" t="s">
        <v>30</v>
      </c>
      <c r="Y22" s="7800" t="s">
        <v>1351</v>
      </c>
      <c r="AB22" s="39" t="s">
        <v>29</v>
      </c>
      <c r="AD22" s="7513">
        <f>VLOOKUP(D22,Fact1_data!$A$2:$K$20,3,0)</f>
        <v>15.846808433532715</v>
      </c>
      <c r="AE22" s="7513">
        <f>IFERROR(VLOOKUP(AB22,WB_poverty!$I$39:$M$56,4,0),"")</f>
        <v>6.9000000953674316</v>
      </c>
      <c r="AF22" s="7513">
        <f t="shared" si="2"/>
        <v>8.9468083381652832</v>
      </c>
      <c r="AH22" s="7513">
        <f>VLOOKUP(D22,Fact1_data!$A$2:$K$20,5,0)</f>
        <v>40.369815826416016</v>
      </c>
      <c r="AI22" s="7513">
        <f>IFERROR(VLOOKUP(J22,WB_poverty!$I$39:$N$56,5,0),"")</f>
        <v>25.70000076293945</v>
      </c>
      <c r="AJ22" s="7513">
        <f t="shared" si="3"/>
        <v>14.669815063476566</v>
      </c>
      <c r="AL22" s="7509">
        <f>VLOOKUP(D22,Fact1_data!$A$2:$K$20,2,0)</f>
        <v>2023</v>
      </c>
      <c r="AM22" s="7512" t="s">
        <v>30</v>
      </c>
      <c r="AN22" s="7510"/>
      <c r="AO22" s="7509">
        <f>IFERROR(VLOOKUP(AB22,WB_poverty!$I$39:$N$56,6,0),"")</f>
        <v>2022</v>
      </c>
      <c r="AP22" s="7512" t="s">
        <v>30</v>
      </c>
      <c r="AQ22" s="7800" t="s">
        <v>1351</v>
      </c>
      <c r="AY22" s="39" t="s">
        <v>1293</v>
      </c>
      <c r="AZ22" s="48"/>
      <c r="BD22"/>
      <c r="BE22"/>
      <c r="BF22"/>
      <c r="BG22"/>
      <c r="BH22"/>
      <c r="BI22"/>
      <c r="BJ22"/>
      <c r="BK22"/>
      <c r="BL22"/>
      <c r="BM22"/>
      <c r="BN22"/>
    </row>
    <row r="23" spans="1:66" s="39" customFormat="1">
      <c r="A23" s="47" t="s">
        <v>921</v>
      </c>
      <c r="B23" s="46" t="s">
        <v>911</v>
      </c>
      <c r="C23" s="46" t="s">
        <v>911</v>
      </c>
      <c r="D23" s="47" t="s">
        <v>46</v>
      </c>
      <c r="J23" s="39" t="s">
        <v>46</v>
      </c>
      <c r="L23" s="7556">
        <f>VLOOKUP(D23,Fact1_data!$A$2:$K$20,3,0)</f>
        <v>15.566752433776855</v>
      </c>
      <c r="M23" s="7513">
        <v>8.6418218612670898</v>
      </c>
      <c r="N23" s="7513">
        <f t="shared" si="0"/>
        <v>6.9249305725097656</v>
      </c>
      <c r="O23" s="7513"/>
      <c r="P23" s="7556">
        <f>VLOOKUP(D23,Fact1_data!$A$2:$K$20,5,0)</f>
        <v>38.657855987548828</v>
      </c>
      <c r="Q23" s="7513">
        <v>27.488307952880859</v>
      </c>
      <c r="R23" s="7513">
        <f t="shared" si="1"/>
        <v>11.169548034667969</v>
      </c>
      <c r="S23" s="7510"/>
      <c r="T23" s="39">
        <f>VLOOKUP(D23,Fact1_data!$A$2:$K$20,2,0)</f>
        <v>2023</v>
      </c>
      <c r="U23" s="7512" t="s">
        <v>43</v>
      </c>
      <c r="V23" s="7510"/>
      <c r="W23" s="39">
        <v>2022</v>
      </c>
      <c r="X23" s="7512" t="s">
        <v>43</v>
      </c>
      <c r="Y23" s="7800" t="s">
        <v>1351</v>
      </c>
      <c r="AB23" s="39" t="s">
        <v>46</v>
      </c>
      <c r="AD23" s="7513">
        <f>VLOOKUP(D23,Fact1_data!$A$2:$K$20,3,0)</f>
        <v>15.566752433776855</v>
      </c>
      <c r="AE23" s="7513">
        <f>IFERROR(VLOOKUP(AB23,WB_poverty!$I$39:$M$56,4,0),"")</f>
        <v>8.6999998092651367</v>
      </c>
      <c r="AF23" s="7513">
        <f t="shared" si="2"/>
        <v>6.8667526245117188</v>
      </c>
      <c r="AH23" s="7513">
        <f>VLOOKUP(D23,Fact1_data!$A$2:$K$20,5,0)</f>
        <v>38.657855987548828</v>
      </c>
      <c r="AI23" s="7513">
        <f>IFERROR(VLOOKUP(J23,WB_poverty!$I$39:$N$56,5,0),"")</f>
        <v>29.79999923706055</v>
      </c>
      <c r="AJ23" s="7513">
        <f t="shared" si="3"/>
        <v>8.8578567504882777</v>
      </c>
      <c r="AL23" s="7509">
        <f>VLOOKUP(D23,Fact1_data!$A$2:$K$20,2,0)</f>
        <v>2023</v>
      </c>
      <c r="AM23" s="7512" t="s">
        <v>43</v>
      </c>
      <c r="AN23" s="7510"/>
      <c r="AO23" s="7509">
        <f>IFERROR(VLOOKUP(AB23,WB_poverty!$I$39:$N$56,6,0),"")</f>
        <v>2022</v>
      </c>
      <c r="AP23" s="7512" t="s">
        <v>43</v>
      </c>
      <c r="AQ23" s="7800" t="s">
        <v>1351</v>
      </c>
      <c r="AY23" s="7508" t="s">
        <v>1294</v>
      </c>
      <c r="AZ23" s="48"/>
      <c r="BD23"/>
      <c r="BE23"/>
      <c r="BF23"/>
      <c r="BG23"/>
      <c r="BH23"/>
      <c r="BI23"/>
      <c r="BJ23"/>
      <c r="BK23"/>
      <c r="BL23"/>
      <c r="BM23"/>
      <c r="BN23"/>
    </row>
    <row r="24" spans="1:66" s="39" customFormat="1">
      <c r="A24" s="47" t="s">
        <v>922</v>
      </c>
      <c r="B24" s="46" t="s">
        <v>911</v>
      </c>
      <c r="C24" s="46" t="s">
        <v>911</v>
      </c>
      <c r="D24" s="47" t="s">
        <v>45</v>
      </c>
      <c r="J24" s="39" t="s">
        <v>45</v>
      </c>
      <c r="L24" s="7556">
        <f>VLOOKUP(D24,Fact1_data!$A$2:$K$20,3,0)</f>
        <v>12.367045402526855</v>
      </c>
      <c r="M24" s="7513">
        <v>5.6085600852966309</v>
      </c>
      <c r="N24" s="7513">
        <f t="shared" si="0"/>
        <v>6.7584853172302246</v>
      </c>
      <c r="O24" s="7513"/>
      <c r="P24" s="7556">
        <f>VLOOKUP(D24,Fact1_data!$A$2:$K$20,5,0)</f>
        <v>31.323837280273438</v>
      </c>
      <c r="Q24" s="7513">
        <v>19.904827117919918</v>
      </c>
      <c r="R24" s="7513">
        <f t="shared" si="1"/>
        <v>11.419010162353519</v>
      </c>
      <c r="S24" s="7510"/>
      <c r="T24" s="39">
        <f>VLOOKUP(D24,Fact1_data!$A$2:$K$20,2,0)</f>
        <v>2022</v>
      </c>
      <c r="U24" s="7512" t="s">
        <v>11</v>
      </c>
      <c r="V24" s="7510"/>
      <c r="W24" s="39">
        <v>2022</v>
      </c>
      <c r="X24" s="7512" t="s">
        <v>1296</v>
      </c>
      <c r="Y24" s="7800" t="s">
        <v>1351</v>
      </c>
      <c r="AB24" s="39" t="s">
        <v>45</v>
      </c>
      <c r="AD24" s="7513">
        <f>VLOOKUP(D24,Fact1_data!$A$2:$K$20,3,0)</f>
        <v>12.367045402526855</v>
      </c>
      <c r="AE24" s="7513">
        <f>IFERROR(VLOOKUP(AB24,WB_poverty!$I$39:$M$56,4,0),"")</f>
        <v>7.9000000953674316</v>
      </c>
      <c r="AF24" s="7513">
        <f t="shared" si="2"/>
        <v>4.4670453071594238</v>
      </c>
      <c r="AH24" s="7513">
        <f>VLOOKUP(D24,Fact1_data!$A$2:$K$20,5,0)</f>
        <v>31.323837280273438</v>
      </c>
      <c r="AI24" s="7513">
        <f>IFERROR(VLOOKUP(J24,WB_poverty!$I$39:$N$56,5,0),"")</f>
        <v>21.10000038146973</v>
      </c>
      <c r="AJ24" s="7513">
        <f t="shared" si="3"/>
        <v>10.223836898803707</v>
      </c>
      <c r="AL24" s="7509">
        <f>VLOOKUP(D24,Fact1_data!$A$2:$K$20,2,0)</f>
        <v>2022</v>
      </c>
      <c r="AM24" s="7512" t="s">
        <v>11</v>
      </c>
      <c r="AN24" s="7510"/>
      <c r="AO24" s="7509">
        <f>IFERROR(VLOOKUP(AB24,WB_poverty!$I$39:$N$56,6,0),"")</f>
        <v>2022</v>
      </c>
      <c r="AP24" s="7512" t="s">
        <v>1296</v>
      </c>
      <c r="AQ24" s="7800" t="s">
        <v>1351</v>
      </c>
      <c r="AY24" s="76" t="s">
        <v>1295</v>
      </c>
      <c r="AZ24" s="48"/>
      <c r="BD24"/>
      <c r="BE24"/>
      <c r="BF24"/>
      <c r="BG24"/>
      <c r="BH24"/>
      <c r="BI24"/>
      <c r="BJ24"/>
      <c r="BK24"/>
      <c r="BL24"/>
      <c r="BM24"/>
      <c r="BN24"/>
    </row>
    <row r="25" spans="1:66" s="39" customFormat="1">
      <c r="A25" s="47" t="s">
        <v>923</v>
      </c>
      <c r="B25" s="46" t="s">
        <v>911</v>
      </c>
      <c r="C25" s="46" t="s">
        <v>911</v>
      </c>
      <c r="D25" s="47" t="s">
        <v>15</v>
      </c>
      <c r="J25" s="39" t="s">
        <v>15</v>
      </c>
      <c r="L25" s="7556">
        <f>VLOOKUP(D25,Fact1_data!$A$2:$K$20,3,0)</f>
        <v>9.1588373184204102</v>
      </c>
      <c r="M25" s="7513">
        <v>5.4037213325500488</v>
      </c>
      <c r="N25" s="7513">
        <f t="shared" si="0"/>
        <v>3.7551159858703613</v>
      </c>
      <c r="O25" s="7513"/>
      <c r="P25" s="7556">
        <f>VLOOKUP(D25,Fact1_data!$A$2:$K$20,5,0)</f>
        <v>21.749509811401367</v>
      </c>
      <c r="Q25" s="7513">
        <v>15.183597564697269</v>
      </c>
      <c r="R25" s="7513">
        <f t="shared" si="1"/>
        <v>6.565912246704098</v>
      </c>
      <c r="S25" s="7510"/>
      <c r="T25" s="39">
        <f>VLOOKUP(D25,Fact1_data!$A$2:$K$20,2,0)</f>
        <v>2022</v>
      </c>
      <c r="U25" s="7512" t="s">
        <v>16</v>
      </c>
      <c r="V25" s="7510"/>
      <c r="W25" s="39">
        <v>2021</v>
      </c>
      <c r="X25" s="7513" t="s">
        <v>249</v>
      </c>
      <c r="Y25" s="7800" t="s">
        <v>1351</v>
      </c>
      <c r="AB25" s="39" t="s">
        <v>15</v>
      </c>
      <c r="AD25" s="7513">
        <f>VLOOKUP(D25,Fact1_data!$A$2:$K$20,3,0)</f>
        <v>9.1588373184204102</v>
      </c>
      <c r="AE25" s="7513">
        <f>IFERROR(VLOOKUP(AB25,WB_poverty!$I$39:$M$56,4,0),"")</f>
        <v>10</v>
      </c>
      <c r="AF25" s="7513">
        <f t="shared" si="2"/>
        <v>-0.84116268157958984</v>
      </c>
      <c r="AH25" s="7513">
        <f>VLOOKUP(D25,Fact1_data!$A$2:$K$20,5,0)</f>
        <v>21.749509811401367</v>
      </c>
      <c r="AI25" s="7513">
        <f>IFERROR(VLOOKUP(J25,WB_poverty!$I$39:$N$56,5,0),"")</f>
        <v>29</v>
      </c>
      <c r="AJ25" s="7513">
        <f t="shared" si="3"/>
        <v>-7.2504901885986328</v>
      </c>
      <c r="AL25" s="7509">
        <f>VLOOKUP(D25,Fact1_data!$A$2:$K$20,2,0)</f>
        <v>2022</v>
      </c>
      <c r="AM25" s="7512" t="s">
        <v>16</v>
      </c>
      <c r="AN25" s="7510"/>
      <c r="AO25" s="7509">
        <f>IFERROR(VLOOKUP(AB25,WB_poverty!$I$39:$N$56,6,0),"")</f>
        <v>2021</v>
      </c>
      <c r="AP25" s="7512" t="s">
        <v>16</v>
      </c>
      <c r="AQ25" s="7800" t="s">
        <v>1351</v>
      </c>
      <c r="AY25" s="39" t="s">
        <v>1297</v>
      </c>
      <c r="AZ25" s="48"/>
      <c r="BD25"/>
      <c r="BE25"/>
      <c r="BF25"/>
      <c r="BG25"/>
      <c r="BH25"/>
      <c r="BI25"/>
      <c r="BJ25"/>
      <c r="BK25"/>
      <c r="BL25"/>
      <c r="BM25"/>
      <c r="BN25"/>
    </row>
    <row r="26" spans="1:66" s="39" customFormat="1">
      <c r="A26" s="47" t="s">
        <v>924</v>
      </c>
      <c r="B26" s="46" t="s">
        <v>911</v>
      </c>
      <c r="C26" s="46" t="s">
        <v>911</v>
      </c>
      <c r="D26" s="47" t="s">
        <v>42</v>
      </c>
      <c r="J26" s="39" t="s">
        <v>42</v>
      </c>
      <c r="L26" s="7556">
        <f>VLOOKUP(D26,Fact1_data!$A$2:$K$20,3,0)</f>
        <v>8.9458808898925781</v>
      </c>
      <c r="M26" s="7513">
        <v>4.4063611030578613</v>
      </c>
      <c r="N26" s="7513">
        <f t="shared" si="0"/>
        <v>4.5395197868347168</v>
      </c>
      <c r="O26" s="7513"/>
      <c r="P26" s="7556">
        <f>VLOOKUP(D26,Fact1_data!$A$2:$K$20,5,0)</f>
        <v>19.437280654907227</v>
      </c>
      <c r="Q26" s="7513">
        <v>12.941328048706049</v>
      </c>
      <c r="R26" s="7513">
        <f t="shared" si="1"/>
        <v>6.4959526062011772</v>
      </c>
      <c r="S26" s="7510"/>
      <c r="T26" s="39">
        <f>VLOOKUP(D26,Fact1_data!$A$2:$K$20,2,0)</f>
        <v>2022</v>
      </c>
      <c r="U26" s="7512" t="s">
        <v>43</v>
      </c>
      <c r="V26" s="7510"/>
      <c r="W26" s="39">
        <v>2023</v>
      </c>
      <c r="X26" s="7513" t="s">
        <v>249</v>
      </c>
      <c r="Y26" s="7800" t="s">
        <v>1351</v>
      </c>
      <c r="AB26" s="39" t="s">
        <v>42</v>
      </c>
      <c r="AD26" s="7513">
        <f>VLOOKUP(D26,Fact1_data!$A$2:$K$20,3,0)</f>
        <v>8.9458808898925781</v>
      </c>
      <c r="AE26" s="7513">
        <f>IFERROR(VLOOKUP(AB26,WB_poverty!$I$39:$M$56,4,0),"")</f>
        <v>6.5999999046325684</v>
      </c>
      <c r="AF26" s="7513">
        <f t="shared" ref="AF26:AF33" si="4">AD26-AE26</f>
        <v>2.3458809852600098</v>
      </c>
      <c r="AH26" s="7513">
        <f>VLOOKUP(D26,Fact1_data!$A$2:$K$20,5,0)</f>
        <v>19.437280654907227</v>
      </c>
      <c r="AI26" s="7513">
        <f>IFERROR(VLOOKUP(J26,WB_poverty!$I$39:$N$56,5,0),"")</f>
        <v>14.30000019073486</v>
      </c>
      <c r="AJ26" s="7513">
        <f t="shared" ref="AJ26:AJ33" si="5">AH26-AI26</f>
        <v>5.1372804641723668</v>
      </c>
      <c r="AL26" s="7509">
        <f>VLOOKUP(D26,Fact1_data!$A$2:$K$20,2,0)</f>
        <v>2022</v>
      </c>
      <c r="AM26" s="7512" t="s">
        <v>43</v>
      </c>
      <c r="AN26" s="7510"/>
      <c r="AO26" s="7509">
        <f>IFERROR(VLOOKUP(AB26,WB_poverty!$I$39:$N$56,6,0),"")</f>
        <v>2022</v>
      </c>
      <c r="AP26" s="7513" t="s">
        <v>249</v>
      </c>
      <c r="AQ26" s="7800" t="s">
        <v>1351</v>
      </c>
      <c r="AY26" s="39" t="s">
        <v>1298</v>
      </c>
      <c r="AZ26" s="48"/>
      <c r="BD26"/>
      <c r="BE26"/>
      <c r="BF26"/>
      <c r="BG26"/>
      <c r="BH26"/>
      <c r="BI26"/>
      <c r="BJ26"/>
      <c r="BK26"/>
      <c r="BL26"/>
      <c r="BM26"/>
      <c r="BN26"/>
    </row>
    <row r="27" spans="1:66" s="39" customFormat="1">
      <c r="A27" s="47" t="s">
        <v>925</v>
      </c>
      <c r="B27" s="46" t="s">
        <v>911</v>
      </c>
      <c r="C27" s="46" t="s">
        <v>911</v>
      </c>
      <c r="D27" s="47" t="s">
        <v>38</v>
      </c>
      <c r="J27" s="39" t="s">
        <v>38</v>
      </c>
      <c r="L27" s="7556">
        <f>VLOOKUP(D27,Fact1_data!$A$2:$K$20,3,0)</f>
        <v>10.268985748291016</v>
      </c>
      <c r="M27" s="7513">
        <v>4.691251277923584</v>
      </c>
      <c r="N27" s="7513">
        <f t="shared" si="0"/>
        <v>5.5777344703674316</v>
      </c>
      <c r="O27" s="7513"/>
      <c r="P27" s="7556">
        <f>VLOOKUP(D27,Fact1_data!$A$2:$K$20,5,0)</f>
        <v>31.975204467773438</v>
      </c>
      <c r="Q27" s="7513">
        <v>21.77182579040527</v>
      </c>
      <c r="R27" s="7513">
        <f t="shared" si="1"/>
        <v>10.203378677368168</v>
      </c>
      <c r="S27" s="7510"/>
      <c r="T27" s="39">
        <f>VLOOKUP(D27,Fact1_data!$A$2:$K$20,2,0)</f>
        <v>2022</v>
      </c>
      <c r="U27" s="7512" t="s">
        <v>39</v>
      </c>
      <c r="V27" s="7510"/>
      <c r="W27" s="39">
        <v>2022</v>
      </c>
      <c r="X27" s="7513" t="s">
        <v>39</v>
      </c>
      <c r="Y27" s="7800" t="s">
        <v>1351</v>
      </c>
      <c r="AB27" s="39" t="s">
        <v>38</v>
      </c>
      <c r="AD27" s="7513">
        <f>VLOOKUP(D27,Fact1_data!$A$2:$K$20,3,0)</f>
        <v>10.268985748291016</v>
      </c>
      <c r="AE27" s="7513">
        <f>IFERROR(VLOOKUP(AB27,WB_poverty!$I$39:$M$56,4,0),"")</f>
        <v>6.1999998092651367</v>
      </c>
      <c r="AF27" s="7513">
        <f t="shared" si="4"/>
        <v>4.0689859390258789</v>
      </c>
      <c r="AH27" s="7513">
        <f>VLOOKUP(D27,Fact1_data!$A$2:$K$20,5,0)</f>
        <v>31.975204467773438</v>
      </c>
      <c r="AI27" s="7513">
        <f>IFERROR(VLOOKUP(J27,WB_poverty!$I$39:$N$56,5,0),"")</f>
        <v>28.60000038146973</v>
      </c>
      <c r="AJ27" s="7513">
        <f t="shared" si="5"/>
        <v>3.3752040863037074</v>
      </c>
      <c r="AL27" s="7509">
        <f>VLOOKUP(D27,Fact1_data!$A$2:$K$20,2,0)</f>
        <v>2022</v>
      </c>
      <c r="AM27" s="7512" t="s">
        <v>39</v>
      </c>
      <c r="AN27" s="7510"/>
      <c r="AO27" s="7509">
        <f>IFERROR(VLOOKUP(AB27,WB_poverty!$I$39:$N$56,6,0),"")</f>
        <v>2022</v>
      </c>
      <c r="AP27" s="7513" t="s">
        <v>39</v>
      </c>
      <c r="AQ27" s="7800" t="s">
        <v>1351</v>
      </c>
      <c r="AY27" s="39" t="s">
        <v>1299</v>
      </c>
      <c r="AZ27" s="48"/>
      <c r="BD27"/>
      <c r="BE27"/>
      <c r="BF27"/>
      <c r="BG27"/>
      <c r="BH27"/>
      <c r="BI27"/>
      <c r="BJ27"/>
      <c r="BK27"/>
      <c r="BL27"/>
      <c r="BM27"/>
      <c r="BN27"/>
    </row>
    <row r="28" spans="1:66" s="45" customFormat="1">
      <c r="A28" s="47" t="s">
        <v>926</v>
      </c>
      <c r="B28" s="46" t="s">
        <v>911</v>
      </c>
      <c r="C28" s="46" t="s">
        <v>911</v>
      </c>
      <c r="D28" s="47" t="s">
        <v>44</v>
      </c>
      <c r="J28" s="39" t="s">
        <v>44</v>
      </c>
      <c r="K28" s="39"/>
      <c r="L28" s="7556">
        <f>VLOOKUP(D28,Fact1_data!$A$2:$K$20,3,0)</f>
        <v>12.462396621704102</v>
      </c>
      <c r="M28" s="7513">
        <v>9.4852790832519531</v>
      </c>
      <c r="N28" s="7513">
        <f t="shared" si="0"/>
        <v>2.9771175384521484</v>
      </c>
      <c r="O28" s="7513"/>
      <c r="P28" s="7556">
        <f>VLOOKUP(D28,Fact1_data!$A$2:$K$20,5,0)</f>
        <v>37.667442321777344</v>
      </c>
      <c r="Q28" s="7513">
        <v>32.223312377929688</v>
      </c>
      <c r="R28" s="7513">
        <f t="shared" si="1"/>
        <v>5.4441299438476563</v>
      </c>
      <c r="S28" s="7510"/>
      <c r="T28" s="39">
        <f>VLOOKUP(D28,Fact1_data!$A$2:$K$20,2,0)</f>
        <v>2022</v>
      </c>
      <c r="U28" s="7512" t="s">
        <v>26</v>
      </c>
      <c r="V28" s="7510"/>
      <c r="W28" s="39">
        <v>2022</v>
      </c>
      <c r="X28" s="7513" t="s">
        <v>26</v>
      </c>
      <c r="Y28" s="7800" t="s">
        <v>1351</v>
      </c>
      <c r="AA28" s="39"/>
      <c r="AB28" s="39" t="s">
        <v>44</v>
      </c>
      <c r="AD28" s="7513">
        <f>VLOOKUP(D28,Fact1_data!$A$2:$K$20,3,0)</f>
        <v>12.462396621704102</v>
      </c>
      <c r="AE28" s="7513">
        <f>IFERROR(VLOOKUP(AB28,WB_poverty!$I$39:$M$56,4,0),"")</f>
        <v>3.2999999523162842</v>
      </c>
      <c r="AF28" s="7513">
        <f t="shared" si="4"/>
        <v>9.1623966693878174</v>
      </c>
      <c r="AH28" s="7513">
        <f>VLOOKUP(D28,Fact1_data!$A$2:$K$20,5,0)</f>
        <v>37.667442321777344</v>
      </c>
      <c r="AI28" s="7513">
        <f>IFERROR(VLOOKUP(J28,WB_poverty!$I$39:$N$56,5,0),"")</f>
        <v>17.20000076293945</v>
      </c>
      <c r="AJ28" s="7513">
        <f t="shared" si="5"/>
        <v>20.467441558837894</v>
      </c>
      <c r="AL28" s="7509">
        <f>VLOOKUP(D28,Fact1_data!$A$2:$K$20,2,0)</f>
        <v>2022</v>
      </c>
      <c r="AM28" s="7512" t="s">
        <v>26</v>
      </c>
      <c r="AN28" s="7510"/>
      <c r="AO28" s="7509">
        <f>IFERROR(VLOOKUP(AB28,WB_poverty!$I$39:$N$56,6,0),"")</f>
        <v>2022</v>
      </c>
      <c r="AP28" s="7512" t="s">
        <v>26</v>
      </c>
      <c r="AQ28" s="7800" t="s">
        <v>1351</v>
      </c>
      <c r="AT28" s="39"/>
      <c r="AU28" s="39"/>
      <c r="AV28" s="39"/>
      <c r="AW28" s="39"/>
      <c r="AX28" s="39"/>
      <c r="AY28" s="39" t="s">
        <v>1300</v>
      </c>
      <c r="AZ28" s="48"/>
      <c r="BD28"/>
      <c r="BE28"/>
      <c r="BF28"/>
      <c r="BG28"/>
      <c r="BH28"/>
      <c r="BI28"/>
      <c r="BJ28"/>
      <c r="BK28"/>
      <c r="BL28"/>
      <c r="BM28"/>
      <c r="BN28"/>
    </row>
    <row r="29" spans="1:66" s="39" customFormat="1">
      <c r="A29" s="47" t="s">
        <v>927</v>
      </c>
      <c r="B29" s="46" t="s">
        <v>911</v>
      </c>
      <c r="C29" s="46" t="s">
        <v>911</v>
      </c>
      <c r="D29" s="47" t="s">
        <v>27</v>
      </c>
      <c r="J29" s="39" t="s">
        <v>27</v>
      </c>
      <c r="L29" s="7556">
        <f>VLOOKUP(D29,Fact1_data!$A$2:$K$20,3,0)</f>
        <v>9.0519723892211914</v>
      </c>
      <c r="M29" s="7513">
        <v>4.3445672988891602</v>
      </c>
      <c r="N29" s="7513">
        <f t="shared" si="0"/>
        <v>4.7074050903320313</v>
      </c>
      <c r="O29" s="7513"/>
      <c r="P29" s="7556">
        <f>VLOOKUP(D29,Fact1_data!$A$2:$K$20,5,0)</f>
        <v>29.323764801025391</v>
      </c>
      <c r="Q29" s="7513">
        <v>23.22365570068359</v>
      </c>
      <c r="R29" s="7513">
        <f t="shared" si="1"/>
        <v>6.1001091003418004</v>
      </c>
      <c r="S29" s="7510"/>
      <c r="T29" s="39">
        <f>VLOOKUP(D29,Fact1_data!$A$2:$K$20,2,0)</f>
        <v>2022</v>
      </c>
      <c r="U29" s="7512" t="s">
        <v>1309</v>
      </c>
      <c r="V29" s="7510"/>
      <c r="W29" s="39">
        <v>2021</v>
      </c>
      <c r="X29" s="7512" t="s">
        <v>1308</v>
      </c>
      <c r="Y29" s="7800" t="s">
        <v>1351</v>
      </c>
      <c r="AA29" s="45"/>
      <c r="AB29" s="39" t="s">
        <v>27</v>
      </c>
      <c r="AD29" s="7513">
        <f>VLOOKUP(D29,Fact1_data!$A$2:$K$20,3,0)</f>
        <v>9.0519723892211914</v>
      </c>
      <c r="AE29" s="7513">
        <f>IFERROR(VLOOKUP(AB29,WB_poverty!$I$39:$M$56,4,0),"")</f>
        <v>5.0999999046325684</v>
      </c>
      <c r="AF29" s="7513">
        <f t="shared" si="4"/>
        <v>3.951972484588623</v>
      </c>
      <c r="AH29" s="7513">
        <f>VLOOKUP(D29,Fact1_data!$A$2:$K$20,5,0)</f>
        <v>29.323764801025391</v>
      </c>
      <c r="AI29" s="7513">
        <f>IFERROR(VLOOKUP(J29,WB_poverty!$I$39:$N$56,5,0),"")</f>
        <v>20.39999961853027</v>
      </c>
      <c r="AJ29" s="7513">
        <f t="shared" si="5"/>
        <v>8.9237651824951207</v>
      </c>
      <c r="AL29" s="7509">
        <f>VLOOKUP(D29,Fact1_data!$A$2:$K$20,2,0)</f>
        <v>2022</v>
      </c>
      <c r="AM29" s="7512" t="s">
        <v>1309</v>
      </c>
      <c r="AN29" s="7510"/>
      <c r="AO29" s="7509">
        <f>IFERROR(VLOOKUP(AB29,WB_poverty!$I$39:$N$56,6,0),"")</f>
        <v>2022</v>
      </c>
      <c r="AP29" s="7512" t="s">
        <v>1344</v>
      </c>
      <c r="AQ29" s="7800" t="s">
        <v>1351</v>
      </c>
      <c r="AY29" s="39" t="s">
        <v>1301</v>
      </c>
      <c r="AZ29" s="48"/>
      <c r="BD29"/>
      <c r="BE29"/>
      <c r="BF29"/>
      <c r="BG29"/>
      <c r="BH29"/>
      <c r="BI29"/>
      <c r="BJ29"/>
      <c r="BK29"/>
      <c r="BL29"/>
      <c r="BM29"/>
      <c r="BN29"/>
    </row>
    <row r="30" spans="1:66" s="45" customFormat="1">
      <c r="A30" s="47" t="s">
        <v>928</v>
      </c>
      <c r="B30" s="46" t="s">
        <v>911</v>
      </c>
      <c r="C30" s="46" t="s">
        <v>911</v>
      </c>
      <c r="D30" s="47" t="s">
        <v>25</v>
      </c>
      <c r="J30" s="39" t="s">
        <v>25</v>
      </c>
      <c r="K30" s="39"/>
      <c r="L30" s="7556">
        <f>VLOOKUP(D30,Fact1_data!$A$2:$K$20,3,0)</f>
        <v>6.5896177291870117</v>
      </c>
      <c r="M30" s="7513">
        <v>3.323236227035522</v>
      </c>
      <c r="N30" s="7513">
        <f t="shared" si="0"/>
        <v>3.2663815021514897</v>
      </c>
      <c r="O30" s="7513"/>
      <c r="P30" s="7556">
        <f>VLOOKUP(D30,Fact1_data!$A$2:$K$20,5,0)</f>
        <v>20.874841690063477</v>
      </c>
      <c r="Q30" s="7513">
        <v>14.052096366882321</v>
      </c>
      <c r="R30" s="7513">
        <f t="shared" si="1"/>
        <v>6.8227453231811559</v>
      </c>
      <c r="S30" s="7510"/>
      <c r="T30" s="39">
        <f>VLOOKUP(D30,Fact1_data!$A$2:$K$20,2,0)</f>
        <v>2023</v>
      </c>
      <c r="U30" s="7512" t="s">
        <v>26</v>
      </c>
      <c r="V30" s="7510"/>
      <c r="W30" s="39">
        <v>2022</v>
      </c>
      <c r="X30" s="7513" t="s">
        <v>26</v>
      </c>
      <c r="Y30" s="7800" t="s">
        <v>1351</v>
      </c>
      <c r="AA30" s="39"/>
      <c r="AB30" s="39" t="s">
        <v>25</v>
      </c>
      <c r="AD30" s="7513">
        <f>VLOOKUP(D30,Fact1_data!$A$2:$K$20,3,0)</f>
        <v>6.5896177291870117</v>
      </c>
      <c r="AE30" s="7513">
        <f>IFERROR(VLOOKUP(AB30,WB_poverty!$I$39:$M$56,4,0),"")</f>
        <v>3.2999999523162842</v>
      </c>
      <c r="AF30" s="7513">
        <f t="shared" si="4"/>
        <v>3.2896177768707275</v>
      </c>
      <c r="AH30" s="7513">
        <f>VLOOKUP(D30,Fact1_data!$A$2:$K$20,5,0)</f>
        <v>20.874841690063477</v>
      </c>
      <c r="AI30" s="7513">
        <f>IFERROR(VLOOKUP(J30,WB_poverty!$I$39:$N$56,5,0),"")</f>
        <v>16.60000038146973</v>
      </c>
      <c r="AJ30" s="7513">
        <f t="shared" si="5"/>
        <v>4.2748413085937464</v>
      </c>
      <c r="AL30" s="7509">
        <f>VLOOKUP(D30,Fact1_data!$A$2:$K$20,2,0)</f>
        <v>2023</v>
      </c>
      <c r="AM30" s="7512" t="s">
        <v>26</v>
      </c>
      <c r="AN30" s="7510"/>
      <c r="AO30" s="7509">
        <f>IFERROR(VLOOKUP(AB30,WB_poverty!$I$39:$N$56,6,0),"")</f>
        <v>2022</v>
      </c>
      <c r="AP30" s="7512" t="s">
        <v>26</v>
      </c>
      <c r="AQ30" s="7800" t="s">
        <v>1351</v>
      </c>
      <c r="AT30" s="39"/>
      <c r="AU30" s="142"/>
      <c r="AV30" s="39"/>
      <c r="AW30" s="39"/>
      <c r="AX30" s="39"/>
      <c r="AY30" s="39" t="s">
        <v>1302</v>
      </c>
      <c r="AZ30" s="48"/>
      <c r="BD30"/>
      <c r="BE30"/>
      <c r="BF30"/>
      <c r="BG30"/>
      <c r="BH30"/>
      <c r="BI30"/>
      <c r="BJ30"/>
      <c r="BK30"/>
      <c r="BL30"/>
      <c r="BM30"/>
      <c r="BN30"/>
    </row>
    <row r="31" spans="1:66" s="39" customFormat="1">
      <c r="A31" s="47" t="s">
        <v>929</v>
      </c>
      <c r="B31" s="46" t="s">
        <v>911</v>
      </c>
      <c r="C31" s="46" t="s">
        <v>911</v>
      </c>
      <c r="D31" s="47" t="s">
        <v>10</v>
      </c>
      <c r="J31" s="39" t="s">
        <v>10</v>
      </c>
      <c r="L31" s="7556">
        <f>VLOOKUP(D31,Fact1_data!$A$2:$K$20,3,0)</f>
        <v>8.1207027435302734</v>
      </c>
      <c r="M31" s="7513">
        <v>2.5446944236755371</v>
      </c>
      <c r="N31" s="7513">
        <f t="shared" si="0"/>
        <v>5.5760083198547363</v>
      </c>
      <c r="O31" s="7513"/>
      <c r="P31" s="7556">
        <f>VLOOKUP(D31,Fact1_data!$A$2:$K$20,5,0)</f>
        <v>20.98236083984375</v>
      </c>
      <c r="Q31" s="7513">
        <v>10.907662391662599</v>
      </c>
      <c r="R31" s="7513">
        <f t="shared" si="1"/>
        <v>10.074698448181151</v>
      </c>
      <c r="S31" s="7510"/>
      <c r="T31" s="39">
        <f>VLOOKUP(D31,Fact1_data!$A$2:$K$20,2,0)</f>
        <v>2022</v>
      </c>
      <c r="U31" s="7512" t="s">
        <v>1310</v>
      </c>
      <c r="V31" s="7510"/>
      <c r="W31" s="39">
        <v>2022</v>
      </c>
      <c r="X31" s="7512" t="s">
        <v>1310</v>
      </c>
      <c r="Y31" s="7800" t="s">
        <v>1136</v>
      </c>
      <c r="AA31" s="45"/>
      <c r="AB31" s="39" t="s">
        <v>10</v>
      </c>
      <c r="AD31" s="7513">
        <f>VLOOKUP(D31,Fact1_data!$A$2:$K$20,3,0)</f>
        <v>8.1207027435302734</v>
      </c>
      <c r="AE31" s="7513">
        <v>3.9000000953674299</v>
      </c>
      <c r="AF31" s="7513">
        <f t="shared" si="4"/>
        <v>4.2207026481628436</v>
      </c>
      <c r="AH31" s="7513">
        <f>VLOOKUP(D31,Fact1_data!$A$2:$K$20,5,0)</f>
        <v>20.98236083984375</v>
      </c>
      <c r="AI31" s="7513">
        <v>30.100000381469702</v>
      </c>
      <c r="AJ31" s="7513">
        <f t="shared" si="5"/>
        <v>-9.1176395416259517</v>
      </c>
      <c r="AL31" s="7509">
        <f>VLOOKUP(D31,Fact1_data!$A$2:$K$20,2,0)</f>
        <v>2022</v>
      </c>
      <c r="AM31" s="7512" t="s">
        <v>1310</v>
      </c>
      <c r="AN31" s="7510"/>
      <c r="AO31" s="7509">
        <v>2022</v>
      </c>
      <c r="AP31" s="7512" t="s">
        <v>11</v>
      </c>
      <c r="AQ31" s="7800" t="s">
        <v>1136</v>
      </c>
      <c r="AV31" s="49"/>
      <c r="AX31" s="39" t="s">
        <v>909</v>
      </c>
      <c r="AY31" s="7508" t="s">
        <v>1303</v>
      </c>
      <c r="AZ31" s="48"/>
      <c r="BD31"/>
      <c r="BE31"/>
      <c r="BF31"/>
      <c r="BG31"/>
      <c r="BH31"/>
      <c r="BI31"/>
      <c r="BJ31"/>
      <c r="BK31"/>
      <c r="BL31"/>
      <c r="BM31"/>
      <c r="BN31"/>
    </row>
    <row r="32" spans="1:66" s="39" customFormat="1">
      <c r="A32" s="47" t="s">
        <v>930</v>
      </c>
      <c r="B32" s="46" t="s">
        <v>911</v>
      </c>
      <c r="C32" s="46" t="s">
        <v>911</v>
      </c>
      <c r="D32" s="47" t="s">
        <v>50</v>
      </c>
      <c r="J32" s="39" t="s">
        <v>50</v>
      </c>
      <c r="L32" s="7556">
        <f>VLOOKUP(D32,Fact1_data!$A$2:$K$20,3,0)</f>
        <v>3.9979178905487061</v>
      </c>
      <c r="M32" s="7513">
        <v>0.76119136810302734</v>
      </c>
      <c r="N32" s="7513">
        <f t="shared" si="0"/>
        <v>3.2367265224456787</v>
      </c>
      <c r="O32" s="7513"/>
      <c r="P32" s="7556">
        <f>VLOOKUP(D32,Fact1_data!$A$2:$K$20,5,0)</f>
        <v>14.31268310546875</v>
      </c>
      <c r="Q32" s="7513">
        <v>6.4274005889892578</v>
      </c>
      <c r="R32" s="7513">
        <f t="shared" si="1"/>
        <v>7.8852825164794922</v>
      </c>
      <c r="S32" s="7510"/>
      <c r="T32" s="39">
        <f>VLOOKUP(D32,Fact1_data!$A$2:$K$20,2,0)</f>
        <v>2022</v>
      </c>
      <c r="U32" s="7512" t="s">
        <v>16</v>
      </c>
      <c r="V32" s="7510"/>
      <c r="W32" s="39">
        <v>2022</v>
      </c>
      <c r="X32" s="7512" t="s">
        <v>16</v>
      </c>
      <c r="Y32" s="7800" t="s">
        <v>1351</v>
      </c>
      <c r="AB32" s="39" t="s">
        <v>50</v>
      </c>
      <c r="AD32" s="7513">
        <f>VLOOKUP(D32,Fact1_data!$A$2:$K$20,3,0)</f>
        <v>3.9979178905487061</v>
      </c>
      <c r="AE32" s="7513">
        <f>IFERROR(VLOOKUP(AB32,WB_poverty!$I$39:$M$56,4,0),"")</f>
        <v>0.30000001192092901</v>
      </c>
      <c r="AF32" s="7513">
        <f t="shared" si="4"/>
        <v>3.6979178786277771</v>
      </c>
      <c r="AH32" s="7513">
        <f>VLOOKUP(D32,Fact1_data!$A$2:$K$20,5,0)</f>
        <v>14.31268310546875</v>
      </c>
      <c r="AI32" s="7513">
        <f>IFERROR(VLOOKUP(J32,WB_poverty!$I$39:$N$56,5,0),"")</f>
        <v>4.4000000953674316</v>
      </c>
      <c r="AJ32" s="7513">
        <f t="shared" si="5"/>
        <v>9.9126830101013184</v>
      </c>
      <c r="AL32" s="7509">
        <f>VLOOKUP(D32,Fact1_data!$A$2:$K$20,2,0)</f>
        <v>2022</v>
      </c>
      <c r="AM32" s="7512" t="s">
        <v>16</v>
      </c>
      <c r="AN32" s="7510"/>
      <c r="AO32" s="7509">
        <f>IFERROR(VLOOKUP(AB32,WB_poverty!$I$39:$N$56,6,0),"")</f>
        <v>2022</v>
      </c>
      <c r="AP32" s="7512" t="s">
        <v>16</v>
      </c>
      <c r="AQ32" s="7800" t="s">
        <v>1351</v>
      </c>
      <c r="AY32" s="7508" t="s">
        <v>1304</v>
      </c>
      <c r="AZ32" s="48"/>
      <c r="BD32"/>
      <c r="BE32"/>
      <c r="BF32"/>
      <c r="BG32"/>
      <c r="BH32"/>
      <c r="BI32"/>
      <c r="BJ32"/>
      <c r="BK32"/>
      <c r="BL32"/>
      <c r="BM32"/>
      <c r="BN32"/>
    </row>
    <row r="33" spans="1:66" s="39" customFormat="1">
      <c r="A33" s="47" t="s">
        <v>931</v>
      </c>
      <c r="B33" s="46" t="s">
        <v>911</v>
      </c>
      <c r="C33" s="46" t="s">
        <v>911</v>
      </c>
      <c r="D33" s="47" t="s">
        <v>21</v>
      </c>
      <c r="J33" s="7503" t="s">
        <v>21</v>
      </c>
      <c r="K33" s="7503"/>
      <c r="L33" s="7516">
        <f>VLOOKUP(D33,Fact1_data!$A$2:$K$20,3,0)</f>
        <v>3.2169833183288574</v>
      </c>
      <c r="M33" s="7516">
        <v>0.87062406539916992</v>
      </c>
      <c r="N33" s="7516">
        <f t="shared" si="0"/>
        <v>2.3463592529296875</v>
      </c>
      <c r="O33" s="7516"/>
      <c r="P33" s="7516">
        <f>VLOOKUP(D33,Fact1_data!$A$2:$K$20,5,0)</f>
        <v>11.219173431396484</v>
      </c>
      <c r="Q33" s="7516">
        <v>4.7181735038757324</v>
      </c>
      <c r="R33" s="7516">
        <f t="shared" si="1"/>
        <v>6.500999927520752</v>
      </c>
      <c r="S33" s="7514"/>
      <c r="T33" s="7503">
        <f>VLOOKUP(D33,Fact1_data!$A$2:$K$20,2,0)</f>
        <v>2022</v>
      </c>
      <c r="U33" s="7516" t="s">
        <v>22</v>
      </c>
      <c r="V33" s="7514"/>
      <c r="W33" s="7503">
        <v>2022</v>
      </c>
      <c r="X33" s="7516" t="s">
        <v>22</v>
      </c>
      <c r="Y33" s="7801" t="s">
        <v>1351</v>
      </c>
      <c r="AB33" s="7795" t="s">
        <v>21</v>
      </c>
      <c r="AC33" s="7795"/>
      <c r="AD33" s="7794">
        <f>VLOOKUP(D33,Fact1_data!$A$2:$K$20,3,0)</f>
        <v>3.2169833183288574</v>
      </c>
      <c r="AE33" s="7794">
        <f>IFERROR(VLOOKUP(AB33,WB_poverty!$I$39:$M$56,4,0),"")</f>
        <v>2.0999999046325679</v>
      </c>
      <c r="AF33" s="7794">
        <f t="shared" si="4"/>
        <v>1.1169834136962895</v>
      </c>
      <c r="AG33" s="7795"/>
      <c r="AH33" s="7794">
        <f>VLOOKUP(D33,Fact1_data!$A$2:$K$20,5,0)</f>
        <v>11.219173431396484</v>
      </c>
      <c r="AI33" s="7794">
        <f>IFERROR(VLOOKUP(J33,WB_poverty!$I$39:$N$56,5,0),"")</f>
        <v>8.1000003814697266</v>
      </c>
      <c r="AJ33" s="7794">
        <f t="shared" si="5"/>
        <v>3.1191730499267578</v>
      </c>
      <c r="AK33" s="7795"/>
      <c r="AL33" s="7795">
        <f>VLOOKUP(D33,Fact1_data!$A$2:$K$20,2,0)</f>
        <v>2022</v>
      </c>
      <c r="AM33" s="7794" t="s">
        <v>22</v>
      </c>
      <c r="AN33" s="7796"/>
      <c r="AO33" s="7795">
        <f>IFERROR(VLOOKUP(AB33,WB_poverty!$I$39:$N$56,6,0),"")</f>
        <v>2022</v>
      </c>
      <c r="AP33" s="7794" t="s">
        <v>22</v>
      </c>
      <c r="AQ33" s="7801" t="s">
        <v>1351</v>
      </c>
      <c r="AT33" s="39" t="s">
        <v>912</v>
      </c>
      <c r="AU33" s="39" t="s">
        <v>22</v>
      </c>
      <c r="AY33" s="7507" t="s">
        <v>1305</v>
      </c>
      <c r="AZ33" s="48"/>
      <c r="BD33"/>
      <c r="BE33"/>
      <c r="BF33"/>
      <c r="BG33"/>
      <c r="BH33"/>
      <c r="BI33"/>
      <c r="BJ33"/>
      <c r="BK33"/>
      <c r="BL33"/>
      <c r="BM33"/>
      <c r="BN33"/>
    </row>
    <row r="34" spans="1:66">
      <c r="J34" s="7509" t="s">
        <v>1336</v>
      </c>
      <c r="L34">
        <f>CORREL(L16:L33,M16:M33)</f>
        <v>0.81664353176542437</v>
      </c>
      <c r="O34" s="7509"/>
      <c r="P34" s="7509" t="s">
        <v>1336</v>
      </c>
      <c r="S34" s="7510"/>
      <c r="U34" s="8"/>
      <c r="V34" s="7510"/>
      <c r="W34" s="8"/>
      <c r="Y34" s="7799"/>
      <c r="AA34" s="39"/>
    </row>
    <row r="35" spans="1:66">
      <c r="J35" s="7559" t="s">
        <v>1337</v>
      </c>
      <c r="K35" s="7411"/>
      <c r="L35" s="7411">
        <f>CORREL(AD16:AD33,AE16:AE33)</f>
        <v>0.66885424095170076</v>
      </c>
      <c r="O35" s="7509"/>
      <c r="P35" s="7559" t="s">
        <v>1337</v>
      </c>
      <c r="Q35" s="7411"/>
      <c r="S35" s="7510"/>
      <c r="Y35" s="7799"/>
      <c r="AB35" s="7792" t="s">
        <v>1348</v>
      </c>
    </row>
    <row r="36" spans="1:66">
      <c r="J36" s="39" t="s">
        <v>1338</v>
      </c>
      <c r="K36" s="39"/>
      <c r="O36" s="7509"/>
      <c r="P36" s="39" t="s">
        <v>1338</v>
      </c>
      <c r="Q36" s="39"/>
      <c r="AB36" s="7792" t="s">
        <v>1342</v>
      </c>
    </row>
    <row r="37" spans="1:66" s="39" customFormat="1">
      <c r="Q37" s="50"/>
      <c r="R37" s="50"/>
      <c r="S37" s="50"/>
      <c r="T37" s="50"/>
      <c r="U37" s="50"/>
      <c r="V37" s="50"/>
      <c r="W37" s="50"/>
      <c r="Y37" s="50"/>
      <c r="Z37" s="7792"/>
      <c r="AA37" s="7792"/>
      <c r="AB37" s="7792" t="s">
        <v>1346</v>
      </c>
      <c r="AC37" s="7792"/>
      <c r="AD37" s="7792"/>
      <c r="AE37" s="7792"/>
      <c r="AF37" s="7792"/>
      <c r="AG37" s="7792"/>
      <c r="AH37" s="7792"/>
      <c r="AI37" s="7792"/>
      <c r="AJ37" s="7792"/>
      <c r="AK37" s="7792"/>
      <c r="AL37" s="7792"/>
      <c r="AM37" s="7792"/>
      <c r="AN37" s="7792"/>
      <c r="AO37" s="7792"/>
      <c r="AP37" s="7792"/>
      <c r="AQ37" s="7792"/>
      <c r="AR37" s="7792"/>
      <c r="AS37" s="7509"/>
      <c r="AY37" s="39" t="s">
        <v>909</v>
      </c>
      <c r="BD37"/>
      <c r="BE37"/>
      <c r="BF37"/>
      <c r="BG37"/>
      <c r="BH37"/>
      <c r="BI37"/>
      <c r="BJ37"/>
      <c r="BK37"/>
      <c r="BL37"/>
      <c r="BM37"/>
      <c r="BN37"/>
    </row>
    <row r="38" spans="1:66">
      <c r="D38" s="38"/>
      <c r="L38" t="s">
        <v>900</v>
      </c>
      <c r="M38" t="s">
        <v>901</v>
      </c>
      <c r="N38" s="3" t="s">
        <v>1335</v>
      </c>
      <c r="Z38" s="7793"/>
      <c r="AA38" s="7793"/>
      <c r="AB38" s="7793"/>
      <c r="AC38" s="7793"/>
      <c r="AD38" s="7793"/>
      <c r="AE38" s="7793"/>
      <c r="AF38" s="7793"/>
      <c r="AG38" s="7793"/>
      <c r="AH38" s="7793"/>
      <c r="AI38" s="7793"/>
      <c r="AJ38" s="7793"/>
      <c r="AK38" s="7793"/>
      <c r="AL38" s="7793"/>
      <c r="AM38" s="7793"/>
      <c r="AN38" s="7793"/>
      <c r="AO38" s="7793"/>
      <c r="AP38" s="7793"/>
      <c r="AQ38" s="7793"/>
      <c r="AR38" s="7793"/>
      <c r="AS38" s="7547"/>
      <c r="AY38" s="76" t="s">
        <v>909</v>
      </c>
    </row>
    <row r="39" spans="1:66">
      <c r="I39" t="s">
        <v>34</v>
      </c>
      <c r="J39" t="s">
        <v>491</v>
      </c>
      <c r="L39" s="8">
        <v>34.400001525878913</v>
      </c>
      <c r="M39" s="8">
        <v>67.800003051757813</v>
      </c>
      <c r="N39" s="26">
        <v>2021</v>
      </c>
      <c r="Z39" s="7793"/>
      <c r="AA39" s="7793"/>
      <c r="AB39" s="7793" t="s">
        <v>1345</v>
      </c>
      <c r="AC39" s="7793"/>
      <c r="AD39" s="7793"/>
      <c r="AE39" s="7793"/>
      <c r="AF39" s="7793"/>
      <c r="AG39" s="7793"/>
      <c r="AH39" s="7793"/>
      <c r="AI39" s="7793"/>
      <c r="AJ39" s="7793"/>
      <c r="AK39" s="7793"/>
      <c r="AL39" s="7793"/>
      <c r="AM39" s="7793"/>
      <c r="AN39" s="7793"/>
      <c r="AO39" s="7793"/>
      <c r="AP39" s="7793"/>
      <c r="AQ39" s="7793"/>
      <c r="AR39" s="7793"/>
      <c r="AS39" s="7547"/>
      <c r="AY39" s="76" t="s">
        <v>909</v>
      </c>
    </row>
    <row r="40" spans="1:66">
      <c r="I40" t="s">
        <v>31</v>
      </c>
      <c r="J40" t="s">
        <v>478</v>
      </c>
      <c r="L40" s="8">
        <v>15.39999961853027</v>
      </c>
      <c r="M40" s="8">
        <v>50.5</v>
      </c>
      <c r="N40" s="26">
        <v>2014</v>
      </c>
      <c r="Z40" s="7793"/>
      <c r="AA40" s="7793"/>
      <c r="AB40" s="7793" t="s">
        <v>1347</v>
      </c>
      <c r="AC40" s="7793"/>
      <c r="AD40" s="7793"/>
      <c r="AE40" s="7793"/>
      <c r="AF40" s="7793"/>
      <c r="AG40" s="7793"/>
      <c r="AH40" s="7793"/>
      <c r="AI40" s="7793"/>
      <c r="AJ40" s="7793"/>
      <c r="AK40" s="7793"/>
      <c r="AL40" s="7793"/>
      <c r="AM40" s="7793"/>
      <c r="AN40" s="7793"/>
      <c r="AO40" s="7793"/>
      <c r="AP40" s="7793"/>
      <c r="AQ40" s="7793"/>
      <c r="AR40" s="7793"/>
      <c r="AS40" s="7547"/>
      <c r="AY40" s="76" t="s">
        <v>909</v>
      </c>
    </row>
    <row r="41" spans="1:66">
      <c r="I41" t="s">
        <v>40</v>
      </c>
      <c r="J41" t="s">
        <v>722</v>
      </c>
      <c r="L41" s="8">
        <v>18.29999923706055</v>
      </c>
      <c r="M41" s="8">
        <v>46.299999237060547</v>
      </c>
      <c r="N41" s="26">
        <v>2014</v>
      </c>
    </row>
    <row r="42" spans="1:66">
      <c r="I42" t="s">
        <v>23</v>
      </c>
      <c r="J42" t="s">
        <v>283</v>
      </c>
      <c r="L42" s="8">
        <v>14.39999961853027</v>
      </c>
      <c r="M42" s="8">
        <v>33.799999237060547</v>
      </c>
      <c r="N42" s="26">
        <v>2021</v>
      </c>
    </row>
    <row r="43" spans="1:66">
      <c r="I43" t="s">
        <v>46</v>
      </c>
      <c r="J43" t="s">
        <v>766</v>
      </c>
      <c r="L43" s="8">
        <v>8.6999998092651367</v>
      </c>
      <c r="M43" s="8">
        <v>29.79999923706055</v>
      </c>
      <c r="N43" s="26">
        <v>2022</v>
      </c>
    </row>
    <row r="44" spans="1:66">
      <c r="J44" t="s">
        <v>1334</v>
      </c>
      <c r="L44" s="8">
        <v>11.19999980926514</v>
      </c>
      <c r="M44" s="8">
        <v>29</v>
      </c>
      <c r="N44" s="26">
        <v>2022</v>
      </c>
    </row>
    <row r="45" spans="1:66">
      <c r="I45" t="s">
        <v>15</v>
      </c>
      <c r="J45" t="s">
        <v>780</v>
      </c>
      <c r="L45" s="8">
        <v>10</v>
      </c>
      <c r="M45" s="8">
        <v>29</v>
      </c>
      <c r="N45" s="26">
        <v>2021</v>
      </c>
    </row>
    <row r="46" spans="1:66">
      <c r="I46" t="s">
        <v>38</v>
      </c>
      <c r="J46" t="s">
        <v>674</v>
      </c>
      <c r="L46" s="8">
        <v>6.1999998092651367</v>
      </c>
      <c r="M46" s="8">
        <v>28.60000038146973</v>
      </c>
      <c r="N46" s="26">
        <v>2022</v>
      </c>
    </row>
    <row r="47" spans="1:66">
      <c r="I47" t="s">
        <v>51</v>
      </c>
      <c r="J47" t="s">
        <v>808</v>
      </c>
      <c r="L47" s="8">
        <v>12</v>
      </c>
      <c r="M47" s="8">
        <v>28.29999923706055</v>
      </c>
      <c r="N47" s="26">
        <v>2014</v>
      </c>
      <c r="AB47" s="9349" t="s">
        <v>1343</v>
      </c>
    </row>
    <row r="48" spans="1:66">
      <c r="I48" t="s">
        <v>29</v>
      </c>
      <c r="J48" t="s">
        <v>375</v>
      </c>
      <c r="L48" s="8">
        <v>6.9000000953674316</v>
      </c>
      <c r="M48" s="8">
        <v>25.70000076293945</v>
      </c>
      <c r="N48" s="26">
        <v>2022</v>
      </c>
    </row>
    <row r="49" spans="1:14">
      <c r="I49" t="s">
        <v>45</v>
      </c>
      <c r="J49" t="s">
        <v>779</v>
      </c>
      <c r="L49" s="8">
        <v>7.9000000953674316</v>
      </c>
      <c r="M49" s="8">
        <v>21.10000038146973</v>
      </c>
      <c r="N49" s="26">
        <v>2022</v>
      </c>
    </row>
    <row r="50" spans="1:14">
      <c r="I50" t="s">
        <v>27</v>
      </c>
      <c r="J50" t="s">
        <v>345</v>
      </c>
      <c r="L50" s="8">
        <v>5.0999999046325684</v>
      </c>
      <c r="M50" s="8">
        <v>20.39999961853027</v>
      </c>
      <c r="N50" s="26">
        <v>2022</v>
      </c>
    </row>
    <row r="51" spans="1:14">
      <c r="I51" t="s">
        <v>17</v>
      </c>
      <c r="J51" t="s">
        <v>219</v>
      </c>
      <c r="L51" s="8">
        <v>5.3000001907348633</v>
      </c>
      <c r="M51" s="8">
        <v>19.60000038146973</v>
      </c>
      <c r="N51" s="26">
        <v>2022</v>
      </c>
    </row>
    <row r="52" spans="1:14">
      <c r="I52" t="s">
        <v>44</v>
      </c>
      <c r="J52" t="s">
        <v>761</v>
      </c>
      <c r="L52" s="8">
        <v>3.2999999523162842</v>
      </c>
      <c r="M52" s="8">
        <v>17.20000076293945</v>
      </c>
      <c r="N52" s="26">
        <v>2022</v>
      </c>
    </row>
    <row r="53" spans="1:14">
      <c r="C53" s="51" t="s">
        <v>932</v>
      </c>
      <c r="D53" s="39"/>
      <c r="E53" s="39"/>
      <c r="F53" s="39"/>
      <c r="I53" t="s">
        <v>25</v>
      </c>
      <c r="J53" t="s">
        <v>293</v>
      </c>
      <c r="L53" s="8">
        <v>3.2999999523162842</v>
      </c>
      <c r="M53" s="8">
        <v>16.60000038146973</v>
      </c>
      <c r="N53" s="26">
        <v>2022</v>
      </c>
    </row>
    <row r="54" spans="1:14" ht="12" customHeight="1">
      <c r="B54" s="51"/>
      <c r="C54" s="52" t="s">
        <v>933</v>
      </c>
      <c r="D54" s="52"/>
      <c r="E54" s="52"/>
      <c r="F54" s="52"/>
      <c r="I54" t="s">
        <v>42</v>
      </c>
      <c r="J54" t="s">
        <v>757</v>
      </c>
      <c r="L54" s="8">
        <v>6.5999999046325684</v>
      </c>
      <c r="M54" s="8">
        <v>14.30000019073486</v>
      </c>
      <c r="N54" s="26">
        <v>2022</v>
      </c>
    </row>
    <row r="55" spans="1:14" ht="12" customHeight="1">
      <c r="B55" s="51"/>
      <c r="C55" s="53" t="s">
        <v>934</v>
      </c>
      <c r="D55" s="53"/>
      <c r="E55" s="53"/>
      <c r="F55" s="53"/>
      <c r="I55" t="s">
        <v>21</v>
      </c>
      <c r="J55" t="s">
        <v>263</v>
      </c>
      <c r="L55" s="8">
        <v>2.0999999046325679</v>
      </c>
      <c r="M55" s="8">
        <v>8.1000003814697266</v>
      </c>
      <c r="N55" s="26">
        <v>2022</v>
      </c>
    </row>
    <row r="56" spans="1:14" ht="12" customHeight="1">
      <c r="B56" s="51"/>
      <c r="C56" s="51"/>
      <c r="D56" s="51"/>
      <c r="E56" s="51"/>
      <c r="F56" s="51"/>
      <c r="I56" t="s">
        <v>50</v>
      </c>
      <c r="J56" t="s">
        <v>806</v>
      </c>
      <c r="L56" s="8">
        <v>0.30000001192092901</v>
      </c>
      <c r="M56" s="8">
        <v>4.4000000953674316</v>
      </c>
      <c r="N56" s="26">
        <v>2022</v>
      </c>
    </row>
    <row r="57" spans="1:14">
      <c r="B57" s="51"/>
      <c r="C57" s="51"/>
      <c r="D57" s="51"/>
      <c r="E57" s="51"/>
      <c r="F57" s="51"/>
    </row>
    <row r="58" spans="1:14">
      <c r="A58" t="s">
        <v>935</v>
      </c>
      <c r="B58" s="51"/>
      <c r="C58" s="51"/>
      <c r="D58" s="51"/>
      <c r="E58" s="51"/>
      <c r="F58" s="51"/>
    </row>
  </sheetData>
  <sortState xmlns:xlrd2="http://schemas.microsoft.com/office/spreadsheetml/2017/richdata2" ref="J39:M56">
    <sortCondition descending="1" ref="L39:L56"/>
  </sortState>
  <mergeCells count="10">
    <mergeCell ref="T14:X14"/>
    <mergeCell ref="L14:N14"/>
    <mergeCell ref="P14:R14"/>
    <mergeCell ref="J14:J15"/>
    <mergeCell ref="AB14:AB15"/>
    <mergeCell ref="AD14:AF14"/>
    <mergeCell ref="AH14:AJ14"/>
    <mergeCell ref="AL14:AP14"/>
    <mergeCell ref="Y14:Y15"/>
    <mergeCell ref="AQ14:AQ15"/>
  </mergeCells>
  <hyperlinks>
    <hyperlink ref="AB47" r:id="rId1" xr:uid="{24B7732E-AFFD-44EE-B639-0BC01B9967E7}"/>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33A32-F278-4E11-87F6-6A69AE916C9E}">
  <dimension ref="A1:S98"/>
  <sheetViews>
    <sheetView zoomScale="69" zoomScaleNormal="69" workbookViewId="0">
      <selection activeCell="I46" sqref="I10:I46"/>
    </sheetView>
  </sheetViews>
  <sheetFormatPr defaultRowHeight="14.5" outlineLevelCol="1"/>
  <cols>
    <col min="3" max="4" width="8.7265625" hidden="1" customWidth="1" outlineLevel="1"/>
    <col min="5" max="5" width="20.26953125" bestFit="1" customWidth="1" collapsed="1"/>
    <col min="7" max="8" width="8.7265625" customWidth="1" outlineLevel="1"/>
    <col min="11" max="11" width="1.81640625" customWidth="1"/>
    <col min="14" max="14" width="1.81640625" customWidth="1"/>
    <col min="15" max="15" width="9.81640625" bestFit="1" customWidth="1"/>
    <col min="19" max="19" width="14.453125" customWidth="1"/>
  </cols>
  <sheetData>
    <row r="1" spans="1:19">
      <c r="A1" s="3" t="s">
        <v>936</v>
      </c>
    </row>
    <row r="2" spans="1:19">
      <c r="A2" s="3"/>
    </row>
    <row r="3" spans="1:19">
      <c r="E3" s="3"/>
      <c r="I3" s="3" t="s">
        <v>57</v>
      </c>
    </row>
    <row r="4" spans="1:19" ht="15" thickBot="1">
      <c r="E4" s="141"/>
      <c r="J4" s="21"/>
      <c r="K4" s="21"/>
      <c r="L4" s="21"/>
      <c r="M4" s="21"/>
      <c r="N4" s="21"/>
      <c r="O4" s="21"/>
      <c r="P4" s="21"/>
      <c r="Q4" s="21"/>
    </row>
    <row r="5" spans="1:19" ht="15" thickTop="1">
      <c r="D5" s="9359" t="s">
        <v>937</v>
      </c>
      <c r="E5" s="9361"/>
      <c r="H5" s="9359" t="s">
        <v>937</v>
      </c>
      <c r="I5" s="9359" t="s">
        <v>904</v>
      </c>
      <c r="J5" s="9361" t="s">
        <v>938</v>
      </c>
      <c r="L5" s="9362" t="s">
        <v>939</v>
      </c>
      <c r="M5" s="9362"/>
      <c r="N5" s="19"/>
      <c r="O5" s="9360" t="s">
        <v>940</v>
      </c>
      <c r="P5" s="9360"/>
      <c r="Q5" s="9360"/>
    </row>
    <row r="6" spans="1:19" ht="29">
      <c r="D6" s="9360"/>
      <c r="E6" s="9361"/>
      <c r="H6" s="9360"/>
      <c r="I6" s="9360"/>
      <c r="J6" s="9360"/>
      <c r="K6" s="16"/>
      <c r="L6" s="25" t="s">
        <v>941</v>
      </c>
      <c r="M6" s="25" t="s">
        <v>942</v>
      </c>
      <c r="N6" s="17"/>
      <c r="O6" s="20" t="s">
        <v>943</v>
      </c>
      <c r="P6" s="20" t="s">
        <v>944</v>
      </c>
      <c r="Q6" s="25" t="s">
        <v>942</v>
      </c>
    </row>
    <row r="7" spans="1:19" ht="9" customHeight="1">
      <c r="E7" s="141"/>
    </row>
    <row r="8" spans="1:19" ht="15" customHeight="1">
      <c r="B8" s="54"/>
      <c r="C8" s="54"/>
      <c r="D8" s="54"/>
      <c r="E8" s="146"/>
      <c r="F8" s="54"/>
      <c r="G8" s="54"/>
      <c r="H8" s="54"/>
      <c r="I8" s="54" t="s">
        <v>901</v>
      </c>
      <c r="J8" s="54"/>
      <c r="K8" s="54"/>
      <c r="L8" s="55">
        <f>SUMPRODUCT(L10:L46,O10:O46)/SUM(O10:O46)</f>
        <v>1.504975490560732</v>
      </c>
      <c r="M8" s="55">
        <f>SUMPRODUCT(M10:M46,O10:O46)/SUM(O10:O46)</f>
        <v>4.7540456678994136</v>
      </c>
      <c r="N8" s="54"/>
      <c r="O8" s="56">
        <v>935250.05700000015</v>
      </c>
      <c r="P8" s="56">
        <f>SUM(P10:P46)</f>
        <v>20.762488059280734</v>
      </c>
      <c r="Q8" s="56">
        <f>SUM(Q10:Q46)</f>
        <v>65.586328170873031</v>
      </c>
      <c r="R8" s="54"/>
    </row>
    <row r="9" spans="1:19" ht="22" customHeight="1">
      <c r="B9" s="54"/>
      <c r="E9" s="141"/>
    </row>
    <row r="10" spans="1:19">
      <c r="B10" s="54"/>
      <c r="C10" t="s">
        <v>945</v>
      </c>
      <c r="D10" s="8" t="s">
        <v>122</v>
      </c>
      <c r="E10" s="122"/>
      <c r="G10" t="s">
        <v>946</v>
      </c>
      <c r="H10" s="8" t="s">
        <v>146</v>
      </c>
      <c r="I10" s="8" t="s">
        <v>147</v>
      </c>
      <c r="J10">
        <v>2018</v>
      </c>
      <c r="L10" s="13">
        <v>0.73823463916778564</v>
      </c>
      <c r="M10" s="13">
        <v>0.98426979780197144</v>
      </c>
      <c r="O10" s="5">
        <v>26.439112000000002</v>
      </c>
      <c r="P10" s="5">
        <v>0.19518268307236675</v>
      </c>
      <c r="Q10" s="5">
        <v>0.26023219422303678</v>
      </c>
    </row>
    <row r="11" spans="1:19">
      <c r="B11" s="54"/>
      <c r="C11" t="s">
        <v>946</v>
      </c>
      <c r="D11" s="8" t="s">
        <v>146</v>
      </c>
      <c r="E11" s="8"/>
      <c r="G11" t="s">
        <v>947</v>
      </c>
      <c r="H11" s="8" t="s">
        <v>151</v>
      </c>
      <c r="I11" s="8" t="s">
        <v>152</v>
      </c>
      <c r="J11">
        <v>2021</v>
      </c>
      <c r="L11" s="13">
        <v>0.52945780754089355</v>
      </c>
      <c r="M11" s="13">
        <v>1.1293215751647949</v>
      </c>
      <c r="O11" s="5">
        <v>8.9589610000000004</v>
      </c>
      <c r="P11" s="5">
        <v>4.7433918489043714E-2</v>
      </c>
      <c r="Q11" s="5">
        <v>0.10117547948359967</v>
      </c>
    </row>
    <row r="12" spans="1:19">
      <c r="B12" s="54"/>
      <c r="C12" t="s">
        <v>947</v>
      </c>
      <c r="D12" s="8" t="s">
        <v>151</v>
      </c>
      <c r="E12" s="8"/>
      <c r="G12" t="s">
        <v>948</v>
      </c>
      <c r="H12" s="8" t="s">
        <v>164</v>
      </c>
      <c r="I12" s="8" t="s">
        <v>165</v>
      </c>
      <c r="J12">
        <v>2021</v>
      </c>
      <c r="L12" s="13">
        <v>0.12811876833438871</v>
      </c>
      <c r="M12" s="13">
        <v>0.23520645499229431</v>
      </c>
      <c r="O12" s="5">
        <v>11.68614</v>
      </c>
      <c r="P12" s="5">
        <v>1.4972138633832333E-2</v>
      </c>
      <c r="Q12" s="5">
        <v>2.7486555619436501E-2</v>
      </c>
    </row>
    <row r="13" spans="1:19">
      <c r="C13" t="s">
        <v>948</v>
      </c>
      <c r="D13" s="8" t="s">
        <v>164</v>
      </c>
      <c r="E13" s="8"/>
      <c r="G13" t="s">
        <v>949</v>
      </c>
      <c r="H13" s="8" t="s">
        <v>245</v>
      </c>
      <c r="I13" s="8" t="s">
        <v>246</v>
      </c>
      <c r="J13">
        <v>2019</v>
      </c>
      <c r="L13" s="13">
        <v>0.49946939945220947</v>
      </c>
      <c r="M13" s="13">
        <v>0.71536529064178467</v>
      </c>
      <c r="O13" s="5">
        <v>38.781292000000001</v>
      </c>
      <c r="P13" s="5">
        <v>0.19370068625220774</v>
      </c>
      <c r="Q13" s="5">
        <v>0.27742790223043917</v>
      </c>
    </row>
    <row r="14" spans="1:19">
      <c r="C14" t="s">
        <v>949</v>
      </c>
      <c r="D14" s="8" t="s">
        <v>245</v>
      </c>
      <c r="E14" s="8"/>
      <c r="G14" t="s">
        <v>950</v>
      </c>
      <c r="H14" s="8" t="s">
        <v>253</v>
      </c>
      <c r="I14" s="8" t="s">
        <v>254</v>
      </c>
      <c r="J14">
        <v>2020</v>
      </c>
      <c r="L14" s="13">
        <v>7.0526659488677979E-2</v>
      </c>
      <c r="M14" s="13">
        <v>0.1148495525121689</v>
      </c>
      <c r="O14" s="5">
        <v>8.7966689999999996</v>
      </c>
      <c r="P14" s="5">
        <v>6.2039967919760939E-3</v>
      </c>
      <c r="Q14" s="5">
        <v>1.0102934982476681E-2</v>
      </c>
    </row>
    <row r="15" spans="1:19">
      <c r="C15" t="s">
        <v>950</v>
      </c>
      <c r="D15" s="8" t="s">
        <v>253</v>
      </c>
      <c r="E15" s="8"/>
      <c r="G15" t="s">
        <v>951</v>
      </c>
      <c r="H15" s="8" t="s">
        <v>21</v>
      </c>
      <c r="I15" s="8" t="s">
        <v>263</v>
      </c>
      <c r="J15">
        <v>2022</v>
      </c>
      <c r="L15" s="13">
        <v>0.87062406539916992</v>
      </c>
      <c r="M15" s="13">
        <v>4.7181735038757324</v>
      </c>
      <c r="O15" s="5">
        <v>19.62959</v>
      </c>
      <c r="P15" s="5">
        <v>0.17089993447918894</v>
      </c>
      <c r="Q15" s="5">
        <v>0.9261581142994405</v>
      </c>
      <c r="S15" s="5"/>
    </row>
    <row r="16" spans="1:19">
      <c r="C16" t="s">
        <v>951</v>
      </c>
      <c r="D16" s="8" t="s">
        <v>21</v>
      </c>
      <c r="E16" s="8"/>
      <c r="G16" t="s">
        <v>952</v>
      </c>
      <c r="H16" s="8" t="s">
        <v>23</v>
      </c>
      <c r="I16" s="8" t="s">
        <v>283</v>
      </c>
      <c r="J16">
        <v>2022</v>
      </c>
      <c r="L16" s="13">
        <v>14.04505443572998</v>
      </c>
      <c r="M16" s="13">
        <v>34.785388946533203</v>
      </c>
      <c r="O16" s="5">
        <v>52.085168000000003</v>
      </c>
      <c r="P16" s="5">
        <v>7.3153901985414134</v>
      </c>
      <c r="Q16" s="5">
        <v>18.118028272255252</v>
      </c>
    </row>
    <row r="17" spans="2:17">
      <c r="C17" t="s">
        <v>953</v>
      </c>
      <c r="D17" s="8" t="s">
        <v>317</v>
      </c>
      <c r="E17" s="8"/>
      <c r="G17" t="s">
        <v>954</v>
      </c>
      <c r="H17" s="8" t="s">
        <v>25</v>
      </c>
      <c r="I17" s="8" t="s">
        <v>293</v>
      </c>
      <c r="J17">
        <v>2022</v>
      </c>
      <c r="L17" s="13">
        <v>3.323236227035522</v>
      </c>
      <c r="M17" s="13">
        <v>14.052096366882321</v>
      </c>
      <c r="O17" s="5">
        <v>5.2121729999999999</v>
      </c>
      <c r="P17" s="5">
        <v>0.17321282135176419</v>
      </c>
      <c r="Q17" s="5">
        <v>0.73241957276862124</v>
      </c>
    </row>
    <row r="18" spans="2:17">
      <c r="C18" t="s">
        <v>955</v>
      </c>
      <c r="D18" s="8" t="s">
        <v>322</v>
      </c>
      <c r="E18" s="8"/>
      <c r="G18" t="s">
        <v>955</v>
      </c>
      <c r="H18" s="8" t="s">
        <v>322</v>
      </c>
      <c r="I18" s="8" t="s">
        <v>323</v>
      </c>
      <c r="J18">
        <v>2021</v>
      </c>
      <c r="L18" s="13">
        <v>8.2386784255504608E-2</v>
      </c>
      <c r="M18" s="13">
        <v>0.26277101039886469</v>
      </c>
      <c r="O18" s="5">
        <v>10.495295</v>
      </c>
      <c r="P18" s="5">
        <v>8.6467360486287628E-3</v>
      </c>
      <c r="Q18" s="5">
        <v>2.7578592715841527E-2</v>
      </c>
    </row>
    <row r="19" spans="2:17">
      <c r="B19" s="76"/>
      <c r="C19" t="s">
        <v>956</v>
      </c>
      <c r="D19" s="8" t="s">
        <v>327</v>
      </c>
      <c r="E19" s="8"/>
      <c r="G19" t="s">
        <v>956</v>
      </c>
      <c r="H19" s="8" t="s">
        <v>327</v>
      </c>
      <c r="I19" s="8" t="s">
        <v>328</v>
      </c>
      <c r="J19">
        <v>2019</v>
      </c>
      <c r="L19" s="13">
        <v>0.24693380296230319</v>
      </c>
      <c r="M19" s="13">
        <v>0.24693380296230319</v>
      </c>
      <c r="O19" s="5">
        <v>83.294633000000005</v>
      </c>
      <c r="P19" s="5">
        <v>0.20568260493039359</v>
      </c>
      <c r="Q19" s="5">
        <v>0.20568260493039359</v>
      </c>
    </row>
    <row r="20" spans="2:17">
      <c r="C20" t="s">
        <v>957</v>
      </c>
      <c r="D20" s="8" t="s">
        <v>340</v>
      </c>
      <c r="E20" s="8"/>
      <c r="G20" t="s">
        <v>957</v>
      </c>
      <c r="H20" s="8" t="s">
        <v>340</v>
      </c>
      <c r="I20" s="8" t="s">
        <v>341</v>
      </c>
      <c r="J20">
        <v>2021</v>
      </c>
      <c r="L20" s="13">
        <v>0.15367963910102839</v>
      </c>
      <c r="M20" s="13">
        <v>0.26467394828796392</v>
      </c>
      <c r="O20" s="5">
        <v>5.9109129999999999</v>
      </c>
      <c r="P20" s="5">
        <v>9.0838697659757703E-3</v>
      </c>
      <c r="Q20" s="5">
        <v>1.5644646816966538E-2</v>
      </c>
    </row>
    <row r="21" spans="2:17">
      <c r="C21" t="s">
        <v>958</v>
      </c>
      <c r="D21" s="8" t="s">
        <v>391</v>
      </c>
      <c r="E21" s="8"/>
      <c r="G21" t="s">
        <v>958</v>
      </c>
      <c r="H21" s="8" t="s">
        <v>391</v>
      </c>
      <c r="I21" s="8" t="s">
        <v>392</v>
      </c>
      <c r="J21">
        <v>2021</v>
      </c>
      <c r="L21" s="13">
        <v>0.86890172958374023</v>
      </c>
      <c r="M21" s="13">
        <v>1.9335659742355349</v>
      </c>
      <c r="O21" s="5">
        <v>47.519627999999997</v>
      </c>
      <c r="P21" s="5">
        <v>0.41289886958375932</v>
      </c>
      <c r="Q21" s="5">
        <v>0.918823358091302</v>
      </c>
    </row>
    <row r="22" spans="2:17">
      <c r="C22" t="s">
        <v>959</v>
      </c>
      <c r="D22" s="8" t="s">
        <v>396</v>
      </c>
      <c r="E22" s="8"/>
      <c r="G22" t="s">
        <v>959</v>
      </c>
      <c r="H22" s="8" t="s">
        <v>396</v>
      </c>
      <c r="I22" s="8" t="s">
        <v>397</v>
      </c>
      <c r="J22">
        <v>2021</v>
      </c>
      <c r="L22" s="13">
        <v>0.38763993978500372</v>
      </c>
      <c r="M22" s="13">
        <v>0.70453751087188721</v>
      </c>
      <c r="O22" s="5">
        <v>1.3227660000000001</v>
      </c>
      <c r="P22" s="5">
        <v>5.1275693258965027E-3</v>
      </c>
      <c r="Q22" s="5">
        <v>9.3193826510596274E-3</v>
      </c>
    </row>
    <row r="23" spans="2:17">
      <c r="C23" t="s">
        <v>960</v>
      </c>
      <c r="D23" s="8" t="s">
        <v>408</v>
      </c>
      <c r="E23" s="8"/>
      <c r="G23" t="s">
        <v>960</v>
      </c>
      <c r="H23" s="8" t="s">
        <v>408</v>
      </c>
      <c r="I23" s="8" t="s">
        <v>409</v>
      </c>
      <c r="J23">
        <v>2021</v>
      </c>
      <c r="L23" s="13">
        <v>4.6092156320810318E-2</v>
      </c>
      <c r="M23" s="13">
        <v>0.14495030045509341</v>
      </c>
      <c r="O23" s="5">
        <v>5.5454749999999997</v>
      </c>
      <c r="P23" s="5">
        <v>2.5560290057314561E-3</v>
      </c>
      <c r="Q23" s="5">
        <v>8.0381826741620904E-3</v>
      </c>
    </row>
    <row r="24" spans="2:17">
      <c r="C24" t="s">
        <v>961</v>
      </c>
      <c r="D24" s="8" t="s">
        <v>418</v>
      </c>
      <c r="E24" s="8"/>
      <c r="G24" t="s">
        <v>961</v>
      </c>
      <c r="H24" s="8" t="s">
        <v>418</v>
      </c>
      <c r="I24" s="8" t="s">
        <v>419</v>
      </c>
      <c r="J24">
        <v>2021</v>
      </c>
      <c r="L24" s="13">
        <v>0.18547682464122769</v>
      </c>
      <c r="M24" s="13">
        <v>0.50767320394515991</v>
      </c>
      <c r="O24" s="5">
        <v>64.756584000000004</v>
      </c>
      <c r="P24" s="5">
        <v>0.12010845574932931</v>
      </c>
      <c r="Q24" s="5">
        <v>0.32875182475823883</v>
      </c>
    </row>
    <row r="25" spans="2:17">
      <c r="C25" t="s">
        <v>962</v>
      </c>
      <c r="D25" s="8" t="s">
        <v>434</v>
      </c>
      <c r="E25" s="8"/>
      <c r="G25" t="s">
        <v>962</v>
      </c>
      <c r="H25" s="8" t="s">
        <v>434</v>
      </c>
      <c r="I25" s="8" t="s">
        <v>435</v>
      </c>
      <c r="J25">
        <v>2021</v>
      </c>
      <c r="L25" s="13">
        <v>0.49831134080886841</v>
      </c>
      <c r="M25" s="13">
        <v>0.73772579431533813</v>
      </c>
      <c r="O25" s="5">
        <v>67.736801999999997</v>
      </c>
      <c r="P25" s="5">
        <v>0.33754016626724842</v>
      </c>
      <c r="Q25" s="5">
        <v>0.49971186059830786</v>
      </c>
    </row>
    <row r="26" spans="2:17">
      <c r="C26" t="s">
        <v>963</v>
      </c>
      <c r="D26" s="8" t="s">
        <v>465</v>
      </c>
      <c r="E26" s="8"/>
      <c r="G26" t="s">
        <v>963</v>
      </c>
      <c r="H26" s="8" t="s">
        <v>465</v>
      </c>
      <c r="I26" s="8" t="s">
        <v>466</v>
      </c>
      <c r="J26">
        <v>2021</v>
      </c>
      <c r="L26" s="13">
        <v>1.118690490722656</v>
      </c>
      <c r="M26" s="13">
        <v>2.9177925586700439</v>
      </c>
      <c r="O26" s="5">
        <v>10.341277</v>
      </c>
      <c r="P26" s="5">
        <v>0.11568688241828916</v>
      </c>
      <c r="Q26" s="5">
        <v>0.30173701077745674</v>
      </c>
    </row>
    <row r="27" spans="2:17">
      <c r="C27" t="s">
        <v>964</v>
      </c>
      <c r="D27" s="8" t="s">
        <v>33</v>
      </c>
      <c r="E27" s="8"/>
      <c r="G27" t="s">
        <v>965</v>
      </c>
      <c r="H27" s="8" t="s">
        <v>509</v>
      </c>
      <c r="I27" s="8" t="s">
        <v>510</v>
      </c>
      <c r="J27">
        <v>2021</v>
      </c>
      <c r="L27" s="13">
        <v>0.84189212322235107</v>
      </c>
      <c r="M27" s="13">
        <v>2.167966365814209</v>
      </c>
      <c r="O27" s="5">
        <v>10.156238999999999</v>
      </c>
      <c r="P27" s="5">
        <v>8.550457615663648E-2</v>
      </c>
      <c r="Q27" s="5">
        <v>0.22018384555170534</v>
      </c>
    </row>
    <row r="28" spans="2:17">
      <c r="C28" t="s">
        <v>966</v>
      </c>
      <c r="D28" s="8" t="s">
        <v>500</v>
      </c>
      <c r="E28" s="8"/>
      <c r="G28" t="s">
        <v>967</v>
      </c>
      <c r="H28" s="8" t="s">
        <v>549</v>
      </c>
      <c r="I28" s="8" t="s">
        <v>550</v>
      </c>
      <c r="J28">
        <v>2021</v>
      </c>
      <c r="L28" s="13">
        <v>0.10309244692325591</v>
      </c>
      <c r="M28" s="13">
        <v>0.26404616236686712</v>
      </c>
      <c r="O28" s="5">
        <v>5.0569350000000002</v>
      </c>
      <c r="P28" s="5">
        <v>5.2133180308185515E-3</v>
      </c>
      <c r="Q28" s="5">
        <v>1.3352642800886931E-2</v>
      </c>
    </row>
    <row r="29" spans="2:17">
      <c r="C29" t="s">
        <v>965</v>
      </c>
      <c r="D29" s="8" t="s">
        <v>509</v>
      </c>
      <c r="E29" s="8"/>
      <c r="G29" t="s">
        <v>968</v>
      </c>
      <c r="H29" s="8" t="s">
        <v>557</v>
      </c>
      <c r="I29" s="8" t="s">
        <v>558</v>
      </c>
      <c r="J29">
        <v>2017</v>
      </c>
      <c r="L29" s="13">
        <v>1.7925463616847988E-2</v>
      </c>
      <c r="M29" s="13">
        <v>4.1061215102672577E-2</v>
      </c>
      <c r="O29" s="5">
        <v>0.37531900000000001</v>
      </c>
      <c r="P29" s="5">
        <v>6.7277670792117707E-5</v>
      </c>
      <c r="Q29" s="5">
        <v>1.541105419111997E-4</v>
      </c>
    </row>
    <row r="30" spans="2:17">
      <c r="C30" t="s">
        <v>967</v>
      </c>
      <c r="D30" s="8" t="s">
        <v>549</v>
      </c>
      <c r="E30" s="8"/>
      <c r="G30" t="s">
        <v>969</v>
      </c>
      <c r="H30" s="8" t="s">
        <v>493</v>
      </c>
      <c r="I30" s="8" t="s">
        <v>492</v>
      </c>
      <c r="J30">
        <v>2021</v>
      </c>
      <c r="L30" s="13">
        <v>0.99499064683914185</v>
      </c>
      <c r="M30" s="13">
        <v>3.4907047748565669</v>
      </c>
      <c r="O30" s="5">
        <v>9.1745199999999993</v>
      </c>
      <c r="P30" s="5">
        <v>9.1285615892386429E-2</v>
      </c>
      <c r="Q30" s="5">
        <v>0.32025540771017069</v>
      </c>
    </row>
    <row r="31" spans="2:17">
      <c r="C31" t="s">
        <v>968</v>
      </c>
      <c r="D31" s="8" t="s">
        <v>557</v>
      </c>
      <c r="E31" s="8"/>
      <c r="G31" t="s">
        <v>970</v>
      </c>
      <c r="H31" s="8" t="s">
        <v>565</v>
      </c>
      <c r="I31" s="8" t="s">
        <v>566</v>
      </c>
      <c r="J31">
        <v>2021</v>
      </c>
      <c r="L31" s="13">
        <v>0.96693986654281616</v>
      </c>
      <c r="M31" s="13">
        <v>1.6516661643981929</v>
      </c>
      <c r="O31" s="5">
        <v>58.870762999999997</v>
      </c>
      <c r="P31" s="5">
        <v>0.56924487718493755</v>
      </c>
      <c r="Q31" s="5">
        <v>0.97234847319405049</v>
      </c>
    </row>
    <row r="32" spans="2:17">
      <c r="C32" t="s">
        <v>969</v>
      </c>
      <c r="D32" s="8" t="s">
        <v>493</v>
      </c>
      <c r="E32" s="8"/>
      <c r="G32" t="s">
        <v>971</v>
      </c>
      <c r="H32" s="8" t="s">
        <v>386</v>
      </c>
      <c r="I32" s="8" t="s">
        <v>385</v>
      </c>
      <c r="J32">
        <v>2013</v>
      </c>
      <c r="L32" s="13">
        <v>0.94340348243713379</v>
      </c>
      <c r="M32" s="13">
        <v>1.446736812591553</v>
      </c>
      <c r="O32" s="5">
        <v>123.29451299999999</v>
      </c>
      <c r="P32" s="5">
        <v>1.1631647292959046</v>
      </c>
      <c r="Q32" s="5">
        <v>1.7837471074764779</v>
      </c>
    </row>
    <row r="33" spans="3:17">
      <c r="C33" t="s">
        <v>970</v>
      </c>
      <c r="D33" s="8" t="s">
        <v>565</v>
      </c>
      <c r="E33" s="8"/>
      <c r="G33" t="s">
        <v>972</v>
      </c>
      <c r="H33" s="8" t="s">
        <v>394</v>
      </c>
      <c r="I33" s="73" t="s">
        <v>591</v>
      </c>
      <c r="J33">
        <v>2016</v>
      </c>
      <c r="L33" s="13">
        <v>0.49644088745117188</v>
      </c>
      <c r="M33" s="13">
        <v>1.228063225746155</v>
      </c>
      <c r="O33" s="5">
        <v>51.784058999999999</v>
      </c>
      <c r="P33" s="5">
        <v>0.25707724205783844</v>
      </c>
      <c r="Q33" s="5">
        <v>0.63594098537769206</v>
      </c>
    </row>
    <row r="34" spans="3:17">
      <c r="C34" t="s">
        <v>971</v>
      </c>
      <c r="D34" s="8" t="s">
        <v>386</v>
      </c>
      <c r="E34" s="8"/>
      <c r="G34" t="s">
        <v>973</v>
      </c>
      <c r="H34" s="8" t="s">
        <v>602</v>
      </c>
      <c r="I34" s="8" t="s">
        <v>601</v>
      </c>
      <c r="J34">
        <v>2021</v>
      </c>
      <c r="L34" s="13">
        <v>0.3952314555644989</v>
      </c>
      <c r="M34" s="13">
        <v>1.230943441390991</v>
      </c>
      <c r="O34" s="5">
        <v>2.7183519999999999</v>
      </c>
      <c r="P34" s="5">
        <v>1.0743782176966667E-2</v>
      </c>
      <c r="Q34" s="5">
        <v>3.346137565792083E-2</v>
      </c>
    </row>
    <row r="35" spans="3:17">
      <c r="C35" t="s">
        <v>972</v>
      </c>
      <c r="D35" s="8" t="s">
        <v>394</v>
      </c>
      <c r="E35" s="8"/>
      <c r="G35" t="s">
        <v>974</v>
      </c>
      <c r="H35" s="8" t="s">
        <v>646</v>
      </c>
      <c r="I35" s="8" t="s">
        <v>647</v>
      </c>
      <c r="J35">
        <v>2021</v>
      </c>
      <c r="L35" s="13">
        <v>0.10108613967895511</v>
      </c>
      <c r="M35" s="13">
        <v>0.32826662063598627</v>
      </c>
      <c r="O35" s="5">
        <v>0.65476800000000002</v>
      </c>
      <c r="P35" s="5">
        <v>6.6187969505310089E-4</v>
      </c>
      <c r="Q35" s="5">
        <v>2.1493847866058346E-3</v>
      </c>
    </row>
    <row r="36" spans="3:17">
      <c r="C36" t="s">
        <v>973</v>
      </c>
      <c r="D36" s="8" t="s">
        <v>602</v>
      </c>
      <c r="E36" s="8"/>
      <c r="G36" t="s">
        <v>975</v>
      </c>
      <c r="H36" s="8" t="s">
        <v>598</v>
      </c>
      <c r="I36" s="8" t="s">
        <v>597</v>
      </c>
      <c r="J36">
        <v>2021</v>
      </c>
      <c r="L36" s="13">
        <v>0.74659013748168945</v>
      </c>
      <c r="M36" s="13">
        <v>2.0765895843505859</v>
      </c>
      <c r="O36" s="5">
        <v>1.830212</v>
      </c>
      <c r="P36" s="5">
        <v>1.3664182287006377E-2</v>
      </c>
      <c r="Q36" s="5">
        <v>3.8005991763534544E-2</v>
      </c>
    </row>
    <row r="37" spans="3:17">
      <c r="C37" t="s">
        <v>974</v>
      </c>
      <c r="D37" s="8" t="s">
        <v>646</v>
      </c>
      <c r="E37" s="8"/>
      <c r="G37" t="s">
        <v>976</v>
      </c>
      <c r="H37" s="8" t="s">
        <v>38</v>
      </c>
      <c r="I37" s="8" t="s">
        <v>674</v>
      </c>
      <c r="J37">
        <v>2022</v>
      </c>
      <c r="L37" s="13">
        <v>4.691251277923584</v>
      </c>
      <c r="M37" s="13">
        <v>21.77182579040527</v>
      </c>
      <c r="O37" s="5">
        <v>128.455567</v>
      </c>
      <c r="P37" s="5">
        <v>6.026173428451485</v>
      </c>
      <c r="Q37" s="5">
        <v>27.967122265317322</v>
      </c>
    </row>
    <row r="38" spans="3:17">
      <c r="C38" t="s">
        <v>975</v>
      </c>
      <c r="D38" s="8" t="s">
        <v>598</v>
      </c>
      <c r="E38" s="8"/>
      <c r="G38" t="s">
        <v>977</v>
      </c>
      <c r="H38" s="8" t="s">
        <v>682</v>
      </c>
      <c r="I38" s="8" t="s">
        <v>681</v>
      </c>
      <c r="J38">
        <v>2021</v>
      </c>
      <c r="L38" s="13">
        <v>0.12072115391492839</v>
      </c>
      <c r="M38" s="13">
        <v>0.29330617189407349</v>
      </c>
      <c r="O38" s="5">
        <v>17.618299</v>
      </c>
      <c r="P38" s="5">
        <v>2.1269013852982289E-2</v>
      </c>
      <c r="Q38" s="5">
        <v>5.1675558349751835E-2</v>
      </c>
    </row>
    <row r="39" spans="3:17">
      <c r="C39" t="s">
        <v>978</v>
      </c>
      <c r="D39" s="8" t="s">
        <v>636</v>
      </c>
      <c r="E39" s="8"/>
      <c r="G39" t="s">
        <v>979</v>
      </c>
      <c r="H39" s="8" t="s">
        <v>605</v>
      </c>
      <c r="I39" s="8" t="s">
        <v>604</v>
      </c>
      <c r="J39">
        <v>2019</v>
      </c>
      <c r="L39" s="13">
        <v>0.2521357536315918</v>
      </c>
      <c r="M39" s="13">
        <v>0.51966041326522827</v>
      </c>
      <c r="O39" s="5">
        <v>5.4743599999999999</v>
      </c>
      <c r="P39" s="5">
        <v>1.3802818842506408E-2</v>
      </c>
      <c r="Q39" s="5">
        <v>2.8448081799626351E-2</v>
      </c>
    </row>
    <row r="40" spans="3:17">
      <c r="C40" t="s">
        <v>977</v>
      </c>
      <c r="D40" s="8" t="s">
        <v>682</v>
      </c>
      <c r="E40" s="8"/>
      <c r="G40" t="s">
        <v>980</v>
      </c>
      <c r="H40" s="8" t="s">
        <v>555</v>
      </c>
      <c r="I40" s="8" t="s">
        <v>554</v>
      </c>
      <c r="J40">
        <v>2021</v>
      </c>
      <c r="L40" s="13">
        <v>0.20454876124858859</v>
      </c>
      <c r="M40" s="13">
        <v>0.93232995271682739</v>
      </c>
      <c r="O40" s="5">
        <v>41.026068000000002</v>
      </c>
      <c r="P40" s="5">
        <v>8.3918313883003609E-2</v>
      </c>
      <c r="Q40" s="5">
        <v>0.38249832038597348</v>
      </c>
    </row>
    <row r="41" spans="3:17">
      <c r="C41" t="s">
        <v>979</v>
      </c>
      <c r="D41" s="8" t="s">
        <v>605</v>
      </c>
      <c r="E41" s="8"/>
      <c r="G41" t="s">
        <v>981</v>
      </c>
      <c r="H41" s="8" t="s">
        <v>649</v>
      </c>
      <c r="I41" s="8" t="s">
        <v>648</v>
      </c>
      <c r="J41">
        <v>2021</v>
      </c>
      <c r="L41" s="13">
        <v>0.40003702044487</v>
      </c>
      <c r="M41" s="13">
        <v>1.6525628566741939</v>
      </c>
      <c r="O41" s="5">
        <v>10.247605</v>
      </c>
      <c r="P41" s="5">
        <v>4.0994213708959518E-2</v>
      </c>
      <c r="Q41" s="5">
        <v>0.16934811392868754</v>
      </c>
    </row>
    <row r="42" spans="3:17">
      <c r="C42" t="s">
        <v>982</v>
      </c>
      <c r="D42" s="8" t="s">
        <v>734</v>
      </c>
      <c r="E42" s="8"/>
      <c r="G42" t="s">
        <v>983</v>
      </c>
      <c r="H42" t="s">
        <v>572</v>
      </c>
      <c r="I42" t="s">
        <v>837</v>
      </c>
      <c r="J42">
        <v>2021</v>
      </c>
      <c r="L42" s="13">
        <v>0.65254521369934082</v>
      </c>
      <c r="M42" s="13">
        <v>2.4104592800140381</v>
      </c>
      <c r="O42" s="5">
        <v>5.7951990000000002</v>
      </c>
      <c r="P42" s="5">
        <v>3.781629369885206E-2</v>
      </c>
      <c r="Q42" s="5">
        <v>0.13969091209078074</v>
      </c>
    </row>
    <row r="43" spans="3:17">
      <c r="C43" t="s">
        <v>984</v>
      </c>
      <c r="D43" s="8" t="s">
        <v>42</v>
      </c>
      <c r="E43" s="8"/>
      <c r="G43" t="s">
        <v>985</v>
      </c>
      <c r="H43" t="s">
        <v>661</v>
      </c>
      <c r="I43" t="s">
        <v>660</v>
      </c>
      <c r="J43">
        <v>2021</v>
      </c>
      <c r="L43" s="13">
        <v>0</v>
      </c>
      <c r="M43" s="13">
        <v>0.13998423516750341</v>
      </c>
      <c r="O43" s="5">
        <v>2.119675</v>
      </c>
      <c r="P43" s="5">
        <v>0</v>
      </c>
      <c r="Q43" s="5">
        <v>2.967210836786778E-3</v>
      </c>
    </row>
    <row r="44" spans="3:17">
      <c r="C44" t="s">
        <v>980</v>
      </c>
      <c r="D44" s="8" t="s">
        <v>555</v>
      </c>
      <c r="E44" s="8"/>
      <c r="G44" t="s">
        <v>986</v>
      </c>
      <c r="H44" t="s">
        <v>608</v>
      </c>
      <c r="I44" t="s">
        <v>607</v>
      </c>
      <c r="J44">
        <v>2021</v>
      </c>
      <c r="L44" s="13">
        <v>0.84963011741638184</v>
      </c>
      <c r="M44" s="13">
        <v>1.431729793548584</v>
      </c>
      <c r="O44" s="5">
        <v>10.612086</v>
      </c>
      <c r="P44" s="5">
        <v>9.0163478742127406E-2</v>
      </c>
      <c r="Q44" s="5">
        <v>0.15193639697899816</v>
      </c>
    </row>
    <row r="45" spans="3:17">
      <c r="C45" t="s">
        <v>981</v>
      </c>
      <c r="D45" s="8" t="s">
        <v>649</v>
      </c>
      <c r="E45" s="8"/>
      <c r="G45" t="s">
        <v>987</v>
      </c>
      <c r="H45" t="s">
        <v>535</v>
      </c>
      <c r="I45" t="s">
        <v>988</v>
      </c>
      <c r="J45">
        <v>2021</v>
      </c>
      <c r="L45" s="13">
        <v>1.433327198028564</v>
      </c>
      <c r="M45" s="13">
        <v>7.5812993049621582</v>
      </c>
      <c r="O45" s="5">
        <v>85.816198999999997</v>
      </c>
      <c r="P45" s="5">
        <v>1.2300269205813166</v>
      </c>
      <c r="Q45" s="5">
        <v>6.5059828983319425</v>
      </c>
    </row>
    <row r="46" spans="3:17">
      <c r="C46" t="s">
        <v>989</v>
      </c>
      <c r="D46" s="8" t="s">
        <v>563</v>
      </c>
      <c r="E46" s="8"/>
      <c r="G46" t="s">
        <v>990</v>
      </c>
      <c r="H46" t="s">
        <v>819</v>
      </c>
      <c r="I46" t="s">
        <v>884</v>
      </c>
      <c r="J46">
        <v>2021</v>
      </c>
      <c r="L46" s="13">
        <v>0.49628987908363342</v>
      </c>
      <c r="M46" s="13">
        <v>0.99963968992233276</v>
      </c>
      <c r="O46" s="5">
        <v>339.99656399999998</v>
      </c>
      <c r="P46" s="5">
        <v>1.6873685363641082</v>
      </c>
      <c r="Q46" s="5">
        <v>3.3987405981161856</v>
      </c>
    </row>
    <row r="47" spans="3:17">
      <c r="C47" t="s">
        <v>989</v>
      </c>
      <c r="D47" s="8" t="s">
        <v>563</v>
      </c>
      <c r="E47" s="8"/>
    </row>
    <row r="48" spans="3:17">
      <c r="C48" t="s">
        <v>983</v>
      </c>
      <c r="D48" s="8" t="s">
        <v>572</v>
      </c>
      <c r="E48" s="8"/>
    </row>
    <row r="49" spans="3:5">
      <c r="C49" t="s">
        <v>985</v>
      </c>
      <c r="D49" s="8" t="s">
        <v>661</v>
      </c>
      <c r="E49" s="8"/>
    </row>
    <row r="50" spans="3:5">
      <c r="C50" t="s">
        <v>986</v>
      </c>
      <c r="D50" s="8" t="s">
        <v>608</v>
      </c>
      <c r="E50" s="8"/>
    </row>
    <row r="51" spans="3:5">
      <c r="C51" t="s">
        <v>991</v>
      </c>
      <c r="D51" s="8" t="s">
        <v>149</v>
      </c>
      <c r="E51" s="8"/>
    </row>
    <row r="52" spans="3:5">
      <c r="C52" t="s">
        <v>992</v>
      </c>
      <c r="D52" s="8" t="s">
        <v>47</v>
      </c>
      <c r="E52" s="8"/>
    </row>
    <row r="53" spans="3:5">
      <c r="C53" t="s">
        <v>993</v>
      </c>
      <c r="D53" s="8" t="s">
        <v>377</v>
      </c>
      <c r="E53" s="8"/>
    </row>
    <row r="54" spans="3:5">
      <c r="C54" t="s">
        <v>994</v>
      </c>
      <c r="D54" s="8" t="s">
        <v>50</v>
      </c>
      <c r="E54" s="8"/>
    </row>
    <row r="55" spans="3:5">
      <c r="C55" t="s">
        <v>990</v>
      </c>
      <c r="D55" s="8" t="s">
        <v>819</v>
      </c>
      <c r="E55" s="8"/>
    </row>
    <row r="56" spans="3:5">
      <c r="D56" s="8"/>
      <c r="E56" s="8"/>
    </row>
    <row r="57" spans="3:5">
      <c r="D57" s="8"/>
      <c r="E57" s="73"/>
    </row>
    <row r="58" spans="3:5">
      <c r="E58" s="76"/>
    </row>
    <row r="60" spans="3:5">
      <c r="E60" s="58"/>
    </row>
    <row r="62" spans="3:5">
      <c r="C62" t="s">
        <v>951</v>
      </c>
      <c r="D62" s="8" t="s">
        <v>21</v>
      </c>
      <c r="E62" s="8"/>
    </row>
    <row r="63" spans="3:5">
      <c r="C63" t="s">
        <v>994</v>
      </c>
      <c r="D63" s="8" t="s">
        <v>50</v>
      </c>
      <c r="E63" s="8"/>
    </row>
    <row r="64" spans="3:5">
      <c r="C64" t="s">
        <v>992</v>
      </c>
      <c r="D64" s="8" t="s">
        <v>47</v>
      </c>
      <c r="E64" s="8"/>
    </row>
    <row r="65" spans="3:5">
      <c r="C65" t="s">
        <v>984</v>
      </c>
      <c r="D65" s="8" t="s">
        <v>42</v>
      </c>
      <c r="E65" s="8"/>
    </row>
    <row r="66" spans="3:5">
      <c r="C66" t="s">
        <v>964</v>
      </c>
      <c r="D66" s="8" t="s">
        <v>33</v>
      </c>
      <c r="E66" s="8"/>
    </row>
    <row r="98" spans="1:2">
      <c r="A98" s="9"/>
      <c r="B98" s="9"/>
    </row>
  </sheetData>
  <mergeCells count="7">
    <mergeCell ref="I5:I6"/>
    <mergeCell ref="J5:J6"/>
    <mergeCell ref="L5:M5"/>
    <mergeCell ref="O5:Q5"/>
    <mergeCell ref="D5:D6"/>
    <mergeCell ref="E5:E6"/>
    <mergeCell ref="H5:H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6CB89-C616-48AE-A45C-BEC1CD303903}">
  <dimension ref="A1:P47"/>
  <sheetViews>
    <sheetView zoomScale="18" zoomScaleNormal="70" workbookViewId="0">
      <selection activeCell="F2" sqref="F2"/>
    </sheetView>
  </sheetViews>
  <sheetFormatPr defaultRowHeight="14.5"/>
  <cols>
    <col min="3" max="8" width="8.7265625" customWidth="1"/>
    <col min="9" max="9" width="11.7265625" customWidth="1"/>
    <col min="10" max="10" width="9.81640625" bestFit="1" customWidth="1"/>
    <col min="11" max="11" width="11.453125" customWidth="1"/>
    <col min="12" max="12" width="9.453125" customWidth="1"/>
    <col min="13" max="13" width="10" customWidth="1"/>
    <col min="14" max="14" width="12.54296875" style="4" customWidth="1"/>
  </cols>
  <sheetData>
    <row r="1" spans="1:16">
      <c r="A1" s="7" t="s">
        <v>995</v>
      </c>
      <c r="B1" s="7" t="s">
        <v>996</v>
      </c>
      <c r="C1" s="7" t="s">
        <v>997</v>
      </c>
      <c r="D1" s="7" t="s">
        <v>998</v>
      </c>
      <c r="E1" s="7" t="s">
        <v>999</v>
      </c>
      <c r="F1" s="7" t="s">
        <v>1000</v>
      </c>
      <c r="G1" s="7" t="s">
        <v>1001</v>
      </c>
      <c r="H1" s="7" t="s">
        <v>1002</v>
      </c>
      <c r="I1" s="7" t="s">
        <v>1003</v>
      </c>
      <c r="J1" s="7" t="s">
        <v>1004</v>
      </c>
      <c r="K1" s="7" t="s">
        <v>1005</v>
      </c>
      <c r="L1" s="7" t="s">
        <v>1006</v>
      </c>
      <c r="M1" s="7"/>
      <c r="N1" s="147"/>
    </row>
    <row r="2" spans="1:16">
      <c r="A2" t="s">
        <v>10</v>
      </c>
      <c r="B2" s="8">
        <v>2022</v>
      </c>
      <c r="C2" s="8">
        <v>8.1207027435302734</v>
      </c>
      <c r="D2" s="8">
        <v>12.861659049987793</v>
      </c>
      <c r="E2" s="8">
        <v>20.98236083984375</v>
      </c>
      <c r="F2" s="8">
        <v>79.01763916015625</v>
      </c>
      <c r="G2" s="8">
        <v>2083510</v>
      </c>
      <c r="H2" s="8">
        <v>3299886</v>
      </c>
      <c r="I2" s="8">
        <v>5383396</v>
      </c>
      <c r="J2" s="8">
        <v>20273374</v>
      </c>
      <c r="K2" s="8">
        <v>45773884</v>
      </c>
      <c r="L2" s="8">
        <v>25656770</v>
      </c>
      <c r="M2" s="76"/>
      <c r="N2" s="148"/>
      <c r="P2" s="76"/>
    </row>
    <row r="3" spans="1:16">
      <c r="A3" t="s">
        <v>15</v>
      </c>
      <c r="B3" s="8">
        <v>2022</v>
      </c>
      <c r="C3" s="8">
        <v>9.1588373184204102</v>
      </c>
      <c r="D3" s="8">
        <v>12.590672492980957</v>
      </c>
      <c r="E3" s="8">
        <v>21.749509811401367</v>
      </c>
      <c r="F3" s="8">
        <v>78.25048828125</v>
      </c>
      <c r="G3" s="8">
        <v>1100079.1502017975</v>
      </c>
      <c r="H3" s="8">
        <v>1512281.1119308472</v>
      </c>
      <c r="I3" s="8">
        <v>2612360.2621326447</v>
      </c>
      <c r="J3" s="8">
        <v>9398762.369977951</v>
      </c>
      <c r="K3" s="8">
        <v>12388571</v>
      </c>
      <c r="L3" s="8">
        <v>12011122.632110596</v>
      </c>
      <c r="N3" s="148"/>
      <c r="P3" s="76"/>
    </row>
    <row r="4" spans="1:16">
      <c r="A4" t="s">
        <v>17</v>
      </c>
      <c r="B4" s="8">
        <v>2022</v>
      </c>
      <c r="C4" s="8">
        <v>10.865315437316895</v>
      </c>
      <c r="D4" s="8">
        <v>18.57042121887207</v>
      </c>
      <c r="E4" s="8">
        <v>29.435735702514648</v>
      </c>
      <c r="F4" s="8">
        <v>70.564262390136719</v>
      </c>
      <c r="G4" s="8">
        <v>22976175.011930466</v>
      </c>
      <c r="H4" s="8">
        <v>39269662.676348686</v>
      </c>
      <c r="I4" s="8">
        <v>62245837.688279152</v>
      </c>
      <c r="J4" s="8">
        <v>149217659.38134193</v>
      </c>
      <c r="K4" s="8">
        <v>216422446</v>
      </c>
      <c r="L4" s="8">
        <v>211463497.06962109</v>
      </c>
      <c r="N4" s="148"/>
      <c r="P4" s="76"/>
    </row>
    <row r="5" spans="1:16">
      <c r="A5" t="s">
        <v>21</v>
      </c>
      <c r="B5" s="8">
        <v>2022</v>
      </c>
      <c r="C5" s="8">
        <v>3.2169833183288574</v>
      </c>
      <c r="D5" s="8">
        <v>8.0021905899047852</v>
      </c>
      <c r="E5" s="8">
        <v>11.219173431396484</v>
      </c>
      <c r="F5" s="8">
        <v>88.78082275390625</v>
      </c>
      <c r="G5" s="8">
        <v>633635</v>
      </c>
      <c r="H5" s="8">
        <v>1576156</v>
      </c>
      <c r="I5" s="8">
        <v>2209791</v>
      </c>
      <c r="J5" s="8">
        <v>17486767</v>
      </c>
      <c r="K5" s="8">
        <v>19629590</v>
      </c>
      <c r="L5" s="8">
        <v>19696558</v>
      </c>
      <c r="N5" s="148"/>
    </row>
    <row r="6" spans="1:16">
      <c r="A6" t="s">
        <v>23</v>
      </c>
      <c r="B6" s="8">
        <v>2022</v>
      </c>
      <c r="C6" s="8">
        <v>19.512697219848633</v>
      </c>
      <c r="D6" s="8">
        <v>21.709625244140625</v>
      </c>
      <c r="E6" s="8">
        <v>41.222324371337891</v>
      </c>
      <c r="F6" s="8">
        <v>58.777679443359375</v>
      </c>
      <c r="G6" s="8">
        <v>9710793.3613915443</v>
      </c>
      <c r="H6" s="8">
        <v>10804127.690700054</v>
      </c>
      <c r="I6" s="8">
        <v>20514921.052091599</v>
      </c>
      <c r="J6" s="8">
        <v>29251610.621575832</v>
      </c>
      <c r="K6" s="8">
        <v>52085168</v>
      </c>
      <c r="L6" s="8">
        <v>49766531.673667431</v>
      </c>
      <c r="N6" s="148"/>
    </row>
    <row r="7" spans="1:16">
      <c r="A7" t="s">
        <v>25</v>
      </c>
      <c r="B7" s="2566">
        <v>2023</v>
      </c>
      <c r="C7" s="8">
        <v>6.5896177291870117</v>
      </c>
      <c r="D7" s="8">
        <v>14.285224914550781</v>
      </c>
      <c r="E7" s="8">
        <v>20.874841690063477</v>
      </c>
      <c r="F7" s="8">
        <v>79.125160217285156</v>
      </c>
      <c r="G7" s="8">
        <v>345827</v>
      </c>
      <c r="H7" s="8">
        <v>749697</v>
      </c>
      <c r="I7" s="8">
        <v>1095524</v>
      </c>
      <c r="J7" s="8">
        <v>4152535</v>
      </c>
      <c r="K7" s="8">
        <v>5212173</v>
      </c>
      <c r="L7" s="8">
        <v>5248059</v>
      </c>
      <c r="N7" s="148"/>
      <c r="P7" s="76"/>
    </row>
    <row r="8" spans="1:16">
      <c r="A8" t="s">
        <v>27</v>
      </c>
      <c r="B8" s="8">
        <v>2022</v>
      </c>
      <c r="C8" s="8">
        <v>9.0519723892211914</v>
      </c>
      <c r="D8" s="8">
        <v>20.271793365478516</v>
      </c>
      <c r="E8" s="8">
        <v>29.323764801025391</v>
      </c>
      <c r="F8" s="8">
        <v>70.676239013671875</v>
      </c>
      <c r="G8" s="8">
        <v>954187.31759643555</v>
      </c>
      <c r="H8" s="8">
        <v>2136892.0094299316</v>
      </c>
      <c r="I8" s="8">
        <v>3091079.3270263672</v>
      </c>
      <c r="J8" s="8">
        <v>7450129.5977935791</v>
      </c>
      <c r="K8" s="8">
        <v>11332973</v>
      </c>
      <c r="L8" s="8">
        <v>10541208.924819946</v>
      </c>
      <c r="N8" s="148"/>
    </row>
    <row r="9" spans="1:16">
      <c r="A9" t="s">
        <v>29</v>
      </c>
      <c r="B9" s="2566">
        <v>2023</v>
      </c>
      <c r="C9" s="8">
        <v>15.846808433532715</v>
      </c>
      <c r="D9" s="8">
        <v>24.52301025390625</v>
      </c>
      <c r="E9" s="8">
        <v>40.369815826416016</v>
      </c>
      <c r="F9" s="8">
        <v>59.630180358886719</v>
      </c>
      <c r="G9" s="8">
        <v>2921644.8988609314</v>
      </c>
      <c r="H9" s="8">
        <v>4521259.2337169647</v>
      </c>
      <c r="I9" s="8">
        <v>7442904.1325778961</v>
      </c>
      <c r="J9" s="8">
        <v>10993899.782212257</v>
      </c>
      <c r="K9" s="8">
        <v>18190484</v>
      </c>
      <c r="L9" s="8">
        <v>18436803.914790154</v>
      </c>
      <c r="N9" s="148"/>
    </row>
    <row r="10" spans="1:16">
      <c r="A10" t="s">
        <v>31</v>
      </c>
      <c r="B10" s="8">
        <v>2022</v>
      </c>
      <c r="C10" s="8">
        <v>31.91087532043457</v>
      </c>
      <c r="D10" s="8">
        <v>23.455238342285156</v>
      </c>
      <c r="E10" s="8">
        <v>55.366111755371094</v>
      </c>
      <c r="F10" s="8">
        <v>44.633884429931641</v>
      </c>
      <c r="G10" s="8">
        <v>5302464</v>
      </c>
      <c r="H10" s="8">
        <v>3897435</v>
      </c>
      <c r="I10" s="8">
        <v>9199899</v>
      </c>
      <c r="J10" s="8">
        <v>7416581</v>
      </c>
      <c r="K10" s="8">
        <v>18092026</v>
      </c>
      <c r="L10" s="8">
        <v>16616480</v>
      </c>
      <c r="N10" s="148"/>
    </row>
    <row r="11" spans="1:16">
      <c r="A11" t="s">
        <v>33</v>
      </c>
      <c r="B11" s="8">
        <v>2021</v>
      </c>
      <c r="C11" s="8">
        <v>31.99846076965332</v>
      </c>
      <c r="D11" s="8">
        <v>25.941425323486328</v>
      </c>
      <c r="E11" s="8">
        <v>57.939888000488281</v>
      </c>
      <c r="F11" s="8">
        <v>42.060111999511719</v>
      </c>
      <c r="G11" s="8">
        <v>199909.07529640198</v>
      </c>
      <c r="H11" s="8">
        <v>162067.98682594299</v>
      </c>
      <c r="I11" s="8">
        <v>361977.06212234497</v>
      </c>
      <c r="J11" s="8">
        <v>262768.8157043457</v>
      </c>
      <c r="K11" s="8">
        <v>813834</v>
      </c>
      <c r="L11" s="8">
        <v>624745.87782669067</v>
      </c>
      <c r="N11" s="148"/>
    </row>
    <row r="12" spans="1:16">
      <c r="A12" t="s">
        <v>34</v>
      </c>
      <c r="B12" s="2566">
        <v>2023</v>
      </c>
      <c r="C12" s="8">
        <v>35.109729766845703</v>
      </c>
      <c r="D12" s="8">
        <v>25.065221786499023</v>
      </c>
      <c r="E12" s="8">
        <v>60.174953460693359</v>
      </c>
      <c r="F12" s="8">
        <v>39.825046539306641</v>
      </c>
      <c r="G12" s="8">
        <v>3315427.3031311035</v>
      </c>
      <c r="H12" s="8">
        <v>2366919.9317779541</v>
      </c>
      <c r="I12" s="8">
        <v>5682347.2349090576</v>
      </c>
      <c r="J12" s="8">
        <v>3760696.5480499268</v>
      </c>
      <c r="K12" s="8">
        <v>10593798</v>
      </c>
      <c r="L12" s="8">
        <v>9443043.7829589844</v>
      </c>
      <c r="N12" s="148"/>
    </row>
    <row r="13" spans="1:16">
      <c r="A13" t="s">
        <v>38</v>
      </c>
      <c r="B13" s="8">
        <v>2022</v>
      </c>
      <c r="C13" s="8">
        <v>10.268985748291016</v>
      </c>
      <c r="D13" s="8">
        <v>21.706216812133789</v>
      </c>
      <c r="E13" s="8">
        <v>31.975204467773438</v>
      </c>
      <c r="F13" s="8">
        <v>68.024795532226563</v>
      </c>
      <c r="G13" s="8">
        <v>13234918</v>
      </c>
      <c r="H13" s="8">
        <v>27975498</v>
      </c>
      <c r="I13" s="8">
        <v>41210416</v>
      </c>
      <c r="J13" s="8">
        <v>87672008</v>
      </c>
      <c r="K13" s="8">
        <v>128455567</v>
      </c>
      <c r="L13" s="8">
        <v>128882424</v>
      </c>
      <c r="N13" s="148"/>
    </row>
    <row r="14" spans="1:16">
      <c r="A14" t="s">
        <v>42</v>
      </c>
      <c r="B14" s="8">
        <v>2022</v>
      </c>
      <c r="C14" s="8">
        <v>8.9458808898925781</v>
      </c>
      <c r="D14" s="8">
        <v>10.491399765014648</v>
      </c>
      <c r="E14" s="8">
        <v>19.437280654907227</v>
      </c>
      <c r="F14" s="8">
        <v>80.562713623046875</v>
      </c>
      <c r="G14" s="8">
        <v>395634</v>
      </c>
      <c r="H14" s="8">
        <v>463985</v>
      </c>
      <c r="I14" s="8">
        <v>859619</v>
      </c>
      <c r="J14" s="8">
        <v>3562908</v>
      </c>
      <c r="K14" s="8">
        <v>4468087</v>
      </c>
      <c r="L14" s="8">
        <v>4422527</v>
      </c>
      <c r="N14" s="148"/>
    </row>
    <row r="15" spans="1:16">
      <c r="A15" t="s">
        <v>44</v>
      </c>
      <c r="B15" s="8">
        <v>2022</v>
      </c>
      <c r="C15" s="8">
        <v>12.462396621704102</v>
      </c>
      <c r="D15" s="8">
        <v>25.205045700073242</v>
      </c>
      <c r="E15" s="8">
        <v>37.667442321777344</v>
      </c>
      <c r="F15" s="8">
        <v>62.332557678222656</v>
      </c>
      <c r="G15" s="8">
        <v>4336224.3855496645</v>
      </c>
      <c r="H15" s="8">
        <v>8769960.6595569849</v>
      </c>
      <c r="I15" s="8">
        <v>13106185.045106649</v>
      </c>
      <c r="J15" s="8">
        <v>21688280.870079875</v>
      </c>
      <c r="K15" s="8">
        <v>34352719</v>
      </c>
      <c r="L15" s="8">
        <v>34794465.915186524</v>
      </c>
      <c r="N15" s="148"/>
    </row>
    <row r="16" spans="1:16">
      <c r="A16" t="s">
        <v>45</v>
      </c>
      <c r="B16" s="8">
        <v>2022</v>
      </c>
      <c r="C16" s="8">
        <v>12.367045402526855</v>
      </c>
      <c r="D16" s="8">
        <v>18.956794738769531</v>
      </c>
      <c r="E16" s="8">
        <v>31.323837280273438</v>
      </c>
      <c r="F16" s="8">
        <v>68.676162719726563</v>
      </c>
      <c r="G16" s="8">
        <v>908577</v>
      </c>
      <c r="H16" s="8">
        <v>1392710</v>
      </c>
      <c r="I16" s="8">
        <v>2301287</v>
      </c>
      <c r="J16" s="8">
        <v>5045472</v>
      </c>
      <c r="K16" s="8">
        <v>6861524</v>
      </c>
      <c r="L16" s="8">
        <v>7346759</v>
      </c>
      <c r="N16" s="148"/>
    </row>
    <row r="17" spans="1:13">
      <c r="A17" t="s">
        <v>46</v>
      </c>
      <c r="B17" s="2566">
        <v>2023</v>
      </c>
      <c r="C17" s="8">
        <v>15.566752433776855</v>
      </c>
      <c r="D17" s="8">
        <v>23.091104507446289</v>
      </c>
      <c r="E17" s="8">
        <v>38.657855987548828</v>
      </c>
      <c r="F17" s="8">
        <v>61.342144012451172</v>
      </c>
      <c r="G17" s="8">
        <v>929034.90951728821</v>
      </c>
      <c r="H17" s="8">
        <v>1378093.5914878845</v>
      </c>
      <c r="I17" s="8">
        <v>2307128.5010051727</v>
      </c>
      <c r="J17" s="8">
        <v>3660942.9438619614</v>
      </c>
      <c r="K17" s="8">
        <v>6364943</v>
      </c>
      <c r="L17" s="8">
        <v>5968071.4448671341</v>
      </c>
    </row>
    <row r="18" spans="1:13">
      <c r="A18" t="s">
        <v>50</v>
      </c>
      <c r="B18" s="8">
        <v>2022</v>
      </c>
      <c r="C18" s="8">
        <v>3.9979178905487061</v>
      </c>
      <c r="D18" s="8">
        <v>10.314765930175781</v>
      </c>
      <c r="E18" s="8">
        <v>14.31268310546875</v>
      </c>
      <c r="F18" s="8">
        <v>85.68731689453125</v>
      </c>
      <c r="G18" s="8">
        <v>141845</v>
      </c>
      <c r="H18" s="8">
        <v>365965</v>
      </c>
      <c r="I18" s="8">
        <v>507810</v>
      </c>
      <c r="J18" s="8">
        <v>3040162</v>
      </c>
      <c r="K18" s="8">
        <v>3423109</v>
      </c>
      <c r="L18" s="8">
        <v>3547972</v>
      </c>
    </row>
    <row r="19" spans="1:13">
      <c r="A19" t="s">
        <v>51</v>
      </c>
      <c r="B19" s="8">
        <v>2021</v>
      </c>
      <c r="C19" s="8">
        <v>53.867767333984375</v>
      </c>
      <c r="D19" s="8">
        <v>17.13670539855957</v>
      </c>
      <c r="E19" s="8">
        <v>71.004470825195313</v>
      </c>
      <c r="F19" s="8">
        <v>28.995529174804688</v>
      </c>
      <c r="G19" s="8">
        <v>15072435.735191345</v>
      </c>
      <c r="H19" s="8">
        <v>4794924.3846130371</v>
      </c>
      <c r="I19" s="8">
        <v>19867360.119804382</v>
      </c>
      <c r="J19" s="8">
        <v>8113074.7517471313</v>
      </c>
      <c r="K19" s="8">
        <v>28838499</v>
      </c>
      <c r="L19" s="8">
        <v>27980434.871551514</v>
      </c>
    </row>
    <row r="20" spans="1:13">
      <c r="B20" s="122"/>
      <c r="C20" s="122"/>
      <c r="D20" s="122"/>
      <c r="E20" s="122"/>
      <c r="F20" s="122"/>
      <c r="G20" s="122"/>
      <c r="H20" s="122"/>
      <c r="I20" s="122"/>
      <c r="J20" s="149"/>
      <c r="K20" s="122"/>
      <c r="L20" s="122"/>
    </row>
    <row r="22" spans="1:13">
      <c r="A22" s="76">
        <v>1</v>
      </c>
      <c r="B22" s="122">
        <f>A22+1</f>
        <v>2</v>
      </c>
      <c r="C22" s="122">
        <f t="shared" ref="C22:J22" si="0">B22+1</f>
        <v>3</v>
      </c>
      <c r="D22" s="122">
        <f t="shared" si="0"/>
        <v>4</v>
      </c>
      <c r="E22" s="122">
        <f t="shared" si="0"/>
        <v>5</v>
      </c>
      <c r="F22" s="122">
        <f t="shared" si="0"/>
        <v>6</v>
      </c>
      <c r="G22" s="122">
        <f t="shared" si="0"/>
        <v>7</v>
      </c>
      <c r="H22" s="122">
        <f t="shared" si="0"/>
        <v>8</v>
      </c>
      <c r="I22" s="122">
        <f t="shared" si="0"/>
        <v>9</v>
      </c>
      <c r="J22" s="122">
        <f t="shared" si="0"/>
        <v>10</v>
      </c>
      <c r="K22" s="122"/>
      <c r="L22" s="122"/>
      <c r="M22" s="122"/>
    </row>
    <row r="24" spans="1:13">
      <c r="B24" s="122"/>
      <c r="C24" s="122"/>
      <c r="D24" s="122"/>
      <c r="E24" s="122"/>
      <c r="F24" s="122"/>
      <c r="G24" s="122">
        <f>SUM(G2:G19)</f>
        <v>84562321.148666978</v>
      </c>
      <c r="H24" s="122">
        <f t="shared" ref="H24:J24" si="1">SUM(H2:H19)</f>
        <v>115437521.27638829</v>
      </c>
      <c r="I24" s="122">
        <f t="shared" si="1"/>
        <v>199999842.42505527</v>
      </c>
      <c r="J24" s="122">
        <f t="shared" si="1"/>
        <v>392447632.68234479</v>
      </c>
      <c r="K24" s="122"/>
      <c r="L24" s="122"/>
    </row>
    <row r="25" spans="1:13">
      <c r="B25" s="122"/>
      <c r="C25" s="122"/>
      <c r="D25" s="122"/>
      <c r="E25" s="122"/>
      <c r="F25" s="122"/>
      <c r="G25" s="122"/>
      <c r="H25" s="122"/>
      <c r="I25" s="122"/>
      <c r="J25" s="122"/>
      <c r="K25" s="122"/>
      <c r="L25" s="122"/>
    </row>
    <row r="26" spans="1:13">
      <c r="B26" s="122"/>
      <c r="C26" s="122"/>
      <c r="D26" s="122"/>
      <c r="E26" s="122"/>
      <c r="F26" s="122"/>
      <c r="G26" s="122"/>
      <c r="H26" s="122"/>
      <c r="I26" s="122"/>
      <c r="J26" s="122"/>
      <c r="K26" s="122"/>
      <c r="L26" s="122"/>
    </row>
    <row r="27" spans="1:13">
      <c r="B27" s="122"/>
      <c r="C27" s="122"/>
      <c r="D27" s="122"/>
      <c r="E27" s="122"/>
      <c r="F27" s="122"/>
      <c r="G27" s="122"/>
      <c r="H27" s="122"/>
      <c r="I27" s="122"/>
      <c r="J27" s="122"/>
      <c r="K27" s="122"/>
      <c r="L27" s="122"/>
    </row>
    <row r="28" spans="1:13">
      <c r="B28" s="122"/>
      <c r="C28" s="122"/>
      <c r="D28" s="122"/>
      <c r="E28" s="122"/>
      <c r="F28" s="122"/>
      <c r="G28" s="122"/>
      <c r="H28" s="122"/>
      <c r="I28" s="122"/>
      <c r="J28" s="122"/>
      <c r="K28" s="122"/>
      <c r="L28" s="122"/>
    </row>
    <row r="29" spans="1:13">
      <c r="B29" s="122"/>
      <c r="C29" s="122"/>
      <c r="D29" s="122"/>
      <c r="E29" s="122"/>
      <c r="F29" s="122"/>
      <c r="G29" s="122"/>
      <c r="H29" s="122"/>
      <c r="I29" s="122"/>
      <c r="J29" s="122"/>
      <c r="K29" s="122"/>
      <c r="L29" s="122"/>
    </row>
    <row r="30" spans="1:13">
      <c r="B30" s="122"/>
      <c r="C30" s="122"/>
      <c r="D30" s="122"/>
      <c r="E30" s="122"/>
      <c r="F30" s="122" t="s">
        <v>1007</v>
      </c>
      <c r="G30" s="122" t="s">
        <v>1008</v>
      </c>
      <c r="H30" s="122"/>
      <c r="I30" s="122"/>
      <c r="J30" s="122"/>
      <c r="K30" s="122"/>
      <c r="L30" s="122"/>
    </row>
    <row r="31" spans="1:13">
      <c r="B31" s="122"/>
      <c r="C31" s="122"/>
      <c r="D31" s="122"/>
      <c r="E31" s="122"/>
      <c r="F31" s="122">
        <v>3761.3910000000001</v>
      </c>
      <c r="G31" s="122">
        <v>3247.701</v>
      </c>
      <c r="H31" s="122"/>
      <c r="I31" s="122"/>
      <c r="J31" s="122"/>
      <c r="K31" s="122"/>
      <c r="L31" s="122"/>
    </row>
    <row r="32" spans="1:13">
      <c r="B32" s="122"/>
      <c r="C32" s="122"/>
      <c r="D32" s="122"/>
      <c r="E32" s="122"/>
      <c r="F32" s="122"/>
      <c r="G32" s="122"/>
      <c r="H32" s="122"/>
      <c r="I32" s="122"/>
      <c r="J32" s="122"/>
      <c r="K32" s="122"/>
      <c r="L32" s="122"/>
    </row>
    <row r="33" spans="2:12">
      <c r="B33" s="122"/>
      <c r="C33" s="122"/>
      <c r="D33" s="122"/>
      <c r="E33" s="122"/>
      <c r="F33" s="122"/>
      <c r="G33" s="150">
        <f>52/32-1</f>
        <v>0.625</v>
      </c>
      <c r="H33" s="122"/>
      <c r="I33" s="122"/>
      <c r="J33" s="122"/>
      <c r="K33" s="122"/>
      <c r="L33" s="122"/>
    </row>
    <row r="34" spans="2:12">
      <c r="B34" s="122"/>
      <c r="C34" s="122"/>
      <c r="D34" s="122"/>
      <c r="E34" s="122"/>
      <c r="F34" s="122"/>
      <c r="G34" s="122"/>
      <c r="H34" s="122"/>
      <c r="I34" s="122"/>
      <c r="J34" s="122"/>
      <c r="K34" s="122"/>
      <c r="L34" s="122"/>
    </row>
    <row r="35" spans="2:12">
      <c r="B35" s="122"/>
      <c r="C35" s="122"/>
      <c r="D35" s="122"/>
      <c r="E35" s="122"/>
      <c r="F35" s="122"/>
      <c r="G35" s="122"/>
      <c r="H35" s="122"/>
      <c r="I35" s="122"/>
      <c r="J35" s="122"/>
      <c r="K35" s="122"/>
      <c r="L35" s="122"/>
    </row>
    <row r="36" spans="2:12">
      <c r="B36" s="122"/>
      <c r="C36" s="122"/>
      <c r="D36" s="122"/>
      <c r="E36" s="122"/>
      <c r="F36" s="122"/>
      <c r="G36" s="122"/>
      <c r="H36" s="122" t="e">
        <f>#REF!*(1+#REF!)</f>
        <v>#REF!</v>
      </c>
      <c r="I36" s="151">
        <v>52</v>
      </c>
      <c r="J36" s="122"/>
      <c r="K36" s="122"/>
      <c r="L36" s="122"/>
    </row>
    <row r="37" spans="2:12">
      <c r="B37" s="122"/>
      <c r="C37" s="122"/>
      <c r="D37" s="122"/>
      <c r="E37" s="122"/>
      <c r="F37" s="122"/>
      <c r="G37" s="122"/>
      <c r="H37" s="122"/>
      <c r="I37" s="122"/>
      <c r="J37" s="122"/>
      <c r="K37" s="122"/>
      <c r="L37" s="122"/>
    </row>
    <row r="38" spans="2:12">
      <c r="B38" s="122"/>
      <c r="C38" s="122"/>
      <c r="D38" s="122"/>
      <c r="E38" s="122"/>
      <c r="F38" s="122"/>
      <c r="G38" s="122"/>
      <c r="H38" s="122"/>
      <c r="I38" s="122"/>
      <c r="J38" s="122"/>
      <c r="K38" s="122"/>
      <c r="L38" s="122"/>
    </row>
    <row r="39" spans="2:12">
      <c r="B39" s="122"/>
      <c r="C39" s="122"/>
      <c r="D39" s="122"/>
      <c r="E39" s="122"/>
      <c r="F39" s="122"/>
      <c r="G39" s="122"/>
      <c r="H39" s="122"/>
      <c r="I39" s="122"/>
      <c r="J39" s="122"/>
      <c r="K39" s="122"/>
      <c r="L39" s="122"/>
    </row>
    <row r="40" spans="2:12">
      <c r="B40" s="122"/>
      <c r="C40" s="122"/>
      <c r="D40" s="122"/>
      <c r="E40" s="122"/>
      <c r="F40" s="122"/>
      <c r="G40" s="122"/>
      <c r="H40" s="122"/>
      <c r="I40" s="122"/>
      <c r="J40" s="122"/>
      <c r="K40" s="122"/>
      <c r="L40" s="122"/>
    </row>
    <row r="41" spans="2:12">
      <c r="B41" s="122"/>
      <c r="C41" s="122"/>
      <c r="D41" s="122"/>
      <c r="E41" s="122"/>
      <c r="F41" s="122"/>
      <c r="G41" s="122"/>
      <c r="H41" s="122"/>
      <c r="I41" s="122"/>
      <c r="J41" s="122"/>
      <c r="K41" s="122"/>
      <c r="L41" s="122"/>
    </row>
    <row r="42" spans="2:12">
      <c r="B42" s="122"/>
      <c r="C42" s="122"/>
      <c r="D42" s="122"/>
      <c r="E42" s="122"/>
      <c r="F42" s="122"/>
      <c r="G42" s="122"/>
      <c r="H42" s="122"/>
      <c r="I42" s="122"/>
      <c r="J42" s="122"/>
      <c r="K42" s="122"/>
      <c r="L42" s="122"/>
    </row>
    <row r="43" spans="2:12">
      <c r="B43" s="122"/>
      <c r="C43" s="122"/>
      <c r="D43" s="122"/>
      <c r="E43" s="122"/>
      <c r="F43" s="122"/>
      <c r="G43" s="122"/>
      <c r="H43" s="122"/>
      <c r="I43" s="122"/>
      <c r="J43" s="122"/>
      <c r="K43" s="122"/>
      <c r="L43" s="122"/>
    </row>
    <row r="44" spans="2:12">
      <c r="B44" s="122"/>
      <c r="C44" s="122"/>
      <c r="D44" s="122"/>
      <c r="E44" s="122"/>
      <c r="F44" s="122"/>
      <c r="G44" s="122"/>
      <c r="H44" s="122"/>
      <c r="I44" s="122"/>
      <c r="J44" s="122"/>
      <c r="K44" s="122"/>
      <c r="L44" s="122"/>
    </row>
    <row r="45" spans="2:12">
      <c r="B45" s="122"/>
      <c r="C45" s="122"/>
      <c r="D45" s="122"/>
      <c r="E45" s="122"/>
      <c r="F45" s="122"/>
      <c r="G45" s="122"/>
      <c r="H45" s="122"/>
      <c r="I45" s="122"/>
      <c r="J45" s="122"/>
      <c r="K45" s="122"/>
      <c r="L45" s="122"/>
    </row>
    <row r="46" spans="2:12">
      <c r="B46" s="122"/>
      <c r="C46" s="122"/>
      <c r="D46" s="122"/>
      <c r="E46" s="122"/>
      <c r="F46" s="122"/>
      <c r="G46" s="122"/>
      <c r="H46" s="122"/>
      <c r="I46" s="122"/>
      <c r="J46" s="122"/>
      <c r="K46" s="122"/>
      <c r="L46" s="122"/>
    </row>
    <row r="47" spans="2:12">
      <c r="B47" s="122"/>
      <c r="C47" s="122"/>
      <c r="D47" s="122"/>
      <c r="E47" s="122"/>
      <c r="F47" s="122"/>
      <c r="G47" s="122"/>
      <c r="H47" s="122"/>
      <c r="I47" s="122"/>
      <c r="J47" s="122"/>
      <c r="K47" s="122"/>
      <c r="L47" s="12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A9480-6D84-4CC4-B3AE-48B745A9E90C}">
  <sheetPr>
    <tabColor rgb="FF002060"/>
  </sheetPr>
  <dimension ref="B3:DO117"/>
  <sheetViews>
    <sheetView showGridLines="0" tabSelected="1" topLeftCell="P13" zoomScale="57" zoomScaleNormal="80" workbookViewId="0">
      <selection activeCell="R11" sqref="R11"/>
    </sheetView>
  </sheetViews>
  <sheetFormatPr defaultRowHeight="14.5" outlineLevelRow="1" outlineLevelCol="1"/>
  <cols>
    <col min="2" max="2" width="8.7265625" style="14"/>
    <col min="3" max="3" width="5.54296875" customWidth="1"/>
    <col min="4" max="4" width="10.54296875" customWidth="1" outlineLevel="1"/>
    <col min="5" max="5" width="24.54296875" customWidth="1"/>
    <col min="6" max="6" width="11" customWidth="1" outlineLevel="1"/>
    <col min="7" max="7" width="8.7265625" style="14"/>
    <col min="8" max="8" width="1.26953125" customWidth="1"/>
    <col min="9" max="9" width="11.1796875" customWidth="1"/>
    <col min="10" max="10" width="12.36328125" customWidth="1"/>
    <col min="11" max="11" width="10.26953125" customWidth="1"/>
    <col min="12" max="12" width="1.54296875" customWidth="1"/>
    <col min="13" max="13" width="12.81640625" customWidth="1"/>
    <col min="14" max="14" width="12.453125" customWidth="1"/>
    <col min="15" max="15" width="14.90625" customWidth="1"/>
    <col min="16" max="16" width="11" customWidth="1"/>
    <col min="17" max="18" width="12.453125" customWidth="1"/>
    <col min="19" max="19" width="9.453125" customWidth="1"/>
    <col min="20" max="21" width="12.81640625" customWidth="1"/>
    <col min="25" max="25" width="21" customWidth="1"/>
    <col min="26" max="26" width="12.54296875" customWidth="1"/>
    <col min="27" max="27" width="10.1796875" customWidth="1"/>
    <col min="28" max="28" width="13.453125" customWidth="1"/>
    <col min="31" max="34" width="14.54296875" customWidth="1"/>
    <col min="35" max="35" width="11.81640625" customWidth="1"/>
    <col min="37" max="37" width="16.54296875" customWidth="1"/>
    <col min="47" max="47" width="11.453125" bestFit="1" customWidth="1"/>
    <col min="59" max="59" width="23.1796875" customWidth="1"/>
    <col min="60" max="60" width="3.81640625" customWidth="1"/>
    <col min="65" max="65" width="13.81640625" customWidth="1"/>
  </cols>
  <sheetData>
    <row r="3" spans="13:74">
      <c r="M3" s="3" t="s">
        <v>1009</v>
      </c>
    </row>
    <row r="4" spans="13:74">
      <c r="M4" s="145" t="s">
        <v>1010</v>
      </c>
      <c r="N4" s="141"/>
      <c r="O4" s="141"/>
    </row>
    <row r="5" spans="13:74" ht="15" thickBot="1">
      <c r="M5" s="21"/>
      <c r="N5" s="21"/>
      <c r="O5" s="21"/>
    </row>
    <row r="6" spans="13:74" ht="29.15" customHeight="1" thickTop="1">
      <c r="M6" s="107" t="s">
        <v>1011</v>
      </c>
      <c r="N6" s="20" t="s">
        <v>1012</v>
      </c>
      <c r="O6" s="20" t="s">
        <v>1013</v>
      </c>
      <c r="Q6" s="76"/>
    </row>
    <row r="7" spans="13:74">
      <c r="M7" s="76" t="s">
        <v>900</v>
      </c>
      <c r="N7" s="101">
        <f>I22</f>
        <v>14.206571375766352</v>
      </c>
      <c r="O7" s="101">
        <f>N22</f>
        <v>88.549473435394845</v>
      </c>
      <c r="R7" s="8"/>
    </row>
    <row r="8" spans="13:74">
      <c r="M8" s="105" t="s">
        <v>1014</v>
      </c>
      <c r="N8" s="106">
        <f>J22</f>
        <v>19.285195684669443</v>
      </c>
      <c r="O8" s="106">
        <f>O22</f>
        <v>120.20450802711069</v>
      </c>
    </row>
    <row r="9" spans="13:74" ht="15" thickBot="1">
      <c r="M9" s="108" t="s">
        <v>901</v>
      </c>
      <c r="N9" s="109">
        <f>K22</f>
        <v>33.491766934040719</v>
      </c>
      <c r="O9" s="109">
        <f>P22</f>
        <v>208.75398067468581</v>
      </c>
      <c r="BV9" t="s">
        <v>1133</v>
      </c>
    </row>
    <row r="10" spans="13:74" ht="15" thickTop="1">
      <c r="BV10" s="196" t="s">
        <v>1134</v>
      </c>
    </row>
    <row r="11" spans="13:74" ht="15.5">
      <c r="BJ11" s="26"/>
      <c r="BV11" s="197" t="s">
        <v>1135</v>
      </c>
    </row>
    <row r="12" spans="13:74">
      <c r="BJ12" s="26"/>
    </row>
    <row r="13" spans="13:74">
      <c r="BJ13" s="26"/>
    </row>
    <row r="14" spans="13:74">
      <c r="BJ14" s="26"/>
      <c r="BT14" t="s">
        <v>1015</v>
      </c>
    </row>
    <row r="15" spans="13:74">
      <c r="BJ15" s="26"/>
    </row>
    <row r="16" spans="13:74">
      <c r="BJ16" s="26"/>
    </row>
    <row r="17" spans="2:119">
      <c r="D17" s="3" t="s">
        <v>1016</v>
      </c>
      <c r="BJ17" s="26"/>
    </row>
    <row r="18" spans="2:119" ht="15" thickBot="1">
      <c r="B18" s="152"/>
      <c r="C18" s="153"/>
      <c r="D18" s="78"/>
      <c r="E18" s="21"/>
      <c r="F18" s="21"/>
      <c r="G18" s="22"/>
      <c r="H18" s="22"/>
      <c r="I18" s="22"/>
      <c r="J18" s="22"/>
      <c r="K18" s="22"/>
      <c r="L18" s="22"/>
      <c r="M18" s="22"/>
      <c r="N18" s="21"/>
      <c r="O18" s="21"/>
      <c r="P18" s="21"/>
      <c r="Q18" s="141"/>
      <c r="R18" s="141"/>
      <c r="BJ18" s="26"/>
    </row>
    <row r="19" spans="2:119" ht="15" customHeight="1" thickTop="1">
      <c r="B19" s="152"/>
      <c r="C19" s="153"/>
      <c r="D19" s="9359" t="s">
        <v>937</v>
      </c>
      <c r="E19" s="9364" t="s">
        <v>904</v>
      </c>
      <c r="F19" s="9364"/>
      <c r="G19" s="9359" t="s">
        <v>938</v>
      </c>
      <c r="I19" s="9362" t="s">
        <v>1017</v>
      </c>
      <c r="J19" s="9362"/>
      <c r="K19" s="29"/>
      <c r="L19" s="19"/>
      <c r="M19" s="9363" t="s">
        <v>1018</v>
      </c>
      <c r="N19" s="9363"/>
      <c r="O19" s="9363"/>
      <c r="P19" s="29"/>
      <c r="Q19" s="141"/>
      <c r="R19" s="141"/>
      <c r="BJ19" s="26"/>
      <c r="BV19" s="76" t="s">
        <v>1019</v>
      </c>
      <c r="CC19" s="76" t="s">
        <v>1020</v>
      </c>
      <c r="CJ19" s="76" t="s">
        <v>901</v>
      </c>
    </row>
    <row r="20" spans="2:119" s="15" customFormat="1" ht="56.15" customHeight="1">
      <c r="B20" s="154" t="s">
        <v>1021</v>
      </c>
      <c r="C20" s="154" t="s">
        <v>1022</v>
      </c>
      <c r="D20" s="9360"/>
      <c r="E20" s="9365"/>
      <c r="F20" s="9365"/>
      <c r="G20" s="9360"/>
      <c r="H20" s="16"/>
      <c r="I20" s="25" t="s">
        <v>941</v>
      </c>
      <c r="J20" s="25" t="s">
        <v>1023</v>
      </c>
      <c r="K20" s="25" t="s">
        <v>1024</v>
      </c>
      <c r="L20" s="17"/>
      <c r="M20" s="20" t="s">
        <v>943</v>
      </c>
      <c r="N20" s="20" t="s">
        <v>944</v>
      </c>
      <c r="O20" s="25" t="s">
        <v>1023</v>
      </c>
      <c r="P20" s="25" t="s">
        <v>1024</v>
      </c>
      <c r="Q20" s="141"/>
      <c r="R20" s="141"/>
      <c r="T20" s="18"/>
      <c r="BC20"/>
      <c r="BD20"/>
      <c r="BE20"/>
      <c r="BF20"/>
      <c r="BG20" s="155"/>
      <c r="BH20" s="156" t="s">
        <v>1025</v>
      </c>
      <c r="BI20"/>
      <c r="BJ20" s="26"/>
      <c r="BK20" s="141"/>
      <c r="BL20" s="141"/>
      <c r="BM20" s="155"/>
      <c r="BN20" s="141"/>
      <c r="BO20"/>
      <c r="BP20"/>
      <c r="BQ20"/>
      <c r="BR20"/>
      <c r="BS20"/>
      <c r="BT20"/>
      <c r="BU20"/>
      <c r="BV20"/>
      <c r="BW20"/>
      <c r="BX20"/>
      <c r="BY20"/>
      <c r="BZ20"/>
      <c r="CA20"/>
      <c r="CB20"/>
      <c r="CC20"/>
      <c r="CD20"/>
      <c r="CE20"/>
      <c r="CF20"/>
      <c r="CG20"/>
      <c r="CH20"/>
      <c r="CI20"/>
      <c r="CJ20"/>
      <c r="CK20"/>
      <c r="CL20"/>
      <c r="CM20"/>
      <c r="CN20"/>
      <c r="CO20"/>
      <c r="CP20"/>
      <c r="CQ20"/>
      <c r="DH20"/>
      <c r="DI20"/>
      <c r="DJ20"/>
      <c r="DK20"/>
      <c r="DL20"/>
      <c r="DM20"/>
      <c r="DN20"/>
      <c r="DO20"/>
    </row>
    <row r="21" spans="2:119" s="15" customFormat="1" ht="7.5" customHeight="1">
      <c r="B21" s="154"/>
      <c r="C21" s="157"/>
      <c r="F21" s="16"/>
      <c r="G21" s="18"/>
      <c r="H21" s="16"/>
      <c r="I21" s="17"/>
      <c r="J21" s="17"/>
      <c r="K21" s="17"/>
      <c r="L21" s="17"/>
      <c r="Q21" s="141"/>
      <c r="R21" s="141"/>
      <c r="BC21"/>
      <c r="BD21"/>
      <c r="BE21"/>
      <c r="BF21"/>
      <c r="BG21" s="158"/>
      <c r="BH21" s="159" t="s">
        <v>944</v>
      </c>
      <c r="BI21" s="160"/>
      <c r="BJ21" s="62"/>
      <c r="BK21" s="161" t="s">
        <v>1023</v>
      </c>
      <c r="BL21" s="59"/>
      <c r="BM21" s="162"/>
      <c r="BN21" s="163" t="s">
        <v>942</v>
      </c>
      <c r="BO21" s="164"/>
      <c r="BP21" s="94"/>
      <c r="BQ21"/>
      <c r="BR21"/>
      <c r="BS21"/>
      <c r="BT21"/>
      <c r="BU21"/>
      <c r="BV21"/>
      <c r="BW21"/>
      <c r="BX21"/>
      <c r="BY21"/>
      <c r="BZ21"/>
      <c r="CA21"/>
      <c r="CB21"/>
      <c r="CC21"/>
      <c r="CD21"/>
      <c r="CE21"/>
      <c r="CF21"/>
      <c r="CG21"/>
      <c r="CH21"/>
      <c r="CI21"/>
      <c r="CJ21"/>
      <c r="CK21"/>
      <c r="CL21"/>
      <c r="CM21"/>
      <c r="CN21"/>
      <c r="CO21"/>
      <c r="CP21"/>
      <c r="CQ21"/>
      <c r="DH21"/>
      <c r="DI21"/>
      <c r="DJ21"/>
      <c r="DK21"/>
      <c r="DL21"/>
      <c r="DM21"/>
      <c r="DN21"/>
      <c r="DO21"/>
    </row>
    <row r="22" spans="2:119" s="15" customFormat="1" ht="14.15" customHeight="1">
      <c r="B22" s="154"/>
      <c r="C22" s="157"/>
      <c r="E22" s="209" t="s">
        <v>1145</v>
      </c>
      <c r="F22" s="3"/>
      <c r="G22" s="19"/>
      <c r="H22" s="3"/>
      <c r="I22" s="24">
        <f>SUMPRODUCT(M24:M41,I24:I41)/SUM(M24:M41)</f>
        <v>14.206571375766352</v>
      </c>
      <c r="J22" s="24">
        <f>SUMPRODUCT(M24:M42,J24:J42)/SUM(M24:M42)</f>
        <v>19.285195684669443</v>
      </c>
      <c r="K22" s="24">
        <f>SUMPRODUCT(M24:M42,K24:K42)/SUM(M24:M42)</f>
        <v>33.491766934040719</v>
      </c>
      <c r="L22" s="3"/>
      <c r="M22" s="24">
        <f>SUM(M24:M41)</f>
        <v>623.29939499999989</v>
      </c>
      <c r="N22" s="24">
        <f>SUM(N24:N41)</f>
        <v>88.549473435394845</v>
      </c>
      <c r="O22" s="24">
        <f>SUM(O24:O41)</f>
        <v>120.20450802711069</v>
      </c>
      <c r="P22" s="24">
        <f>SUM(P24:P41)</f>
        <v>208.75398067468581</v>
      </c>
      <c r="Q22" s="141"/>
      <c r="R22" s="141"/>
      <c r="BC22"/>
      <c r="BD22"/>
      <c r="BE22"/>
      <c r="BF22"/>
      <c r="BG22" s="158"/>
      <c r="BH22" s="165"/>
      <c r="BI22" s="165"/>
      <c r="BJ22" s="62"/>
      <c r="BK22" s="59"/>
      <c r="BL22" s="60"/>
      <c r="BM22" s="63"/>
      <c r="BN22" s="164"/>
      <c r="BO22" s="166"/>
      <c r="BP22" s="94"/>
      <c r="BQ22"/>
      <c r="BR22"/>
      <c r="BS22"/>
      <c r="BT22"/>
      <c r="BU22"/>
      <c r="BV22"/>
      <c r="BW22"/>
      <c r="BX22"/>
      <c r="BY22"/>
      <c r="BZ22"/>
      <c r="CA22"/>
      <c r="CB22"/>
      <c r="CC22"/>
      <c r="CD22"/>
      <c r="CE22"/>
      <c r="CF22"/>
      <c r="CG22"/>
      <c r="CH22"/>
      <c r="CI22"/>
      <c r="CJ22"/>
      <c r="CK22"/>
      <c r="CL22"/>
      <c r="CM22"/>
      <c r="CN22"/>
      <c r="CO22"/>
      <c r="CP22"/>
      <c r="CQ22"/>
      <c r="DH22"/>
      <c r="DI22"/>
      <c r="DJ22"/>
      <c r="DK22"/>
      <c r="DL22"/>
      <c r="DM22"/>
      <c r="DN22"/>
      <c r="DO22"/>
    </row>
    <row r="23" spans="2:119" s="15" customFormat="1" ht="20.5" customHeight="1">
      <c r="B23" s="154"/>
      <c r="C23" s="157"/>
      <c r="D23" s="210"/>
      <c r="E23" s="210" t="s">
        <v>0</v>
      </c>
      <c r="F23" s="210"/>
      <c r="G23" s="210"/>
      <c r="H23" s="210"/>
      <c r="I23" s="211">
        <f>AVERAGE(I24:I41)</f>
        <v>16.603263709280228</v>
      </c>
      <c r="J23" s="211">
        <f>AVERAGE(J24:J41)</f>
        <v>18.565473079681396</v>
      </c>
      <c r="K23" s="211">
        <f t="shared" ref="K23" si="0">AVERAGE(K24:K41)</f>
        <v>35.168736351860893</v>
      </c>
      <c r="L23" s="210"/>
      <c r="M23" s="210"/>
      <c r="N23" s="210"/>
      <c r="O23" s="210"/>
      <c r="P23" s="210"/>
      <c r="Q23" s="141"/>
      <c r="R23" s="141"/>
      <c r="BC23"/>
      <c r="BD23"/>
      <c r="BE23"/>
      <c r="BF23" s="18" t="s">
        <v>1026</v>
      </c>
      <c r="BG23" s="16" t="s">
        <v>911</v>
      </c>
      <c r="BH23" s="36"/>
      <c r="BI23" s="61"/>
      <c r="BJ23" s="62"/>
      <c r="BK23" s="59"/>
      <c r="BL23" s="60"/>
      <c r="BM23" s="63"/>
      <c r="BN23" s="94"/>
      <c r="BO23" s="95"/>
      <c r="BP23" s="94"/>
      <c r="BQ23"/>
      <c r="BR23"/>
      <c r="BS23"/>
      <c r="BT23"/>
      <c r="BU23"/>
      <c r="BV23"/>
      <c r="BW23"/>
      <c r="BX23"/>
      <c r="BY23"/>
      <c r="BZ23"/>
      <c r="CA23"/>
      <c r="CB23"/>
      <c r="CC23"/>
      <c r="CD23"/>
      <c r="CE23"/>
      <c r="CF23"/>
      <c r="CG23"/>
      <c r="CH23"/>
      <c r="CI23"/>
      <c r="CJ23"/>
      <c r="CK23"/>
      <c r="CL23"/>
      <c r="CM23"/>
      <c r="CN23"/>
      <c r="CO23"/>
      <c r="CP23"/>
      <c r="CQ23"/>
      <c r="DH23"/>
      <c r="DI23"/>
      <c r="DJ23"/>
      <c r="DK23"/>
      <c r="DL23"/>
      <c r="DM23"/>
      <c r="DN23"/>
      <c r="DO23"/>
    </row>
    <row r="24" spans="2:119" ht="17.149999999999999" customHeight="1">
      <c r="B24" s="152" t="s">
        <v>911</v>
      </c>
      <c r="C24" s="153">
        <v>1</v>
      </c>
      <c r="D24" s="76" t="s">
        <v>10</v>
      </c>
      <c r="E24" s="76" t="str">
        <f t="shared" ref="E24" si="1">VLOOKUP(D24,Groups_population,2,0)</f>
        <v>Argentina</v>
      </c>
      <c r="F24" s="8"/>
      <c r="G24" s="37">
        <f>VLOOKUP(D24,Fact1_data!$A$2:$K$20,2,0)</f>
        <v>2022</v>
      </c>
      <c r="H24" s="8"/>
      <c r="I24" s="13">
        <f>VLOOKUP(D24,Fact1_data!$A$2:$K$20,3,0)</f>
        <v>8.1207027435302734</v>
      </c>
      <c r="J24" s="13">
        <f>VLOOKUP(D24,Fact1_data!$A$2:$K$20,4,0)</f>
        <v>12.861659049987793</v>
      </c>
      <c r="K24" s="13">
        <f>VLOOKUP(D24,Fact1_data!$A$2:$K$20,5,0)</f>
        <v>20.98236083984375</v>
      </c>
      <c r="L24" s="13"/>
      <c r="M24" s="101">
        <f>VLOOKUP(D24,Fact1_data!$A$2:$K$20,11,0)/1000000</f>
        <v>45.773884000000002</v>
      </c>
      <c r="N24" s="101">
        <f t="shared" ref="N24:N41" si="2">I24/100*$M24</f>
        <v>3.7171610538083653</v>
      </c>
      <c r="O24" s="101">
        <f t="shared" ref="O24" si="3">J24/100*$M24</f>
        <v>5.8872808940169143</v>
      </c>
      <c r="P24" s="101">
        <f t="shared" ref="P24" si="4">K24/100*$M24</f>
        <v>9.6044415112915047</v>
      </c>
      <c r="Q24" s="76"/>
      <c r="R24" s="76"/>
      <c r="S24" s="13"/>
      <c r="T24" s="13"/>
      <c r="BE24">
        <v>18</v>
      </c>
      <c r="BF24" s="8">
        <v>1</v>
      </c>
      <c r="BG24" s="73">
        <v>-10</v>
      </c>
      <c r="BH24" s="36" t="s">
        <v>50</v>
      </c>
      <c r="BI24" s="110">
        <f>VLOOKUP(BH24,Fact1_2!$D$21:$P$43,11,0)</f>
        <v>0.13685308712398289</v>
      </c>
      <c r="BJ24" s="62" t="str">
        <f t="shared" ref="BJ24:BJ32" si="5">BH24&amp;"    "&amp;$BE24</f>
        <v>URY    18</v>
      </c>
      <c r="BK24" s="59" t="s">
        <v>46</v>
      </c>
      <c r="BL24" s="111">
        <f>VLOOKUP(BK24,Fact1_2!$D$21:$P$43,12,0)</f>
        <v>1.4697356399693871</v>
      </c>
      <c r="BM24" s="63" t="str">
        <f t="shared" ref="BM24:BM41" si="6">BK24&amp;"       "&amp;$BE24</f>
        <v>SLV       18</v>
      </c>
      <c r="BN24" s="94" t="s">
        <v>33</v>
      </c>
      <c r="BO24" s="112">
        <f>VLOOKUP(BN24,Fact1_2!$D$21:$P$43,13,0)</f>
        <v>0.47153450810989378</v>
      </c>
      <c r="BP24" s="97" t="str">
        <f t="shared" ref="BP24:BP41" si="7">BN24&amp;"         "&amp;$BE24</f>
        <v>GUY         18</v>
      </c>
      <c r="DH24" s="15"/>
      <c r="DI24" s="15"/>
      <c r="DJ24" s="15"/>
      <c r="DK24" s="15"/>
      <c r="DL24" s="15"/>
      <c r="DM24" s="15"/>
      <c r="DN24" s="15"/>
      <c r="DO24" s="15"/>
    </row>
    <row r="25" spans="2:119">
      <c r="B25" s="152" t="s">
        <v>911</v>
      </c>
      <c r="C25" s="153">
        <f>C24+1</f>
        <v>2</v>
      </c>
      <c r="D25" s="76" t="s">
        <v>15</v>
      </c>
      <c r="E25" s="76" t="str">
        <f t="shared" ref="E25:E39" si="8">VLOOKUP(D25,Groups_population,2,0)</f>
        <v>Bolivia</v>
      </c>
      <c r="F25" s="8"/>
      <c r="G25" s="37">
        <f>VLOOKUP(D25,Fact1_data!$A$2:$K$20,2,0)</f>
        <v>2022</v>
      </c>
      <c r="H25" s="73"/>
      <c r="I25" s="13">
        <f>VLOOKUP(D25,Fact1_data!$A$2:$K$20,3,0)</f>
        <v>9.1588373184204102</v>
      </c>
      <c r="J25" s="13">
        <f>VLOOKUP(D25,Fact1_data!$A$2:$K$20,4,0)</f>
        <v>12.590672492980957</v>
      </c>
      <c r="K25" s="13">
        <f>VLOOKUP(D25,Fact1_data!$A$2:$K$20,5,0)</f>
        <v>21.749509811401367</v>
      </c>
      <c r="L25" s="74"/>
      <c r="M25" s="101">
        <f>VLOOKUP(D25,Fact1_data!$A$2:$K$20,11,0)/1000000</f>
        <v>12.388571000000001</v>
      </c>
      <c r="N25" s="102">
        <f t="shared" si="2"/>
        <v>1.1346490639670086</v>
      </c>
      <c r="O25" s="102">
        <f t="shared" ref="O25:O41" si="9">J25/100*$M25</f>
        <v>1.5598044011704157</v>
      </c>
      <c r="P25" s="102">
        <f t="shared" ref="P25:P41" si="10">K25/100*$M25</f>
        <v>2.6944534651374248</v>
      </c>
      <c r="Q25" s="76"/>
      <c r="R25" s="76"/>
      <c r="S25" s="68"/>
      <c r="T25" s="67"/>
      <c r="BE25">
        <f t="shared" ref="BE25:BE41" si="11">BE24-1</f>
        <v>17</v>
      </c>
      <c r="BF25" s="8">
        <f t="shared" ref="BF25:BF41" si="12">BF24+1</f>
        <v>2</v>
      </c>
      <c r="BG25" s="73">
        <v>-10</v>
      </c>
      <c r="BH25" s="36" t="s">
        <v>33</v>
      </c>
      <c r="BI25" s="110">
        <f>VLOOKUP(BH25,Fact1_2!$D$21:$P$43,11,0)</f>
        <v>0.26041435322010037</v>
      </c>
      <c r="BJ25" s="62" t="str">
        <f t="shared" si="5"/>
        <v>GUY    17</v>
      </c>
      <c r="BK25" s="59" t="s">
        <v>33</v>
      </c>
      <c r="BL25" s="111">
        <f>VLOOKUP(BK25,Fact1_2!$D$21:$P$43,12,0)</f>
        <v>0.21112013936714172</v>
      </c>
      <c r="BM25" s="63" t="str">
        <f t="shared" si="6"/>
        <v>GUY       17</v>
      </c>
      <c r="BN25" s="94" t="s">
        <v>50</v>
      </c>
      <c r="BO25" s="112">
        <f>VLOOKUP(BN25,Fact1_2!$D$21:$P$43,13,0)</f>
        <v>0.48993874352478023</v>
      </c>
      <c r="BP25" s="97" t="str">
        <f t="shared" si="7"/>
        <v>URY         17</v>
      </c>
    </row>
    <row r="26" spans="2:119">
      <c r="B26" s="152" t="s">
        <v>911</v>
      </c>
      <c r="C26" s="153">
        <f t="shared" ref="C26:C41" si="13">C25+1</f>
        <v>3</v>
      </c>
      <c r="D26" s="76" t="s">
        <v>17</v>
      </c>
      <c r="E26" s="76" t="str">
        <f t="shared" si="8"/>
        <v>Brazil</v>
      </c>
      <c r="F26" s="8"/>
      <c r="G26" s="37">
        <f>VLOOKUP(D26,Fact1_data!$A$2:$K$20,2,0)</f>
        <v>2022</v>
      </c>
      <c r="H26" s="73"/>
      <c r="I26" s="13">
        <f>VLOOKUP(D26,Fact1_data!$A$2:$K$20,3,0)</f>
        <v>10.865315437316895</v>
      </c>
      <c r="J26" s="13">
        <f>VLOOKUP(D26,Fact1_data!$A$2:$K$20,4,0)</f>
        <v>18.57042121887207</v>
      </c>
      <c r="K26" s="13">
        <f>VLOOKUP(D26,Fact1_data!$A$2:$K$20,5,0)</f>
        <v>29.435735702514648</v>
      </c>
      <c r="L26" s="74"/>
      <c r="M26" s="101">
        <f>VLOOKUP(D26,Fact1_data!$A$2:$K$20,11,0)/1000000</f>
        <v>216.42244600000001</v>
      </c>
      <c r="N26" s="102">
        <f t="shared" si="2"/>
        <v>23.514981435056821</v>
      </c>
      <c r="O26" s="102">
        <f t="shared" si="9"/>
        <v>40.190559834385951</v>
      </c>
      <c r="P26" s="102">
        <f t="shared" si="10"/>
        <v>63.705539205477486</v>
      </c>
      <c r="Q26" s="3"/>
      <c r="R26" s="3"/>
      <c r="S26" s="68"/>
      <c r="T26" s="68"/>
      <c r="BE26">
        <f t="shared" si="11"/>
        <v>16</v>
      </c>
      <c r="BF26" s="8">
        <f t="shared" si="12"/>
        <v>3</v>
      </c>
      <c r="BG26" s="73">
        <v>-10</v>
      </c>
      <c r="BH26" s="36" t="s">
        <v>25</v>
      </c>
      <c r="BI26" s="110">
        <f>VLOOKUP(BH26,Fact1_2!$D$21:$P$43,11,0)</f>
        <v>0.34346227608389851</v>
      </c>
      <c r="BJ26" s="62" t="str">
        <f t="shared" si="5"/>
        <v>CRI    16</v>
      </c>
      <c r="BK26" s="59" t="s">
        <v>50</v>
      </c>
      <c r="BL26" s="111">
        <f>VLOOKUP(BK26,Fact1_2!$D$21:$P$43,12,0)</f>
        <v>0.35308568088478093</v>
      </c>
      <c r="BM26" s="63" t="str">
        <f t="shared" si="6"/>
        <v>URY       16</v>
      </c>
      <c r="BN26" s="94" t="s">
        <v>42</v>
      </c>
      <c r="BO26" s="112">
        <f>VLOOKUP(BN26,Fact1_2!$D$21:$P$43,13,0)</f>
        <v>0.86847461009542459</v>
      </c>
      <c r="BP26" s="97" t="str">
        <f t="shared" si="7"/>
        <v>PAN         16</v>
      </c>
    </row>
    <row r="27" spans="2:119">
      <c r="B27" s="152" t="s">
        <v>911</v>
      </c>
      <c r="C27" s="153">
        <f t="shared" si="13"/>
        <v>4</v>
      </c>
      <c r="D27" t="s">
        <v>21</v>
      </c>
      <c r="E27" s="76" t="str">
        <f t="shared" si="8"/>
        <v>Chile</v>
      </c>
      <c r="F27" s="8"/>
      <c r="G27" s="37">
        <f>VLOOKUP(D27,Fact1_data!$A$2:$K$20,2,0)</f>
        <v>2022</v>
      </c>
      <c r="H27" s="8"/>
      <c r="I27" s="13">
        <f>VLOOKUP(D27,Fact1_data!$A$2:$K$20,3,0)</f>
        <v>3.2169833183288574</v>
      </c>
      <c r="J27" s="13">
        <f>VLOOKUP(D27,Fact1_data!$A$2:$K$20,4,0)</f>
        <v>8.0021905899047852</v>
      </c>
      <c r="K27" s="13">
        <f>VLOOKUP(D27,Fact1_data!$A$2:$K$20,5,0)</f>
        <v>11.219173431396484</v>
      </c>
      <c r="L27" s="13"/>
      <c r="M27" s="101">
        <f>VLOOKUP(D27,Fact1_data!$A$2:$K$20,11,0)/1000000</f>
        <v>19.62959</v>
      </c>
      <c r="N27" s="101">
        <f t="shared" si="2"/>
        <v>0.63148063575634961</v>
      </c>
      <c r="O27" s="101">
        <f t="shared" si="9"/>
        <v>1.5707972038168907</v>
      </c>
      <c r="P27" s="101">
        <f t="shared" si="10"/>
        <v>2.2022777459720611</v>
      </c>
      <c r="Q27" s="76"/>
      <c r="R27" s="76"/>
      <c r="S27" s="13"/>
      <c r="T27" s="13"/>
      <c r="BE27">
        <f t="shared" si="11"/>
        <v>15</v>
      </c>
      <c r="BF27" s="8">
        <f t="shared" si="12"/>
        <v>4</v>
      </c>
      <c r="BG27" s="73">
        <v>-10</v>
      </c>
      <c r="BH27" s="36" t="s">
        <v>42</v>
      </c>
      <c r="BI27" s="110">
        <f>VLOOKUP(BH27,Fact1_2!$D$21:$P$43,11,0)</f>
        <v>0.39970974107677459</v>
      </c>
      <c r="BJ27" s="62" t="str">
        <f t="shared" si="5"/>
        <v>PAN    15</v>
      </c>
      <c r="BK27" s="59" t="s">
        <v>42</v>
      </c>
      <c r="BL27" s="111">
        <f>VLOOKUP(BK27,Fact1_2!$D$21:$P$43,12,0)</f>
        <v>0.46876486901865005</v>
      </c>
      <c r="BM27" s="63" t="str">
        <f t="shared" si="6"/>
        <v>PAN       15</v>
      </c>
      <c r="BN27" s="94" t="s">
        <v>25</v>
      </c>
      <c r="BO27" s="112">
        <f>VLOOKUP(BN27,Fact1_2!$D$21:$P$43,13,0)</f>
        <v>1.0880328623622322</v>
      </c>
      <c r="BP27" s="97" t="str">
        <f t="shared" si="7"/>
        <v>CRI         15</v>
      </c>
    </row>
    <row r="28" spans="2:119">
      <c r="B28" s="152" t="s">
        <v>911</v>
      </c>
      <c r="C28" s="153">
        <f t="shared" si="13"/>
        <v>5</v>
      </c>
      <c r="D28" t="s">
        <v>23</v>
      </c>
      <c r="E28" s="76" t="str">
        <f t="shared" si="8"/>
        <v>Colombia</v>
      </c>
      <c r="F28" s="8"/>
      <c r="G28" s="37">
        <f>VLOOKUP(D28,Fact1_data!$A$2:$K$20,2,0)</f>
        <v>2022</v>
      </c>
      <c r="H28" s="8"/>
      <c r="I28" s="13">
        <f>VLOOKUP(D28,Fact1_data!$A$2:$K$20,3,0)</f>
        <v>19.512697219848633</v>
      </c>
      <c r="J28" s="13">
        <f>VLOOKUP(D28,Fact1_data!$A$2:$K$20,4,0)</f>
        <v>21.709625244140625</v>
      </c>
      <c r="K28" s="13">
        <f>VLOOKUP(D28,Fact1_data!$A$2:$K$20,5,0)</f>
        <v>41.222324371337891</v>
      </c>
      <c r="L28" s="13"/>
      <c r="M28" s="101">
        <f>VLOOKUP(D28,Fact1_data!$A$2:$K$20,11,0)/1000000</f>
        <v>52.085168000000003</v>
      </c>
      <c r="N28" s="101">
        <f t="shared" si="2"/>
        <v>10.163221128289489</v>
      </c>
      <c r="O28" s="101">
        <f t="shared" si="9"/>
        <v>11.307494780581056</v>
      </c>
      <c r="P28" s="101">
        <f t="shared" si="10"/>
        <v>21.470716902316287</v>
      </c>
      <c r="S28" s="13"/>
      <c r="T28" s="13"/>
      <c r="BE28">
        <f t="shared" si="11"/>
        <v>14</v>
      </c>
      <c r="BF28" s="8">
        <f t="shared" si="12"/>
        <v>5</v>
      </c>
      <c r="BG28" s="73">
        <v>-10</v>
      </c>
      <c r="BH28" s="36" t="s">
        <v>21</v>
      </c>
      <c r="BI28" s="110">
        <f>VLOOKUP(BH28,Fact1_2!$D$21:$P$43,11,0)</f>
        <v>0.63148063575634961</v>
      </c>
      <c r="BJ28" s="62" t="str">
        <f t="shared" si="5"/>
        <v>CHL    14</v>
      </c>
      <c r="BK28" s="59" t="s">
        <v>25</v>
      </c>
      <c r="BL28" s="111">
        <f>VLOOKUP(BK28,Fact1_2!$D$21:$P$43,12,0)</f>
        <v>0.74457063598548889</v>
      </c>
      <c r="BM28" s="63" t="str">
        <f t="shared" si="6"/>
        <v>CRI       14</v>
      </c>
      <c r="BN28" s="94" t="s">
        <v>45</v>
      </c>
      <c r="BO28" s="112">
        <f>VLOOKUP(BN28,Fact1_2!$D$21:$P$43,13,0)</f>
        <v>2.1492926127069092</v>
      </c>
      <c r="BP28" s="97" t="str">
        <f t="shared" si="7"/>
        <v>PRY         14</v>
      </c>
    </row>
    <row r="29" spans="2:119">
      <c r="B29" s="152" t="s">
        <v>911</v>
      </c>
      <c r="C29" s="153">
        <f t="shared" si="13"/>
        <v>6</v>
      </c>
      <c r="D29" t="s">
        <v>25</v>
      </c>
      <c r="E29" s="76" t="str">
        <f t="shared" si="8"/>
        <v>Costa Rica</v>
      </c>
      <c r="F29" s="8"/>
      <c r="G29" s="37">
        <f>VLOOKUP(D29,Fact1_data!$A$2:$K$20,2,0)</f>
        <v>2023</v>
      </c>
      <c r="H29" s="8"/>
      <c r="I29" s="13">
        <f>VLOOKUP(D29,Fact1_data!$A$2:$K$20,3,0)</f>
        <v>6.5896177291870117</v>
      </c>
      <c r="J29" s="13">
        <f>VLOOKUP(D29,Fact1_data!$A$2:$K$20,4,0)</f>
        <v>14.285224914550781</v>
      </c>
      <c r="K29" s="13">
        <f>VLOOKUP(D29,Fact1_data!$A$2:$K$20,5,0)</f>
        <v>20.874841690063477</v>
      </c>
      <c r="L29" s="13"/>
      <c r="M29" s="101">
        <f>VLOOKUP(D29,Fact1_data!$A$2:$K$20,11,0)/1000000</f>
        <v>5.2121729999999999</v>
      </c>
      <c r="N29" s="101">
        <f t="shared" si="2"/>
        <v>0.34346227608389851</v>
      </c>
      <c r="O29" s="101">
        <f t="shared" si="9"/>
        <v>0.74457063598548889</v>
      </c>
      <c r="P29" s="101">
        <f t="shared" si="10"/>
        <v>1.0880328623622322</v>
      </c>
      <c r="S29" s="13"/>
      <c r="T29" s="13"/>
      <c r="BE29">
        <f t="shared" si="11"/>
        <v>13</v>
      </c>
      <c r="BF29" s="8">
        <f t="shared" si="12"/>
        <v>6</v>
      </c>
      <c r="BG29" s="73">
        <v>-10</v>
      </c>
      <c r="BH29" s="36" t="s">
        <v>45</v>
      </c>
      <c r="BI29" s="110">
        <f>VLOOKUP(BH29,Fact1_2!$D$21:$P$43,11,0)</f>
        <v>0.8485677883852768</v>
      </c>
      <c r="BJ29" s="62" t="str">
        <f t="shared" si="5"/>
        <v>PRY    13</v>
      </c>
      <c r="BK29" s="59" t="s">
        <v>45</v>
      </c>
      <c r="BL29" s="111">
        <f>VLOOKUP(BK29,Fact1_2!$D$21:$P$43,12,0)</f>
        <v>1.3007250206314087</v>
      </c>
      <c r="BM29" s="63" t="str">
        <f t="shared" si="6"/>
        <v>PRY       13</v>
      </c>
      <c r="BN29" s="94" t="s">
        <v>21</v>
      </c>
      <c r="BO29" s="112">
        <f>VLOOKUP(BN29,Fact1_2!$D$21:$P$43,13,0)</f>
        <v>2.2022777459720611</v>
      </c>
      <c r="BP29" s="97" t="str">
        <f t="shared" si="7"/>
        <v>CHL         13</v>
      </c>
    </row>
    <row r="30" spans="2:119">
      <c r="B30" s="152" t="s">
        <v>911</v>
      </c>
      <c r="C30" s="153">
        <f t="shared" si="13"/>
        <v>7</v>
      </c>
      <c r="D30" t="s">
        <v>27</v>
      </c>
      <c r="E30" s="76" t="str">
        <f t="shared" si="8"/>
        <v>Dominican Republic</v>
      </c>
      <c r="F30" s="8"/>
      <c r="G30" s="37">
        <f>VLOOKUP(D30,Fact1_data!$A$2:$K$20,2,0)</f>
        <v>2022</v>
      </c>
      <c r="H30" s="8"/>
      <c r="I30" s="13">
        <f>VLOOKUP(D30,Fact1_data!$A$2:$K$20,3,0)</f>
        <v>9.0519723892211914</v>
      </c>
      <c r="J30" s="13">
        <f>VLOOKUP(D30,Fact1_data!$A$2:$K$20,4,0)</f>
        <v>20.271793365478516</v>
      </c>
      <c r="K30" s="13">
        <f>VLOOKUP(D30,Fact1_data!$A$2:$K$20,5,0)</f>
        <v>29.323764801025391</v>
      </c>
      <c r="L30" s="13"/>
      <c r="M30" s="101">
        <f>VLOOKUP(D30,Fact1_data!$A$2:$K$20,11,0)/1000000</f>
        <v>11.332973000000001</v>
      </c>
      <c r="N30" s="101">
        <f t="shared" si="2"/>
        <v>1.0258575868378925</v>
      </c>
      <c r="O30" s="101">
        <f t="shared" si="9"/>
        <v>2.2973968687254716</v>
      </c>
      <c r="P30" s="101">
        <f t="shared" si="10"/>
        <v>3.3232543474837115</v>
      </c>
      <c r="S30" s="13"/>
      <c r="T30" s="13"/>
      <c r="BE30">
        <f t="shared" si="11"/>
        <v>12</v>
      </c>
      <c r="BF30" s="8">
        <f t="shared" si="12"/>
        <v>7</v>
      </c>
      <c r="BG30" s="73">
        <v>-10</v>
      </c>
      <c r="BH30" s="36" t="s">
        <v>27</v>
      </c>
      <c r="BI30" s="110">
        <f>VLOOKUP(BH30,Fact1_2!$D$21:$P$43,11,0)</f>
        <v>1.0258575868378925</v>
      </c>
      <c r="BJ30" s="62" t="str">
        <f t="shared" si="5"/>
        <v>DOM    12</v>
      </c>
      <c r="BK30" s="59" t="s">
        <v>15</v>
      </c>
      <c r="BL30" s="111">
        <f>VLOOKUP(BK30,Fact1_2!$D$21:$P$43,12,0)</f>
        <v>1.5598044011704157</v>
      </c>
      <c r="BM30" s="63" t="str">
        <f t="shared" si="6"/>
        <v>BOL       12</v>
      </c>
      <c r="BN30" s="94" t="s">
        <v>15</v>
      </c>
      <c r="BO30" s="112">
        <f>VLOOKUP(BN30,Fact1_2!$D$21:$P$43,13,0)</f>
        <v>2.6944534651374248</v>
      </c>
      <c r="BP30" s="97" t="str">
        <f t="shared" si="7"/>
        <v>BOL         12</v>
      </c>
    </row>
    <row r="31" spans="2:119">
      <c r="B31" s="152" t="s">
        <v>911</v>
      </c>
      <c r="C31" s="153">
        <f t="shared" si="13"/>
        <v>8</v>
      </c>
      <c r="D31" t="s">
        <v>29</v>
      </c>
      <c r="E31" s="76" t="str">
        <f t="shared" si="8"/>
        <v>Ecuador</v>
      </c>
      <c r="F31" s="8"/>
      <c r="G31" s="37">
        <f>VLOOKUP(D31,Fact1_data!$A$2:$K$20,2,0)</f>
        <v>2023</v>
      </c>
      <c r="H31" s="8"/>
      <c r="I31" s="13">
        <f>VLOOKUP(D31,Fact1_data!$A$2:$K$20,3,0)</f>
        <v>15.846808433532715</v>
      </c>
      <c r="J31" s="13">
        <f>VLOOKUP(D31,Fact1_data!$A$2:$K$20,4,0)</f>
        <v>24.52301025390625</v>
      </c>
      <c r="K31" s="13">
        <f>VLOOKUP(D31,Fact1_data!$A$2:$K$20,5,0)</f>
        <v>40.369815826416016</v>
      </c>
      <c r="L31" s="13"/>
      <c r="M31" s="101">
        <f>VLOOKUP(D31,Fact1_data!$A$2:$K$20,11,0)/1000000</f>
        <v>18.190484000000001</v>
      </c>
      <c r="N31" s="101">
        <f t="shared" si="2"/>
        <v>2.882611152612419</v>
      </c>
      <c r="O31" s="101">
        <f t="shared" si="9"/>
        <v>4.4608542565551756</v>
      </c>
      <c r="P31" s="101">
        <f t="shared" si="10"/>
        <v>7.3434648887336742</v>
      </c>
      <c r="S31" s="13"/>
      <c r="T31" s="13"/>
      <c r="BE31">
        <f t="shared" si="11"/>
        <v>11</v>
      </c>
      <c r="BF31" s="8">
        <f t="shared" si="12"/>
        <v>8</v>
      </c>
      <c r="BG31" s="73">
        <v>-10</v>
      </c>
      <c r="BH31" s="36" t="s">
        <v>15</v>
      </c>
      <c r="BI31" s="110">
        <f>VLOOKUP(BH31,Fact1_2!$D$21:$P$43,11,0)</f>
        <v>1.1346490639670086</v>
      </c>
      <c r="BJ31" s="62" t="str">
        <f t="shared" si="5"/>
        <v>BOL    11</v>
      </c>
      <c r="BK31" s="59" t="s">
        <v>21</v>
      </c>
      <c r="BL31" s="111">
        <f>VLOOKUP(BK31,Fact1_2!$D$21:$P$43,12,0)</f>
        <v>1.5707972038168907</v>
      </c>
      <c r="BM31" s="63" t="str">
        <f t="shared" si="6"/>
        <v>CHL       11</v>
      </c>
      <c r="BN31" s="94" t="s">
        <v>27</v>
      </c>
      <c r="BO31" s="112">
        <f>VLOOKUP(BN31,Fact1_2!$D$21:$P$43,13,0)</f>
        <v>3.3232543474837115</v>
      </c>
      <c r="BP31" s="97" t="str">
        <f t="shared" si="7"/>
        <v>DOM         11</v>
      </c>
    </row>
    <row r="32" spans="2:119">
      <c r="B32" s="152" t="s">
        <v>911</v>
      </c>
      <c r="C32" s="153">
        <f t="shared" si="13"/>
        <v>9</v>
      </c>
      <c r="D32" t="s">
        <v>31</v>
      </c>
      <c r="E32" s="76" t="str">
        <f t="shared" si="8"/>
        <v>Guatemala</v>
      </c>
      <c r="F32" s="8"/>
      <c r="G32" s="37">
        <f>VLOOKUP(D32,Fact1_data!$A$2:$K$20,2,0)</f>
        <v>2022</v>
      </c>
      <c r="H32" s="8"/>
      <c r="I32" s="13">
        <f>VLOOKUP(D32,Fact1_data!$A$2:$K$20,3,0)</f>
        <v>31.91087532043457</v>
      </c>
      <c r="J32" s="13">
        <f>VLOOKUP(D32,Fact1_data!$A$2:$K$20,4,0)</f>
        <v>23.455238342285156</v>
      </c>
      <c r="K32" s="13">
        <f>VLOOKUP(D32,Fact1_data!$A$2:$K$20,5,0)</f>
        <v>55.366111755371094</v>
      </c>
      <c r="L32" s="13"/>
      <c r="M32" s="101">
        <f>VLOOKUP(D32,Fact1_data!$A$2:$K$20,11,0)/1000000</f>
        <v>18.092026000000001</v>
      </c>
      <c r="N32" s="101">
        <f t="shared" si="2"/>
        <v>5.7733238598006063</v>
      </c>
      <c r="O32" s="101">
        <f t="shared" si="9"/>
        <v>4.2435278192481993</v>
      </c>
      <c r="P32" s="101">
        <f t="shared" si="10"/>
        <v>10.016851333970795</v>
      </c>
      <c r="S32" s="13"/>
      <c r="T32" s="13"/>
      <c r="BE32">
        <f t="shared" si="11"/>
        <v>10</v>
      </c>
      <c r="BF32" s="8">
        <f t="shared" si="12"/>
        <v>9</v>
      </c>
      <c r="BG32" s="73">
        <v>-10</v>
      </c>
      <c r="BH32" s="36" t="s">
        <v>29</v>
      </c>
      <c r="BI32" s="110">
        <f>VLOOKUP(BH32,Fact1_2!$D$21:$P$43,11,0)</f>
        <v>2.882611152612419</v>
      </c>
      <c r="BJ32" s="62" t="str">
        <f t="shared" si="5"/>
        <v>ECU    10</v>
      </c>
      <c r="BK32" s="59" t="s">
        <v>27</v>
      </c>
      <c r="BL32" s="111">
        <f>VLOOKUP(BK32,Fact1_2!$D$21:$P$43,12,0)</f>
        <v>2.2973968687254716</v>
      </c>
      <c r="BM32" s="63" t="str">
        <f t="shared" si="6"/>
        <v>DOM       10</v>
      </c>
      <c r="BN32" s="94" t="s">
        <v>46</v>
      </c>
      <c r="BO32" s="112">
        <f>VLOOKUP(BN32,Fact1_2!$D$21:$P$43,13,0)</f>
        <v>2.4605504986295701</v>
      </c>
      <c r="BP32" s="97" t="str">
        <f t="shared" si="7"/>
        <v>SLV         10</v>
      </c>
    </row>
    <row r="33" spans="2:68">
      <c r="B33" s="152"/>
      <c r="C33" s="153">
        <f t="shared" si="13"/>
        <v>10</v>
      </c>
      <c r="D33" t="s">
        <v>33</v>
      </c>
      <c r="E33" s="76" t="str">
        <f t="shared" si="8"/>
        <v>Guyana</v>
      </c>
      <c r="F33" s="8"/>
      <c r="G33" s="37">
        <f>VLOOKUP(D33,Fact1_data!$A$2:$K$20,2,0)</f>
        <v>2021</v>
      </c>
      <c r="H33" s="8"/>
      <c r="I33" s="13">
        <f>VLOOKUP(D33,Fact1_data!$A$2:$K$20,3,0)</f>
        <v>31.99846076965332</v>
      </c>
      <c r="J33" s="13">
        <f>VLOOKUP(D33,Fact1_data!$A$2:$K$20,4,0)</f>
        <v>25.941425323486328</v>
      </c>
      <c r="K33" s="13">
        <f>VLOOKUP(D33,Fact1_data!$A$2:$K$20,5,0)</f>
        <v>57.939888000488281</v>
      </c>
      <c r="L33" s="13"/>
      <c r="M33" s="101">
        <f>VLOOKUP(D33,Fact1_data!$A$2:$K$20,11,0)/1000000</f>
        <v>0.81383399999999995</v>
      </c>
      <c r="N33" s="101">
        <f t="shared" si="2"/>
        <v>0.26041435322010037</v>
      </c>
      <c r="O33" s="101">
        <f t="shared" si="9"/>
        <v>0.21112013936714172</v>
      </c>
      <c r="P33" s="101">
        <f t="shared" si="10"/>
        <v>0.47153450810989378</v>
      </c>
      <c r="S33" s="13"/>
      <c r="T33" s="13"/>
      <c r="BE33">
        <f t="shared" si="11"/>
        <v>9</v>
      </c>
      <c r="BF33" s="8">
        <f t="shared" si="12"/>
        <v>10</v>
      </c>
      <c r="BG33" s="73">
        <v>-10</v>
      </c>
      <c r="BH33" s="87" t="s">
        <v>10</v>
      </c>
      <c r="BI33" s="110">
        <f>VLOOKUP(BH33,Fact1_2!$D$21:$P$43,11,0)</f>
        <v>3.7171610538083653</v>
      </c>
      <c r="BJ33" s="62" t="str">
        <f t="shared" ref="BJ33:BJ41" si="14">BH33&amp;"      "&amp;$BE33</f>
        <v>ARG      9</v>
      </c>
      <c r="BK33" s="59" t="s">
        <v>34</v>
      </c>
      <c r="BL33" s="111">
        <f>VLOOKUP(BK33,Fact1_2!$D$21:$P$43,12,0)</f>
        <v>2.6553589643136979</v>
      </c>
      <c r="BM33" s="63" t="str">
        <f t="shared" si="6"/>
        <v>HND       9</v>
      </c>
      <c r="BN33" s="94" t="s">
        <v>34</v>
      </c>
      <c r="BO33" s="112">
        <f>VLOOKUP(BN33,Fact1_2!$D$21:$P$43,13,0)</f>
        <v>6.3748130162198633</v>
      </c>
      <c r="BP33" s="97" t="str">
        <f t="shared" si="7"/>
        <v>HND         9</v>
      </c>
    </row>
    <row r="34" spans="2:68">
      <c r="B34" s="152" t="s">
        <v>911</v>
      </c>
      <c r="C34" s="153">
        <f t="shared" si="13"/>
        <v>11</v>
      </c>
      <c r="D34" t="s">
        <v>34</v>
      </c>
      <c r="E34" s="76" t="str">
        <f t="shared" si="8"/>
        <v>Honduras</v>
      </c>
      <c r="F34" s="8"/>
      <c r="G34" s="37">
        <f>VLOOKUP(D34,Fact1_data!$A$2:$K$20,2,0)</f>
        <v>2023</v>
      </c>
      <c r="H34" s="8"/>
      <c r="I34" s="13">
        <f>VLOOKUP(D34,Fact1_data!$A$2:$K$20,3,0)</f>
        <v>35.109729766845703</v>
      </c>
      <c r="J34" s="13">
        <f>VLOOKUP(D34,Fact1_data!$A$2:$K$20,4,0)</f>
        <v>25.065221786499023</v>
      </c>
      <c r="K34" s="13">
        <f>VLOOKUP(D34,Fact1_data!$A$2:$K$20,5,0)</f>
        <v>60.174953460693359</v>
      </c>
      <c r="L34" s="13"/>
      <c r="M34" s="101">
        <f>VLOOKUP(D34,Fact1_data!$A$2:$K$20,11,0)/1000000</f>
        <v>10.593798</v>
      </c>
      <c r="N34" s="101">
        <f t="shared" si="2"/>
        <v>3.7194538498455048</v>
      </c>
      <c r="O34" s="101">
        <f t="shared" si="9"/>
        <v>2.6553589643136979</v>
      </c>
      <c r="P34" s="101">
        <f t="shared" si="10"/>
        <v>6.3748130162198633</v>
      </c>
      <c r="BE34">
        <f t="shared" si="11"/>
        <v>8</v>
      </c>
      <c r="BF34" s="8">
        <f t="shared" si="12"/>
        <v>11</v>
      </c>
      <c r="BG34" s="73">
        <v>-10</v>
      </c>
      <c r="BH34" s="36" t="s">
        <v>34</v>
      </c>
      <c r="BI34" s="110">
        <f>VLOOKUP(BH34,Fact1_2!$D$21:$P$43,11,0)</f>
        <v>3.7194538498455048</v>
      </c>
      <c r="BJ34" s="62" t="str">
        <f t="shared" si="14"/>
        <v>HND      8</v>
      </c>
      <c r="BK34" s="59" t="s">
        <v>31</v>
      </c>
      <c r="BL34" s="111">
        <f>VLOOKUP(BK34,Fact1_2!$D$21:$P$43,12,0)</f>
        <v>4.2435278192481993</v>
      </c>
      <c r="BM34" s="63" t="str">
        <f t="shared" si="6"/>
        <v>GTM       8</v>
      </c>
      <c r="BN34" s="94" t="s">
        <v>29</v>
      </c>
      <c r="BO34" s="112">
        <f>VLOOKUP(BN34,Fact1_2!$D$21:$P$43,13,0)</f>
        <v>7.3434648887336742</v>
      </c>
      <c r="BP34" s="97" t="str">
        <f t="shared" si="7"/>
        <v>ECU         8</v>
      </c>
    </row>
    <row r="35" spans="2:68">
      <c r="B35" s="152" t="s">
        <v>911</v>
      </c>
      <c r="C35" s="153">
        <f t="shared" si="13"/>
        <v>12</v>
      </c>
      <c r="D35" t="s">
        <v>38</v>
      </c>
      <c r="E35" s="76" t="str">
        <f t="shared" si="8"/>
        <v>Mexico</v>
      </c>
      <c r="F35" s="8"/>
      <c r="G35" s="37">
        <f>VLOOKUP(D35,Fact1_data!$A$2:$K$20,2,0)</f>
        <v>2022</v>
      </c>
      <c r="H35" s="8"/>
      <c r="I35" s="13">
        <f>VLOOKUP(D35,Fact1_data!$A$2:$K$20,3,0)</f>
        <v>10.268985748291016</v>
      </c>
      <c r="J35" s="13">
        <f>VLOOKUP(D35,Fact1_data!$A$2:$K$20,4,0)</f>
        <v>21.706216812133789</v>
      </c>
      <c r="K35" s="13">
        <f>VLOOKUP(D35,Fact1_data!$A$2:$K$20,5,0)</f>
        <v>31.975204467773438</v>
      </c>
      <c r="L35" s="13"/>
      <c r="M35" s="101">
        <f>VLOOKUP(D35,Fact1_data!$A$2:$K$20,11,0)/1000000</f>
        <v>128.455567</v>
      </c>
      <c r="N35" s="101">
        <f t="shared" si="2"/>
        <v>13.191083868116417</v>
      </c>
      <c r="O35" s="101">
        <f t="shared" si="9"/>
        <v>27.882843880275782</v>
      </c>
      <c r="P35" s="101">
        <f t="shared" si="10"/>
        <v>41.073930198487702</v>
      </c>
      <c r="S35" s="13"/>
      <c r="T35" s="13"/>
      <c r="BE35">
        <f t="shared" si="11"/>
        <v>7</v>
      </c>
      <c r="BF35" s="8">
        <f t="shared" si="12"/>
        <v>12</v>
      </c>
      <c r="BG35" s="73">
        <v>-10</v>
      </c>
      <c r="BH35" s="36" t="s">
        <v>44</v>
      </c>
      <c r="BI35" s="110">
        <f>VLOOKUP(BH35,Fact1_2!$D$21:$P$43,11,0)</f>
        <v>4.2811720921195029</v>
      </c>
      <c r="BJ35" s="62" t="str">
        <f t="shared" si="14"/>
        <v>PER      7</v>
      </c>
      <c r="BK35" s="59" t="s">
        <v>29</v>
      </c>
      <c r="BL35" s="111">
        <f>VLOOKUP(BK35,Fact1_2!$D$21:$P$43,12,0)</f>
        <v>4.4608542565551756</v>
      </c>
      <c r="BM35" s="63" t="str">
        <f t="shared" si="6"/>
        <v>ECU       7</v>
      </c>
      <c r="BN35" s="167" t="s">
        <v>10</v>
      </c>
      <c r="BO35" s="112">
        <f>VLOOKUP(BN35,Fact1_2!$D$21:$P$43,13,0)</f>
        <v>9.6044415112915047</v>
      </c>
      <c r="BP35" s="97" t="str">
        <f t="shared" si="7"/>
        <v>ARG         7</v>
      </c>
    </row>
    <row r="36" spans="2:68">
      <c r="B36" s="152" t="s">
        <v>911</v>
      </c>
      <c r="C36" s="153">
        <f t="shared" si="13"/>
        <v>13</v>
      </c>
      <c r="D36" t="s">
        <v>42</v>
      </c>
      <c r="E36" t="str">
        <f t="shared" si="8"/>
        <v>Panama</v>
      </c>
      <c r="F36" s="8"/>
      <c r="G36" s="37">
        <f>VLOOKUP(D36,Fact1_data!$A$2:$K$20,2,0)</f>
        <v>2022</v>
      </c>
      <c r="H36" s="8"/>
      <c r="I36" s="13">
        <f>VLOOKUP(D36,Fact1_data!$A$2:$K$20,3,0)</f>
        <v>8.9458808898925781</v>
      </c>
      <c r="J36" s="13">
        <f>VLOOKUP(D36,Fact1_data!$A$2:$K$20,4,0)</f>
        <v>10.491399765014648</v>
      </c>
      <c r="K36" s="13">
        <f>VLOOKUP(D36,Fact1_data!$A$2:$K$20,5,0)</f>
        <v>19.437280654907227</v>
      </c>
      <c r="L36" s="13"/>
      <c r="M36" s="101">
        <f>VLOOKUP(D36,Fact1_data!$A$2:$K$20,11,0)/1000000</f>
        <v>4.4680869999999997</v>
      </c>
      <c r="N36" s="101">
        <f t="shared" si="2"/>
        <v>0.39970974107677459</v>
      </c>
      <c r="O36" s="101">
        <f t="shared" si="9"/>
        <v>0.46876486901865005</v>
      </c>
      <c r="P36" s="101">
        <f t="shared" si="10"/>
        <v>0.86847461009542459</v>
      </c>
      <c r="R36" s="2"/>
      <c r="S36" s="2"/>
      <c r="T36" s="2"/>
      <c r="BE36">
        <f t="shared" si="11"/>
        <v>6</v>
      </c>
      <c r="BF36" s="8">
        <f t="shared" si="12"/>
        <v>13</v>
      </c>
      <c r="BG36" s="73">
        <v>-10</v>
      </c>
      <c r="BH36" s="36" t="s">
        <v>31</v>
      </c>
      <c r="BI36" s="110">
        <f>VLOOKUP(BH36,Fact1_2!$D$21:$P$43,11,0)</f>
        <v>5.7733238598006063</v>
      </c>
      <c r="BJ36" s="62" t="str">
        <f t="shared" si="14"/>
        <v>GTM      6</v>
      </c>
      <c r="BK36" s="59" t="s">
        <v>51</v>
      </c>
      <c r="BL36" s="111">
        <f>VLOOKUP(BK36,Fact1_2!$D$21:$P$43,12,0)</f>
        <v>4.941968614996548</v>
      </c>
      <c r="BM36" s="63" t="str">
        <f t="shared" si="6"/>
        <v>VEN       6</v>
      </c>
      <c r="BN36" s="94" t="s">
        <v>31</v>
      </c>
      <c r="BO36" s="112">
        <f>VLOOKUP(BN36,Fact1_2!$D$21:$P$43,13,0)</f>
        <v>10.016851333970795</v>
      </c>
      <c r="BP36" s="97" t="str">
        <f t="shared" si="7"/>
        <v>GTM         6</v>
      </c>
    </row>
    <row r="37" spans="2:68">
      <c r="B37" s="152" t="s">
        <v>911</v>
      </c>
      <c r="C37" s="153">
        <f t="shared" si="13"/>
        <v>14</v>
      </c>
      <c r="D37" t="s">
        <v>44</v>
      </c>
      <c r="E37" t="str">
        <f t="shared" si="8"/>
        <v>Peru</v>
      </c>
      <c r="F37" s="8"/>
      <c r="G37" s="37">
        <f>VLOOKUP(D37,Fact1_data!$A$2:$K$20,2,0)</f>
        <v>2022</v>
      </c>
      <c r="H37" s="8"/>
      <c r="I37" s="13">
        <f>VLOOKUP(D37,Fact1_data!$A$2:$K$20,3,0)</f>
        <v>12.462396621704102</v>
      </c>
      <c r="J37" s="13">
        <f>VLOOKUP(D37,Fact1_data!$A$2:$K$20,4,0)</f>
        <v>25.205045700073242</v>
      </c>
      <c r="K37" s="13">
        <f>VLOOKUP(D37,Fact1_data!$A$2:$K$20,5,0)</f>
        <v>37.667442321777344</v>
      </c>
      <c r="L37" s="13"/>
      <c r="M37" s="101">
        <f>VLOOKUP(D37,Fact1_data!$A$2:$K$20,11,0)/1000000</f>
        <v>34.352719</v>
      </c>
      <c r="N37" s="101">
        <f t="shared" si="2"/>
        <v>4.2811720921195029</v>
      </c>
      <c r="O37" s="101">
        <f t="shared" si="9"/>
        <v>8.6586185231677444</v>
      </c>
      <c r="P37" s="101">
        <f t="shared" si="10"/>
        <v>12.939790615287247</v>
      </c>
      <c r="S37" s="13"/>
      <c r="T37" s="13"/>
      <c r="BE37">
        <f t="shared" si="11"/>
        <v>5</v>
      </c>
      <c r="BF37" s="8">
        <f t="shared" si="12"/>
        <v>14</v>
      </c>
      <c r="BG37" s="73">
        <v>-10</v>
      </c>
      <c r="BH37" s="36" t="s">
        <v>46</v>
      </c>
      <c r="BI37" s="110">
        <f>VLOOKUP(BH37,Fact1_2!$D$21:$P$43,11,0)</f>
        <v>0.99081491936100974</v>
      </c>
      <c r="BJ37" s="62" t="str">
        <f t="shared" si="14"/>
        <v>SLV      5</v>
      </c>
      <c r="BK37" s="59" t="s">
        <v>10</v>
      </c>
      <c r="BL37" s="111">
        <f>VLOOKUP(BK37,Fact1_2!$D$21:$P$43,12,0)</f>
        <v>5.8872808940169143</v>
      </c>
      <c r="BM37" s="63" t="str">
        <f t="shared" si="6"/>
        <v>ARG       5</v>
      </c>
      <c r="BN37" s="94" t="s">
        <v>44</v>
      </c>
      <c r="BO37" s="112">
        <f>VLOOKUP(BN37,Fact1_2!$D$21:$P$43,13,0)</f>
        <v>12.939790615287247</v>
      </c>
      <c r="BP37" s="97" t="str">
        <f t="shared" si="7"/>
        <v>PER         5</v>
      </c>
    </row>
    <row r="38" spans="2:68">
      <c r="B38" s="152" t="s">
        <v>911</v>
      </c>
      <c r="C38" s="153">
        <f t="shared" si="13"/>
        <v>15</v>
      </c>
      <c r="D38" t="s">
        <v>45</v>
      </c>
      <c r="E38" t="str">
        <f t="shared" si="8"/>
        <v>Paraguay</v>
      </c>
      <c r="F38" s="8"/>
      <c r="G38" s="37">
        <f>VLOOKUP(D38,Fact1_data!$A$2:$K$20,2,0)</f>
        <v>2022</v>
      </c>
      <c r="H38" s="8"/>
      <c r="I38" s="13">
        <f>VLOOKUP(D38,Fact1_data!$A$2:$K$20,3,0)</f>
        <v>12.367045402526855</v>
      </c>
      <c r="J38" s="13">
        <f>VLOOKUP(D38,Fact1_data!$A$2:$K$20,4,0)</f>
        <v>18.956794738769531</v>
      </c>
      <c r="K38" s="13">
        <f>VLOOKUP(D38,Fact1_data!$A$2:$K$20,5,0)</f>
        <v>31.323837280273438</v>
      </c>
      <c r="L38" s="13"/>
      <c r="M38" s="101">
        <f>VLOOKUP(D38,Fact1_data!$A$2:$K$20,11,0)/1000000</f>
        <v>6.8615240000000002</v>
      </c>
      <c r="N38" s="101">
        <f t="shared" si="2"/>
        <v>0.8485677883852768</v>
      </c>
      <c r="O38" s="101">
        <f t="shared" si="9"/>
        <v>1.3007250206314087</v>
      </c>
      <c r="P38" s="101">
        <f t="shared" si="10"/>
        <v>2.1492926127069092</v>
      </c>
      <c r="S38" s="13"/>
      <c r="T38" s="13"/>
      <c r="BE38">
        <f t="shared" si="11"/>
        <v>4</v>
      </c>
      <c r="BF38" s="8">
        <f t="shared" si="12"/>
        <v>15</v>
      </c>
      <c r="BG38" s="73">
        <v>-10</v>
      </c>
      <c r="BH38" s="36" t="s">
        <v>23</v>
      </c>
      <c r="BI38" s="110">
        <f>VLOOKUP(BH38,Fact1_2!$D$21:$P$43,11,0)</f>
        <v>10.163221128289489</v>
      </c>
      <c r="BJ38" s="62" t="str">
        <f t="shared" si="14"/>
        <v>COL      4</v>
      </c>
      <c r="BK38" s="59" t="s">
        <v>44</v>
      </c>
      <c r="BL38" s="111">
        <f>VLOOKUP(BK38,Fact1_2!$D$21:$P$43,12,0)</f>
        <v>8.6586185231677444</v>
      </c>
      <c r="BM38" s="63" t="str">
        <f t="shared" si="6"/>
        <v>PER       4</v>
      </c>
      <c r="BN38" s="167" t="s">
        <v>51</v>
      </c>
      <c r="BO38" s="112">
        <f>VLOOKUP(BN38,Fact1_2!$D$21:$P$43,13,0)</f>
        <v>20.47662360887924</v>
      </c>
      <c r="BP38" s="97" t="str">
        <f t="shared" si="7"/>
        <v>VEN         4</v>
      </c>
    </row>
    <row r="39" spans="2:68">
      <c r="B39" s="152" t="s">
        <v>911</v>
      </c>
      <c r="C39" s="153">
        <f t="shared" si="13"/>
        <v>16</v>
      </c>
      <c r="D39" t="s">
        <v>46</v>
      </c>
      <c r="E39" s="76" t="str">
        <f t="shared" si="8"/>
        <v>El Salvador</v>
      </c>
      <c r="F39" s="8"/>
      <c r="G39" s="37">
        <f>VLOOKUP(D39,Fact1_data!$A$2:$K$20,2,0)</f>
        <v>2023</v>
      </c>
      <c r="H39" s="73"/>
      <c r="I39" s="13">
        <f>VLOOKUP(D39,Fact1_data!$A$2:$K$20,3,0)</f>
        <v>15.566752433776855</v>
      </c>
      <c r="J39" s="13">
        <f>VLOOKUP(D39,Fact1_data!$A$2:$K$20,4,0)</f>
        <v>23.091104507446289</v>
      </c>
      <c r="K39" s="13">
        <f>VLOOKUP(D39,Fact1_data!$A$2:$K$20,5,0)</f>
        <v>38.657855987548828</v>
      </c>
      <c r="L39" s="74"/>
      <c r="M39" s="101">
        <f>VLOOKUP(D39,Fact1_data!$A$2:$K$20,11,0)/1000000</f>
        <v>6.3649430000000002</v>
      </c>
      <c r="N39" s="102">
        <f t="shared" si="2"/>
        <v>0.99081491936100974</v>
      </c>
      <c r="O39" s="102">
        <f t="shared" si="9"/>
        <v>1.4697356399693871</v>
      </c>
      <c r="P39" s="102">
        <f t="shared" si="10"/>
        <v>2.4605504986295701</v>
      </c>
      <c r="S39" s="13"/>
      <c r="T39" s="13"/>
      <c r="BE39">
        <f t="shared" si="11"/>
        <v>3</v>
      </c>
      <c r="BF39" s="8">
        <f t="shared" si="12"/>
        <v>16</v>
      </c>
      <c r="BG39" s="73">
        <v>-10</v>
      </c>
      <c r="BH39" s="36" t="s">
        <v>38</v>
      </c>
      <c r="BI39" s="110">
        <f>VLOOKUP(BH39,Fact1_2!$D$21:$P$43,11,0)</f>
        <v>13.191083868116417</v>
      </c>
      <c r="BJ39" s="62" t="str">
        <f t="shared" si="14"/>
        <v>MEX      3</v>
      </c>
      <c r="BK39" s="59" t="s">
        <v>23</v>
      </c>
      <c r="BL39" s="111">
        <f>VLOOKUP(BK39,Fact1_2!$D$21:$P$43,12,0)</f>
        <v>11.307494780581056</v>
      </c>
      <c r="BM39" s="63" t="str">
        <f t="shared" si="6"/>
        <v>COL       3</v>
      </c>
      <c r="BN39" s="94" t="s">
        <v>23</v>
      </c>
      <c r="BO39" s="112">
        <f>VLOOKUP(BN39,Fact1_2!$D$21:$P$43,13,0)</f>
        <v>21.470716902316287</v>
      </c>
      <c r="BP39" s="97" t="str">
        <f t="shared" si="7"/>
        <v>COL         3</v>
      </c>
    </row>
    <row r="40" spans="2:68">
      <c r="B40" s="152" t="s">
        <v>911</v>
      </c>
      <c r="C40" s="153">
        <f t="shared" si="13"/>
        <v>17</v>
      </c>
      <c r="D40" t="s">
        <v>50</v>
      </c>
      <c r="E40" s="76" t="s">
        <v>806</v>
      </c>
      <c r="F40" s="8"/>
      <c r="G40" s="37">
        <f>VLOOKUP(D40,Fact1_data!$A$2:$K$20,2,0)</f>
        <v>2022</v>
      </c>
      <c r="H40" s="73"/>
      <c r="I40" s="13">
        <f>VLOOKUP(D40,Fact1_data!$A$2:$K$20,3,0)</f>
        <v>3.9979178905487061</v>
      </c>
      <c r="J40" s="13">
        <f>VLOOKUP(D40,Fact1_data!$A$2:$K$20,4,0)</f>
        <v>10.314765930175781</v>
      </c>
      <c r="K40" s="13">
        <f>VLOOKUP(D40,Fact1_data!$A$2:$K$20,5,0)</f>
        <v>14.31268310546875</v>
      </c>
      <c r="L40" s="74"/>
      <c r="M40" s="101">
        <f>VLOOKUP(D40,Fact1_data!$A$2:$K$20,11,0)/1000000</f>
        <v>3.4231090000000002</v>
      </c>
      <c r="N40" s="102">
        <f t="shared" si="2"/>
        <v>0.13685308712398289</v>
      </c>
      <c r="O40" s="102">
        <f t="shared" si="9"/>
        <v>0.35308568088478093</v>
      </c>
      <c r="P40" s="102">
        <f t="shared" si="10"/>
        <v>0.48993874352478023</v>
      </c>
      <c r="S40" s="13"/>
      <c r="T40" s="13"/>
      <c r="BE40">
        <f t="shared" si="11"/>
        <v>2</v>
      </c>
      <c r="BF40" s="8">
        <f t="shared" si="12"/>
        <v>17</v>
      </c>
      <c r="BG40" s="73">
        <v>-10</v>
      </c>
      <c r="BH40" s="87" t="s">
        <v>51</v>
      </c>
      <c r="BI40" s="110">
        <f>VLOOKUP(BH40,Fact1_2!$D$21:$P$43,11,0)</f>
        <v>15.534655543933409</v>
      </c>
      <c r="BJ40" s="62" t="str">
        <f t="shared" si="14"/>
        <v>VEN      2</v>
      </c>
      <c r="BK40" s="59" t="s">
        <v>38</v>
      </c>
      <c r="BL40" s="111">
        <f>VLOOKUP(BK40,Fact1_2!$D$21:$P$43,12,0)</f>
        <v>27.882843880275782</v>
      </c>
      <c r="BM40" s="63" t="str">
        <f t="shared" si="6"/>
        <v>MEX       2</v>
      </c>
      <c r="BN40" s="94" t="s">
        <v>38</v>
      </c>
      <c r="BO40" s="112">
        <f>VLOOKUP(BN40,Fact1_2!$D$21:$P$43,13,0)</f>
        <v>41.073930198487702</v>
      </c>
      <c r="BP40" s="97" t="str">
        <f t="shared" si="7"/>
        <v>MEX         2</v>
      </c>
    </row>
    <row r="41" spans="2:68" ht="15" thickBot="1">
      <c r="B41" s="152"/>
      <c r="C41" s="153">
        <f t="shared" si="13"/>
        <v>18</v>
      </c>
      <c r="D41" s="78" t="s">
        <v>51</v>
      </c>
      <c r="E41" s="78" t="str">
        <f>VLOOKUP(D41,Groups_population,2,0)</f>
        <v>Venezuela</v>
      </c>
      <c r="F41" s="85"/>
      <c r="G41" s="86">
        <f>VLOOKUP(D41,Fact1_data!$A$2:$K$20,2,0)</f>
        <v>2021</v>
      </c>
      <c r="H41" s="79"/>
      <c r="I41" s="75">
        <f>VLOOKUP(D41,Fact1_data!$A$2:$K$20,3,0)</f>
        <v>53.867767333984375</v>
      </c>
      <c r="J41" s="75">
        <f>VLOOKUP(D41,Fact1_data!$A$2:$K$20,4,0)</f>
        <v>17.13670539855957</v>
      </c>
      <c r="K41" s="75">
        <f>VLOOKUP(D41,Fact1_data!$A$2:$K$20,5,0)</f>
        <v>71.004470825195313</v>
      </c>
      <c r="L41" s="80"/>
      <c r="M41" s="103">
        <f>VLOOKUP(D41,Fact1_data!$A$2:$K$20,11,0)/1000000</f>
        <v>28.838498999999999</v>
      </c>
      <c r="N41" s="104">
        <f t="shared" si="2"/>
        <v>15.534655543933409</v>
      </c>
      <c r="O41" s="104">
        <f t="shared" si="9"/>
        <v>4.941968614996548</v>
      </c>
      <c r="P41" s="104">
        <f t="shared" si="10"/>
        <v>20.47662360887924</v>
      </c>
      <c r="Q41" s="69"/>
      <c r="R41" s="69"/>
      <c r="S41" s="68"/>
      <c r="T41" s="68"/>
      <c r="BE41">
        <f t="shared" si="11"/>
        <v>1</v>
      </c>
      <c r="BF41" s="8">
        <f t="shared" si="12"/>
        <v>18</v>
      </c>
      <c r="BG41" s="73">
        <v>-10</v>
      </c>
      <c r="BH41" s="160" t="s">
        <v>17</v>
      </c>
      <c r="BI41" s="110">
        <f>VLOOKUP(BH41,Fact1_2!$D$21:$P$43,11,0)</f>
        <v>23.514981435056821</v>
      </c>
      <c r="BJ41" s="62" t="str">
        <f t="shared" si="14"/>
        <v>BRA      1</v>
      </c>
      <c r="BK41" s="59" t="s">
        <v>17</v>
      </c>
      <c r="BL41" s="111">
        <f>VLOOKUP(BK41,Fact1_2!$D$21:$P$43,12,0)</f>
        <v>40.190559834385951</v>
      </c>
      <c r="BM41" s="63" t="str">
        <f t="shared" si="6"/>
        <v>BRA       1</v>
      </c>
      <c r="BN41" s="164" t="s">
        <v>17</v>
      </c>
      <c r="BO41" s="112">
        <f>VLOOKUP(BN41,Fact1_2!$D$21:$P$43,13,0)</f>
        <v>63.705539205477486</v>
      </c>
      <c r="BP41" s="97" t="str">
        <f t="shared" si="7"/>
        <v>BRA         1</v>
      </c>
    </row>
    <row r="42" spans="2:68" ht="23.15" customHeight="1" thickTop="1">
      <c r="B42" s="152"/>
      <c r="C42" s="153"/>
      <c r="D42" s="168" t="s">
        <v>49</v>
      </c>
      <c r="E42" s="168" t="s">
        <v>804</v>
      </c>
      <c r="F42" s="122"/>
      <c r="G42" s="169"/>
      <c r="H42" s="170"/>
      <c r="I42" s="171"/>
      <c r="J42" s="171"/>
      <c r="K42" s="171"/>
      <c r="L42" s="172"/>
      <c r="M42" s="147"/>
      <c r="N42" s="147"/>
      <c r="O42" s="147"/>
      <c r="P42" s="147"/>
      <c r="S42" s="13"/>
      <c r="BF42" s="8"/>
      <c r="BG42" s="73"/>
      <c r="BH42" s="173"/>
      <c r="BI42" s="57"/>
      <c r="BJ42" s="62"/>
      <c r="BK42" s="59"/>
      <c r="BL42" s="60"/>
      <c r="BM42" s="63"/>
      <c r="BN42" s="167"/>
      <c r="BO42" s="96"/>
      <c r="BP42" s="97"/>
    </row>
    <row r="43" spans="2:68" ht="18.649999999999999" customHeight="1" outlineLevel="1">
      <c r="B43" s="152"/>
      <c r="C43" s="153"/>
      <c r="D43" s="168"/>
      <c r="E43" s="168" t="s">
        <v>796</v>
      </c>
      <c r="F43" s="174"/>
      <c r="G43" s="175"/>
      <c r="H43" s="122"/>
      <c r="I43" s="171"/>
      <c r="J43" s="171"/>
      <c r="K43" s="171"/>
      <c r="L43" s="171"/>
      <c r="M43" s="148"/>
      <c r="N43" s="148"/>
      <c r="O43" s="148"/>
      <c r="P43" s="148"/>
      <c r="Q43" s="141"/>
      <c r="R43" s="141"/>
      <c r="T43" s="76" t="s">
        <v>909</v>
      </c>
      <c r="BE43" s="8"/>
      <c r="BF43" s="8"/>
      <c r="BG43" s="73"/>
      <c r="BH43" s="5"/>
      <c r="BI43" s="5"/>
      <c r="BJ43" s="26"/>
    </row>
    <row r="44" spans="2:68" ht="18.649999999999999" customHeight="1" outlineLevel="1">
      <c r="C44" s="81"/>
      <c r="E44" s="83" t="s">
        <v>1027</v>
      </c>
      <c r="F44" s="3" t="s">
        <v>893</v>
      </c>
      <c r="G44" s="3" t="s">
        <v>893</v>
      </c>
      <c r="H44" s="8"/>
      <c r="I44" s="13"/>
      <c r="J44" s="13"/>
      <c r="K44" s="13"/>
      <c r="L44" s="13"/>
      <c r="M44" s="5"/>
      <c r="N44" s="5"/>
      <c r="O44" s="5"/>
      <c r="P44" s="5"/>
      <c r="Q44" s="145"/>
      <c r="R44" s="141"/>
      <c r="T44" s="76" t="s">
        <v>909</v>
      </c>
      <c r="BI44" s="5">
        <f>SUM(BI24:BI43)</f>
        <v>88.54947343539483</v>
      </c>
      <c r="BJ44" s="26"/>
      <c r="BL44" s="5">
        <f>SUM(BL24:BL41)</f>
        <v>120.20450802711071</v>
      </c>
      <c r="BO44" s="5">
        <f>SUM(BO24:BO43)</f>
        <v>208.75398067468581</v>
      </c>
    </row>
    <row r="45" spans="2:68" ht="18.649999999999999" customHeight="1" outlineLevel="1">
      <c r="C45" s="81"/>
      <c r="E45" s="81" t="s">
        <v>79</v>
      </c>
      <c r="F45" s="76" t="s">
        <v>1028</v>
      </c>
      <c r="G45" s="76" t="s">
        <v>1028</v>
      </c>
      <c r="H45" s="8"/>
      <c r="I45" s="13"/>
      <c r="J45" s="13"/>
      <c r="K45" s="13"/>
      <c r="L45" s="13"/>
      <c r="M45" s="5"/>
      <c r="N45" s="5"/>
      <c r="O45" s="5"/>
      <c r="P45" s="5"/>
      <c r="Q45" s="145"/>
      <c r="R45" s="141"/>
      <c r="T45" s="76" t="s">
        <v>909</v>
      </c>
      <c r="BI45" s="5">
        <f>BI41+BI40+BI39</f>
        <v>52.240720847106644</v>
      </c>
      <c r="BJ45" s="26"/>
      <c r="BL45" s="5">
        <f>BL40+BL39+BL38</f>
        <v>47.848957184024584</v>
      </c>
      <c r="BO45" s="5">
        <f>BO41+BO40+BO39</f>
        <v>126.25018630628146</v>
      </c>
    </row>
    <row r="46" spans="2:68" ht="18.649999999999999" customHeight="1" outlineLevel="1">
      <c r="C46" s="81"/>
      <c r="E46" s="81" t="s">
        <v>313</v>
      </c>
      <c r="F46" s="3" t="s">
        <v>1029</v>
      </c>
      <c r="G46" s="3" t="s">
        <v>1029</v>
      </c>
      <c r="H46" s="8"/>
      <c r="I46" s="13"/>
      <c r="J46" s="13"/>
      <c r="K46" s="13"/>
      <c r="L46" s="13"/>
      <c r="M46" s="5"/>
      <c r="N46" s="5"/>
      <c r="O46" s="5"/>
      <c r="P46" s="5"/>
      <c r="Q46" s="145"/>
      <c r="R46" s="141"/>
      <c r="T46" s="76" t="s">
        <v>909</v>
      </c>
      <c r="BI46" s="35">
        <f>BI45/BI44</f>
        <v>0.58996083003498789</v>
      </c>
      <c r="BJ46" s="26"/>
      <c r="BL46" s="35">
        <f>BL45/BL44</f>
        <v>0.39806291768385937</v>
      </c>
      <c r="BO46" s="35">
        <f>BO45/BO44</f>
        <v>0.60477977904059665</v>
      </c>
    </row>
    <row r="47" spans="2:68" ht="18.649999999999999" customHeight="1" outlineLevel="1">
      <c r="C47" s="81"/>
      <c r="E47" s="81" t="s">
        <v>471</v>
      </c>
      <c r="F47" s="76" t="s">
        <v>1030</v>
      </c>
      <c r="G47" s="76" t="s">
        <v>1030</v>
      </c>
      <c r="H47" s="8"/>
      <c r="I47" s="13"/>
      <c r="J47" s="13"/>
      <c r="K47" s="13"/>
      <c r="L47" s="13"/>
      <c r="M47" s="5"/>
      <c r="N47" s="5"/>
      <c r="O47" s="5"/>
      <c r="P47" s="5"/>
      <c r="Q47" s="145"/>
      <c r="R47" s="141"/>
      <c r="T47" s="76" t="s">
        <v>909</v>
      </c>
      <c r="BI47" s="113">
        <f>1-BI46</f>
        <v>0.41003916996501211</v>
      </c>
      <c r="BJ47" s="26"/>
    </row>
    <row r="48" spans="2:68" ht="18.649999999999999" customHeight="1" outlineLevel="1">
      <c r="C48" s="81"/>
      <c r="D48" s="153"/>
      <c r="E48" s="81" t="s">
        <v>719</v>
      </c>
      <c r="F48" s="82"/>
      <c r="G48" s="176"/>
      <c r="H48" s="8"/>
      <c r="I48" s="13"/>
      <c r="J48" s="13"/>
      <c r="K48" s="13"/>
      <c r="L48" s="13"/>
      <c r="M48" s="5"/>
      <c r="N48" s="5"/>
      <c r="O48" s="5"/>
      <c r="P48" s="5"/>
      <c r="Q48" s="141"/>
      <c r="R48" s="141"/>
      <c r="T48" s="76" t="s">
        <v>909</v>
      </c>
      <c r="BJ48" s="26"/>
    </row>
    <row r="49" spans="2:62" ht="18.649999999999999" customHeight="1" outlineLevel="1">
      <c r="C49" s="81"/>
      <c r="D49" s="153"/>
      <c r="E49" s="81" t="s">
        <v>726</v>
      </c>
      <c r="F49" s="82"/>
      <c r="G49" s="176"/>
      <c r="H49" s="8"/>
      <c r="I49" s="13"/>
      <c r="J49" s="13"/>
      <c r="K49" s="13"/>
      <c r="L49" s="13"/>
      <c r="M49" s="5"/>
      <c r="N49" s="5"/>
      <c r="O49" s="5"/>
      <c r="P49" s="5"/>
      <c r="Q49" s="141"/>
      <c r="R49" s="141"/>
      <c r="T49" s="76" t="s">
        <v>909</v>
      </c>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BJ49" s="26"/>
    </row>
    <row r="50" spans="2:62" ht="18.649999999999999" customHeight="1" outlineLevel="1">
      <c r="C50" s="81"/>
      <c r="D50" s="153"/>
      <c r="E50" s="81" t="s">
        <v>729</v>
      </c>
      <c r="F50" s="82"/>
      <c r="G50" s="176"/>
      <c r="H50" s="8"/>
      <c r="I50" s="13"/>
      <c r="J50" s="13"/>
      <c r="K50" s="13"/>
      <c r="L50" s="13"/>
      <c r="M50" s="5"/>
      <c r="N50" s="5"/>
      <c r="O50" s="5"/>
      <c r="P50" s="5"/>
      <c r="Q50" s="141"/>
      <c r="R50" s="141"/>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BJ50" s="26"/>
    </row>
    <row r="51" spans="2:62" ht="18.649999999999999" customHeight="1" outlineLevel="1">
      <c r="C51" s="81"/>
      <c r="D51" s="153"/>
      <c r="E51" s="81" t="s">
        <v>1031</v>
      </c>
      <c r="F51" s="82"/>
      <c r="G51" s="176"/>
      <c r="H51" s="8"/>
      <c r="I51" s="13"/>
      <c r="J51" s="13"/>
      <c r="K51" s="13"/>
      <c r="L51" s="13"/>
      <c r="M51" s="5"/>
      <c r="N51" s="5"/>
      <c r="O51" s="5"/>
      <c r="P51" s="5"/>
      <c r="Q51" s="141"/>
      <c r="R51" s="141"/>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row>
    <row r="52" spans="2:62" ht="18.649999999999999" customHeight="1" outlineLevel="1">
      <c r="C52" s="81">
        <v>26</v>
      </c>
      <c r="D52" s="153" t="s">
        <v>36</v>
      </c>
      <c r="E52" s="81" t="s">
        <v>505</v>
      </c>
      <c r="F52" s="82"/>
      <c r="G52" s="176"/>
      <c r="H52" s="8"/>
      <c r="I52" s="13"/>
      <c r="J52" s="13"/>
      <c r="K52" s="13"/>
      <c r="L52" s="13"/>
      <c r="M52" s="5"/>
      <c r="N52" s="5"/>
      <c r="O52" s="5"/>
      <c r="P52" s="5"/>
      <c r="Q52" s="141"/>
      <c r="R52" s="141"/>
      <c r="U52" s="15"/>
      <c r="V52" s="15"/>
      <c r="W52" s="15"/>
      <c r="X52" s="15"/>
      <c r="Y52" s="84"/>
      <c r="Z52" s="84"/>
      <c r="AA52" s="84"/>
      <c r="AD52" s="15"/>
      <c r="AE52" s="15"/>
      <c r="AF52" s="15"/>
      <c r="AG52" s="15"/>
      <c r="AH52" s="15"/>
      <c r="AI52" s="15"/>
      <c r="AJ52" s="15"/>
      <c r="AK52" s="15"/>
      <c r="AL52" s="15"/>
      <c r="AM52" s="15"/>
      <c r="AN52" s="15"/>
      <c r="AO52" s="15"/>
      <c r="AP52" s="15"/>
      <c r="AQ52" s="15"/>
      <c r="AR52" s="15"/>
      <c r="AS52" s="15"/>
      <c r="AT52" s="15"/>
      <c r="AU52" s="15"/>
      <c r="AV52" s="15"/>
      <c r="AW52" s="15"/>
      <c r="AX52" s="15"/>
      <c r="AY52" s="15"/>
    </row>
    <row r="53" spans="2:62" ht="12.65" customHeight="1" outlineLevel="1">
      <c r="C53" s="81">
        <v>22</v>
      </c>
      <c r="D53" s="153" t="s">
        <v>47</v>
      </c>
      <c r="E53" s="83" t="s">
        <v>752</v>
      </c>
      <c r="F53" s="82"/>
      <c r="G53" s="176"/>
      <c r="H53" s="8"/>
      <c r="I53" s="13"/>
      <c r="J53" s="13"/>
      <c r="K53" s="13"/>
      <c r="L53" s="13"/>
      <c r="M53" s="5"/>
      <c r="N53" s="5"/>
      <c r="O53" s="5"/>
      <c r="P53" s="5"/>
      <c r="Q53" s="141"/>
      <c r="R53" s="141"/>
      <c r="Y53" s="25" t="s">
        <v>941</v>
      </c>
      <c r="Z53" s="25" t="s">
        <v>1023</v>
      </c>
      <c r="AA53" s="25" t="s">
        <v>942</v>
      </c>
      <c r="AB53" s="15"/>
      <c r="AC53" s="15"/>
    </row>
    <row r="54" spans="2:62" ht="12.65" customHeight="1" outlineLevel="1">
      <c r="C54" s="81">
        <v>17</v>
      </c>
      <c r="D54" s="153" t="s">
        <v>40</v>
      </c>
      <c r="E54" s="81" t="s">
        <v>722</v>
      </c>
      <c r="F54" s="82"/>
      <c r="G54" s="176"/>
      <c r="H54" s="8"/>
      <c r="I54" s="13"/>
      <c r="J54" s="13"/>
      <c r="K54" s="13"/>
      <c r="L54" s="13"/>
      <c r="M54" s="5"/>
      <c r="N54" s="5"/>
      <c r="O54" s="5"/>
      <c r="P54" s="5"/>
      <c r="Q54" s="141"/>
      <c r="R54" s="141"/>
      <c r="AB54" s="141"/>
    </row>
    <row r="55" spans="2:62" ht="12.65" customHeight="1" outlineLevel="1" thickBot="1">
      <c r="C55" s="81">
        <v>15</v>
      </c>
      <c r="D55" s="153" t="s">
        <v>37</v>
      </c>
      <c r="E55" s="81" t="s">
        <v>570</v>
      </c>
      <c r="F55" s="82"/>
      <c r="G55" s="176"/>
      <c r="H55" s="8"/>
      <c r="I55" s="13"/>
      <c r="J55" s="13"/>
      <c r="K55" s="13"/>
      <c r="L55" s="13"/>
      <c r="M55" s="5"/>
      <c r="N55" s="5"/>
      <c r="O55" s="5"/>
      <c r="P55" s="5"/>
      <c r="Q55" s="141"/>
      <c r="R55" s="141"/>
      <c r="Y55" s="75">
        <f>SUMPRODUCT(N24:N41,I24:I41)/SUM(N24:N41)</f>
        <v>21.823654291257132</v>
      </c>
      <c r="Z55" s="75">
        <f>SUMPRODUCT(O24:O41,J24:J41)/SUM(O24:O41)</f>
        <v>20.076215855257907</v>
      </c>
      <c r="AA55" s="75">
        <f>SUMPRODUCT(P24:P41,K24:K41)/SUM(P24:P41)</f>
        <v>37.69167740464934</v>
      </c>
      <c r="AB55" s="141"/>
    </row>
    <row r="56" spans="2:62" ht="12.65" customHeight="1" outlineLevel="1" thickTop="1">
      <c r="C56" s="81">
        <v>3</v>
      </c>
      <c r="D56" s="153" t="s">
        <v>14</v>
      </c>
      <c r="E56" s="83" t="s">
        <v>206</v>
      </c>
      <c r="F56" s="82"/>
      <c r="G56" s="176"/>
      <c r="H56" s="8"/>
      <c r="I56" s="13"/>
      <c r="J56" s="13"/>
      <c r="K56" s="13"/>
      <c r="L56" s="13"/>
      <c r="M56" s="5"/>
      <c r="N56" s="5"/>
      <c r="O56" s="5"/>
      <c r="P56" s="5"/>
      <c r="Q56" s="141"/>
      <c r="R56" s="141"/>
      <c r="Y56" s="76" t="s">
        <v>1032</v>
      </c>
      <c r="AB56" s="141"/>
    </row>
    <row r="57" spans="2:62" ht="12.65" customHeight="1" outlineLevel="1">
      <c r="C57" s="81"/>
      <c r="D57" s="153"/>
      <c r="E57" s="81" t="s">
        <v>612</v>
      </c>
      <c r="F57" s="82"/>
      <c r="G57" s="176"/>
      <c r="H57" s="8"/>
      <c r="I57" s="13"/>
      <c r="J57" s="13"/>
      <c r="K57" s="13"/>
      <c r="L57" s="13"/>
      <c r="M57" s="5"/>
      <c r="N57" s="5"/>
      <c r="O57" s="5"/>
      <c r="P57" s="5"/>
      <c r="Q57" s="141"/>
      <c r="R57" s="141"/>
      <c r="AB57" s="141"/>
    </row>
    <row r="58" spans="2:62" ht="12.65" customHeight="1" outlineLevel="1">
      <c r="C58" s="81"/>
      <c r="D58" s="81"/>
      <c r="E58" s="81" t="s">
        <v>1033</v>
      </c>
      <c r="F58" s="82"/>
      <c r="G58" s="176"/>
      <c r="H58" s="8"/>
      <c r="I58" s="13"/>
      <c r="J58" s="13"/>
      <c r="K58" s="13"/>
      <c r="L58" s="13"/>
      <c r="M58" s="5"/>
      <c r="N58" s="5"/>
      <c r="O58" s="5"/>
      <c r="P58" s="5"/>
      <c r="Q58" s="141"/>
      <c r="R58" s="141"/>
    </row>
    <row r="59" spans="2:62" ht="12.65" customHeight="1" outlineLevel="1">
      <c r="B59" s="152"/>
      <c r="C59" s="81">
        <v>2</v>
      </c>
      <c r="D59" s="81" t="s">
        <v>12</v>
      </c>
      <c r="E59" s="81" t="str">
        <f t="shared" ref="E59:E60" si="15">VLOOKUP(D59,Groups_population,2,0)</f>
        <v>The Bahamas</v>
      </c>
      <c r="F59" s="8"/>
      <c r="G59" s="37"/>
      <c r="H59" s="73"/>
      <c r="I59" s="13"/>
      <c r="J59" s="13"/>
      <c r="K59" s="13"/>
      <c r="L59" s="74"/>
      <c r="M59" s="77"/>
      <c r="N59" s="77"/>
      <c r="O59" s="77"/>
      <c r="P59" s="77"/>
      <c r="Q59" s="76"/>
      <c r="R59" s="76"/>
    </row>
    <row r="60" spans="2:62" ht="12.65" customHeight="1" outlineLevel="1">
      <c r="B60" s="152"/>
      <c r="C60" s="81">
        <v>5</v>
      </c>
      <c r="D60" s="81" t="s">
        <v>19</v>
      </c>
      <c r="E60" s="81" t="str">
        <f t="shared" si="15"/>
        <v>Barbados</v>
      </c>
      <c r="F60" s="8"/>
      <c r="G60" s="37"/>
      <c r="H60" s="8"/>
      <c r="I60" s="13"/>
      <c r="J60" s="13"/>
      <c r="K60" s="13"/>
      <c r="L60" s="13"/>
      <c r="M60" s="5"/>
      <c r="N60" s="5"/>
      <c r="O60" s="5"/>
      <c r="P60" s="5"/>
      <c r="Q60" s="76"/>
      <c r="R60" s="76"/>
    </row>
    <row r="61" spans="2:62" ht="12.65" customHeight="1" outlineLevel="1">
      <c r="C61" s="81"/>
      <c r="D61" s="81"/>
      <c r="E61" s="81" t="s">
        <v>712</v>
      </c>
      <c r="F61" s="82"/>
      <c r="G61" s="176"/>
      <c r="H61" s="8"/>
      <c r="I61" s="13"/>
      <c r="J61" s="13"/>
      <c r="K61" s="13"/>
      <c r="L61" s="13"/>
      <c r="M61" s="5"/>
      <c r="N61" s="5"/>
      <c r="O61" s="5"/>
      <c r="P61" s="5"/>
      <c r="Q61" s="141"/>
      <c r="R61" s="141"/>
    </row>
    <row r="62" spans="2:62" ht="12.65" customHeight="1" outlineLevel="1">
      <c r="C62" s="81"/>
      <c r="D62" s="153"/>
      <c r="E62" s="81" t="s">
        <v>1034</v>
      </c>
      <c r="F62" s="82"/>
      <c r="G62" s="176"/>
      <c r="H62" s="8"/>
      <c r="I62" s="13"/>
      <c r="J62" s="13"/>
      <c r="K62" s="13"/>
      <c r="L62" s="13"/>
      <c r="M62" s="5"/>
      <c r="N62" s="5"/>
      <c r="O62" s="5"/>
      <c r="P62" s="5"/>
      <c r="Q62" s="141"/>
      <c r="R62" s="141"/>
    </row>
    <row r="63" spans="2:62" ht="12.65" customHeight="1" outlineLevel="1">
      <c r="C63" s="81"/>
      <c r="D63" s="153"/>
      <c r="E63" s="81" t="s">
        <v>700</v>
      </c>
      <c r="F63" s="82"/>
      <c r="G63" s="176"/>
      <c r="H63" s="8"/>
      <c r="I63" s="13"/>
      <c r="J63" s="13"/>
      <c r="K63" s="13"/>
      <c r="L63" s="13"/>
      <c r="M63" s="5"/>
      <c r="N63" s="5"/>
      <c r="O63" s="5"/>
      <c r="P63" s="5"/>
      <c r="Q63" s="141"/>
      <c r="R63" s="141"/>
    </row>
    <row r="64" spans="2:62" ht="12.65" customHeight="1" outlineLevel="1">
      <c r="C64" s="81"/>
      <c r="D64" s="153"/>
      <c r="E64" s="81" t="s">
        <v>1035</v>
      </c>
      <c r="F64" s="82"/>
      <c r="G64" s="176"/>
      <c r="H64" s="8"/>
      <c r="I64" s="13"/>
      <c r="J64" s="13"/>
      <c r="K64" s="13"/>
      <c r="L64" s="13"/>
      <c r="M64" s="5"/>
      <c r="N64" s="5"/>
      <c r="O64" s="5"/>
      <c r="P64" s="5"/>
      <c r="Q64" s="141"/>
      <c r="R64" s="141"/>
    </row>
    <row r="65" spans="2:119" ht="12.65" customHeight="1">
      <c r="C65" s="81"/>
      <c r="D65" s="153"/>
      <c r="E65" s="81" t="s">
        <v>303</v>
      </c>
      <c r="F65" s="82"/>
      <c r="G65" s="176"/>
      <c r="H65" s="8"/>
      <c r="I65" s="74"/>
      <c r="J65" s="13"/>
      <c r="K65" s="13"/>
      <c r="L65" s="13"/>
      <c r="M65" s="5"/>
      <c r="N65" s="5"/>
      <c r="O65" s="5"/>
      <c r="P65" s="5"/>
      <c r="Q65" s="141"/>
      <c r="R65" s="141"/>
    </row>
    <row r="66" spans="2:119" s="3" customFormat="1" ht="12.65" customHeight="1">
      <c r="B66" s="19"/>
      <c r="Q66" s="141"/>
      <c r="R66" s="141"/>
      <c r="U66"/>
      <c r="V66"/>
      <c r="W66"/>
      <c r="X66"/>
      <c r="Y66"/>
      <c r="Z66"/>
      <c r="AA66"/>
      <c r="AB66"/>
      <c r="AC66"/>
      <c r="AD66"/>
      <c r="AE66"/>
      <c r="AF66"/>
      <c r="AG66"/>
      <c r="AH66"/>
      <c r="AI66"/>
      <c r="AJ66"/>
      <c r="AK66"/>
      <c r="AL66"/>
      <c r="AM66"/>
      <c r="AN66"/>
      <c r="AO66"/>
      <c r="AP66"/>
      <c r="AQ66"/>
      <c r="AR66"/>
      <c r="AS66"/>
      <c r="AT66"/>
      <c r="AU66"/>
      <c r="AV66"/>
      <c r="AW66"/>
      <c r="AX66"/>
      <c r="AY66"/>
      <c r="CN66"/>
      <c r="CO66"/>
      <c r="DH66"/>
      <c r="DI66"/>
      <c r="DJ66"/>
      <c r="DK66"/>
      <c r="DL66"/>
      <c r="DM66"/>
      <c r="DN66"/>
      <c r="DO66"/>
    </row>
    <row r="67" spans="2:119" ht="12.65" customHeight="1">
      <c r="C67" s="76"/>
      <c r="D67" s="145"/>
      <c r="E67" s="145"/>
      <c r="F67" s="170"/>
      <c r="G67" s="175"/>
      <c r="H67" s="170"/>
      <c r="I67" s="172"/>
      <c r="J67" s="172"/>
      <c r="K67" s="172"/>
      <c r="L67" s="172"/>
      <c r="M67" s="147"/>
      <c r="N67" s="147"/>
      <c r="O67" s="147"/>
      <c r="P67" s="147"/>
      <c r="Q67" s="141"/>
      <c r="R67" s="141"/>
    </row>
    <row r="68" spans="2:119" ht="12.65" customHeight="1">
      <c r="D68" s="141"/>
      <c r="E68" s="141"/>
      <c r="F68" s="141"/>
      <c r="G68" s="177"/>
      <c r="H68" s="141"/>
      <c r="L68" s="141"/>
      <c r="M68" s="141"/>
      <c r="N68" s="148"/>
      <c r="O68" s="148"/>
      <c r="P68" s="148"/>
      <c r="Q68" s="141"/>
      <c r="R68" s="141"/>
      <c r="DH68" s="3"/>
      <c r="DI68" s="3"/>
      <c r="DJ68" s="3"/>
      <c r="DK68" s="3"/>
      <c r="DL68" s="3"/>
      <c r="DM68" s="3"/>
      <c r="DN68" s="3"/>
      <c r="DO68" s="3"/>
    </row>
    <row r="69" spans="2:119" ht="12.65" customHeight="1">
      <c r="N69" s="5"/>
      <c r="O69" s="5"/>
      <c r="P69" s="5"/>
      <c r="Q69" s="148"/>
      <c r="R69" s="148"/>
    </row>
    <row r="70" spans="2:119" ht="15" customHeight="1">
      <c r="N70" s="5"/>
      <c r="O70" s="5"/>
      <c r="P70" s="5"/>
      <c r="Q70" s="77"/>
      <c r="R70" s="5"/>
    </row>
    <row r="71" spans="2:119">
      <c r="Q71" s="76"/>
    </row>
    <row r="72" spans="2:119">
      <c r="C72" s="28"/>
      <c r="Q72" s="76"/>
    </row>
    <row r="73" spans="2:119">
      <c r="C73" s="28"/>
      <c r="D73" s="3"/>
      <c r="E73" s="69"/>
      <c r="F73" s="70"/>
      <c r="G73" s="71"/>
      <c r="H73" s="70"/>
      <c r="I73" s="68"/>
      <c r="J73" s="68"/>
      <c r="K73" s="68"/>
      <c r="L73" s="68"/>
      <c r="M73" s="72"/>
      <c r="N73" s="72"/>
      <c r="O73" s="72"/>
      <c r="P73" s="72"/>
    </row>
    <row r="74" spans="2:119">
      <c r="C74" s="28"/>
      <c r="D74" s="76"/>
      <c r="E74" s="76"/>
      <c r="F74" s="8"/>
      <c r="G74" s="37"/>
      <c r="H74" s="8"/>
      <c r="I74" s="13"/>
      <c r="J74" s="13"/>
      <c r="K74" s="13"/>
      <c r="L74" s="13"/>
      <c r="M74" s="5"/>
      <c r="N74" s="5"/>
      <c r="O74" s="5"/>
      <c r="P74" s="5"/>
    </row>
    <row r="75" spans="2:119">
      <c r="C75" s="28"/>
      <c r="D75" s="76"/>
      <c r="E75" s="76"/>
      <c r="F75" s="70"/>
      <c r="G75" s="71"/>
      <c r="H75" s="70"/>
      <c r="I75" s="68"/>
      <c r="J75" s="68"/>
      <c r="K75" s="68"/>
      <c r="L75" s="68"/>
      <c r="M75" s="72"/>
      <c r="N75" s="72"/>
      <c r="O75" s="72"/>
      <c r="P75" s="72"/>
    </row>
    <row r="76" spans="2:119">
      <c r="D76" s="76"/>
      <c r="E76" s="69"/>
      <c r="F76" s="70"/>
      <c r="G76" s="71"/>
      <c r="H76" s="70"/>
      <c r="I76" s="68"/>
      <c r="J76" s="68"/>
      <c r="K76" s="68"/>
      <c r="L76" s="68"/>
      <c r="M76" s="72"/>
      <c r="N76" s="72"/>
      <c r="O76" s="72"/>
      <c r="P76" s="72"/>
    </row>
    <row r="77" spans="2:119">
      <c r="E77" s="145"/>
      <c r="G77" s="73"/>
      <c r="H77" s="176"/>
      <c r="I77" s="8"/>
      <c r="J77" s="13"/>
      <c r="K77" s="13"/>
      <c r="L77" s="13"/>
      <c r="M77" s="13"/>
      <c r="N77" s="5"/>
      <c r="O77" s="5"/>
      <c r="P77" s="5"/>
      <c r="Q77" s="5"/>
    </row>
    <row r="78" spans="2:119">
      <c r="Q78" s="5"/>
      <c r="R78" s="5"/>
    </row>
    <row r="79" spans="2:119">
      <c r="D79" s="76"/>
      <c r="F79" s="8"/>
      <c r="H79" s="8"/>
      <c r="M79" s="5"/>
      <c r="Q79" s="5"/>
      <c r="R79" s="5"/>
      <c r="T79" s="5"/>
    </row>
    <row r="80" spans="2:119">
      <c r="D80" s="76"/>
      <c r="F80" s="8"/>
      <c r="H80" s="8"/>
      <c r="M80" s="5"/>
      <c r="T80" s="5"/>
    </row>
    <row r="82" spans="3:17">
      <c r="D82" s="3"/>
    </row>
    <row r="83" spans="3:17">
      <c r="D83" s="23"/>
      <c r="Q83" s="76" t="s">
        <v>909</v>
      </c>
    </row>
    <row r="84" spans="3:17">
      <c r="E84" s="76"/>
    </row>
    <row r="85" spans="3:17" ht="15.5">
      <c r="E85" s="145"/>
      <c r="F85" s="145"/>
      <c r="G85" s="178"/>
      <c r="H85" s="141"/>
      <c r="I85" s="141"/>
      <c r="K85" s="196"/>
      <c r="L85" s="196" t="s">
        <v>1133</v>
      </c>
      <c r="M85" s="196"/>
      <c r="N85" s="196"/>
      <c r="O85" s="197" t="s">
        <v>1135</v>
      </c>
    </row>
    <row r="87" spans="3:17">
      <c r="C87" s="36"/>
      <c r="D87" s="36"/>
      <c r="E87" s="90" t="s">
        <v>1036</v>
      </c>
      <c r="F87" s="91"/>
      <c r="G87" s="92"/>
      <c r="H87" s="91"/>
      <c r="I87" s="93" t="s">
        <v>1037</v>
      </c>
      <c r="J87" s="76" t="s">
        <v>1024</v>
      </c>
    </row>
    <row r="88" spans="3:17">
      <c r="C88" s="36">
        <v>-6</v>
      </c>
      <c r="D88" s="87" t="s">
        <v>51</v>
      </c>
      <c r="E88" s="88">
        <f>VLOOKUP(D88,Fact1_data!$A$2:$K$20,3,0)</f>
        <v>53.867767333984375</v>
      </c>
      <c r="F88" s="88"/>
      <c r="G88" s="89"/>
      <c r="H88" s="88"/>
      <c r="I88" s="88">
        <f>VLOOKUP(D88,Fact1_data!$A$2:$K$20,4,0)</f>
        <v>17.13670539855957</v>
      </c>
      <c r="J88" s="8">
        <f t="shared" ref="J88:J105" si="16">E88+I88</f>
        <v>71.004472732543945</v>
      </c>
    </row>
    <row r="89" spans="3:17">
      <c r="C89" s="36">
        <v>-6</v>
      </c>
      <c r="D89" s="36" t="s">
        <v>34</v>
      </c>
      <c r="E89" s="88">
        <f>VLOOKUP(D89,Fact1_data!$A$2:$K$20,3,0)</f>
        <v>35.109729766845703</v>
      </c>
      <c r="F89" s="88"/>
      <c r="G89" s="89"/>
      <c r="H89" s="88"/>
      <c r="I89" s="88">
        <f>VLOOKUP(D89,Fact1_data!$A$2:$K$20,4,0)</f>
        <v>25.065221786499023</v>
      </c>
      <c r="J89" s="8">
        <f t="shared" si="16"/>
        <v>60.174951553344727</v>
      </c>
    </row>
    <row r="90" spans="3:17">
      <c r="C90" s="36">
        <v>-6</v>
      </c>
      <c r="D90" s="36" t="s">
        <v>33</v>
      </c>
      <c r="E90" s="88">
        <f>VLOOKUP(D90,Fact1_data!$A$2:$K$20,3,0)</f>
        <v>31.99846076965332</v>
      </c>
      <c r="F90" s="88"/>
      <c r="G90" s="89"/>
      <c r="H90" s="88"/>
      <c r="I90" s="88">
        <f>VLOOKUP(D90,Fact1_data!$A$2:$K$20,4,0)</f>
        <v>25.941425323486328</v>
      </c>
      <c r="J90" s="8">
        <f t="shared" si="16"/>
        <v>57.939886093139648</v>
      </c>
    </row>
    <row r="91" spans="3:17">
      <c r="C91" s="36">
        <v>-6</v>
      </c>
      <c r="D91" s="36" t="s">
        <v>31</v>
      </c>
      <c r="E91" s="88">
        <f>VLOOKUP(D91,Fact1_data!$A$2:$K$20,3,0)</f>
        <v>31.91087532043457</v>
      </c>
      <c r="F91" s="88"/>
      <c r="G91" s="89"/>
      <c r="H91" s="88"/>
      <c r="I91" s="88">
        <f>VLOOKUP(D91,Fact1_data!$A$2:$K$20,4,0)</f>
        <v>23.455238342285156</v>
      </c>
      <c r="J91" s="8">
        <f t="shared" si="16"/>
        <v>55.366113662719727</v>
      </c>
    </row>
    <row r="92" spans="3:17">
      <c r="C92" s="36">
        <v>-6</v>
      </c>
      <c r="D92" s="36" t="s">
        <v>23</v>
      </c>
      <c r="E92" s="88">
        <f>VLOOKUP(D92,Fact1_data!$A$2:$K$20,3,0)</f>
        <v>19.512697219848633</v>
      </c>
      <c r="F92" s="88"/>
      <c r="G92" s="89"/>
      <c r="H92" s="88"/>
      <c r="I92" s="88">
        <f>VLOOKUP(D92,Fact1_data!$A$2:$K$20,4,0)</f>
        <v>21.709625244140625</v>
      </c>
      <c r="J92" s="8">
        <f t="shared" si="16"/>
        <v>41.222322463989258</v>
      </c>
    </row>
    <row r="93" spans="3:17">
      <c r="C93" s="36">
        <v>-6</v>
      </c>
      <c r="D93" s="36" t="s">
        <v>29</v>
      </c>
      <c r="E93" s="88">
        <f>VLOOKUP(D93,Fact1_data!$A$2:$K$20,3,0)</f>
        <v>15.846808433532715</v>
      </c>
      <c r="F93" s="88"/>
      <c r="G93" s="89"/>
      <c r="H93" s="88"/>
      <c r="I93" s="88">
        <f>VLOOKUP(D93,Fact1_data!$A$2:$K$20,4,0)</f>
        <v>24.52301025390625</v>
      </c>
      <c r="J93" s="8">
        <f t="shared" si="16"/>
        <v>40.369818687438965</v>
      </c>
    </row>
    <row r="94" spans="3:17">
      <c r="C94" s="36">
        <v>-6</v>
      </c>
      <c r="D94" s="36" t="s">
        <v>46</v>
      </c>
      <c r="E94" s="88">
        <f>VLOOKUP(D94,Fact1_data!$A$2:$K$20,3,0)</f>
        <v>15.566752433776855</v>
      </c>
      <c r="F94" s="88"/>
      <c r="G94" s="89"/>
      <c r="H94" s="88"/>
      <c r="I94" s="88">
        <f>VLOOKUP(D94,Fact1_data!$A$2:$K$20,4,0)</f>
        <v>23.091104507446289</v>
      </c>
      <c r="J94" s="8">
        <f t="shared" si="16"/>
        <v>38.657856941223145</v>
      </c>
    </row>
    <row r="95" spans="3:17">
      <c r="C95" s="36">
        <v>-6</v>
      </c>
      <c r="D95" s="36" t="s">
        <v>44</v>
      </c>
      <c r="E95" s="88">
        <f>VLOOKUP(D95,Fact1_data!$A$2:$K$20,3,0)</f>
        <v>12.462396621704102</v>
      </c>
      <c r="F95" s="88"/>
      <c r="G95" s="89"/>
      <c r="H95" s="88"/>
      <c r="I95" s="88">
        <f>VLOOKUP(D95,Fact1_data!$A$2:$K$20,4,0)</f>
        <v>25.205045700073242</v>
      </c>
      <c r="J95" s="8">
        <f t="shared" si="16"/>
        <v>37.667442321777344</v>
      </c>
    </row>
    <row r="96" spans="3:17">
      <c r="C96" s="36">
        <v>-6</v>
      </c>
      <c r="D96" s="36" t="s">
        <v>45</v>
      </c>
      <c r="E96" s="88">
        <f>VLOOKUP(D96,Fact1_data!$A$2:$K$20,3,0)</f>
        <v>12.367045402526855</v>
      </c>
      <c r="F96" s="88"/>
      <c r="G96" s="89"/>
      <c r="H96" s="88"/>
      <c r="I96" s="88">
        <f>VLOOKUP(D96,Fact1_data!$A$2:$K$20,4,0)</f>
        <v>18.956794738769531</v>
      </c>
      <c r="J96" s="8">
        <f t="shared" si="16"/>
        <v>31.323840141296387</v>
      </c>
    </row>
    <row r="97" spans="3:101">
      <c r="C97" s="36">
        <v>-6</v>
      </c>
      <c r="D97" s="36" t="s">
        <v>17</v>
      </c>
      <c r="E97" s="88">
        <f>VLOOKUP(D97,Fact1_data!$A$2:$K$20,3,0)</f>
        <v>10.865315437316895</v>
      </c>
      <c r="F97" s="88"/>
      <c r="G97" s="89"/>
      <c r="H97" s="88"/>
      <c r="I97" s="88">
        <f>VLOOKUP(D97,Fact1_data!$A$2:$K$20,4,0)</f>
        <v>18.57042121887207</v>
      </c>
      <c r="J97" s="8">
        <f t="shared" si="16"/>
        <v>29.435736656188965</v>
      </c>
    </row>
    <row r="98" spans="3:101">
      <c r="C98" s="36">
        <v>-6</v>
      </c>
      <c r="D98" s="36" t="s">
        <v>38</v>
      </c>
      <c r="E98" s="88">
        <f>VLOOKUP(D98,Fact1_data!$A$2:$K$20,3,0)</f>
        <v>10.268985748291016</v>
      </c>
      <c r="F98" s="88"/>
      <c r="G98" s="89"/>
      <c r="H98" s="88"/>
      <c r="I98" s="88">
        <f>VLOOKUP(D98,Fact1_data!$A$2:$K$20,4,0)</f>
        <v>21.706216812133789</v>
      </c>
      <c r="J98" s="8">
        <f t="shared" si="16"/>
        <v>31.975202560424805</v>
      </c>
    </row>
    <row r="99" spans="3:101">
      <c r="C99" s="36">
        <v>-6</v>
      </c>
      <c r="D99" s="36" t="s">
        <v>15</v>
      </c>
      <c r="E99" s="88">
        <f>VLOOKUP(D99,Fact1_data!$A$2:$K$20,3,0)</f>
        <v>9.1588373184204102</v>
      </c>
      <c r="F99" s="88"/>
      <c r="G99" s="89"/>
      <c r="H99" s="88"/>
      <c r="I99" s="88">
        <f>VLOOKUP(D99,Fact1_data!$A$2:$K$20,4,0)</f>
        <v>12.590672492980957</v>
      </c>
      <c r="J99" s="8">
        <f t="shared" si="16"/>
        <v>21.749509811401367</v>
      </c>
    </row>
    <row r="100" spans="3:101">
      <c r="C100" s="36">
        <v>-6</v>
      </c>
      <c r="D100" s="36" t="s">
        <v>27</v>
      </c>
      <c r="E100" s="88">
        <f>VLOOKUP(D100,Fact1_data!$A$2:$K$20,3,0)</f>
        <v>9.0519723892211914</v>
      </c>
      <c r="F100" s="88"/>
      <c r="G100" s="89"/>
      <c r="H100" s="88"/>
      <c r="I100" s="88">
        <f>VLOOKUP(D100,Fact1_data!$A$2:$K$20,4,0)</f>
        <v>20.271793365478516</v>
      </c>
      <c r="J100" s="8">
        <f t="shared" si="16"/>
        <v>29.323765754699707</v>
      </c>
    </row>
    <row r="101" spans="3:101">
      <c r="C101" s="36">
        <v>-6</v>
      </c>
      <c r="D101" s="36" t="s">
        <v>42</v>
      </c>
      <c r="E101" s="88">
        <f>VLOOKUP(D101,Fact1_data!$A$2:$K$20,3,0)</f>
        <v>8.9458808898925781</v>
      </c>
      <c r="F101" s="88"/>
      <c r="G101" s="89"/>
      <c r="H101" s="88"/>
      <c r="I101" s="88">
        <f>VLOOKUP(D101,Fact1_data!$A$2:$K$20,4,0)</f>
        <v>10.491399765014648</v>
      </c>
      <c r="J101" s="8">
        <f t="shared" si="16"/>
        <v>19.437280654907227</v>
      </c>
      <c r="CM101" s="15"/>
      <c r="CN101" s="15"/>
      <c r="CO101" s="15"/>
      <c r="CP101" s="15"/>
      <c r="CQ101" s="15"/>
      <c r="CR101" s="15"/>
      <c r="CS101" s="15"/>
      <c r="CT101" s="15"/>
      <c r="CU101" s="15"/>
      <c r="CV101" s="15"/>
      <c r="CW101" s="15"/>
    </row>
    <row r="102" spans="3:101">
      <c r="C102" s="36">
        <v>-6</v>
      </c>
      <c r="D102" s="87" t="s">
        <v>10</v>
      </c>
      <c r="E102" s="88">
        <f>VLOOKUP(D102,Fact1_data!$A$2:$K$20,3,0)</f>
        <v>8.1207027435302734</v>
      </c>
      <c r="F102" s="88"/>
      <c r="G102" s="89"/>
      <c r="H102" s="88"/>
      <c r="I102" s="88">
        <f>VLOOKUP(D102,Fact1_data!$A$2:$K$20,4,0)</f>
        <v>12.861659049987793</v>
      </c>
      <c r="J102" s="8">
        <f t="shared" si="16"/>
        <v>20.982361793518066</v>
      </c>
      <c r="CM102" s="15"/>
      <c r="CN102" s="15"/>
      <c r="CO102" s="15"/>
      <c r="CP102" s="15"/>
      <c r="CQ102" s="15"/>
      <c r="CR102" s="15"/>
      <c r="CS102" s="15"/>
      <c r="CT102" s="15"/>
      <c r="CU102" s="15"/>
      <c r="CV102" s="15"/>
      <c r="CW102" s="15"/>
    </row>
    <row r="103" spans="3:101">
      <c r="C103" s="36">
        <v>-6</v>
      </c>
      <c r="D103" s="36" t="s">
        <v>25</v>
      </c>
      <c r="E103" s="88">
        <f>VLOOKUP(D103,Fact1_data!$A$2:$K$20,3,0)</f>
        <v>6.5896177291870117</v>
      </c>
      <c r="F103" s="88"/>
      <c r="G103" s="89"/>
      <c r="H103" s="88"/>
      <c r="I103" s="88">
        <f>VLOOKUP(D103,Fact1_data!$A$2:$K$20,4,0)</f>
        <v>14.285224914550781</v>
      </c>
      <c r="J103" s="8">
        <f t="shared" si="16"/>
        <v>20.874842643737793</v>
      </c>
    </row>
    <row r="104" spans="3:101">
      <c r="C104" s="36">
        <v>-6</v>
      </c>
      <c r="D104" s="36" t="s">
        <v>50</v>
      </c>
      <c r="E104" s="88">
        <f>VLOOKUP(D104,Fact1_data!$A$2:$K$20,3,0)</f>
        <v>3.9979178905487061</v>
      </c>
      <c r="F104" s="88"/>
      <c r="G104" s="89"/>
      <c r="H104" s="88"/>
      <c r="I104" s="88">
        <f>VLOOKUP(D104,Fact1_data!$A$2:$K$20,4,0)</f>
        <v>10.314765930175781</v>
      </c>
      <c r="J104" s="8">
        <f t="shared" si="16"/>
        <v>14.312683820724487</v>
      </c>
    </row>
    <row r="105" spans="3:101">
      <c r="C105" s="36">
        <v>-6</v>
      </c>
      <c r="D105" s="36" t="s">
        <v>21</v>
      </c>
      <c r="E105" s="88">
        <f>VLOOKUP(D105,Fact1_data!$A$2:$K$20,3,0)</f>
        <v>3.2169833183288574</v>
      </c>
      <c r="F105" s="88"/>
      <c r="G105" s="89"/>
      <c r="H105" s="88"/>
      <c r="I105" s="88">
        <f>VLOOKUP(D105,Fact1_data!$A$2:$K$20,4,0)</f>
        <v>8.0021905899047852</v>
      </c>
      <c r="J105" s="8">
        <f t="shared" si="16"/>
        <v>11.219173908233643</v>
      </c>
    </row>
    <row r="106" spans="3:101">
      <c r="C106" s="36"/>
      <c r="D106" s="36"/>
      <c r="E106" s="88"/>
      <c r="F106" s="88"/>
      <c r="G106" s="89"/>
      <c r="H106" s="88"/>
      <c r="I106" s="88"/>
      <c r="J106" s="8"/>
    </row>
    <row r="107" spans="3:101">
      <c r="C107" s="36">
        <v>-6</v>
      </c>
      <c r="D107" s="36" t="s">
        <v>0</v>
      </c>
      <c r="E107" s="88">
        <f>$I$22</f>
        <v>14.206571375766352</v>
      </c>
      <c r="F107" s="88"/>
      <c r="G107" s="89"/>
      <c r="H107" s="88"/>
      <c r="I107" s="88">
        <f>Fact1_2!J22</f>
        <v>19.285195684669443</v>
      </c>
      <c r="J107" s="8">
        <f>E107+I107</f>
        <v>33.491767060435791</v>
      </c>
    </row>
    <row r="108" spans="3:101">
      <c r="C108" s="36">
        <v>-6</v>
      </c>
      <c r="D108" s="36" t="s">
        <v>57</v>
      </c>
      <c r="E108" s="129">
        <f>HighIncome_oecd!$L$8</f>
        <v>1.504975490560732</v>
      </c>
      <c r="F108" s="88"/>
      <c r="G108" s="89"/>
      <c r="H108" s="88"/>
      <c r="I108" s="130">
        <f>J108-E108</f>
        <v>3.2490701773386816</v>
      </c>
      <c r="J108" s="88">
        <f>HighIncome_oecd!M8</f>
        <v>4.7540456678994136</v>
      </c>
    </row>
    <row r="109" spans="3:101">
      <c r="E109" s="13"/>
      <c r="F109" s="8"/>
      <c r="G109" s="37"/>
      <c r="H109" s="8"/>
      <c r="I109" s="13"/>
    </row>
    <row r="110" spans="3:101">
      <c r="E110" s="8"/>
      <c r="F110" s="8"/>
      <c r="G110" s="37"/>
      <c r="H110" s="8"/>
      <c r="I110" s="8"/>
    </row>
    <row r="112" spans="3:101">
      <c r="M112" s="3" t="s">
        <v>893</v>
      </c>
    </row>
    <row r="113" spans="4:13">
      <c r="E113" s="8"/>
      <c r="F113" s="8"/>
      <c r="G113" s="37"/>
      <c r="H113" s="8"/>
      <c r="I113" s="8"/>
      <c r="M113" s="76" t="s">
        <v>1028</v>
      </c>
    </row>
    <row r="114" spans="4:13">
      <c r="M114" s="3" t="s">
        <v>1029</v>
      </c>
    </row>
    <row r="115" spans="4:13">
      <c r="M115" s="76" t="s">
        <v>1038</v>
      </c>
    </row>
    <row r="116" spans="4:13">
      <c r="D116" s="141"/>
    </row>
    <row r="117" spans="4:13">
      <c r="D117" s="145"/>
      <c r="E117" s="13"/>
    </row>
  </sheetData>
  <sortState xmlns:xlrd2="http://schemas.microsoft.com/office/spreadsheetml/2017/richdata2" ref="C88:J104">
    <sortCondition descending="1" ref="E88:E104"/>
  </sortState>
  <mergeCells count="6">
    <mergeCell ref="M19:O19"/>
    <mergeCell ref="D19:D20"/>
    <mergeCell ref="I19:J19"/>
    <mergeCell ref="F19:F20"/>
    <mergeCell ref="G19:G20"/>
    <mergeCell ref="E19:E20"/>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6543C-A41A-458E-8128-71E13F3B7D62}">
  <sheetPr>
    <tabColor theme="0" tint="-0.49995422223578601"/>
  </sheetPr>
  <dimension ref="A1:AQ49"/>
  <sheetViews>
    <sheetView zoomScale="32" zoomScaleNormal="32" workbookViewId="0">
      <selection activeCell="D5" sqref="D5"/>
    </sheetView>
  </sheetViews>
  <sheetFormatPr defaultRowHeight="14.5"/>
  <sheetData>
    <row r="1" spans="1:43" ht="15" thickBot="1">
      <c r="B1" s="21"/>
      <c r="C1" s="21"/>
      <c r="D1" s="21"/>
      <c r="E1" s="21"/>
      <c r="F1" s="21"/>
    </row>
    <row r="2" spans="1:43" ht="15" thickTop="1">
      <c r="B2" s="9364" t="s">
        <v>904</v>
      </c>
      <c r="C2" s="9366" t="s">
        <v>893</v>
      </c>
      <c r="D2" s="31" t="s">
        <v>1039</v>
      </c>
      <c r="E2" s="32"/>
      <c r="F2" s="9368" t="s">
        <v>938</v>
      </c>
    </row>
    <row r="3" spans="1:43" ht="72.5">
      <c r="A3" s="15"/>
      <c r="B3" s="9365"/>
      <c r="C3" s="9367"/>
      <c r="D3" s="20" t="s">
        <v>1040</v>
      </c>
      <c r="E3" s="20" t="s">
        <v>1041</v>
      </c>
      <c r="F3" s="9369"/>
      <c r="G3" s="15"/>
      <c r="H3" s="15"/>
      <c r="I3" s="15"/>
      <c r="J3" s="15"/>
      <c r="K3" s="27" t="e">
        <f>SUM(K5:K28)</f>
        <v>#REF!</v>
      </c>
      <c r="L3" s="15"/>
      <c r="M3" s="34" t="e">
        <f>SUM(M4:M24)</f>
        <v>#REF!</v>
      </c>
      <c r="N3" s="15"/>
      <c r="O3" s="15"/>
      <c r="P3" s="15"/>
      <c r="Q3" s="15"/>
      <c r="R3" s="15"/>
      <c r="S3" s="15"/>
      <c r="T3" s="15"/>
      <c r="U3" s="15"/>
      <c r="V3" s="15">
        <v>128.25200596492027</v>
      </c>
      <c r="W3" s="15"/>
      <c r="X3" s="15">
        <f>V5/V3</f>
        <v>0.45950969807732794</v>
      </c>
      <c r="Y3" s="15"/>
      <c r="Z3" s="15"/>
      <c r="AA3" s="15"/>
      <c r="AB3" s="15"/>
      <c r="AC3" s="15"/>
      <c r="AD3" s="15"/>
      <c r="AE3" s="15"/>
      <c r="AF3" s="15"/>
      <c r="AG3" s="15"/>
      <c r="AH3" s="15"/>
      <c r="AI3" s="15"/>
      <c r="AJ3" s="15"/>
      <c r="AK3" s="15"/>
      <c r="AL3" s="15"/>
      <c r="AM3" s="15"/>
      <c r="AN3" s="15"/>
      <c r="AO3" s="15"/>
      <c r="AP3" s="15"/>
      <c r="AQ3" s="15"/>
    </row>
    <row r="4" spans="1:43">
      <c r="A4" s="15"/>
      <c r="B4" s="15"/>
      <c r="C4" s="18"/>
      <c r="D4" s="15"/>
      <c r="E4" s="15"/>
      <c r="F4" s="15"/>
      <c r="G4" s="15"/>
      <c r="H4" s="15"/>
      <c r="I4" s="15"/>
      <c r="J4" s="15" t="s">
        <v>1042</v>
      </c>
      <c r="K4" s="15"/>
      <c r="L4" s="15" t="str">
        <f>J4</f>
        <v>Others</v>
      </c>
      <c r="M4" s="33" t="e">
        <f>(K6+K7+K10+K26+K27+K17+K13+K22+K11+K24+K25)/1000</f>
        <v>#REF!</v>
      </c>
      <c r="N4" s="15"/>
      <c r="O4" s="15"/>
      <c r="P4" s="15"/>
      <c r="Q4" s="15"/>
      <c r="R4" s="15"/>
      <c r="S4" s="15"/>
      <c r="T4" s="15"/>
      <c r="U4" s="15"/>
      <c r="V4" s="33"/>
      <c r="W4" s="15"/>
      <c r="X4" s="15"/>
      <c r="Y4" s="15"/>
      <c r="Z4" s="15"/>
      <c r="AA4" s="15"/>
      <c r="AB4" s="15"/>
      <c r="AC4" s="15"/>
      <c r="AD4" s="15"/>
      <c r="AE4" s="15"/>
      <c r="AF4" s="15"/>
      <c r="AG4" s="15"/>
      <c r="AH4" s="15"/>
      <c r="AI4" s="15"/>
      <c r="AJ4" s="15"/>
      <c r="AK4" s="15"/>
      <c r="AL4" s="15"/>
      <c r="AM4" s="15"/>
      <c r="AN4" s="15"/>
      <c r="AO4" s="15"/>
      <c r="AP4" s="15"/>
      <c r="AQ4" s="15"/>
    </row>
    <row r="5" spans="1:43">
      <c r="B5" t="s">
        <v>127</v>
      </c>
      <c r="C5" s="5" t="s">
        <v>11</v>
      </c>
      <c r="D5" s="5">
        <f>VLOOKUP(Fact1_2!D24,Groups_population,8,0)/1000</f>
        <v>45510.317999999992</v>
      </c>
      <c r="E5" s="179" t="e">
        <f>VLOOKUP(Fact1_2!D24,Fact1_data!$A$1:$K$21,16,0)/1000</f>
        <v>#REF!</v>
      </c>
      <c r="F5">
        <v>2022</v>
      </c>
      <c r="G5" s="76" t="s">
        <v>1043</v>
      </c>
      <c r="I5" s="28" t="str">
        <f>Fact1_2!D24</f>
        <v>ARG</v>
      </c>
      <c r="J5" t="str">
        <f>Fact1_2!E24</f>
        <v>Argentina</v>
      </c>
      <c r="K5" s="5">
        <f>VLOOKUP(J5,Fact1_2!E24:O41,10,0)</f>
        <v>3.7171610538083653</v>
      </c>
      <c r="L5" t="str">
        <f>I5</f>
        <v>ARG</v>
      </c>
      <c r="M5" s="13">
        <f>(K5)/1000</f>
        <v>3.7171610538083654E-3</v>
      </c>
      <c r="N5">
        <v>1000</v>
      </c>
      <c r="O5">
        <v>-5000</v>
      </c>
      <c r="P5" t="s">
        <v>17</v>
      </c>
      <c r="Q5" t="s">
        <v>219</v>
      </c>
      <c r="R5" s="5">
        <v>58933.040538752175</v>
      </c>
      <c r="S5" s="35"/>
      <c r="U5" t="s">
        <v>17</v>
      </c>
      <c r="V5" s="13">
        <v>58.933040538752174</v>
      </c>
    </row>
    <row r="6" spans="1:43">
      <c r="B6" t="s">
        <v>192</v>
      </c>
      <c r="C6" s="5" t="s">
        <v>13</v>
      </c>
      <c r="D6" s="5" t="e">
        <f>VLOOKUP(Fact1_2!#REF!,Groups_population,8,0)/1000</f>
        <v>#REF!</v>
      </c>
      <c r="E6" s="179" t="e">
        <f>VLOOKUP(Fact1_2!#REF!,Fact1_data!$A$1:$K$21,16,0)/1000</f>
        <v>#REF!</v>
      </c>
      <c r="F6">
        <v>2014</v>
      </c>
      <c r="G6" s="76" t="s">
        <v>1043</v>
      </c>
      <c r="I6" s="28" t="e">
        <f>Fact1_2!#REF!</f>
        <v>#REF!</v>
      </c>
      <c r="J6" t="e">
        <f>Fact1_2!#REF!</f>
        <v>#REF!</v>
      </c>
      <c r="K6" s="5" t="e">
        <f>VLOOKUP(J6,Fact1_2!E25:O42,10,0)</f>
        <v>#REF!</v>
      </c>
      <c r="L6" t="str">
        <f>I8</f>
        <v>BOL</v>
      </c>
      <c r="M6" s="13">
        <f>(K8)/1000</f>
        <v>1.1346490639670085E-3</v>
      </c>
      <c r="O6">
        <v>-5000</v>
      </c>
      <c r="P6" t="s">
        <v>51</v>
      </c>
      <c r="Q6" t="s">
        <v>886</v>
      </c>
      <c r="R6" s="5">
        <v>21929.617779496068</v>
      </c>
      <c r="S6" s="35"/>
      <c r="U6" t="s">
        <v>51</v>
      </c>
      <c r="V6" s="13">
        <v>21.929617779496066</v>
      </c>
    </row>
    <row r="7" spans="1:43">
      <c r="B7" t="s">
        <v>206</v>
      </c>
      <c r="C7" s="5" t="s">
        <v>13</v>
      </c>
      <c r="D7" s="5" t="e">
        <f>VLOOKUP(Fact1_2!#REF!,Groups_population,8,0)/1000</f>
        <v>#REF!</v>
      </c>
      <c r="E7" s="179" t="e">
        <f>VLOOKUP(Fact1_2!#REF!,Fact1_data!$A$1:$K$21,16,0)/1000</f>
        <v>#REF!</v>
      </c>
      <c r="F7">
        <v>2007</v>
      </c>
      <c r="G7" s="76" t="s">
        <v>1043</v>
      </c>
      <c r="I7" s="28" t="e">
        <f>Fact1_2!#REF!</f>
        <v>#REF!</v>
      </c>
      <c r="J7">
        <f>Fact1_2!E76</f>
        <v>0</v>
      </c>
      <c r="K7" s="5" t="e">
        <f>VLOOKUP(J7,Fact1_2!E25:O42,10,0)</f>
        <v>#N/A</v>
      </c>
      <c r="L7" t="str">
        <f>I9</f>
        <v>BRA</v>
      </c>
      <c r="M7" s="13">
        <f>(K9)/1000</f>
        <v>2.3514981435056821E-2</v>
      </c>
      <c r="O7">
        <v>-5000</v>
      </c>
      <c r="P7" t="s">
        <v>38</v>
      </c>
      <c r="Q7" t="s">
        <v>674</v>
      </c>
      <c r="R7" s="5">
        <v>11841.855431180247</v>
      </c>
      <c r="S7" s="35"/>
      <c r="U7" t="s">
        <v>38</v>
      </c>
      <c r="V7" s="13">
        <v>11.841855431180248</v>
      </c>
    </row>
    <row r="8" spans="1:43">
      <c r="B8" t="s">
        <v>215</v>
      </c>
      <c r="C8" s="5" t="s">
        <v>16</v>
      </c>
      <c r="D8" s="5">
        <f>VLOOKUP(Fact1_2!D25,Groups_population,8,0)/1000</f>
        <v>12224.109999999995</v>
      </c>
      <c r="E8" s="179" t="e">
        <f>VLOOKUP(Fact1_2!D25,Fact1_data!$A$1:$K$21,16,0)/1000</f>
        <v>#REF!</v>
      </c>
      <c r="F8">
        <v>2021</v>
      </c>
      <c r="I8" s="28" t="str">
        <f>Fact1_2!D25</f>
        <v>BOL</v>
      </c>
      <c r="J8" t="str">
        <f>Fact1_2!E25</f>
        <v>Bolivia</v>
      </c>
      <c r="K8" s="5">
        <f>VLOOKUP(J8,Fact1_2!E25:O43,10,0)</f>
        <v>1.1346490639670086</v>
      </c>
      <c r="L8" t="str">
        <f>I12</f>
        <v>COL</v>
      </c>
      <c r="M8" s="13">
        <f>(K12)/1000</f>
        <v>1.0163221128289488E-2</v>
      </c>
      <c r="O8">
        <v>-5000</v>
      </c>
      <c r="P8" t="s">
        <v>23</v>
      </c>
      <c r="Q8" t="s">
        <v>283</v>
      </c>
      <c r="R8" s="5">
        <v>7985.2556825103566</v>
      </c>
      <c r="S8" s="35"/>
      <c r="U8" t="s">
        <v>23</v>
      </c>
      <c r="V8" s="13">
        <v>7.9852556825103562</v>
      </c>
    </row>
    <row r="9" spans="1:43">
      <c r="B9" t="s">
        <v>219</v>
      </c>
      <c r="C9" s="5" t="s">
        <v>18</v>
      </c>
      <c r="D9" s="5">
        <f>VLOOKUP(Fact1_2!D26,Groups_population,8,0)/1000</f>
        <v>215313.49799999993</v>
      </c>
      <c r="E9" s="179" t="e">
        <f>VLOOKUP(Fact1_2!D26,Fact1_data!$A$1:$K$21,16,0)/1000</f>
        <v>#REF!</v>
      </c>
      <c r="F9">
        <v>2022</v>
      </c>
      <c r="I9" s="28" t="str">
        <f>Fact1_2!D26</f>
        <v>BRA</v>
      </c>
      <c r="J9" t="str">
        <f>Fact1_2!E26</f>
        <v>Brazil</v>
      </c>
      <c r="K9" s="5">
        <f>VLOOKUP(J9,Fact1_2!E26:O44,10,0)</f>
        <v>23.514981435056821</v>
      </c>
      <c r="L9" t="str">
        <f>I14</f>
        <v>DOM</v>
      </c>
      <c r="M9" s="13">
        <f>(K14)/1000</f>
        <v>1.0258575868378925E-3</v>
      </c>
      <c r="O9">
        <v>-5000</v>
      </c>
      <c r="P9" t="s">
        <v>31</v>
      </c>
      <c r="Q9" t="s">
        <v>478</v>
      </c>
      <c r="R9" s="5">
        <v>6362.1135603950534</v>
      </c>
      <c r="S9" s="35"/>
      <c r="U9" t="s">
        <v>31</v>
      </c>
      <c r="V9" s="13">
        <v>6.3621135603950529</v>
      </c>
    </row>
    <row r="10" spans="1:43">
      <c r="B10" t="s">
        <v>223</v>
      </c>
      <c r="C10" s="5" t="s">
        <v>20</v>
      </c>
      <c r="D10" s="5" t="e">
        <f>VLOOKUP(Fact1_2!#REF!,Groups_population,8,0)/1000</f>
        <v>#REF!</v>
      </c>
      <c r="E10" s="179" t="e">
        <f>VLOOKUP(Fact1_2!#REF!,Fact1_data!$A$1:$K$21,16,0)/1000</f>
        <v>#REF!</v>
      </c>
      <c r="F10">
        <v>2016</v>
      </c>
      <c r="G10" s="76" t="s">
        <v>1043</v>
      </c>
      <c r="I10" s="28" t="e">
        <f>Fact1_2!#REF!</f>
        <v>#REF!</v>
      </c>
      <c r="J10" t="e">
        <f>Fact1_2!#REF!</f>
        <v>#REF!</v>
      </c>
      <c r="K10" s="5" t="e">
        <f>VLOOKUP(J10,Fact1_2!E27:O45,10,0)</f>
        <v>#REF!</v>
      </c>
      <c r="L10" t="str">
        <f>I15</f>
        <v>ECU</v>
      </c>
      <c r="M10" s="13">
        <f>(K15)/1000</f>
        <v>2.882611152612419E-3</v>
      </c>
      <c r="O10">
        <v>-5000</v>
      </c>
      <c r="P10" t="s">
        <v>34</v>
      </c>
      <c r="Q10" t="s">
        <v>491</v>
      </c>
      <c r="R10" s="5">
        <v>3895.4361580906675</v>
      </c>
      <c r="S10" s="35"/>
      <c r="U10" t="s">
        <v>34</v>
      </c>
      <c r="V10" s="13">
        <v>3.8954361580906673</v>
      </c>
    </row>
    <row r="11" spans="1:43">
      <c r="B11" t="s">
        <v>263</v>
      </c>
      <c r="C11" s="5" t="s">
        <v>22</v>
      </c>
      <c r="D11" s="5">
        <f>VLOOKUP(Fact1_2!D27,Groups_population,8,0)/1000</f>
        <v>19603.732999999997</v>
      </c>
      <c r="E11" s="179" t="e">
        <f>VLOOKUP(Fact1_2!D27,Fact1_data!$A$1:$K$21,16,0)/1000</f>
        <v>#REF!</v>
      </c>
      <c r="F11">
        <v>2022</v>
      </c>
      <c r="I11" s="28" t="str">
        <f>Fact1_2!D27</f>
        <v>CHL</v>
      </c>
      <c r="J11" t="str">
        <f>Fact1_2!E27</f>
        <v>Chile</v>
      </c>
      <c r="K11" s="5">
        <f>VLOOKUP(J11,Fact1_2!E27:O46,10,0)</f>
        <v>0.63148063575634961</v>
      </c>
      <c r="L11" t="str">
        <f>I16</f>
        <v>GTM</v>
      </c>
      <c r="M11" s="13">
        <f>(K16)/1000</f>
        <v>5.7733238598006061E-3</v>
      </c>
      <c r="O11">
        <v>-5000</v>
      </c>
      <c r="P11" t="s">
        <v>44</v>
      </c>
      <c r="Q11" t="s">
        <v>761</v>
      </c>
      <c r="R11" s="5">
        <v>3014.1914477915461</v>
      </c>
      <c r="S11" s="35"/>
      <c r="U11" t="s">
        <v>44</v>
      </c>
      <c r="V11" s="13">
        <v>3.0141914477915459</v>
      </c>
    </row>
    <row r="12" spans="1:43">
      <c r="B12" t="s">
        <v>283</v>
      </c>
      <c r="C12" s="5" t="s">
        <v>24</v>
      </c>
      <c r="D12" s="5">
        <f>VLOOKUP(Fact1_2!D28,Groups_population,8,0)/1000</f>
        <v>51874.024000000005</v>
      </c>
      <c r="E12" s="179" t="e">
        <f>VLOOKUP(Fact1_2!D28,Fact1_data!$A$1:$K$21,16,0)/1000</f>
        <v>#REF!</v>
      </c>
      <c r="F12">
        <v>2022</v>
      </c>
      <c r="I12" s="28" t="str">
        <f>Fact1_2!D28</f>
        <v>COL</v>
      </c>
      <c r="J12" t="str">
        <f>Fact1_2!E28</f>
        <v>Colombia</v>
      </c>
      <c r="K12" s="5">
        <f>VLOOKUP(J12,Fact1_2!E28:O47,10,0)</f>
        <v>10.163221128289489</v>
      </c>
      <c r="L12" t="str">
        <f>I18</f>
        <v>HND</v>
      </c>
      <c r="M12" s="13">
        <f>(K18)/1000</f>
        <v>3.7194538498455049E-3</v>
      </c>
      <c r="O12">
        <v>-5000</v>
      </c>
      <c r="P12" t="s">
        <v>29</v>
      </c>
      <c r="Q12" t="s">
        <v>375</v>
      </c>
      <c r="R12" s="5">
        <v>2677.1381155071249</v>
      </c>
      <c r="S12" s="35"/>
      <c r="U12" t="s">
        <v>29</v>
      </c>
      <c r="V12" s="13">
        <v>2.677138115507125</v>
      </c>
    </row>
    <row r="13" spans="1:43">
      <c r="B13" t="s">
        <v>293</v>
      </c>
      <c r="C13" s="5" t="s">
        <v>26</v>
      </c>
      <c r="D13" s="5">
        <f>VLOOKUP(Fact1_2!D29,Groups_population,8,0)/1000</f>
        <v>5180.8290000000025</v>
      </c>
      <c r="E13" s="179" t="e">
        <f>VLOOKUP(Fact1_2!D29,Fact1_data!$A$1:$K$21,16,0)/1000</f>
        <v>#REF!</v>
      </c>
      <c r="F13">
        <v>2022</v>
      </c>
      <c r="I13" s="28" t="str">
        <f>Fact1_2!D29</f>
        <v>CRI</v>
      </c>
      <c r="J13" t="str">
        <f>Fact1_2!E29</f>
        <v>Costa Rica</v>
      </c>
      <c r="K13" s="5">
        <f>VLOOKUP(J13,Fact1_2!E29:O48,10,0)</f>
        <v>0.34346227608389851</v>
      </c>
      <c r="L13" t="e">
        <f>I19</f>
        <v>#REF!</v>
      </c>
      <c r="M13" s="13" t="e">
        <f>(K19)/1000</f>
        <v>#REF!</v>
      </c>
      <c r="O13">
        <v>-5000</v>
      </c>
      <c r="P13" t="s">
        <v>10</v>
      </c>
      <c r="Q13" t="s">
        <v>127</v>
      </c>
      <c r="R13" s="5">
        <v>2332.1952272453682</v>
      </c>
      <c r="S13" s="35"/>
      <c r="U13" t="s">
        <v>10</v>
      </c>
      <c r="V13" s="13">
        <v>2.3321952272453683</v>
      </c>
    </row>
    <row r="14" spans="1:43">
      <c r="B14" t="s">
        <v>345</v>
      </c>
      <c r="C14" s="5" t="s">
        <v>28</v>
      </c>
      <c r="D14" s="5">
        <f>VLOOKUP(Fact1_2!D30,Groups_population,8,0)/1000</f>
        <v>11228.821000000002</v>
      </c>
      <c r="E14" s="179" t="e">
        <f>VLOOKUP(Fact1_2!D30,Fact1_data!$A$1:$K$21,16,0)/1000</f>
        <v>#REF!</v>
      </c>
      <c r="F14">
        <v>2021</v>
      </c>
      <c r="I14" s="28" t="str">
        <f>Fact1_2!D30</f>
        <v>DOM</v>
      </c>
      <c r="J14" t="str">
        <f>Fact1_2!E30</f>
        <v>Dominican Republic</v>
      </c>
      <c r="K14" s="5">
        <f>VLOOKUP(J14,Fact1_2!E30:O49,10,0)</f>
        <v>1.0258575868378925</v>
      </c>
      <c r="L14" t="str">
        <f>I20</f>
        <v>MEX</v>
      </c>
      <c r="M14" s="13">
        <f>(K20)/1000</f>
        <v>1.3191083868116417E-2</v>
      </c>
      <c r="O14">
        <v>-5000</v>
      </c>
      <c r="P14" t="s">
        <v>40</v>
      </c>
      <c r="Q14" t="s">
        <v>722</v>
      </c>
      <c r="R14" s="5">
        <v>2117.6698599639985</v>
      </c>
      <c r="S14" s="35"/>
      <c r="U14" t="s">
        <v>40</v>
      </c>
      <c r="V14" s="13">
        <v>2.1176698599639985</v>
      </c>
    </row>
    <row r="15" spans="1:43">
      <c r="B15" t="s">
        <v>375</v>
      </c>
      <c r="C15" s="5" t="s">
        <v>30</v>
      </c>
      <c r="D15" s="5">
        <f>VLOOKUP(Fact1_2!D31,Groups_population,8,0)/1000</f>
        <v>18000.999999999996</v>
      </c>
      <c r="E15" s="179" t="e">
        <f>VLOOKUP(Fact1_2!D31,Fact1_data!$A$1:$K$21,16,0)/1000</f>
        <v>#REF!</v>
      </c>
      <c r="F15">
        <v>2023</v>
      </c>
      <c r="I15" s="28" t="str">
        <f>Fact1_2!D31</f>
        <v>ECU</v>
      </c>
      <c r="J15" t="str">
        <f>Fact1_2!E31</f>
        <v>Ecuador</v>
      </c>
      <c r="K15" s="5">
        <f>VLOOKUP(J15,Fact1_2!E31:O50,10,0)</f>
        <v>2.882611152612419</v>
      </c>
      <c r="L15" t="e">
        <f>I21</f>
        <v>#REF!</v>
      </c>
      <c r="M15" s="13" t="e">
        <f>(K21)/1000</f>
        <v>#REF!</v>
      </c>
      <c r="O15">
        <v>-5000</v>
      </c>
      <c r="P15" t="s">
        <v>37</v>
      </c>
      <c r="Q15" t="s">
        <v>570</v>
      </c>
      <c r="R15" s="5">
        <v>1498.1887586632349</v>
      </c>
      <c r="S15" s="35"/>
      <c r="U15" t="s">
        <v>37</v>
      </c>
      <c r="V15" s="13">
        <v>1.498188758663235</v>
      </c>
    </row>
    <row r="16" spans="1:43">
      <c r="B16" t="s">
        <v>478</v>
      </c>
      <c r="C16" s="5" t="s">
        <v>32</v>
      </c>
      <c r="D16" s="5">
        <f>VLOOKUP(Fact1_2!D32,Groups_population,8,0)/1000</f>
        <v>17843.908000000007</v>
      </c>
      <c r="E16" s="179" t="e">
        <f>VLOOKUP(Fact1_2!D32,Fact1_data!$A$1:$K$21,16,0)/1000</f>
        <v>#REF!</v>
      </c>
      <c r="F16">
        <v>2022</v>
      </c>
      <c r="I16" s="28" t="str">
        <f>Fact1_2!D32</f>
        <v>GTM</v>
      </c>
      <c r="J16" t="str">
        <f>Fact1_2!E32</f>
        <v>Guatemala</v>
      </c>
      <c r="K16" s="5">
        <f>VLOOKUP(J16,Fact1_2!E32:O51,10,0)</f>
        <v>5.7733238598006063</v>
      </c>
      <c r="L16" t="str">
        <f>I23</f>
        <v>PER</v>
      </c>
      <c r="M16" s="13">
        <f>(K23)/1000</f>
        <v>4.2811720921195028E-3</v>
      </c>
      <c r="O16">
        <v>-5000</v>
      </c>
      <c r="P16" t="s">
        <v>15</v>
      </c>
      <c r="Q16" t="s">
        <v>215</v>
      </c>
      <c r="R16" s="5">
        <v>1329.2253228433792</v>
      </c>
      <c r="S16" s="35"/>
      <c r="U16" t="s">
        <v>15</v>
      </c>
      <c r="V16" s="13">
        <v>1.3292253228433792</v>
      </c>
    </row>
    <row r="17" spans="2:22">
      <c r="B17" t="s">
        <v>483</v>
      </c>
      <c r="C17" s="5" t="s">
        <v>13</v>
      </c>
      <c r="D17" s="5">
        <f>VLOOKUP(Fact1_2!D33,Groups_population,8,0)/1000</f>
        <v>808.7254999999999</v>
      </c>
      <c r="E17" s="179" t="e">
        <f>VLOOKUP(Fact1_2!D33,Fact1_data!$A$1:$K$21,16,0)/1000</f>
        <v>#REF!</v>
      </c>
      <c r="F17">
        <v>2021</v>
      </c>
      <c r="I17" s="28" t="str">
        <f>Fact1_2!D33</f>
        <v>GUY</v>
      </c>
      <c r="J17" t="str">
        <f>Fact1_2!E33</f>
        <v>Guyana</v>
      </c>
      <c r="K17" s="5">
        <f>VLOOKUP(J17,Fact1_2!E33:O57,10,0)</f>
        <v>0.26041435322010037</v>
      </c>
      <c r="L17" t="str">
        <f>I28</f>
        <v>VEN</v>
      </c>
      <c r="M17" s="13">
        <f>(K28)/1000</f>
        <v>1.553465554393341E-2</v>
      </c>
      <c r="O17">
        <v>-5000</v>
      </c>
      <c r="P17" t="s">
        <v>27</v>
      </c>
      <c r="Q17" t="s">
        <v>345</v>
      </c>
      <c r="R17" s="5">
        <v>939.48601510348317</v>
      </c>
      <c r="S17" s="35"/>
      <c r="U17" t="s">
        <v>27</v>
      </c>
      <c r="V17" s="13">
        <v>0.93948601510348317</v>
      </c>
    </row>
    <row r="18" spans="2:22">
      <c r="B18" t="s">
        <v>491</v>
      </c>
      <c r="C18" s="5" t="s">
        <v>35</v>
      </c>
      <c r="D18" s="5">
        <f>VLOOKUP(Fact1_2!D34,Groups_population,8,0)/1000</f>
        <v>10432.8595</v>
      </c>
      <c r="E18" s="179" t="e">
        <f>VLOOKUP(Fact1_2!D34,Fact1_data!$A$1:$K$21,16,0)/1000</f>
        <v>#REF!</v>
      </c>
      <c r="F18">
        <v>2023</v>
      </c>
      <c r="I18" s="28" t="str">
        <f>Fact1_2!D34</f>
        <v>HND</v>
      </c>
      <c r="J18" t="str">
        <f>Fact1_2!E34</f>
        <v>Honduras</v>
      </c>
      <c r="K18" s="5">
        <f>VLOOKUP(J18,Fact1_2!E34:O58,10,0)</f>
        <v>3.7194538498455048</v>
      </c>
      <c r="O18">
        <v>-5000</v>
      </c>
      <c r="P18" t="s">
        <v>46</v>
      </c>
      <c r="Q18" t="s">
        <v>766</v>
      </c>
      <c r="R18" s="5">
        <v>912.1443304448602</v>
      </c>
      <c r="S18" s="35"/>
      <c r="U18" s="15" t="s">
        <v>1042</v>
      </c>
      <c r="V18" s="33">
        <v>3.3965920673775774</v>
      </c>
    </row>
    <row r="19" spans="2:22">
      <c r="B19" t="s">
        <v>570</v>
      </c>
      <c r="C19" s="5" t="s">
        <v>13</v>
      </c>
      <c r="D19" s="5" t="e">
        <f>VLOOKUP(Fact1_2!#REF!,Groups_population,8,0)/1000</f>
        <v>#REF!</v>
      </c>
      <c r="E19" s="179" t="e">
        <f>VLOOKUP(Fact1_2!#REF!,Fact1_data!$A$1:$K$21,16,0)/1000</f>
        <v>#REF!</v>
      </c>
      <c r="F19">
        <v>2016</v>
      </c>
      <c r="I19" s="28" t="e">
        <f>Fact1_2!#REF!</f>
        <v>#REF!</v>
      </c>
      <c r="J19" t="e">
        <f>Fact1_2!#REF!</f>
        <v>#REF!</v>
      </c>
      <c r="K19" s="5" t="e">
        <f>VLOOKUP(J19,Fact1_2!E35:O61,10,0)</f>
        <v>#REF!</v>
      </c>
      <c r="O19">
        <v>-5000</v>
      </c>
      <c r="P19" t="s">
        <v>45</v>
      </c>
      <c r="Q19" t="s">
        <v>779</v>
      </c>
      <c r="R19" s="5">
        <v>740.42702601265</v>
      </c>
      <c r="S19" s="35"/>
    </row>
    <row r="20" spans="2:22">
      <c r="B20" t="s">
        <v>674</v>
      </c>
      <c r="C20" s="5" t="s">
        <v>39</v>
      </c>
      <c r="D20" s="5">
        <f>VLOOKUP(Fact1_2!D35,Groups_population,8,0)/1000</f>
        <v>127504.12549999998</v>
      </c>
      <c r="E20" s="179" t="e">
        <f>VLOOKUP(Fact1_2!D35,Fact1_data!$A$1:$K$21,16,0)/1000</f>
        <v>#REF!</v>
      </c>
      <c r="F20">
        <v>2022</v>
      </c>
      <c r="I20" s="28" t="str">
        <f>Fact1_2!D35</f>
        <v>MEX</v>
      </c>
      <c r="J20" t="str">
        <f>Fact1_2!E35</f>
        <v>Mexico</v>
      </c>
      <c r="K20" s="5">
        <f>VLOOKUP(J20,Fact1_2!E35:O62,10,0)</f>
        <v>13.191083868116417</v>
      </c>
      <c r="O20">
        <v>-5000</v>
      </c>
      <c r="P20" t="s">
        <v>21</v>
      </c>
      <c r="Q20" t="s">
        <v>263</v>
      </c>
      <c r="R20" s="5">
        <v>484.57723556890511</v>
      </c>
      <c r="S20" s="35"/>
    </row>
    <row r="21" spans="2:22">
      <c r="B21" t="s">
        <v>722</v>
      </c>
      <c r="C21" s="5" t="s">
        <v>41</v>
      </c>
      <c r="D21" s="5" t="e">
        <f>VLOOKUP(Fact1_2!#REF!,Groups_population,8,0)/1000</f>
        <v>#REF!</v>
      </c>
      <c r="E21" s="179" t="e">
        <f>VLOOKUP(Fact1_2!#REF!,Fact1_data!$A$1:$K$21,16,0)/1000</f>
        <v>#REF!</v>
      </c>
      <c r="F21">
        <v>2014</v>
      </c>
      <c r="I21" s="28" t="e">
        <f>Fact1_2!#REF!</f>
        <v>#REF!</v>
      </c>
      <c r="J21" t="e">
        <f>Fact1_2!#REF!</f>
        <v>#REF!</v>
      </c>
      <c r="K21" s="5" t="e">
        <f>VLOOKUP(J21,Fact1_2!E36:O63,10,0)</f>
        <v>#REF!</v>
      </c>
      <c r="O21">
        <v>-5000</v>
      </c>
      <c r="P21" t="s">
        <v>42</v>
      </c>
      <c r="Q21" t="s">
        <v>757</v>
      </c>
      <c r="R21" s="5">
        <v>469.65500282446351</v>
      </c>
      <c r="S21" s="35"/>
    </row>
    <row r="22" spans="2:22">
      <c r="B22" t="s">
        <v>757</v>
      </c>
      <c r="C22" s="5" t="s">
        <v>43</v>
      </c>
      <c r="D22" s="5">
        <f>VLOOKUP(Fact1_2!D36,Groups_population,8,0)/1000</f>
        <v>4408.5805</v>
      </c>
      <c r="E22" s="179" t="e">
        <f>VLOOKUP(Fact1_2!D36,Fact1_data!$A$1:$K$21,16,0)/1000</f>
        <v>#REF!</v>
      </c>
      <c r="F22">
        <v>2022</v>
      </c>
      <c r="I22" s="28" t="str">
        <f>Fact1_2!D36</f>
        <v>PAN</v>
      </c>
      <c r="J22" t="str">
        <f>Fact1_2!E36</f>
        <v>Panama</v>
      </c>
      <c r="K22" s="5">
        <f>VLOOKUP(J22,Fact1_2!E36:O64,10,0)</f>
        <v>0.39970974107677459</v>
      </c>
      <c r="O22">
        <v>-5000</v>
      </c>
      <c r="P22" t="s">
        <v>25</v>
      </c>
      <c r="Q22" t="s">
        <v>293</v>
      </c>
      <c r="R22" s="5">
        <v>339.29751237599385</v>
      </c>
      <c r="S22" s="35"/>
    </row>
    <row r="23" spans="2:22">
      <c r="B23" t="s">
        <v>761</v>
      </c>
      <c r="C23" s="5" t="s">
        <v>26</v>
      </c>
      <c r="D23" s="5">
        <f>VLOOKUP(Fact1_2!D37,Groups_population,8,0)/1000</f>
        <v>34049.588499999991</v>
      </c>
      <c r="E23" s="179" t="e">
        <f>VLOOKUP(Fact1_2!D37,Fact1_data!$A$1:$K$21,16,0)/1000</f>
        <v>#REF!</v>
      </c>
      <c r="F23">
        <v>2022</v>
      </c>
      <c r="I23" s="28" t="str">
        <f>Fact1_2!D37</f>
        <v>PER</v>
      </c>
      <c r="J23" t="str">
        <f>Fact1_2!E37</f>
        <v>Peru</v>
      </c>
      <c r="K23" s="5">
        <f>VLOOKUP(J23,Fact1_2!E37:O65,10,0)</f>
        <v>4.2811720921195029</v>
      </c>
      <c r="O23">
        <v>-5000</v>
      </c>
      <c r="P23" t="s">
        <v>33</v>
      </c>
      <c r="Q23" t="s">
        <v>483</v>
      </c>
      <c r="R23" s="5">
        <v>244.92471822784412</v>
      </c>
      <c r="S23" s="35"/>
    </row>
    <row r="24" spans="2:22">
      <c r="B24" t="s">
        <v>779</v>
      </c>
      <c r="C24" s="5" t="s">
        <v>11</v>
      </c>
      <c r="D24" s="5">
        <f>VLOOKUP(Fact1_2!D38,Groups_population,8,0)/1000</f>
        <v>6780.7439999999997</v>
      </c>
      <c r="E24" s="179" t="e">
        <f>VLOOKUP(Fact1_2!D38,Fact1_data!$A$1:$K$21,16,0)/1000</f>
        <v>#REF!</v>
      </c>
      <c r="F24">
        <v>2022</v>
      </c>
      <c r="I24" s="28" t="str">
        <f>Fact1_2!D38</f>
        <v>PRY</v>
      </c>
      <c r="J24" t="str">
        <f>Fact1_2!E38</f>
        <v>Paraguay</v>
      </c>
      <c r="K24" s="5">
        <f>VLOOKUP(J24,Fact1_2!E38:O66,10,0)</f>
        <v>0.8485677883852768</v>
      </c>
      <c r="M24" s="5"/>
      <c r="O24">
        <v>-5000</v>
      </c>
      <c r="P24" t="s">
        <v>50</v>
      </c>
      <c r="Q24" t="s">
        <v>806</v>
      </c>
      <c r="R24" s="5">
        <v>110.34600857680914</v>
      </c>
      <c r="S24" s="35"/>
    </row>
    <row r="25" spans="2:22">
      <c r="B25" t="s">
        <v>766</v>
      </c>
      <c r="C25" s="5" t="s">
        <v>43</v>
      </c>
      <c r="D25" s="5">
        <f>VLOOKUP(Fact1_2!D39,Groups_population,8,0)/1000</f>
        <v>6336.3920000000007</v>
      </c>
      <c r="E25" s="179" t="e">
        <f>VLOOKUP(Fact1_2!D39,Fact1_data!$A$1:$K$21,16,0)/1000</f>
        <v>#REF!</v>
      </c>
      <c r="F25">
        <v>2022</v>
      </c>
      <c r="I25" s="28" t="str">
        <f>Fact1_2!D39</f>
        <v>SLV</v>
      </c>
      <c r="J25" t="str">
        <f>Fact1_2!E39</f>
        <v>El Salvador</v>
      </c>
      <c r="K25" s="5">
        <f>VLOOKUP(J25,Fact1_2!E39:O67,10,0)</f>
        <v>0.99081491936100974</v>
      </c>
      <c r="O25">
        <v>-5000</v>
      </c>
      <c r="P25" t="s">
        <v>47</v>
      </c>
      <c r="Q25" t="s">
        <v>752</v>
      </c>
      <c r="R25" s="5">
        <v>60.023496231267458</v>
      </c>
      <c r="S25" s="35"/>
    </row>
    <row r="26" spans="2:22">
      <c r="B26" t="s">
        <v>752</v>
      </c>
      <c r="C26" s="5" t="s">
        <v>48</v>
      </c>
      <c r="D26" s="5" t="e">
        <f>VLOOKUP(Fact1_2!#REF!,Groups_population,8,0)/1000</f>
        <v>#REF!</v>
      </c>
      <c r="E26" s="179" t="e">
        <f>VLOOKUP(Fact1_2!#REF!,Fact1_data!$A$1:$K$21,16,0)/1000</f>
        <v>#REF!</v>
      </c>
      <c r="F26">
        <v>2015</v>
      </c>
      <c r="G26" s="76" t="s">
        <v>1043</v>
      </c>
      <c r="I26" s="28" t="e">
        <f>Fact1_2!#REF!</f>
        <v>#REF!</v>
      </c>
      <c r="J26">
        <f>Fact1_2!E73</f>
        <v>0</v>
      </c>
      <c r="K26" s="5" t="e">
        <f>VLOOKUP(J26,Fact1_2!E40:O68,10,0)</f>
        <v>#N/A</v>
      </c>
      <c r="M26" s="5"/>
      <c r="O26">
        <v>-5000</v>
      </c>
      <c r="P26" t="s">
        <v>14</v>
      </c>
      <c r="Q26" t="s">
        <v>206</v>
      </c>
      <c r="R26" s="5">
        <v>19.710409313917165</v>
      </c>
      <c r="S26" s="35"/>
    </row>
    <row r="27" spans="2:22">
      <c r="B27" t="s">
        <v>806</v>
      </c>
      <c r="C27" s="5" t="s">
        <v>16</v>
      </c>
      <c r="D27" s="5">
        <f>VLOOKUP(Fact1_2!D40,Groups_population,8,0)/1000</f>
        <v>3422.7935000000002</v>
      </c>
      <c r="E27" s="179" t="e">
        <f>VLOOKUP(Fact1_2!D40,Fact1_data!$A$1:$K$21,16,0)/1000</f>
        <v>#REF!</v>
      </c>
      <c r="F27">
        <v>2022</v>
      </c>
      <c r="I27" s="28" t="str">
        <f>Fact1_2!D40</f>
        <v>URY</v>
      </c>
      <c r="J27" t="str">
        <f>Fact1_2!E40</f>
        <v>Uruguay</v>
      </c>
      <c r="K27" s="5">
        <f>VLOOKUP(J27,Fact1_2!E40:O69,10,0)</f>
        <v>0.13685308712398289</v>
      </c>
      <c r="O27">
        <v>-5000</v>
      </c>
      <c r="P27" t="s">
        <v>12</v>
      </c>
      <c r="Q27" t="s">
        <v>192</v>
      </c>
      <c r="R27" s="5">
        <v>11.767962202093608</v>
      </c>
      <c r="S27" s="35"/>
    </row>
    <row r="28" spans="2:22">
      <c r="B28" t="s">
        <v>886</v>
      </c>
      <c r="C28" s="5" t="s">
        <v>52</v>
      </c>
      <c r="D28" s="5">
        <f>VLOOKUP(Fact1_2!D41,Groups_population,8,0)/1000</f>
        <v>28301.695500000005</v>
      </c>
      <c r="E28" s="179" t="e">
        <f>VLOOKUP(Fact1_2!D41,Fact1_data!$A$1:$K$21,16,0)/1000</f>
        <v>#REF!</v>
      </c>
      <c r="F28">
        <v>2021</v>
      </c>
      <c r="I28" s="28" t="str">
        <f>Fact1_2!D41</f>
        <v>VEN</v>
      </c>
      <c r="J28" t="str">
        <f>Fact1_2!E41</f>
        <v>Venezuela</v>
      </c>
      <c r="K28" s="5">
        <f>VLOOKUP(J28,Fact1_2!E41:O70,10,0)</f>
        <v>15.534655543933409</v>
      </c>
      <c r="O28">
        <v>-5000</v>
      </c>
      <c r="P28" t="s">
        <v>19</v>
      </c>
      <c r="Q28" t="s">
        <v>223</v>
      </c>
      <c r="R28" s="5">
        <v>3.7183655987727615</v>
      </c>
      <c r="S28" s="35"/>
    </row>
    <row r="29" spans="2:22">
      <c r="B29" t="s">
        <v>505</v>
      </c>
      <c r="C29" s="5" t="s">
        <v>1044</v>
      </c>
      <c r="D29" s="5"/>
      <c r="E29" s="179"/>
      <c r="F29" t="s">
        <v>1044</v>
      </c>
      <c r="I29" s="28" t="str">
        <f>Fact1_2!D42</f>
        <v>SUR</v>
      </c>
      <c r="J29" t="str">
        <f>Fact1_2!E42</f>
        <v>Suriname</v>
      </c>
      <c r="K29" s="5">
        <f>VLOOKUP(J29,Fact1_2!E42:O71,10,0)</f>
        <v>0</v>
      </c>
      <c r="R29" s="8">
        <f>SUM(R5:R28)</f>
        <v>128252.00596492029</v>
      </c>
    </row>
    <row r="30" spans="2:22">
      <c r="B30" t="s">
        <v>804</v>
      </c>
      <c r="C30" s="5" t="s">
        <v>1044</v>
      </c>
      <c r="D30" s="5"/>
      <c r="E30" s="179"/>
      <c r="F30" t="s">
        <v>1044</v>
      </c>
      <c r="I30" s="28" t="e">
        <f>Fact1_2!#REF!</f>
        <v>#REF!</v>
      </c>
      <c r="J30" t="e">
        <f>Fact1_2!#REF!</f>
        <v>#REF!</v>
      </c>
      <c r="K30" s="5" t="e">
        <f>VLOOKUP(J30,Fact1_2!E43:O72,10,0)</f>
        <v>#REF!</v>
      </c>
      <c r="M30" s="5"/>
    </row>
    <row r="31" spans="2:22">
      <c r="C31" s="5"/>
      <c r="D31" s="5"/>
      <c r="E31" s="179"/>
      <c r="J31" t="str">
        <f>Fact1_2!E43</f>
        <v>French Guiana</v>
      </c>
      <c r="M31" s="5"/>
    </row>
    <row r="32" spans="2:22">
      <c r="C32" s="5"/>
      <c r="D32" s="5"/>
      <c r="E32" s="179"/>
      <c r="J32" t="str">
        <f>Fact1_2!E44</f>
        <v>Antigua &amp; Barbuda</v>
      </c>
      <c r="M32" s="5"/>
    </row>
    <row r="33" spans="1:43">
      <c r="C33" s="5"/>
      <c r="D33" s="5"/>
      <c r="E33" s="179"/>
      <c r="J33" t="str">
        <f>Fact1_2!E45</f>
        <v>Aruba</v>
      </c>
      <c r="M33" s="5"/>
    </row>
    <row r="34" spans="1:43">
      <c r="C34" s="5"/>
      <c r="D34" s="5"/>
      <c r="E34" s="179"/>
      <c r="J34" t="str">
        <f>Fact1_2!E46</f>
        <v>Cayman Islands</v>
      </c>
      <c r="M34" s="5"/>
    </row>
    <row r="35" spans="1:43">
      <c r="C35" s="5"/>
      <c r="D35" s="5"/>
      <c r="E35" s="179"/>
      <c r="J35" t="str">
        <f>Fact1_2!E47</f>
        <v>Grenada</v>
      </c>
      <c r="M35" s="5"/>
    </row>
    <row r="36" spans="1:43">
      <c r="C36" s="5"/>
      <c r="D36" s="5"/>
      <c r="E36" s="179"/>
      <c r="J36" t="str">
        <f>Fact1_2!E48</f>
        <v>Martinique</v>
      </c>
      <c r="M36" s="5"/>
    </row>
    <row r="37" spans="1:43">
      <c r="C37" s="5"/>
      <c r="D37" s="5"/>
      <c r="E37" s="179"/>
      <c r="J37" t="str">
        <f>Fact1_2!E49</f>
        <v>Puerto Rico</v>
      </c>
      <c r="M37" s="5"/>
    </row>
    <row r="38" spans="1:43">
      <c r="C38" s="5"/>
      <c r="D38" s="5"/>
      <c r="E38" s="179"/>
      <c r="J38" t="str">
        <f>Fact1_2!E50</f>
        <v>Saint Barthélemy</v>
      </c>
      <c r="M38" s="5"/>
    </row>
    <row r="39" spans="1:43">
      <c r="C39" s="5"/>
      <c r="D39" s="5"/>
      <c r="E39" s="179"/>
      <c r="J39" t="str">
        <f>Fact1_2!E51</f>
        <v>St. Kitts &amp; Nevis</v>
      </c>
      <c r="M39" s="5"/>
    </row>
    <row r="40" spans="1:43">
      <c r="C40" s="5"/>
      <c r="D40" s="5"/>
      <c r="E40" s="179"/>
      <c r="J40" t="str">
        <f>Fact1_2!E57</f>
        <v>St. Lucia</v>
      </c>
      <c r="M40" s="5"/>
    </row>
    <row r="41" spans="1:43">
      <c r="C41" s="5"/>
      <c r="D41" s="5"/>
      <c r="E41" s="179"/>
      <c r="J41" t="str">
        <f>Fact1_2!E58</f>
        <v>St. Vincent &amp; Grenadines</v>
      </c>
      <c r="M41" s="5"/>
    </row>
    <row r="42" spans="1:43">
      <c r="C42" s="5"/>
      <c r="D42" s="5"/>
      <c r="E42" s="179"/>
      <c r="J42" t="str">
        <f>Fact1_2!E61</f>
        <v>Guadeloupe</v>
      </c>
      <c r="M42" s="5"/>
    </row>
    <row r="43" spans="1:43">
      <c r="C43" s="5"/>
      <c r="D43" s="5"/>
      <c r="E43" s="179"/>
      <c r="J43" t="str">
        <f>Fact1_2!E62</f>
        <v>Turks &amp; Caicos Islands</v>
      </c>
      <c r="M43" s="5"/>
    </row>
    <row r="44" spans="1:43">
      <c r="C44" s="5"/>
      <c r="D44" s="5"/>
      <c r="E44" s="179"/>
      <c r="J44" t="str">
        <f>Fact1_2!E63</f>
        <v>British Virgin Islands</v>
      </c>
      <c r="M44" s="5"/>
    </row>
    <row r="45" spans="1:43">
      <c r="C45" s="5"/>
      <c r="D45" s="5"/>
      <c r="E45" s="179"/>
      <c r="J45" t="str">
        <f>Fact1_2!E64</f>
        <v>U.S. Virgin Islands</v>
      </c>
      <c r="M45" s="5"/>
    </row>
    <row r="46" spans="1:43">
      <c r="C46" s="5"/>
      <c r="D46" s="5"/>
      <c r="E46" s="179"/>
      <c r="J46" t="str">
        <f>Fact1_2!E65</f>
        <v>Cuba</v>
      </c>
      <c r="M46" s="5"/>
    </row>
    <row r="47" spans="1:43">
      <c r="A47" s="3"/>
      <c r="B47" s="180" t="s">
        <v>901</v>
      </c>
      <c r="C47" s="181"/>
      <c r="D47" s="181" t="e">
        <f>SUM(D5:D28)</f>
        <v>#REF!</v>
      </c>
      <c r="E47" s="182" t="e">
        <f>SUM(E5:E28)</f>
        <v>#REF!</v>
      </c>
      <c r="F47" s="180"/>
      <c r="G47" s="3"/>
      <c r="H47" s="3"/>
      <c r="I47" s="3"/>
      <c r="J47" t="e">
        <f>Fact1_2!#REF!</f>
        <v>#REF!</v>
      </c>
      <c r="K47" s="3"/>
      <c r="M47" s="5"/>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row>
    <row r="48" spans="1:43" ht="15" thickBot="1">
      <c r="B48" s="21"/>
      <c r="C48" s="30"/>
      <c r="D48" s="183"/>
      <c r="E48" s="183"/>
      <c r="F48" s="21"/>
    </row>
    <row r="49" ht="15" thickTop="1"/>
  </sheetData>
  <mergeCells count="3">
    <mergeCell ref="C2:C3"/>
    <mergeCell ref="F2:F3"/>
    <mergeCell ref="B2:B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0AE07-4C4D-49E2-8800-81A51BCF9CC6}">
  <sheetPr>
    <tabColor rgb="FFE4D3F1"/>
  </sheetPr>
  <dimension ref="A1:I21"/>
  <sheetViews>
    <sheetView zoomScale="78" zoomScaleNormal="87" workbookViewId="0">
      <selection activeCell="F8" sqref="F8"/>
    </sheetView>
  </sheetViews>
  <sheetFormatPr defaultRowHeight="14.5"/>
  <cols>
    <col min="1" max="1" width="19.1796875" customWidth="1"/>
    <col min="2" max="9" width="8.36328125" customWidth="1"/>
  </cols>
  <sheetData>
    <row r="1" spans="1:9" ht="36">
      <c r="A1" s="195" t="s">
        <v>1144</v>
      </c>
    </row>
    <row r="2" spans="1:9">
      <c r="B2" s="9370" t="s">
        <v>1141</v>
      </c>
      <c r="C2" s="9371"/>
      <c r="D2" s="9371" t="s">
        <v>1142</v>
      </c>
      <c r="E2" s="9371"/>
      <c r="F2" s="9371" t="s">
        <v>1102</v>
      </c>
      <c r="G2" s="9371"/>
      <c r="H2" s="9371" t="s">
        <v>901</v>
      </c>
      <c r="I2" s="9371"/>
    </row>
    <row r="3" spans="1:9">
      <c r="A3" s="208" t="s">
        <v>904</v>
      </c>
      <c r="B3" s="199" t="s">
        <v>1143</v>
      </c>
      <c r="C3" s="199" t="s">
        <v>1136</v>
      </c>
      <c r="D3" s="199" t="s">
        <v>1143</v>
      </c>
      <c r="E3" s="199" t="s">
        <v>1136</v>
      </c>
      <c r="F3" s="199" t="s">
        <v>1143</v>
      </c>
      <c r="G3" s="199" t="s">
        <v>1136</v>
      </c>
      <c r="H3" s="199" t="s">
        <v>1143</v>
      </c>
      <c r="I3" s="199" t="s">
        <v>1136</v>
      </c>
    </row>
    <row r="4" spans="1:9">
      <c r="A4" t="s">
        <v>15</v>
      </c>
      <c r="B4" s="206">
        <v>0.82599999999999996</v>
      </c>
      <c r="C4" s="206">
        <v>0.17399999999999999</v>
      </c>
      <c r="D4" s="206">
        <v>0.47699999999999998</v>
      </c>
      <c r="E4" s="206">
        <v>0.52300000000000002</v>
      </c>
      <c r="F4" s="206">
        <v>0.214</v>
      </c>
      <c r="G4" s="206">
        <v>0.78600000000000003</v>
      </c>
      <c r="H4" s="206">
        <v>0.29499999999999998</v>
      </c>
      <c r="I4" s="206">
        <v>0.70499999999999996</v>
      </c>
    </row>
    <row r="5" spans="1:9">
      <c r="A5" t="s">
        <v>17</v>
      </c>
      <c r="B5" s="206">
        <v>0.311</v>
      </c>
      <c r="C5" s="206">
        <v>0.68899999999999995</v>
      </c>
      <c r="D5" s="206">
        <v>0.183</v>
      </c>
      <c r="E5" s="206">
        <v>0.81699999999999995</v>
      </c>
      <c r="F5" s="206">
        <v>9.2999999999999999E-2</v>
      </c>
      <c r="G5" s="206">
        <v>0.90700000000000003</v>
      </c>
      <c r="H5" s="206">
        <v>0.13300000000000001</v>
      </c>
      <c r="I5" s="206">
        <v>0.86699999999999999</v>
      </c>
    </row>
    <row r="6" spans="1:9">
      <c r="A6" t="s">
        <v>21</v>
      </c>
      <c r="B6" s="206">
        <v>0.19600000000000001</v>
      </c>
      <c r="C6" s="206">
        <v>0.80400000000000005</v>
      </c>
      <c r="D6" s="206">
        <v>0.17499999999999999</v>
      </c>
      <c r="E6" s="206">
        <v>0.82499999999999996</v>
      </c>
      <c r="F6" s="206">
        <v>0.104</v>
      </c>
      <c r="G6" s="206">
        <v>0.89600000000000002</v>
      </c>
      <c r="H6" s="206">
        <v>0.113</v>
      </c>
      <c r="I6" s="206">
        <v>0.88700000000000001</v>
      </c>
    </row>
    <row r="7" spans="1:9">
      <c r="A7" t="s">
        <v>23</v>
      </c>
      <c r="B7" s="206">
        <v>0.495</v>
      </c>
      <c r="C7" s="206">
        <v>0.505</v>
      </c>
      <c r="D7" s="206">
        <v>0.30399999999999999</v>
      </c>
      <c r="E7" s="206">
        <v>0.69599999999999995</v>
      </c>
      <c r="F7" s="206">
        <v>0.115</v>
      </c>
      <c r="G7" s="206">
        <v>0.88500000000000001</v>
      </c>
      <c r="H7" s="206">
        <v>0.23</v>
      </c>
      <c r="I7" s="206">
        <v>0.77</v>
      </c>
    </row>
    <row r="8" spans="1:9">
      <c r="A8" t="s">
        <v>25</v>
      </c>
      <c r="B8" s="206">
        <v>0.44400000000000001</v>
      </c>
      <c r="C8" s="206">
        <v>0.55600000000000005</v>
      </c>
      <c r="D8" s="206">
        <v>0.42599999999999999</v>
      </c>
      <c r="E8" s="206">
        <v>0.57399999999999995</v>
      </c>
      <c r="F8" s="206">
        <v>0.23400000000000001</v>
      </c>
      <c r="G8" s="206">
        <v>0.76600000000000001</v>
      </c>
      <c r="H8" s="206">
        <v>0.27500000000000002</v>
      </c>
      <c r="I8" s="206">
        <v>0.72499999999999998</v>
      </c>
    </row>
    <row r="9" spans="1:9">
      <c r="A9" s="205" t="s">
        <v>27</v>
      </c>
      <c r="B9" s="206">
        <v>0.30299999999999999</v>
      </c>
      <c r="C9" s="206">
        <v>0.69699999999999995</v>
      </c>
      <c r="D9" s="206">
        <v>0.20300000000000001</v>
      </c>
      <c r="E9" s="206">
        <v>0.79700000000000004</v>
      </c>
      <c r="F9" s="206">
        <v>0.13700000000000001</v>
      </c>
      <c r="G9" s="206">
        <v>0.86299999999999999</v>
      </c>
      <c r="H9" s="206">
        <v>0.16900000000000001</v>
      </c>
      <c r="I9" s="206">
        <v>0.83099999999999996</v>
      </c>
    </row>
    <row r="10" spans="1:9">
      <c r="A10" s="205" t="s">
        <v>29</v>
      </c>
      <c r="B10" s="206">
        <v>0.63600000000000001</v>
      </c>
      <c r="C10" s="206">
        <v>0.36399999999999999</v>
      </c>
      <c r="D10" s="206">
        <v>0.34399999999999997</v>
      </c>
      <c r="E10" s="206">
        <v>0.65600000000000003</v>
      </c>
      <c r="F10" s="206">
        <v>0.223</v>
      </c>
      <c r="G10" s="206">
        <v>0.77700000000000002</v>
      </c>
      <c r="H10" s="206">
        <v>0.318</v>
      </c>
      <c r="I10" s="206">
        <v>0.68200000000000005</v>
      </c>
    </row>
    <row r="11" spans="1:9">
      <c r="A11" s="205" t="s">
        <v>31</v>
      </c>
      <c r="B11" s="206">
        <v>0.73599999999999999</v>
      </c>
      <c r="C11" s="206">
        <v>0.26400000000000001</v>
      </c>
      <c r="D11" s="206">
        <v>0.63700000000000001</v>
      </c>
      <c r="E11" s="206">
        <v>0.36299999999999999</v>
      </c>
      <c r="F11" s="206">
        <v>0.44900000000000001</v>
      </c>
      <c r="G11" s="206">
        <v>0.55100000000000005</v>
      </c>
      <c r="H11" s="206">
        <v>0.58499999999999996</v>
      </c>
      <c r="I11" s="206">
        <v>0.41499999999999998</v>
      </c>
    </row>
    <row r="12" spans="1:9">
      <c r="A12" s="205" t="s">
        <v>34</v>
      </c>
      <c r="B12" s="206">
        <v>0.65600000000000003</v>
      </c>
      <c r="C12" s="206">
        <v>0.34399999999999997</v>
      </c>
      <c r="D12" s="206">
        <v>0.441</v>
      </c>
      <c r="E12" s="206">
        <v>0.55900000000000005</v>
      </c>
      <c r="F12" s="206">
        <v>0.27100000000000002</v>
      </c>
      <c r="G12" s="206">
        <v>0.72899999999999998</v>
      </c>
      <c r="H12" s="206">
        <v>0.44900000000000001</v>
      </c>
      <c r="I12" s="206">
        <v>0.55100000000000005</v>
      </c>
    </row>
    <row r="13" spans="1:9">
      <c r="A13" s="205" t="s">
        <v>38</v>
      </c>
      <c r="B13" s="206">
        <v>0.56399999999999995</v>
      </c>
      <c r="C13" s="206">
        <v>0.436</v>
      </c>
      <c r="D13" s="206">
        <v>0.34200000000000003</v>
      </c>
      <c r="E13" s="206">
        <v>0.65800000000000003</v>
      </c>
      <c r="F13" s="206">
        <v>0.16800000000000001</v>
      </c>
      <c r="G13" s="206">
        <v>0.83199999999999996</v>
      </c>
      <c r="H13" s="206">
        <v>0.246</v>
      </c>
      <c r="I13" s="206">
        <v>0.754</v>
      </c>
    </row>
    <row r="14" spans="1:9">
      <c r="A14" s="205" t="s">
        <v>40</v>
      </c>
      <c r="B14" s="206">
        <v>0.59399999999999997</v>
      </c>
      <c r="C14" s="206">
        <v>0.40600000000000003</v>
      </c>
      <c r="D14" s="206">
        <v>0.43099999999999999</v>
      </c>
      <c r="E14" s="206">
        <v>0.56899999999999995</v>
      </c>
      <c r="F14" s="206">
        <v>0.27300000000000002</v>
      </c>
      <c r="G14" s="206">
        <v>0.72699999999999998</v>
      </c>
      <c r="H14" s="206">
        <v>0.42599999999999999</v>
      </c>
      <c r="I14" s="206">
        <v>0.57399999999999995</v>
      </c>
    </row>
    <row r="15" spans="1:9">
      <c r="A15" s="205" t="s">
        <v>42</v>
      </c>
      <c r="B15" s="206">
        <v>0.81499999999999995</v>
      </c>
      <c r="C15" s="206">
        <v>0.185</v>
      </c>
      <c r="D15" s="206">
        <v>0.55200000000000005</v>
      </c>
      <c r="E15" s="206">
        <v>0.44800000000000001</v>
      </c>
      <c r="F15" s="206">
        <v>0.20599999999999999</v>
      </c>
      <c r="G15" s="206">
        <v>0.79400000000000004</v>
      </c>
      <c r="H15" s="206">
        <v>0.29699999999999999</v>
      </c>
      <c r="I15" s="206">
        <v>0.70299999999999996</v>
      </c>
    </row>
    <row r="16" spans="1:9">
      <c r="A16" s="205" t="s">
        <v>44</v>
      </c>
      <c r="B16" s="206">
        <v>0.48599999999999999</v>
      </c>
      <c r="C16" s="206">
        <v>0.51400000000000001</v>
      </c>
      <c r="D16" s="206">
        <v>0.28599999999999998</v>
      </c>
      <c r="E16" s="206">
        <v>0.71399999999999997</v>
      </c>
      <c r="F16" s="206">
        <v>0.111</v>
      </c>
      <c r="G16" s="206">
        <v>0.88900000000000001</v>
      </c>
      <c r="H16" s="206">
        <v>0.20200000000000001</v>
      </c>
      <c r="I16" s="206">
        <v>0.79800000000000004</v>
      </c>
    </row>
    <row r="17" spans="1:9">
      <c r="A17" s="205" t="s">
        <v>45</v>
      </c>
      <c r="B17" s="206">
        <v>0.71699999999999997</v>
      </c>
      <c r="C17" s="206">
        <v>0.28299999999999997</v>
      </c>
      <c r="D17" s="206">
        <v>0.51</v>
      </c>
      <c r="E17" s="206">
        <v>0.49</v>
      </c>
      <c r="F17" s="206">
        <v>0.25800000000000001</v>
      </c>
      <c r="G17" s="206">
        <v>0.74199999999999999</v>
      </c>
      <c r="H17" s="206">
        <v>0.36199999999999999</v>
      </c>
      <c r="I17" s="206">
        <v>0.63800000000000001</v>
      </c>
    </row>
    <row r="18" spans="1:9">
      <c r="A18" s="205" t="s">
        <v>46</v>
      </c>
      <c r="B18" s="206">
        <v>0.61399999999999999</v>
      </c>
      <c r="C18" s="206">
        <v>0.38600000000000001</v>
      </c>
      <c r="D18" s="206">
        <v>0.46</v>
      </c>
      <c r="E18" s="206">
        <v>0.54</v>
      </c>
      <c r="F18" s="206">
        <v>0.25800000000000001</v>
      </c>
      <c r="G18" s="206">
        <v>0.74199999999999999</v>
      </c>
      <c r="H18" s="206">
        <v>0.36699999999999999</v>
      </c>
      <c r="I18" s="206">
        <v>0.63300000000000001</v>
      </c>
    </row>
    <row r="19" spans="1:9">
      <c r="A19" s="205" t="s">
        <v>50</v>
      </c>
      <c r="B19" s="206">
        <v>0.13900000000000001</v>
      </c>
      <c r="C19" s="206">
        <v>0.86099999999999999</v>
      </c>
      <c r="D19" s="206">
        <v>0.19600000000000001</v>
      </c>
      <c r="E19" s="206">
        <v>0.80400000000000005</v>
      </c>
      <c r="F19" s="206">
        <v>0.14799999999999999</v>
      </c>
      <c r="G19" s="206">
        <v>0.85199999999999998</v>
      </c>
      <c r="H19" s="206">
        <v>0.153</v>
      </c>
      <c r="I19" s="206">
        <v>0.84699999999999998</v>
      </c>
    </row>
    <row r="20" spans="1:9">
      <c r="A20" s="205" t="s">
        <v>0</v>
      </c>
      <c r="B20" s="207">
        <f t="shared" ref="B20:I20" si="0">AVERAGE(B4:B19)</f>
        <v>0.53325</v>
      </c>
      <c r="C20" s="207">
        <f t="shared" si="0"/>
        <v>0.46675</v>
      </c>
      <c r="D20" s="207">
        <f t="shared" si="0"/>
        <v>0.37293749999999998</v>
      </c>
      <c r="E20" s="207">
        <f t="shared" si="0"/>
        <v>0.62706249999999997</v>
      </c>
      <c r="F20" s="207">
        <f t="shared" si="0"/>
        <v>0.20387500000000006</v>
      </c>
      <c r="G20" s="207">
        <f t="shared" si="0"/>
        <v>0.79612499999999997</v>
      </c>
      <c r="H20" s="207">
        <f t="shared" si="0"/>
        <v>0.28875000000000001</v>
      </c>
      <c r="I20" s="207">
        <f t="shared" si="0"/>
        <v>0.71125000000000005</v>
      </c>
    </row>
    <row r="21" spans="1:9">
      <c r="A21" s="220" t="s">
        <v>1145</v>
      </c>
    </row>
  </sheetData>
  <autoFilter ref="B3:I3" xr:uid="{00000000-0009-0000-0000-000007000000}"/>
  <mergeCells count="4">
    <mergeCell ref="B2:C2"/>
    <mergeCell ref="D2:E2"/>
    <mergeCell ref="F2:G2"/>
    <mergeCell ref="H2:I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7E8E2-5502-4038-951A-A6C5CF868E45}">
  <dimension ref="B1:M943"/>
  <sheetViews>
    <sheetView workbookViewId="0">
      <selection activeCell="G896" sqref="G896"/>
    </sheetView>
  </sheetViews>
  <sheetFormatPr defaultRowHeight="14.5"/>
  <sheetData>
    <row r="1" spans="2:13">
      <c r="B1" t="s">
        <v>995</v>
      </c>
      <c r="C1" t="s">
        <v>996</v>
      </c>
      <c r="D1" t="s">
        <v>1045</v>
      </c>
      <c r="E1" t="s">
        <v>1046</v>
      </c>
      <c r="F1" t="s">
        <v>1047</v>
      </c>
      <c r="G1" t="s">
        <v>1048</v>
      </c>
      <c r="H1" t="s">
        <v>1049</v>
      </c>
      <c r="I1" t="s">
        <v>1050</v>
      </c>
      <c r="J1" t="s">
        <v>1146</v>
      </c>
      <c r="K1" t="s">
        <v>1147</v>
      </c>
      <c r="L1" t="s">
        <v>1005</v>
      </c>
      <c r="M1" t="s">
        <v>1051</v>
      </c>
    </row>
    <row r="2" spans="2:13">
      <c r="B2" t="s">
        <v>10</v>
      </c>
      <c r="C2" s="8">
        <v>2003</v>
      </c>
      <c r="D2" s="8">
        <v>1</v>
      </c>
      <c r="E2" s="8">
        <v>0.51752853393554688</v>
      </c>
      <c r="F2" s="8"/>
      <c r="G2" s="8"/>
      <c r="H2" s="8"/>
      <c r="I2" s="8"/>
      <c r="J2" s="8">
        <v>0.3532412052154541</v>
      </c>
      <c r="K2" s="8">
        <v>6.8188510835170746E-2</v>
      </c>
      <c r="L2" s="8">
        <v>45773884</v>
      </c>
      <c r="M2" t="s">
        <v>1052</v>
      </c>
    </row>
    <row r="3" spans="2:13">
      <c r="B3" t="s">
        <v>10</v>
      </c>
      <c r="C3" s="8">
        <v>2003</v>
      </c>
      <c r="D3" s="8">
        <v>2</v>
      </c>
      <c r="E3" s="8">
        <v>0.52430695295333862</v>
      </c>
      <c r="F3" s="8"/>
      <c r="G3" s="8"/>
      <c r="H3" s="8"/>
      <c r="I3" s="8"/>
      <c r="J3" s="8">
        <v>0.19913451373577118</v>
      </c>
      <c r="K3" s="8">
        <v>0.14050416648387909</v>
      </c>
      <c r="L3" s="8">
        <v>45773884</v>
      </c>
      <c r="M3" t="s">
        <v>1052</v>
      </c>
    </row>
    <row r="4" spans="2:13">
      <c r="B4" t="s">
        <v>10</v>
      </c>
      <c r="C4" s="8">
        <v>2003</v>
      </c>
      <c r="D4" s="8">
        <v>3</v>
      </c>
      <c r="E4" s="8">
        <v>0.52940922975540161</v>
      </c>
      <c r="F4" s="8"/>
      <c r="G4" s="8"/>
      <c r="H4" s="8"/>
      <c r="I4" s="8"/>
      <c r="J4" s="8">
        <v>0.13325978815555573</v>
      </c>
      <c r="K4" s="8">
        <v>0.16073986887931824</v>
      </c>
      <c r="L4" s="8">
        <v>45773884</v>
      </c>
      <c r="M4" t="s">
        <v>1052</v>
      </c>
    </row>
    <row r="5" spans="2:13">
      <c r="B5" t="s">
        <v>10</v>
      </c>
      <c r="C5" s="8">
        <v>2004</v>
      </c>
      <c r="D5" s="8">
        <v>1</v>
      </c>
      <c r="E5" s="8">
        <v>0.51603978872299194</v>
      </c>
      <c r="F5" s="8"/>
      <c r="G5" s="8"/>
      <c r="H5" s="8"/>
      <c r="I5" s="8"/>
      <c r="J5" s="8">
        <v>0.37189364433288574</v>
      </c>
      <c r="K5" s="8">
        <v>5.7601418346166611E-2</v>
      </c>
      <c r="L5" s="8">
        <v>45773884</v>
      </c>
      <c r="M5" t="s">
        <v>1052</v>
      </c>
    </row>
    <row r="6" spans="2:13">
      <c r="B6" t="s">
        <v>10</v>
      </c>
      <c r="C6" s="8">
        <v>2004</v>
      </c>
      <c r="D6" s="8">
        <v>2</v>
      </c>
      <c r="E6" s="8">
        <v>0.52663016319274902</v>
      </c>
      <c r="F6" s="8"/>
      <c r="G6" s="8"/>
      <c r="H6" s="8"/>
      <c r="I6" s="8"/>
      <c r="J6" s="8">
        <v>0.21690841019153595</v>
      </c>
      <c r="K6" s="8">
        <v>0.13488408923149109</v>
      </c>
      <c r="L6" s="8">
        <v>45773884</v>
      </c>
      <c r="M6" t="s">
        <v>1052</v>
      </c>
    </row>
    <row r="7" spans="2:13">
      <c r="B7" t="s">
        <v>10</v>
      </c>
      <c r="C7" s="8">
        <v>2004</v>
      </c>
      <c r="D7" s="8">
        <v>3</v>
      </c>
      <c r="E7" s="8">
        <v>0.52443867921829224</v>
      </c>
      <c r="F7" s="8"/>
      <c r="G7" s="8"/>
      <c r="H7" s="8"/>
      <c r="I7" s="8"/>
      <c r="J7" s="8">
        <v>0.13772076368331909</v>
      </c>
      <c r="K7" s="8">
        <v>0.15469294786453247</v>
      </c>
      <c r="L7" s="8">
        <v>45773884</v>
      </c>
      <c r="M7" t="s">
        <v>1052</v>
      </c>
    </row>
    <row r="8" spans="2:13">
      <c r="B8" t="s">
        <v>10</v>
      </c>
      <c r="C8" s="8">
        <v>2005</v>
      </c>
      <c r="D8" s="8">
        <v>1</v>
      </c>
      <c r="E8" s="8">
        <v>0.51999616622924805</v>
      </c>
      <c r="F8" s="8">
        <v>4.3855786323547363E-2</v>
      </c>
      <c r="G8" s="8"/>
      <c r="H8" s="8"/>
      <c r="I8" s="8"/>
      <c r="J8" s="8">
        <v>0.38281887769699097</v>
      </c>
      <c r="K8" s="8">
        <v>5.6376062333583832E-2</v>
      </c>
      <c r="L8" s="8">
        <v>45773884</v>
      </c>
      <c r="M8" t="s">
        <v>1052</v>
      </c>
    </row>
    <row r="9" spans="2:13">
      <c r="B9" t="s">
        <v>10</v>
      </c>
      <c r="C9" s="8">
        <v>2005</v>
      </c>
      <c r="D9" s="8">
        <v>2</v>
      </c>
      <c r="E9" s="8">
        <v>0.52223879098892212</v>
      </c>
      <c r="F9" s="8">
        <v>6.1592072248458862E-2</v>
      </c>
      <c r="G9" s="8"/>
      <c r="H9" s="8"/>
      <c r="I9" s="8"/>
      <c r="J9" s="8">
        <v>0.23184700310230255</v>
      </c>
      <c r="K9" s="8">
        <v>0.12881217896938324</v>
      </c>
      <c r="L9" s="8">
        <v>45773884</v>
      </c>
      <c r="M9" t="s">
        <v>1052</v>
      </c>
    </row>
    <row r="10" spans="2:13">
      <c r="B10" t="s">
        <v>10</v>
      </c>
      <c r="C10" s="8">
        <v>2005</v>
      </c>
      <c r="D10" s="8">
        <v>3</v>
      </c>
      <c r="E10" s="8">
        <v>0.52042639255523682</v>
      </c>
      <c r="F10" s="8">
        <v>4.9017656594514847E-2</v>
      </c>
      <c r="G10" s="8"/>
      <c r="H10" s="8"/>
      <c r="I10" s="8"/>
      <c r="J10" s="8">
        <v>0.14370675384998322</v>
      </c>
      <c r="K10" s="8">
        <v>0.1454271674156189</v>
      </c>
      <c r="L10" s="8">
        <v>45773884</v>
      </c>
      <c r="M10" t="s">
        <v>1052</v>
      </c>
    </row>
    <row r="11" spans="2:13">
      <c r="B11" t="s">
        <v>10</v>
      </c>
      <c r="C11" s="8">
        <v>2006</v>
      </c>
      <c r="D11" s="8">
        <v>1</v>
      </c>
      <c r="E11" s="8">
        <v>0.51861357688903809</v>
      </c>
      <c r="F11" s="8">
        <v>4.6548802405595779E-2</v>
      </c>
      <c r="G11" s="8"/>
      <c r="H11" s="8"/>
      <c r="I11" s="8"/>
      <c r="J11" s="8">
        <v>0.39477023482322693</v>
      </c>
      <c r="K11" s="8">
        <v>5.3163949400186539E-2</v>
      </c>
      <c r="L11" s="8">
        <v>45773884</v>
      </c>
      <c r="M11" t="s">
        <v>1052</v>
      </c>
    </row>
    <row r="12" spans="2:13">
      <c r="B12" t="s">
        <v>10</v>
      </c>
      <c r="C12" s="8">
        <v>2006</v>
      </c>
      <c r="D12" s="8">
        <v>2</v>
      </c>
      <c r="E12" s="8">
        <v>0.52064090967178345</v>
      </c>
      <c r="F12" s="8">
        <v>5.4390642791986465E-2</v>
      </c>
      <c r="G12" s="8"/>
      <c r="H12" s="8"/>
      <c r="I12" s="8"/>
      <c r="J12" s="8">
        <v>0.24335135519504547</v>
      </c>
      <c r="K12" s="8">
        <v>0.12197613716125488</v>
      </c>
      <c r="L12" s="8">
        <v>45773884</v>
      </c>
      <c r="M12" t="s">
        <v>1052</v>
      </c>
    </row>
    <row r="13" spans="2:13">
      <c r="B13" t="s">
        <v>10</v>
      </c>
      <c r="C13" s="8">
        <v>2006</v>
      </c>
      <c r="D13" s="8">
        <v>3</v>
      </c>
      <c r="E13" s="8">
        <v>0.52160137891769409</v>
      </c>
      <c r="F13" s="8">
        <v>5.5038686841726303E-2</v>
      </c>
      <c r="G13" s="8"/>
      <c r="H13" s="8"/>
      <c r="I13" s="8"/>
      <c r="J13" s="8">
        <v>0.15202488005161285</v>
      </c>
      <c r="K13" s="8">
        <v>0.14151889085769653</v>
      </c>
      <c r="L13" s="8">
        <v>45773884</v>
      </c>
      <c r="M13" t="s">
        <v>1052</v>
      </c>
    </row>
    <row r="14" spans="2:13">
      <c r="B14" t="s">
        <v>10</v>
      </c>
      <c r="C14" s="8">
        <v>2007</v>
      </c>
      <c r="D14" s="8">
        <v>1</v>
      </c>
      <c r="E14" s="8">
        <v>0.52707529067993164</v>
      </c>
      <c r="F14" s="8">
        <v>4.7944501042366028E-2</v>
      </c>
      <c r="G14" s="8"/>
      <c r="H14" s="8"/>
      <c r="I14" s="8"/>
      <c r="J14" s="8">
        <v>0.42306217551231384</v>
      </c>
      <c r="K14" s="8">
        <v>3.4351415932178497E-2</v>
      </c>
      <c r="L14" s="8">
        <v>45773884</v>
      </c>
      <c r="M14" t="s">
        <v>1052</v>
      </c>
    </row>
    <row r="15" spans="2:13">
      <c r="B15" t="s">
        <v>10</v>
      </c>
      <c r="C15" s="8">
        <v>2007</v>
      </c>
      <c r="D15" s="8">
        <v>2</v>
      </c>
      <c r="E15" s="8">
        <v>0.51443630456924438</v>
      </c>
      <c r="F15" s="8">
        <v>5.6929793208837509E-2</v>
      </c>
      <c r="G15" s="8"/>
      <c r="H15" s="8"/>
      <c r="I15" s="8"/>
      <c r="J15" s="8">
        <v>0.2829490602016449</v>
      </c>
      <c r="K15" s="8">
        <v>9.1939732432365417E-2</v>
      </c>
      <c r="L15" s="8">
        <v>45773884</v>
      </c>
      <c r="M15" t="s">
        <v>1052</v>
      </c>
    </row>
    <row r="16" spans="2:13">
      <c r="B16" t="s">
        <v>10</v>
      </c>
      <c r="C16" s="8">
        <v>2007</v>
      </c>
      <c r="D16" s="8">
        <v>3</v>
      </c>
      <c r="E16" s="8">
        <v>0.51909768581390381</v>
      </c>
      <c r="F16" s="8">
        <v>5.0203230232000351E-2</v>
      </c>
      <c r="G16" s="8"/>
      <c r="H16" s="8"/>
      <c r="I16" s="8"/>
      <c r="J16" s="8">
        <v>0.16069062054157257</v>
      </c>
      <c r="K16" s="8">
        <v>0.14827169477939606</v>
      </c>
      <c r="L16" s="8">
        <v>45773884</v>
      </c>
      <c r="M16" t="s">
        <v>1052</v>
      </c>
    </row>
    <row r="17" spans="2:13">
      <c r="B17" t="s">
        <v>10</v>
      </c>
      <c r="C17" s="8">
        <v>2008</v>
      </c>
      <c r="D17" s="8">
        <v>1</v>
      </c>
      <c r="E17" s="8">
        <v>0.52439016103744507</v>
      </c>
      <c r="F17" s="8">
        <v>4.5863762497901917E-2</v>
      </c>
      <c r="G17" s="8"/>
      <c r="H17" s="8"/>
      <c r="I17" s="8"/>
      <c r="J17" s="8">
        <v>0.43365621566772461</v>
      </c>
      <c r="K17" s="8">
        <v>2.9260238632559776E-2</v>
      </c>
      <c r="L17" s="8">
        <v>45773884</v>
      </c>
      <c r="M17" t="s">
        <v>1052</v>
      </c>
    </row>
    <row r="18" spans="2:13">
      <c r="B18" t="s">
        <v>10</v>
      </c>
      <c r="C18" s="8">
        <v>2008</v>
      </c>
      <c r="D18" s="8">
        <v>2</v>
      </c>
      <c r="E18" s="8">
        <v>0.52436584234237671</v>
      </c>
      <c r="F18" s="8">
        <v>5.3260084241628647E-2</v>
      </c>
      <c r="G18" s="8"/>
      <c r="H18" s="8"/>
      <c r="I18" s="8"/>
      <c r="J18" s="8">
        <v>0.30133655667304993</v>
      </c>
      <c r="K18" s="8">
        <v>8.5831493139266968E-2</v>
      </c>
      <c r="L18" s="8">
        <v>45773884</v>
      </c>
      <c r="M18" t="s">
        <v>1052</v>
      </c>
    </row>
    <row r="19" spans="2:13">
      <c r="B19" t="s">
        <v>10</v>
      </c>
      <c r="C19" s="8">
        <v>2008</v>
      </c>
      <c r="D19" s="8">
        <v>3</v>
      </c>
      <c r="E19" s="8">
        <v>0.51614373922348022</v>
      </c>
      <c r="F19" s="8">
        <v>5.3350362926721573E-2</v>
      </c>
      <c r="G19" s="8"/>
      <c r="H19" s="8"/>
      <c r="I19" s="8"/>
      <c r="J19" s="8">
        <v>0.16809362173080444</v>
      </c>
      <c r="K19" s="8">
        <v>0.14525747299194336</v>
      </c>
      <c r="L19" s="8">
        <v>45773884</v>
      </c>
      <c r="M19" t="s">
        <v>1052</v>
      </c>
    </row>
    <row r="20" spans="2:13">
      <c r="B20" t="s">
        <v>10</v>
      </c>
      <c r="C20" s="8">
        <v>2009</v>
      </c>
      <c r="D20" s="8">
        <v>1</v>
      </c>
      <c r="E20" s="8">
        <v>0.52765399217605591</v>
      </c>
      <c r="F20" s="8">
        <v>4.5715879648923874E-2</v>
      </c>
      <c r="G20" s="8"/>
      <c r="H20" s="8"/>
      <c r="I20" s="8"/>
      <c r="J20" s="8">
        <v>0.43486914038658142</v>
      </c>
      <c r="K20" s="8">
        <v>2.1999329328536987E-2</v>
      </c>
      <c r="L20" s="8">
        <v>45773884</v>
      </c>
      <c r="M20" t="s">
        <v>1052</v>
      </c>
    </row>
    <row r="21" spans="2:13">
      <c r="B21" t="s">
        <v>10</v>
      </c>
      <c r="C21" s="8">
        <v>2009</v>
      </c>
      <c r="D21" s="8">
        <v>2</v>
      </c>
      <c r="E21" s="8">
        <v>0.52634638547897339</v>
      </c>
      <c r="F21" s="8">
        <v>4.8560325056314468E-2</v>
      </c>
      <c r="G21" s="8"/>
      <c r="H21" s="8"/>
      <c r="I21" s="8"/>
      <c r="J21" s="8">
        <v>0.31856611371040344</v>
      </c>
      <c r="K21" s="8">
        <v>7.0511281490325928E-2</v>
      </c>
      <c r="L21" s="8">
        <v>45773884</v>
      </c>
      <c r="M21" t="s">
        <v>1052</v>
      </c>
    </row>
    <row r="22" spans="2:13">
      <c r="B22" t="s">
        <v>10</v>
      </c>
      <c r="C22" s="8">
        <v>2009</v>
      </c>
      <c r="D22" s="8">
        <v>3</v>
      </c>
      <c r="E22" s="8">
        <v>0.51533830165863037</v>
      </c>
      <c r="F22" s="8">
        <v>4.8584125936031342E-2</v>
      </c>
      <c r="G22" s="8"/>
      <c r="H22" s="8"/>
      <c r="I22" s="8"/>
      <c r="J22" s="8">
        <v>0.17670214176177979</v>
      </c>
      <c r="K22" s="8">
        <v>0.14816908538341522</v>
      </c>
      <c r="L22" s="8">
        <v>45773884</v>
      </c>
      <c r="M22" t="s">
        <v>1052</v>
      </c>
    </row>
    <row r="23" spans="2:13">
      <c r="B23" t="s">
        <v>10</v>
      </c>
      <c r="C23" s="8">
        <v>2010</v>
      </c>
      <c r="D23" s="8">
        <v>1</v>
      </c>
      <c r="E23" s="8">
        <v>0.52126169204711914</v>
      </c>
      <c r="F23" s="8">
        <v>4.0787912905216217E-2</v>
      </c>
      <c r="G23" s="8"/>
      <c r="H23" s="8"/>
      <c r="I23" s="8"/>
      <c r="J23" s="8">
        <v>0.43677762150764465</v>
      </c>
      <c r="K23" s="8">
        <v>2.3346012458205223E-2</v>
      </c>
      <c r="L23" s="8">
        <v>45773884</v>
      </c>
      <c r="M23" t="s">
        <v>1052</v>
      </c>
    </row>
    <row r="24" spans="2:13">
      <c r="B24" t="s">
        <v>10</v>
      </c>
      <c r="C24" s="8">
        <v>2010</v>
      </c>
      <c r="D24" s="8">
        <v>2</v>
      </c>
      <c r="E24" s="8">
        <v>0.51676589250564575</v>
      </c>
      <c r="F24" s="8">
        <v>5.1801681518554688E-2</v>
      </c>
      <c r="G24" s="8"/>
      <c r="H24" s="8"/>
      <c r="I24" s="8"/>
      <c r="J24" s="8">
        <v>0.34681016206741333</v>
      </c>
      <c r="K24" s="8">
        <v>5.6287314742803574E-2</v>
      </c>
      <c r="L24" s="8">
        <v>45773884</v>
      </c>
      <c r="M24" t="s">
        <v>1052</v>
      </c>
    </row>
    <row r="25" spans="2:13">
      <c r="B25" t="s">
        <v>10</v>
      </c>
      <c r="C25" s="8">
        <v>2010</v>
      </c>
      <c r="D25" s="8">
        <v>3</v>
      </c>
      <c r="E25" s="8">
        <v>0.5210602879524231</v>
      </c>
      <c r="F25" s="8">
        <v>4.7798078507184982E-2</v>
      </c>
      <c r="G25" s="8"/>
      <c r="H25" s="8"/>
      <c r="I25" s="8"/>
      <c r="J25" s="8">
        <v>0.18534676730632782</v>
      </c>
      <c r="K25" s="8">
        <v>0.14237804710865021</v>
      </c>
      <c r="L25" s="8">
        <v>45773884</v>
      </c>
      <c r="M25" t="s">
        <v>1052</v>
      </c>
    </row>
    <row r="26" spans="2:13">
      <c r="B26" t="s">
        <v>10</v>
      </c>
      <c r="C26" s="8">
        <v>2011</v>
      </c>
      <c r="D26" s="8">
        <v>1</v>
      </c>
      <c r="E26" s="8">
        <v>0.51318097114562988</v>
      </c>
      <c r="F26" s="8">
        <v>4.4228933751583099E-2</v>
      </c>
      <c r="G26" s="8"/>
      <c r="H26" s="8"/>
      <c r="I26" s="8"/>
      <c r="J26" s="8">
        <v>0.44701495766639709</v>
      </c>
      <c r="K26" s="8">
        <v>1.3806331902742386E-2</v>
      </c>
      <c r="L26" s="8">
        <v>45773884</v>
      </c>
      <c r="M26" t="s">
        <v>1052</v>
      </c>
    </row>
    <row r="27" spans="2:13">
      <c r="B27" t="s">
        <v>10</v>
      </c>
      <c r="C27" s="8">
        <v>2011</v>
      </c>
      <c r="D27" s="8">
        <v>2</v>
      </c>
      <c r="E27" s="8">
        <v>0.52141875028610229</v>
      </c>
      <c r="F27" s="8">
        <v>4.1391283273696899E-2</v>
      </c>
      <c r="G27" s="8"/>
      <c r="H27" s="8"/>
      <c r="I27" s="8"/>
      <c r="J27" s="8">
        <v>0.37726914882659912</v>
      </c>
      <c r="K27" s="8">
        <v>3.8900762796401978E-2</v>
      </c>
      <c r="L27" s="8">
        <v>45773884</v>
      </c>
      <c r="M27" t="s">
        <v>1052</v>
      </c>
    </row>
    <row r="28" spans="2:13">
      <c r="B28" t="s">
        <v>10</v>
      </c>
      <c r="C28" s="8">
        <v>2011</v>
      </c>
      <c r="D28" s="8">
        <v>3</v>
      </c>
      <c r="E28" s="8">
        <v>0.51481568813323975</v>
      </c>
      <c r="F28" s="8">
        <v>4.8069708049297333E-2</v>
      </c>
      <c r="G28" s="8"/>
      <c r="H28" s="8"/>
      <c r="I28" s="8"/>
      <c r="J28" s="8">
        <v>0.20097663998603821</v>
      </c>
      <c r="K28" s="8">
        <v>0.13432455062866211</v>
      </c>
      <c r="L28" s="8">
        <v>45773884</v>
      </c>
      <c r="M28" t="s">
        <v>1052</v>
      </c>
    </row>
    <row r="29" spans="2:13">
      <c r="B29" t="s">
        <v>10</v>
      </c>
      <c r="C29" s="8">
        <v>2012</v>
      </c>
      <c r="D29" s="8">
        <v>1</v>
      </c>
      <c r="E29" s="8">
        <v>0.53436064720153809</v>
      </c>
      <c r="F29" s="8">
        <v>5.0053447484970093E-2</v>
      </c>
      <c r="G29" s="8"/>
      <c r="H29" s="8"/>
      <c r="I29" s="8"/>
      <c r="J29" s="8">
        <v>0.47226542234420776</v>
      </c>
      <c r="K29" s="8">
        <v>1.2871501967310905E-2</v>
      </c>
      <c r="L29" s="8">
        <v>45773884</v>
      </c>
      <c r="M29" t="s">
        <v>1052</v>
      </c>
    </row>
    <row r="30" spans="2:13">
      <c r="B30" t="s">
        <v>10</v>
      </c>
      <c r="C30" s="8">
        <v>2012</v>
      </c>
      <c r="D30" s="8">
        <v>2</v>
      </c>
      <c r="E30" s="8">
        <v>0.51404911279678345</v>
      </c>
      <c r="F30" s="8">
        <v>4.2419817298650742E-2</v>
      </c>
      <c r="G30" s="8"/>
      <c r="H30" s="8"/>
      <c r="I30" s="8"/>
      <c r="J30" s="8">
        <v>0.38423293828964233</v>
      </c>
      <c r="K30" s="8">
        <v>2.9585415497422218E-2</v>
      </c>
      <c r="L30" s="8">
        <v>45773884</v>
      </c>
      <c r="M30" t="s">
        <v>1052</v>
      </c>
    </row>
    <row r="31" spans="2:13">
      <c r="B31" t="s">
        <v>10</v>
      </c>
      <c r="C31" s="8">
        <v>2012</v>
      </c>
      <c r="D31" s="8">
        <v>3</v>
      </c>
      <c r="E31" s="8">
        <v>0.51443707942962646</v>
      </c>
      <c r="F31" s="8">
        <v>4.8293419182300568E-2</v>
      </c>
      <c r="G31" s="8"/>
      <c r="H31" s="8"/>
      <c r="I31" s="8"/>
      <c r="J31" s="8">
        <v>0.20891661942005157</v>
      </c>
      <c r="K31" s="8">
        <v>0.13075950741767883</v>
      </c>
      <c r="L31" s="8">
        <v>45773884</v>
      </c>
      <c r="M31" t="s">
        <v>1052</v>
      </c>
    </row>
    <row r="32" spans="2:13">
      <c r="B32" t="s">
        <v>10</v>
      </c>
      <c r="C32" s="8">
        <v>2013</v>
      </c>
      <c r="D32" s="8">
        <v>1</v>
      </c>
      <c r="E32" s="8">
        <v>0.52654910087585449</v>
      </c>
      <c r="F32" s="8">
        <v>5.104370042681694E-2</v>
      </c>
      <c r="G32" s="8"/>
      <c r="H32" s="8"/>
      <c r="I32" s="8"/>
      <c r="J32" s="8">
        <v>0.44191104173660278</v>
      </c>
      <c r="K32" s="8">
        <v>1.4339206740260124E-2</v>
      </c>
      <c r="L32" s="8">
        <v>45773884</v>
      </c>
      <c r="M32" t="s">
        <v>1052</v>
      </c>
    </row>
    <row r="33" spans="2:13">
      <c r="B33" t="s">
        <v>10</v>
      </c>
      <c r="C33" s="8">
        <v>2013</v>
      </c>
      <c r="D33" s="8">
        <v>2</v>
      </c>
      <c r="E33" s="8">
        <v>0.52002513408660889</v>
      </c>
      <c r="F33" s="8">
        <v>5.3901035338640213E-2</v>
      </c>
      <c r="G33" s="8"/>
      <c r="H33" s="8"/>
      <c r="I33" s="8"/>
      <c r="J33" s="8">
        <v>0.42164313793182373</v>
      </c>
      <c r="K33" s="8">
        <v>1.9425276666879654E-2</v>
      </c>
      <c r="L33" s="8">
        <v>45773884</v>
      </c>
      <c r="M33" t="s">
        <v>1052</v>
      </c>
    </row>
    <row r="34" spans="2:13">
      <c r="B34" t="s">
        <v>10</v>
      </c>
      <c r="C34" s="8">
        <v>2013</v>
      </c>
      <c r="D34" s="8">
        <v>3</v>
      </c>
      <c r="E34" s="8">
        <v>0.51446694135665894</v>
      </c>
      <c r="F34" s="8">
        <v>4.8685885965824127E-2</v>
      </c>
      <c r="G34" s="8"/>
      <c r="H34" s="8"/>
      <c r="I34" s="8"/>
      <c r="J34" s="8">
        <v>0.21796578168869019</v>
      </c>
      <c r="K34" s="8">
        <v>0.124751016497612</v>
      </c>
      <c r="L34" s="8">
        <v>45773884</v>
      </c>
      <c r="M34" t="s">
        <v>1052</v>
      </c>
    </row>
    <row r="35" spans="2:13">
      <c r="B35" t="s">
        <v>10</v>
      </c>
      <c r="C35" s="8">
        <v>2014</v>
      </c>
      <c r="D35" s="8">
        <v>1</v>
      </c>
      <c r="E35" s="8">
        <v>0.53297817707061768</v>
      </c>
      <c r="F35" s="8">
        <v>3.9863217622041702E-2</v>
      </c>
      <c r="G35" s="8"/>
      <c r="H35" s="8"/>
      <c r="I35" s="8"/>
      <c r="J35" s="8">
        <v>0.46987786889076233</v>
      </c>
      <c r="K35" s="8">
        <v>1.5373928472399712E-2</v>
      </c>
      <c r="L35" s="8">
        <v>45773884</v>
      </c>
      <c r="M35" t="s">
        <v>1052</v>
      </c>
    </row>
    <row r="36" spans="2:13">
      <c r="B36" t="s">
        <v>10</v>
      </c>
      <c r="C36" s="8">
        <v>2014</v>
      </c>
      <c r="D36" s="8">
        <v>2</v>
      </c>
      <c r="E36" s="8">
        <v>0.51590347290039063</v>
      </c>
      <c r="F36" s="8">
        <v>3.9151638746261597E-2</v>
      </c>
      <c r="G36" s="8"/>
      <c r="H36" s="8"/>
      <c r="I36" s="8"/>
      <c r="J36" s="8">
        <v>0.41551515460014343</v>
      </c>
      <c r="K36" s="8">
        <v>2.4211058393120766E-2</v>
      </c>
      <c r="L36" s="8">
        <v>45773884</v>
      </c>
      <c r="M36" t="s">
        <v>1052</v>
      </c>
    </row>
    <row r="37" spans="2:13">
      <c r="B37" t="s">
        <v>10</v>
      </c>
      <c r="C37" s="8">
        <v>2014</v>
      </c>
      <c r="D37" s="8">
        <v>3</v>
      </c>
      <c r="E37" s="8">
        <v>0.5142168402671814</v>
      </c>
      <c r="F37" s="8">
        <v>4.5742370188236237E-2</v>
      </c>
      <c r="G37" s="8"/>
      <c r="H37" s="8"/>
      <c r="I37" s="8"/>
      <c r="J37" s="8">
        <v>0.22104334831237793</v>
      </c>
      <c r="K37" s="8">
        <v>0.12276436388492584</v>
      </c>
      <c r="L37" s="8">
        <v>45773884</v>
      </c>
      <c r="M37" t="s">
        <v>1052</v>
      </c>
    </row>
    <row r="38" spans="2:13">
      <c r="B38" t="s">
        <v>10</v>
      </c>
      <c r="C38" s="8">
        <v>2015</v>
      </c>
      <c r="D38" s="8">
        <v>1</v>
      </c>
      <c r="E38" s="8">
        <v>0.52895331382751465</v>
      </c>
      <c r="F38" s="8">
        <v>4.7385111451148987E-2</v>
      </c>
      <c r="G38" s="8"/>
      <c r="H38" s="8"/>
      <c r="I38" s="8"/>
      <c r="J38" s="8">
        <v>0.46958926320075989</v>
      </c>
      <c r="K38" s="8">
        <v>1.4277874492108822E-2</v>
      </c>
      <c r="L38" s="8">
        <v>45773884</v>
      </c>
      <c r="M38" t="s">
        <v>1052</v>
      </c>
    </row>
    <row r="39" spans="2:13">
      <c r="B39" t="s">
        <v>10</v>
      </c>
      <c r="C39" s="8">
        <v>2015</v>
      </c>
      <c r="D39" s="8">
        <v>2</v>
      </c>
      <c r="E39" s="8">
        <v>0.51492005586624146</v>
      </c>
      <c r="F39" s="8">
        <v>4.6694580465555191E-2</v>
      </c>
      <c r="G39" s="8"/>
      <c r="H39" s="8"/>
      <c r="I39" s="8"/>
      <c r="J39" s="8">
        <v>0.39648973941802979</v>
      </c>
      <c r="K39" s="8">
        <v>2.5647560134530067E-2</v>
      </c>
      <c r="L39" s="8">
        <v>45773884</v>
      </c>
      <c r="M39" t="s">
        <v>1052</v>
      </c>
    </row>
    <row r="40" spans="2:13">
      <c r="B40" t="s">
        <v>10</v>
      </c>
      <c r="C40" s="8">
        <v>2015</v>
      </c>
      <c r="D40" s="8">
        <v>3</v>
      </c>
      <c r="E40" s="8">
        <v>0.51429140567779541</v>
      </c>
      <c r="F40" s="8">
        <v>4.739510640501976E-2</v>
      </c>
      <c r="G40" s="8"/>
      <c r="H40" s="8"/>
      <c r="I40" s="8"/>
      <c r="J40" s="8">
        <v>0.21374198794364929</v>
      </c>
      <c r="K40" s="8">
        <v>0.13331437110900879</v>
      </c>
      <c r="L40" s="8">
        <v>45773884</v>
      </c>
      <c r="M40" t="s">
        <v>1052</v>
      </c>
    </row>
    <row r="41" spans="2:13">
      <c r="B41" t="s">
        <v>10</v>
      </c>
      <c r="C41" s="8">
        <v>2016</v>
      </c>
      <c r="D41" s="8">
        <v>1</v>
      </c>
      <c r="E41" s="8">
        <v>0.53431004285812378</v>
      </c>
      <c r="F41" s="8">
        <v>5.1504399627447128E-2</v>
      </c>
      <c r="G41" s="8"/>
      <c r="H41" s="8"/>
      <c r="I41" s="8"/>
      <c r="J41" s="8">
        <v>0.38242876529693604</v>
      </c>
      <c r="K41" s="8">
        <v>1.7288578674197197E-2</v>
      </c>
      <c r="L41" s="8">
        <v>45773884</v>
      </c>
      <c r="M41" t="s">
        <v>1052</v>
      </c>
    </row>
    <row r="42" spans="2:13">
      <c r="B42" t="s">
        <v>10</v>
      </c>
      <c r="C42" s="8">
        <v>2016</v>
      </c>
      <c r="D42" s="8">
        <v>2</v>
      </c>
      <c r="E42" s="8">
        <v>0.52548819780349731</v>
      </c>
      <c r="F42" s="8">
        <v>4.0730036795139313E-2</v>
      </c>
      <c r="G42" s="8"/>
      <c r="H42" s="8"/>
      <c r="I42" s="8"/>
      <c r="J42" s="8">
        <v>0.36069110035896301</v>
      </c>
      <c r="K42" s="8">
        <v>4.0854290127754211E-2</v>
      </c>
      <c r="L42" s="8">
        <v>45773884</v>
      </c>
      <c r="M42" t="s">
        <v>1052</v>
      </c>
    </row>
    <row r="43" spans="2:13">
      <c r="B43" t="s">
        <v>10</v>
      </c>
      <c r="C43" s="8">
        <v>2016</v>
      </c>
      <c r="D43" s="8">
        <v>3</v>
      </c>
      <c r="E43" s="8">
        <v>0.52100241184234619</v>
      </c>
      <c r="F43" s="8">
        <v>4.7626946121454239E-2</v>
      </c>
      <c r="G43" s="8"/>
      <c r="H43" s="8"/>
      <c r="I43" s="8"/>
      <c r="J43" s="8">
        <v>0.21130743622779846</v>
      </c>
      <c r="K43" s="8">
        <v>0.1519392728805542</v>
      </c>
      <c r="L43" s="8">
        <v>45773884</v>
      </c>
      <c r="M43" t="s">
        <v>1052</v>
      </c>
    </row>
    <row r="44" spans="2:13">
      <c r="B44" t="s">
        <v>10</v>
      </c>
      <c r="C44" s="8">
        <v>2017</v>
      </c>
      <c r="D44" s="8">
        <v>1</v>
      </c>
      <c r="E44" s="8">
        <v>0.51334726810455322</v>
      </c>
      <c r="F44" s="8">
        <v>4.5079383999109268E-2</v>
      </c>
      <c r="G44" s="8"/>
      <c r="H44" s="8"/>
      <c r="I44" s="8"/>
      <c r="J44" s="8">
        <v>0.3956855833530426</v>
      </c>
      <c r="K44" s="8">
        <v>1.0979628190398216E-2</v>
      </c>
      <c r="L44" s="8">
        <v>45773884</v>
      </c>
      <c r="M44" t="s">
        <v>1052</v>
      </c>
    </row>
    <row r="45" spans="2:13">
      <c r="B45" t="s">
        <v>10</v>
      </c>
      <c r="C45" s="8">
        <v>2017</v>
      </c>
      <c r="D45" s="8">
        <v>2</v>
      </c>
      <c r="E45" s="8">
        <v>0.53860282897949219</v>
      </c>
      <c r="F45" s="8">
        <v>4.4295944273471832E-2</v>
      </c>
      <c r="G45" s="8"/>
      <c r="H45" s="8"/>
      <c r="I45" s="8"/>
      <c r="J45" s="8">
        <v>0.36467573046684265</v>
      </c>
      <c r="K45" s="8">
        <v>3.8859419524669647E-2</v>
      </c>
      <c r="L45" s="8">
        <v>45773884</v>
      </c>
      <c r="M45" t="s">
        <v>1052</v>
      </c>
    </row>
    <row r="46" spans="2:13">
      <c r="B46" t="s">
        <v>10</v>
      </c>
      <c r="C46" s="8">
        <v>2017</v>
      </c>
      <c r="D46" s="8">
        <v>3</v>
      </c>
      <c r="E46" s="8">
        <v>0.52014559507369995</v>
      </c>
      <c r="F46" s="8">
        <v>4.710494726896286E-2</v>
      </c>
      <c r="G46" s="8"/>
      <c r="H46" s="8"/>
      <c r="I46" s="8"/>
      <c r="J46" s="8">
        <v>0.2108888179063797</v>
      </c>
      <c r="K46" s="8">
        <v>0.15163114666938782</v>
      </c>
      <c r="L46" s="8">
        <v>45773884</v>
      </c>
      <c r="M46" t="s">
        <v>1052</v>
      </c>
    </row>
    <row r="47" spans="2:13">
      <c r="B47" t="s">
        <v>10</v>
      </c>
      <c r="C47" s="8">
        <v>2018</v>
      </c>
      <c r="D47" s="8">
        <v>1</v>
      </c>
      <c r="E47" s="8">
        <v>0.52195090055465698</v>
      </c>
      <c r="F47" s="8">
        <v>6.2120873481035233E-2</v>
      </c>
      <c r="G47" s="8"/>
      <c r="H47" s="8"/>
      <c r="I47" s="8"/>
      <c r="J47" s="8">
        <v>0.39288267493247986</v>
      </c>
      <c r="K47" s="8">
        <v>1.2875602580606937E-2</v>
      </c>
      <c r="L47" s="8">
        <v>45773884</v>
      </c>
      <c r="M47" t="s">
        <v>1052</v>
      </c>
    </row>
    <row r="48" spans="2:13">
      <c r="B48" t="s">
        <v>10</v>
      </c>
      <c r="C48" s="8">
        <v>2018</v>
      </c>
      <c r="D48" s="8">
        <v>2</v>
      </c>
      <c r="E48" s="8">
        <v>0.52098983526229858</v>
      </c>
      <c r="F48" s="8">
        <v>5.453101173043251E-2</v>
      </c>
      <c r="G48" s="8"/>
      <c r="H48" s="8"/>
      <c r="I48" s="8"/>
      <c r="J48" s="8">
        <v>0.35915541648864746</v>
      </c>
      <c r="K48" s="8">
        <v>3.3989418298006058E-2</v>
      </c>
      <c r="L48" s="8">
        <v>45773884</v>
      </c>
      <c r="M48" t="s">
        <v>1052</v>
      </c>
    </row>
    <row r="49" spans="2:13">
      <c r="B49" t="s">
        <v>10</v>
      </c>
      <c r="C49" s="8">
        <v>2018</v>
      </c>
      <c r="D49" s="8">
        <v>3</v>
      </c>
      <c r="E49" s="8">
        <v>0.52156752347946167</v>
      </c>
      <c r="F49" s="8">
        <v>5.1873572170734406E-2</v>
      </c>
      <c r="G49" s="8"/>
      <c r="H49" s="8"/>
      <c r="I49" s="8"/>
      <c r="J49" s="8">
        <v>0.20998500287532806</v>
      </c>
      <c r="K49" s="8">
        <v>0.15484745800495148</v>
      </c>
      <c r="L49" s="8">
        <v>45773884</v>
      </c>
      <c r="M49" t="s">
        <v>1052</v>
      </c>
    </row>
    <row r="50" spans="2:13">
      <c r="B50" t="s">
        <v>10</v>
      </c>
      <c r="C50" s="8">
        <v>2019</v>
      </c>
      <c r="D50" s="8">
        <v>1</v>
      </c>
      <c r="E50" s="8">
        <v>0.51747435331344604</v>
      </c>
      <c r="F50" s="8">
        <v>6.4858213067054749E-2</v>
      </c>
      <c r="G50" s="8"/>
      <c r="H50" s="8"/>
      <c r="I50" s="8"/>
      <c r="J50" s="8">
        <v>0.39425560832023621</v>
      </c>
      <c r="K50" s="8">
        <v>1.6225967556238174E-2</v>
      </c>
      <c r="L50" s="8">
        <v>45773884</v>
      </c>
      <c r="M50" t="s">
        <v>1052</v>
      </c>
    </row>
    <row r="51" spans="2:13">
      <c r="B51" t="s">
        <v>10</v>
      </c>
      <c r="C51" s="8">
        <v>2019</v>
      </c>
      <c r="D51" s="8">
        <v>2</v>
      </c>
      <c r="E51" s="8">
        <v>0.51108294725418091</v>
      </c>
      <c r="F51" s="8">
        <v>4.2200639843940735E-2</v>
      </c>
      <c r="G51" s="8"/>
      <c r="H51" s="8"/>
      <c r="I51" s="8"/>
      <c r="J51" s="8">
        <v>0.36850270628929138</v>
      </c>
      <c r="K51" s="8">
        <v>4.6885047107934952E-2</v>
      </c>
      <c r="L51" s="8">
        <v>45773884</v>
      </c>
      <c r="M51" t="s">
        <v>1052</v>
      </c>
    </row>
    <row r="52" spans="2:13">
      <c r="B52" t="s">
        <v>10</v>
      </c>
      <c r="C52" s="8">
        <v>2019</v>
      </c>
      <c r="D52" s="8">
        <v>3</v>
      </c>
      <c r="E52" s="8">
        <v>0.51972842216491699</v>
      </c>
      <c r="F52" s="8">
        <v>5.2065696567296982E-2</v>
      </c>
      <c r="G52" s="8"/>
      <c r="H52" s="8"/>
      <c r="I52" s="8"/>
      <c r="J52" s="8">
        <v>0.19900940358638763</v>
      </c>
      <c r="K52" s="8">
        <v>0.15885071456432343</v>
      </c>
      <c r="L52" s="8">
        <v>45773884</v>
      </c>
      <c r="M52" t="s">
        <v>1052</v>
      </c>
    </row>
    <row r="53" spans="2:13">
      <c r="B53" t="s">
        <v>10</v>
      </c>
      <c r="C53" s="8">
        <v>2020</v>
      </c>
      <c r="D53" s="8">
        <v>1</v>
      </c>
      <c r="E53" s="8">
        <v>0.47817867994308472</v>
      </c>
      <c r="F53" s="8">
        <v>7.2243042290210724E-2</v>
      </c>
      <c r="G53" s="8"/>
      <c r="H53" s="8"/>
      <c r="I53" s="8"/>
      <c r="J53" s="8">
        <v>0.36450767517089844</v>
      </c>
      <c r="K53" s="8">
        <v>1.1747155338525772E-2</v>
      </c>
      <c r="L53" s="8">
        <v>45773884</v>
      </c>
      <c r="M53" t="s">
        <v>1052</v>
      </c>
    </row>
    <row r="54" spans="2:13">
      <c r="B54" t="s">
        <v>10</v>
      </c>
      <c r="C54" s="8">
        <v>2020</v>
      </c>
      <c r="D54" s="8">
        <v>2</v>
      </c>
      <c r="E54" s="8">
        <v>0.51743203401565552</v>
      </c>
      <c r="F54" s="8">
        <v>5.9432439506053925E-2</v>
      </c>
      <c r="G54" s="8"/>
      <c r="H54" s="8"/>
      <c r="I54" s="8"/>
      <c r="J54" s="8">
        <v>0.36952853202819824</v>
      </c>
      <c r="K54" s="8">
        <v>2.8147611767053604E-2</v>
      </c>
      <c r="L54" s="8">
        <v>45773884</v>
      </c>
      <c r="M54" t="s">
        <v>1052</v>
      </c>
    </row>
    <row r="55" spans="2:13">
      <c r="B55" t="s">
        <v>10</v>
      </c>
      <c r="C55" s="8">
        <v>2020</v>
      </c>
      <c r="D55" s="8">
        <v>3</v>
      </c>
      <c r="E55" s="8">
        <v>0.51444423198699951</v>
      </c>
      <c r="F55" s="8">
        <v>3.9842221885919571E-2</v>
      </c>
      <c r="G55" s="8"/>
      <c r="H55" s="8"/>
      <c r="I55" s="8"/>
      <c r="J55" s="8">
        <v>0.21560940146446228</v>
      </c>
      <c r="K55" s="8">
        <v>0.13821625709533691</v>
      </c>
      <c r="L55" s="8">
        <v>45773884</v>
      </c>
      <c r="M55" t="s">
        <v>1052</v>
      </c>
    </row>
    <row r="56" spans="2:13">
      <c r="B56" t="s">
        <v>10</v>
      </c>
      <c r="C56" s="8">
        <v>2021</v>
      </c>
      <c r="D56" s="8">
        <v>1</v>
      </c>
      <c r="E56" s="8">
        <v>0.51286232471466064</v>
      </c>
      <c r="F56" s="8">
        <v>5.9600796550512314E-2</v>
      </c>
      <c r="G56" s="8"/>
      <c r="H56" s="8"/>
      <c r="I56" s="8"/>
      <c r="J56" s="8">
        <v>0.38119694590568542</v>
      </c>
      <c r="K56" s="8">
        <v>1.5545486472547054E-2</v>
      </c>
      <c r="L56" s="8">
        <v>45773884</v>
      </c>
      <c r="M56" t="s">
        <v>1052</v>
      </c>
    </row>
    <row r="57" spans="2:13">
      <c r="B57" t="s">
        <v>10</v>
      </c>
      <c r="C57" s="8">
        <v>2021</v>
      </c>
      <c r="D57" s="8">
        <v>2</v>
      </c>
      <c r="E57" s="8">
        <v>0.53045034408569336</v>
      </c>
      <c r="F57" s="8">
        <v>5.1833517849445343E-2</v>
      </c>
      <c r="G57" s="8"/>
      <c r="H57" s="8"/>
      <c r="I57" s="8"/>
      <c r="J57" s="8">
        <v>0.36076503992080688</v>
      </c>
      <c r="K57" s="8">
        <v>4.1309922933578491E-2</v>
      </c>
      <c r="L57" s="8">
        <v>45773884</v>
      </c>
      <c r="M57" t="s">
        <v>1052</v>
      </c>
    </row>
    <row r="58" spans="2:13">
      <c r="B58" t="s">
        <v>10</v>
      </c>
      <c r="C58" s="8">
        <v>2021</v>
      </c>
      <c r="D58" s="8">
        <v>3</v>
      </c>
      <c r="E58" s="8">
        <v>0.51287472248077393</v>
      </c>
      <c r="F58" s="8">
        <v>4.1177153587341309E-2</v>
      </c>
      <c r="G58" s="8"/>
      <c r="H58" s="8"/>
      <c r="I58" s="8"/>
      <c r="J58" s="8">
        <v>0.22155028581619263</v>
      </c>
      <c r="K58" s="8">
        <v>0.1401141881942749</v>
      </c>
      <c r="L58" s="8">
        <v>45773884</v>
      </c>
      <c r="M58" t="s">
        <v>1052</v>
      </c>
    </row>
    <row r="59" spans="2:13">
      <c r="B59" t="s">
        <v>10</v>
      </c>
      <c r="C59" s="8">
        <v>2022</v>
      </c>
      <c r="D59" s="8">
        <v>1</v>
      </c>
      <c r="E59" s="8">
        <v>0.52007383108139038</v>
      </c>
      <c r="F59" s="8">
        <v>4.6915061771869659E-2</v>
      </c>
      <c r="G59" s="8"/>
      <c r="H59" s="8"/>
      <c r="I59" s="8"/>
      <c r="J59" s="8">
        <v>0.37885203957557678</v>
      </c>
      <c r="K59" s="8">
        <v>2.5660544633865356E-2</v>
      </c>
      <c r="L59" s="8">
        <v>45773884</v>
      </c>
      <c r="M59" t="s">
        <v>1052</v>
      </c>
    </row>
    <row r="60" spans="2:13">
      <c r="B60" t="s">
        <v>10</v>
      </c>
      <c r="C60" s="8">
        <v>2022</v>
      </c>
      <c r="D60" s="8">
        <v>2</v>
      </c>
      <c r="E60" s="8">
        <v>0.52978891134262085</v>
      </c>
      <c r="F60" s="8">
        <v>4.4125013053417206E-2</v>
      </c>
      <c r="G60" s="8"/>
      <c r="H60" s="8"/>
      <c r="I60" s="8"/>
      <c r="J60" s="8">
        <v>0.36284860968589783</v>
      </c>
      <c r="K60" s="8">
        <v>4.4857002794742584E-2</v>
      </c>
      <c r="L60" s="8">
        <v>45773884</v>
      </c>
      <c r="M60" t="s">
        <v>1052</v>
      </c>
    </row>
    <row r="61" spans="2:13">
      <c r="B61" t="s">
        <v>10</v>
      </c>
      <c r="C61" s="8">
        <v>2022</v>
      </c>
      <c r="D61" s="8">
        <v>3</v>
      </c>
      <c r="E61" s="8">
        <v>0.51083636283874512</v>
      </c>
      <c r="F61" s="8">
        <v>5.0857547670602798E-2</v>
      </c>
      <c r="G61" s="8"/>
      <c r="H61" s="8"/>
      <c r="I61" s="8"/>
      <c r="J61" s="8">
        <v>0.21976228058338165</v>
      </c>
      <c r="K61" s="8">
        <v>0.13883984088897705</v>
      </c>
      <c r="L61" s="8">
        <v>45773884</v>
      </c>
      <c r="M61" t="s">
        <v>1052</v>
      </c>
    </row>
    <row r="62" spans="2:13">
      <c r="B62" t="s">
        <v>15</v>
      </c>
      <c r="C62" s="8">
        <v>2003</v>
      </c>
      <c r="D62" s="8">
        <v>1</v>
      </c>
      <c r="E62" s="8">
        <v>0.50770062208175659</v>
      </c>
      <c r="F62" s="8"/>
      <c r="G62" s="8">
        <v>0</v>
      </c>
      <c r="H62" s="8">
        <v>0.84164738655090332</v>
      </c>
      <c r="I62" s="8"/>
      <c r="J62" s="8">
        <v>0.52988451719284058</v>
      </c>
      <c r="K62" s="8">
        <v>3.7398170679807663E-2</v>
      </c>
      <c r="L62" s="8">
        <v>12388571</v>
      </c>
      <c r="M62" t="s">
        <v>1052</v>
      </c>
    </row>
    <row r="63" spans="2:13">
      <c r="B63" t="s">
        <v>15</v>
      </c>
      <c r="C63" s="8">
        <v>2003</v>
      </c>
      <c r="D63" s="8">
        <v>2</v>
      </c>
      <c r="E63" s="8">
        <v>0.52176058292388916</v>
      </c>
      <c r="F63" s="8"/>
      <c r="G63" s="8">
        <v>0</v>
      </c>
      <c r="H63" s="8">
        <v>0.67086869478225708</v>
      </c>
      <c r="I63" s="8"/>
      <c r="J63" s="8">
        <v>0.4834592342376709</v>
      </c>
      <c r="K63" s="8">
        <v>5.1798708736896515E-2</v>
      </c>
      <c r="L63" s="8">
        <v>12388571</v>
      </c>
      <c r="M63" t="s">
        <v>1052</v>
      </c>
    </row>
    <row r="64" spans="2:13">
      <c r="B64" t="s">
        <v>15</v>
      </c>
      <c r="C64" s="8">
        <v>2003</v>
      </c>
      <c r="D64" s="8">
        <v>3</v>
      </c>
      <c r="E64" s="8">
        <v>0.51120823621749878</v>
      </c>
      <c r="F64" s="8"/>
      <c r="G64" s="8">
        <v>0</v>
      </c>
      <c r="H64" s="8">
        <v>0.51371753215789795</v>
      </c>
      <c r="I64" s="8"/>
      <c r="J64" s="8">
        <v>0.36054635047912598</v>
      </c>
      <c r="K64" s="8">
        <v>4.9331847578287125E-2</v>
      </c>
      <c r="L64" s="8">
        <v>12388571</v>
      </c>
      <c r="M64" t="s">
        <v>1052</v>
      </c>
    </row>
    <row r="65" spans="2:13">
      <c r="B65" t="s">
        <v>15</v>
      </c>
      <c r="C65" s="8">
        <v>2005</v>
      </c>
      <c r="D65" s="8">
        <v>1</v>
      </c>
      <c r="E65" s="8">
        <v>0.51024347543716431</v>
      </c>
      <c r="F65" s="8">
        <v>2.9380414634943008E-3</v>
      </c>
      <c r="G65" s="8">
        <v>0</v>
      </c>
      <c r="H65" s="8">
        <v>0.75980150699615479</v>
      </c>
      <c r="I65" s="8"/>
      <c r="J65" s="8">
        <v>0.49689772725105286</v>
      </c>
      <c r="K65" s="8">
        <v>4.5532293617725372E-2</v>
      </c>
      <c r="L65" s="8">
        <v>12388571</v>
      </c>
      <c r="M65" t="s">
        <v>1052</v>
      </c>
    </row>
    <row r="66" spans="2:13">
      <c r="B66" t="s">
        <v>15</v>
      </c>
      <c r="C66" s="8">
        <v>2005</v>
      </c>
      <c r="D66" s="8">
        <v>2</v>
      </c>
      <c r="E66" s="8">
        <v>0.51589030027389526</v>
      </c>
      <c r="F66" s="8">
        <v>4.617646336555481E-3</v>
      </c>
      <c r="G66" s="8">
        <v>0</v>
      </c>
      <c r="H66" s="8">
        <v>0.5155632495880127</v>
      </c>
      <c r="I66" s="8"/>
      <c r="J66" s="8">
        <v>0.45568880438804626</v>
      </c>
      <c r="K66" s="8">
        <v>6.3031561672687531E-2</v>
      </c>
      <c r="L66" s="8">
        <v>12388571</v>
      </c>
      <c r="M66" t="s">
        <v>1052</v>
      </c>
    </row>
    <row r="67" spans="2:13">
      <c r="B67" t="s">
        <v>15</v>
      </c>
      <c r="C67" s="8">
        <v>2005</v>
      </c>
      <c r="D67" s="8">
        <v>3</v>
      </c>
      <c r="E67" s="8">
        <v>0.5064997673034668</v>
      </c>
      <c r="F67" s="8">
        <v>8.141370490193367E-3</v>
      </c>
      <c r="G67" s="8">
        <v>0</v>
      </c>
      <c r="H67" s="8">
        <v>0.4435480535030365</v>
      </c>
      <c r="I67" s="8"/>
      <c r="J67" s="8">
        <v>0.31031933426856995</v>
      </c>
      <c r="K67" s="8">
        <v>6.430806964635849E-2</v>
      </c>
      <c r="L67" s="8">
        <v>12388571</v>
      </c>
      <c r="M67" t="s">
        <v>1052</v>
      </c>
    </row>
    <row r="68" spans="2:13">
      <c r="B68" t="s">
        <v>15</v>
      </c>
      <c r="C68" s="8">
        <v>2006</v>
      </c>
      <c r="D68" s="8">
        <v>1</v>
      </c>
      <c r="E68" s="8">
        <v>0.49637705087661743</v>
      </c>
      <c r="F68" s="8">
        <v>2.5843833573162556E-3</v>
      </c>
      <c r="G68" s="8">
        <v>0</v>
      </c>
      <c r="H68" s="8">
        <v>0.71480196714401245</v>
      </c>
      <c r="I68" s="8"/>
      <c r="J68" s="8">
        <v>0.49896466732025146</v>
      </c>
      <c r="K68" s="8">
        <v>3.5921674221754074E-2</v>
      </c>
      <c r="L68" s="8">
        <v>12388571</v>
      </c>
      <c r="M68" t="s">
        <v>1052</v>
      </c>
    </row>
    <row r="69" spans="2:13">
      <c r="B69" t="s">
        <v>15</v>
      </c>
      <c r="C69" s="8">
        <v>2006</v>
      </c>
      <c r="D69" s="8">
        <v>2</v>
      </c>
      <c r="E69" s="8">
        <v>0.52267676591873169</v>
      </c>
      <c r="F69" s="8">
        <v>3.4511485137045383E-3</v>
      </c>
      <c r="G69" s="8">
        <v>0</v>
      </c>
      <c r="H69" s="8">
        <v>0.59616857767105103</v>
      </c>
      <c r="I69" s="8"/>
      <c r="J69" s="8">
        <v>0.44967517256736755</v>
      </c>
      <c r="K69" s="8">
        <v>7.3577761650085449E-2</v>
      </c>
      <c r="L69" s="8">
        <v>12388571</v>
      </c>
      <c r="M69" t="s">
        <v>1052</v>
      </c>
    </row>
    <row r="70" spans="2:13">
      <c r="B70" t="s">
        <v>15</v>
      </c>
      <c r="C70" s="8">
        <v>2006</v>
      </c>
      <c r="D70" s="8">
        <v>3</v>
      </c>
      <c r="E70" s="8">
        <v>0.49901166558265686</v>
      </c>
      <c r="F70" s="8">
        <v>1.0305711068212986E-2</v>
      </c>
      <c r="G70" s="8">
        <v>0</v>
      </c>
      <c r="H70" s="8">
        <v>0.41464716196060181</v>
      </c>
      <c r="I70" s="8"/>
      <c r="J70" s="8">
        <v>0.32495790719985962</v>
      </c>
      <c r="K70" s="8">
        <v>5.306132510304451E-2</v>
      </c>
      <c r="L70" s="8">
        <v>12388571</v>
      </c>
      <c r="M70" t="s">
        <v>1052</v>
      </c>
    </row>
    <row r="71" spans="2:13">
      <c r="B71" t="s">
        <v>15</v>
      </c>
      <c r="C71" s="8">
        <v>2007</v>
      </c>
      <c r="D71" s="8">
        <v>1</v>
      </c>
      <c r="E71" s="8">
        <v>0.52623951435089111</v>
      </c>
      <c r="F71" s="8"/>
      <c r="G71" s="8">
        <v>0</v>
      </c>
      <c r="H71" s="8">
        <v>0.68328845500946045</v>
      </c>
      <c r="I71" s="8"/>
      <c r="J71" s="8">
        <v>0.49111145734786987</v>
      </c>
      <c r="K71" s="8">
        <v>5.1695562899112701E-2</v>
      </c>
      <c r="L71" s="8">
        <v>12388571</v>
      </c>
      <c r="M71" t="s">
        <v>1052</v>
      </c>
    </row>
    <row r="72" spans="2:13">
      <c r="B72" t="s">
        <v>15</v>
      </c>
      <c r="C72" s="8">
        <v>2007</v>
      </c>
      <c r="D72" s="8">
        <v>2</v>
      </c>
      <c r="E72" s="8">
        <v>0.52700191736221313</v>
      </c>
      <c r="F72" s="8"/>
      <c r="G72" s="8">
        <v>0</v>
      </c>
      <c r="H72" s="8">
        <v>0.55957216024398804</v>
      </c>
      <c r="I72" s="8"/>
      <c r="J72" s="8">
        <v>0.43231147527694702</v>
      </c>
      <c r="K72" s="8">
        <v>6.9464243948459625E-2</v>
      </c>
      <c r="L72" s="8">
        <v>12388571</v>
      </c>
      <c r="M72" t="s">
        <v>1052</v>
      </c>
    </row>
    <row r="73" spans="2:13">
      <c r="B73" t="s">
        <v>15</v>
      </c>
      <c r="C73" s="8">
        <v>2007</v>
      </c>
      <c r="D73" s="8">
        <v>3</v>
      </c>
      <c r="E73" s="8">
        <v>0.50952434539794922</v>
      </c>
      <c r="F73" s="8"/>
      <c r="G73" s="8">
        <v>0</v>
      </c>
      <c r="H73" s="8">
        <v>0.41552162170410156</v>
      </c>
      <c r="I73" s="8"/>
      <c r="J73" s="8">
        <v>0.31229948997497559</v>
      </c>
      <c r="K73" s="8">
        <v>5.7214062660932541E-2</v>
      </c>
      <c r="L73" s="8">
        <v>12388571</v>
      </c>
      <c r="M73" t="s">
        <v>1052</v>
      </c>
    </row>
    <row r="74" spans="2:13">
      <c r="B74" t="s">
        <v>15</v>
      </c>
      <c r="C74" s="8">
        <v>2008</v>
      </c>
      <c r="D74" s="8">
        <v>1</v>
      </c>
      <c r="E74" s="8">
        <v>0.51922297477722168</v>
      </c>
      <c r="F74" s="8">
        <v>2.1821311675012112E-3</v>
      </c>
      <c r="G74" s="8">
        <v>0</v>
      </c>
      <c r="H74" s="8">
        <v>0.7601657509803772</v>
      </c>
      <c r="I74" s="8"/>
      <c r="J74" s="8">
        <v>0.50070542097091675</v>
      </c>
      <c r="K74" s="8">
        <v>3.3464975655078888E-2</v>
      </c>
      <c r="L74" s="8">
        <v>12388571</v>
      </c>
      <c r="M74" t="s">
        <v>1052</v>
      </c>
    </row>
    <row r="75" spans="2:13">
      <c r="B75" t="s">
        <v>15</v>
      </c>
      <c r="C75" s="8">
        <v>2008</v>
      </c>
      <c r="D75" s="8">
        <v>2</v>
      </c>
      <c r="E75" s="8">
        <v>0.51895171403884888</v>
      </c>
      <c r="F75" s="8">
        <v>4.3508769012987614E-3</v>
      </c>
      <c r="G75" s="8">
        <v>0</v>
      </c>
      <c r="H75" s="8">
        <v>0.66085553169250488</v>
      </c>
      <c r="I75" s="8"/>
      <c r="J75" s="8">
        <v>0.43160128593444824</v>
      </c>
      <c r="K75" s="8">
        <v>6.8315625190734863E-2</v>
      </c>
      <c r="L75" s="8">
        <v>12388571</v>
      </c>
      <c r="M75" t="s">
        <v>1052</v>
      </c>
    </row>
    <row r="76" spans="2:13">
      <c r="B76" t="s">
        <v>15</v>
      </c>
      <c r="C76" s="8">
        <v>2008</v>
      </c>
      <c r="D76" s="8">
        <v>3</v>
      </c>
      <c r="E76" s="8">
        <v>0.51466059684753418</v>
      </c>
      <c r="F76" s="8">
        <v>9.4659477472305298E-3</v>
      </c>
      <c r="G76" s="8">
        <v>0</v>
      </c>
      <c r="H76" s="8">
        <v>0.47447311878204346</v>
      </c>
      <c r="I76" s="8"/>
      <c r="J76" s="8">
        <v>0.3175632655620575</v>
      </c>
      <c r="K76" s="8">
        <v>5.9884831309318542E-2</v>
      </c>
      <c r="L76" s="8">
        <v>12388571</v>
      </c>
      <c r="M76" t="s">
        <v>1052</v>
      </c>
    </row>
    <row r="77" spans="2:13">
      <c r="B77" t="s">
        <v>15</v>
      </c>
      <c r="C77" s="8">
        <v>2009</v>
      </c>
      <c r="D77" s="8">
        <v>1</v>
      </c>
      <c r="E77" s="8">
        <v>0.50847995281219482</v>
      </c>
      <c r="F77" s="8">
        <v>2.2442080080509186E-3</v>
      </c>
      <c r="G77" s="8">
        <v>0</v>
      </c>
      <c r="H77" s="8">
        <v>0.77086842060089111</v>
      </c>
      <c r="I77" s="8"/>
      <c r="J77" s="8">
        <v>0.48605996370315552</v>
      </c>
      <c r="K77" s="8">
        <v>2.7990387752652168E-2</v>
      </c>
      <c r="L77" s="8">
        <v>12388571</v>
      </c>
      <c r="M77" t="s">
        <v>1052</v>
      </c>
    </row>
    <row r="78" spans="2:13">
      <c r="B78" t="s">
        <v>15</v>
      </c>
      <c r="C78" s="8">
        <v>2009</v>
      </c>
      <c r="D78" s="8">
        <v>2</v>
      </c>
      <c r="E78" s="8">
        <v>0.52405041456222534</v>
      </c>
      <c r="F78" s="8">
        <v>5.5540138855576515E-3</v>
      </c>
      <c r="G78" s="8">
        <v>0</v>
      </c>
      <c r="H78" s="8">
        <v>0.59333294630050659</v>
      </c>
      <c r="I78" s="8"/>
      <c r="J78" s="8">
        <v>0.4378187358379364</v>
      </c>
      <c r="K78" s="8">
        <v>7.4298776686191559E-2</v>
      </c>
      <c r="L78" s="8">
        <v>12388571</v>
      </c>
      <c r="M78" t="s">
        <v>1052</v>
      </c>
    </row>
    <row r="79" spans="2:13">
      <c r="B79" t="s">
        <v>15</v>
      </c>
      <c r="C79" s="8">
        <v>2009</v>
      </c>
      <c r="D79" s="8">
        <v>3</v>
      </c>
      <c r="E79" s="8">
        <v>0.50251913070678711</v>
      </c>
      <c r="F79" s="8">
        <v>1.0508510284125805E-2</v>
      </c>
      <c r="G79" s="8">
        <v>0</v>
      </c>
      <c r="H79" s="8">
        <v>0.45683640241622925</v>
      </c>
      <c r="I79" s="8"/>
      <c r="J79" s="8">
        <v>0.32517647743225098</v>
      </c>
      <c r="K79" s="8">
        <v>6.0024209320545197E-2</v>
      </c>
      <c r="L79" s="8">
        <v>12388571</v>
      </c>
      <c r="M79" t="s">
        <v>1052</v>
      </c>
    </row>
    <row r="80" spans="2:13">
      <c r="B80" t="s">
        <v>15</v>
      </c>
      <c r="C80" s="8">
        <v>2011</v>
      </c>
      <c r="D80" s="8">
        <v>1</v>
      </c>
      <c r="E80" s="8">
        <v>0.50311934947967529</v>
      </c>
      <c r="F80" s="8">
        <v>5.5925971828401089E-3</v>
      </c>
      <c r="G80" s="8">
        <v>0</v>
      </c>
      <c r="H80" s="8">
        <v>0.7182537317276001</v>
      </c>
      <c r="I80" s="8"/>
      <c r="J80" s="8">
        <v>0.49905440211296082</v>
      </c>
      <c r="K80" s="8">
        <v>4.3412525206804276E-2</v>
      </c>
      <c r="L80" s="8">
        <v>12388571</v>
      </c>
      <c r="M80" t="s">
        <v>1052</v>
      </c>
    </row>
    <row r="81" spans="2:13">
      <c r="B81" t="s">
        <v>15</v>
      </c>
      <c r="C81" s="8">
        <v>2011</v>
      </c>
      <c r="D81" s="8">
        <v>2</v>
      </c>
      <c r="E81" s="8">
        <v>0.5154685378074646</v>
      </c>
      <c r="F81" s="8">
        <v>6.3190585933625698E-3</v>
      </c>
      <c r="G81" s="8">
        <v>0</v>
      </c>
      <c r="H81" s="8">
        <v>0.52451813220977783</v>
      </c>
      <c r="I81" s="8"/>
      <c r="J81" s="8">
        <v>0.43314224481582642</v>
      </c>
      <c r="K81" s="8">
        <v>6.5533354878425598E-2</v>
      </c>
      <c r="L81" s="8">
        <v>12388571</v>
      </c>
      <c r="M81" t="s">
        <v>1052</v>
      </c>
    </row>
    <row r="82" spans="2:13">
      <c r="B82" t="s">
        <v>15</v>
      </c>
      <c r="C82" s="8">
        <v>2011</v>
      </c>
      <c r="D82" s="8">
        <v>3</v>
      </c>
      <c r="E82" s="8">
        <v>0.50036519765853882</v>
      </c>
      <c r="F82" s="8">
        <v>1.0034127160906792E-2</v>
      </c>
      <c r="G82" s="8">
        <v>0</v>
      </c>
      <c r="H82" s="8">
        <v>0.33096566796302795</v>
      </c>
      <c r="I82" s="8"/>
      <c r="J82" s="8">
        <v>0.31778639554977417</v>
      </c>
      <c r="K82" s="8">
        <v>6.0223165899515152E-2</v>
      </c>
      <c r="L82" s="8">
        <v>12388571</v>
      </c>
      <c r="M82" t="s">
        <v>1052</v>
      </c>
    </row>
    <row r="83" spans="2:13">
      <c r="B83" t="s">
        <v>15</v>
      </c>
      <c r="C83" s="8">
        <v>2012</v>
      </c>
      <c r="D83" s="8">
        <v>1</v>
      </c>
      <c r="E83" s="8">
        <v>0.51813876628875732</v>
      </c>
      <c r="F83" s="8">
        <v>2.7321192901581526E-3</v>
      </c>
      <c r="G83" s="8">
        <v>0</v>
      </c>
      <c r="H83" s="8">
        <v>0.64310300350189209</v>
      </c>
      <c r="I83" s="8"/>
      <c r="J83" s="8">
        <v>0.46840274333953857</v>
      </c>
      <c r="K83" s="8">
        <v>5.7759236544370651E-2</v>
      </c>
      <c r="L83" s="8">
        <v>12388571</v>
      </c>
      <c r="M83" t="s">
        <v>1052</v>
      </c>
    </row>
    <row r="84" spans="2:13">
      <c r="B84" t="s">
        <v>15</v>
      </c>
      <c r="C84" s="8">
        <v>2012</v>
      </c>
      <c r="D84" s="8">
        <v>2</v>
      </c>
      <c r="E84" s="8">
        <v>0.52693313360214233</v>
      </c>
      <c r="F84" s="8">
        <v>8.3668138831853867E-3</v>
      </c>
      <c r="G84" s="8">
        <v>0</v>
      </c>
      <c r="H84" s="8">
        <v>0.39762231707572937</v>
      </c>
      <c r="I84" s="8"/>
      <c r="J84" s="8">
        <v>0.43067806959152222</v>
      </c>
      <c r="K84" s="8">
        <v>9.2415682971477509E-2</v>
      </c>
      <c r="L84" s="8">
        <v>12388571</v>
      </c>
      <c r="M84" t="s">
        <v>1052</v>
      </c>
    </row>
    <row r="85" spans="2:13">
      <c r="B85" t="s">
        <v>15</v>
      </c>
      <c r="C85" s="8">
        <v>2012</v>
      </c>
      <c r="D85" s="8">
        <v>3</v>
      </c>
      <c r="E85" s="8">
        <v>0.51007372140884399</v>
      </c>
      <c r="F85" s="8">
        <v>9.8411981016397476E-3</v>
      </c>
      <c r="G85" s="8">
        <v>0</v>
      </c>
      <c r="H85" s="8">
        <v>0.21711362898349762</v>
      </c>
      <c r="I85" s="8"/>
      <c r="J85" s="8">
        <v>0.31344613432884216</v>
      </c>
      <c r="K85" s="8">
        <v>6.0151886194944382E-2</v>
      </c>
      <c r="L85" s="8">
        <v>12388571</v>
      </c>
      <c r="M85" t="s">
        <v>1052</v>
      </c>
    </row>
    <row r="86" spans="2:13">
      <c r="B86" t="s">
        <v>15</v>
      </c>
      <c r="C86" s="8">
        <v>2013</v>
      </c>
      <c r="D86" s="8">
        <v>1</v>
      </c>
      <c r="E86" s="8">
        <v>0.52034634351730347</v>
      </c>
      <c r="F86" s="8">
        <v>7.5231707887724042E-4</v>
      </c>
      <c r="G86" s="8">
        <v>0</v>
      </c>
      <c r="H86" s="8">
        <v>0.60991644859313965</v>
      </c>
      <c r="I86" s="8"/>
      <c r="J86" s="8">
        <v>0.47168800234794617</v>
      </c>
      <c r="K86" s="8">
        <v>4.8393025994300842E-2</v>
      </c>
      <c r="L86" s="8">
        <v>12388571</v>
      </c>
      <c r="M86" t="s">
        <v>1052</v>
      </c>
    </row>
    <row r="87" spans="2:13">
      <c r="B87" t="s">
        <v>15</v>
      </c>
      <c r="C87" s="8">
        <v>2013</v>
      </c>
      <c r="D87" s="8">
        <v>2</v>
      </c>
      <c r="E87" s="8">
        <v>0.52482759952545166</v>
      </c>
      <c r="F87" s="8">
        <v>8.0503616482019424E-4</v>
      </c>
      <c r="G87" s="8">
        <v>0</v>
      </c>
      <c r="H87" s="8">
        <v>0.40088897943496704</v>
      </c>
      <c r="I87" s="8"/>
      <c r="J87" s="8">
        <v>0.39690932631492615</v>
      </c>
      <c r="K87" s="8">
        <v>0.13268512487411499</v>
      </c>
      <c r="L87" s="8">
        <v>12388571</v>
      </c>
      <c r="M87" t="s">
        <v>1052</v>
      </c>
    </row>
    <row r="88" spans="2:13">
      <c r="B88" t="s">
        <v>15</v>
      </c>
      <c r="C88" s="8">
        <v>2013</v>
      </c>
      <c r="D88" s="8">
        <v>3</v>
      </c>
      <c r="E88" s="8">
        <v>0.50804746150970459</v>
      </c>
      <c r="F88" s="8">
        <v>3.0572530813515186E-3</v>
      </c>
      <c r="G88" s="8">
        <v>0</v>
      </c>
      <c r="H88" s="8">
        <v>0.2294011265039444</v>
      </c>
      <c r="I88" s="8"/>
      <c r="J88" s="8">
        <v>0.29625940322875977</v>
      </c>
      <c r="K88" s="8">
        <v>7.2379447519779205E-2</v>
      </c>
      <c r="L88" s="8">
        <v>12388571</v>
      </c>
      <c r="M88" t="s">
        <v>1052</v>
      </c>
    </row>
    <row r="89" spans="2:13">
      <c r="B89" t="s">
        <v>15</v>
      </c>
      <c r="C89" s="8">
        <v>2014</v>
      </c>
      <c r="D89" s="8">
        <v>1</v>
      </c>
      <c r="E89" s="8">
        <v>0.51328319311141968</v>
      </c>
      <c r="F89" s="8">
        <v>0</v>
      </c>
      <c r="G89" s="8">
        <v>0</v>
      </c>
      <c r="H89" s="8">
        <v>0.61037492752075195</v>
      </c>
      <c r="I89" s="8"/>
      <c r="J89" s="8">
        <v>0.47532406449317932</v>
      </c>
      <c r="K89" s="8">
        <v>4.6689238399267197E-2</v>
      </c>
      <c r="L89" s="8">
        <v>12388571</v>
      </c>
      <c r="M89" t="s">
        <v>1052</v>
      </c>
    </row>
    <row r="90" spans="2:13">
      <c r="B90" t="s">
        <v>15</v>
      </c>
      <c r="C90" s="8">
        <v>2014</v>
      </c>
      <c r="D90" s="8">
        <v>2</v>
      </c>
      <c r="E90" s="8">
        <v>0.52752512693405151</v>
      </c>
      <c r="F90" s="8">
        <v>5.7821939699351788E-3</v>
      </c>
      <c r="G90" s="8">
        <v>0</v>
      </c>
      <c r="H90" s="8">
        <v>0.43196046352386475</v>
      </c>
      <c r="I90" s="8"/>
      <c r="J90" s="8">
        <v>0.39117687940597534</v>
      </c>
      <c r="K90" s="8">
        <v>0.11371542513370514</v>
      </c>
      <c r="L90" s="8">
        <v>12388571</v>
      </c>
      <c r="M90" t="s">
        <v>1052</v>
      </c>
    </row>
    <row r="91" spans="2:13">
      <c r="B91" t="s">
        <v>15</v>
      </c>
      <c r="C91" s="8">
        <v>2014</v>
      </c>
      <c r="D91" s="8">
        <v>3</v>
      </c>
      <c r="E91" s="8">
        <v>0.50210005044937134</v>
      </c>
      <c r="F91" s="8">
        <v>3.9682951755821705E-3</v>
      </c>
      <c r="G91" s="8">
        <v>0</v>
      </c>
      <c r="H91" s="8">
        <v>0.26711755990982056</v>
      </c>
      <c r="I91" s="8"/>
      <c r="J91" s="8">
        <v>0.31533807516098022</v>
      </c>
      <c r="K91" s="8">
        <v>6.3416630029678345E-2</v>
      </c>
      <c r="L91" s="8">
        <v>12388571</v>
      </c>
      <c r="M91" t="s">
        <v>1052</v>
      </c>
    </row>
    <row r="92" spans="2:13">
      <c r="B92" t="s">
        <v>15</v>
      </c>
      <c r="C92" s="8">
        <v>2015</v>
      </c>
      <c r="D92" s="8">
        <v>1</v>
      </c>
      <c r="E92" s="8">
        <v>0.52603614330291748</v>
      </c>
      <c r="F92" s="8">
        <v>2.5903413188643754E-4</v>
      </c>
      <c r="G92" s="8">
        <v>0</v>
      </c>
      <c r="H92" s="8">
        <v>0.42469760775566101</v>
      </c>
      <c r="I92" s="8"/>
      <c r="J92" s="8">
        <v>0.43660968542098999</v>
      </c>
      <c r="K92" s="8">
        <v>6.0469537973403931E-2</v>
      </c>
      <c r="L92" s="8">
        <v>12388571</v>
      </c>
      <c r="M92" t="s">
        <v>1052</v>
      </c>
    </row>
    <row r="93" spans="2:13">
      <c r="B93" t="s">
        <v>15</v>
      </c>
      <c r="C93" s="8">
        <v>2015</v>
      </c>
      <c r="D93" s="8">
        <v>2</v>
      </c>
      <c r="E93" s="8">
        <v>0.51995199918746948</v>
      </c>
      <c r="F93" s="8">
        <v>1.113946782425046E-3</v>
      </c>
      <c r="G93" s="8">
        <v>0</v>
      </c>
      <c r="H93" s="8">
        <v>0.38138437271118164</v>
      </c>
      <c r="I93" s="8"/>
      <c r="J93" s="8">
        <v>0.40650010108947754</v>
      </c>
      <c r="K93" s="8">
        <v>9.4490110874176025E-2</v>
      </c>
      <c r="L93" s="8">
        <v>12388571</v>
      </c>
      <c r="M93" t="s">
        <v>1052</v>
      </c>
    </row>
    <row r="94" spans="2:13">
      <c r="B94" t="s">
        <v>15</v>
      </c>
      <c r="C94" s="8">
        <v>2015</v>
      </c>
      <c r="D94" s="8">
        <v>3</v>
      </c>
      <c r="E94" s="8">
        <v>0.49772194027900696</v>
      </c>
      <c r="F94" s="8">
        <v>4.4891652651131153E-3</v>
      </c>
      <c r="G94" s="8">
        <v>0</v>
      </c>
      <c r="H94" s="8">
        <v>0.23104169964790344</v>
      </c>
      <c r="I94" s="8"/>
      <c r="J94" s="8">
        <v>0.3017326295375824</v>
      </c>
      <c r="K94" s="8">
        <v>6.5405726432800293E-2</v>
      </c>
      <c r="L94" s="8">
        <v>12388571</v>
      </c>
      <c r="M94" t="s">
        <v>1052</v>
      </c>
    </row>
    <row r="95" spans="2:13">
      <c r="B95" t="s">
        <v>15</v>
      </c>
      <c r="C95" s="8">
        <v>2016</v>
      </c>
      <c r="D95" s="8">
        <v>1</v>
      </c>
      <c r="E95" s="8">
        <v>0.53113555908203125</v>
      </c>
      <c r="F95" s="8">
        <v>1.4894370688125491E-3</v>
      </c>
      <c r="G95" s="8">
        <v>0</v>
      </c>
      <c r="H95" s="8">
        <v>0.60710513591766357</v>
      </c>
      <c r="I95" s="8">
        <v>0.12376806139945984</v>
      </c>
      <c r="J95" s="8">
        <v>0.45706579089164734</v>
      </c>
      <c r="K95" s="8">
        <v>5.8580461889505386E-2</v>
      </c>
      <c r="L95" s="8">
        <v>12388571</v>
      </c>
      <c r="M95" t="s">
        <v>1052</v>
      </c>
    </row>
    <row r="96" spans="2:13">
      <c r="B96" t="s">
        <v>15</v>
      </c>
      <c r="C96" s="8">
        <v>2016</v>
      </c>
      <c r="D96" s="8">
        <v>2</v>
      </c>
      <c r="E96" s="8">
        <v>0.51317936182022095</v>
      </c>
      <c r="F96" s="8">
        <v>1.1256840080022812E-3</v>
      </c>
      <c r="G96" s="8">
        <v>0</v>
      </c>
      <c r="H96" s="8">
        <v>0.43421843647956848</v>
      </c>
      <c r="I96" s="8">
        <v>0.15352733433246613</v>
      </c>
      <c r="J96" s="8">
        <v>0.39470934867858887</v>
      </c>
      <c r="K96" s="8">
        <v>0.11598207801580429</v>
      </c>
      <c r="L96" s="8">
        <v>12388571</v>
      </c>
      <c r="M96" t="s">
        <v>1052</v>
      </c>
    </row>
    <row r="97" spans="2:13">
      <c r="B97" t="s">
        <v>15</v>
      </c>
      <c r="C97" s="8">
        <v>2016</v>
      </c>
      <c r="D97" s="8">
        <v>3</v>
      </c>
      <c r="E97" s="8">
        <v>0.50682169198989868</v>
      </c>
      <c r="F97" s="8">
        <v>3.1412383541464806E-3</v>
      </c>
      <c r="G97" s="8">
        <v>0</v>
      </c>
      <c r="H97" s="8">
        <v>0.28319951891899109</v>
      </c>
      <c r="I97" s="8">
        <v>0.1048910990357399</v>
      </c>
      <c r="J97" s="8">
        <v>0.30309087038040161</v>
      </c>
      <c r="K97" s="8">
        <v>6.8762823939323425E-2</v>
      </c>
      <c r="L97" s="8">
        <v>12388571</v>
      </c>
      <c r="M97" t="s">
        <v>1052</v>
      </c>
    </row>
    <row r="98" spans="2:13">
      <c r="B98" t="s">
        <v>15</v>
      </c>
      <c r="C98" s="8">
        <v>2017</v>
      </c>
      <c r="D98" s="8">
        <v>1</v>
      </c>
      <c r="E98" s="8">
        <v>0.51991736888885498</v>
      </c>
      <c r="F98" s="8">
        <v>1.2709170114248991E-3</v>
      </c>
      <c r="G98" s="8">
        <v>0</v>
      </c>
      <c r="H98" s="8">
        <v>0.63026076555252075</v>
      </c>
      <c r="I98" s="8">
        <v>0.10398680716753006</v>
      </c>
      <c r="J98" s="8">
        <v>0.44484826922416687</v>
      </c>
      <c r="K98" s="8">
        <v>4.7818347811698914E-2</v>
      </c>
      <c r="L98" s="8">
        <v>12388571</v>
      </c>
      <c r="M98" t="s">
        <v>1052</v>
      </c>
    </row>
    <row r="99" spans="2:13">
      <c r="B99" t="s">
        <v>15</v>
      </c>
      <c r="C99" s="8">
        <v>2017</v>
      </c>
      <c r="D99" s="8">
        <v>2</v>
      </c>
      <c r="E99" s="8">
        <v>0.52462530136108398</v>
      </c>
      <c r="F99" s="8">
        <v>1.1612664675340056E-3</v>
      </c>
      <c r="G99" s="8">
        <v>0</v>
      </c>
      <c r="H99" s="8">
        <v>0.44775110483169556</v>
      </c>
      <c r="I99" s="8">
        <v>0.18257667124271393</v>
      </c>
      <c r="J99" s="8">
        <v>0.36889475584030151</v>
      </c>
      <c r="K99" s="8">
        <v>0.16406577825546265</v>
      </c>
      <c r="L99" s="8">
        <v>12388571</v>
      </c>
      <c r="M99" t="s">
        <v>1052</v>
      </c>
    </row>
    <row r="100" spans="2:13">
      <c r="B100" t="s">
        <v>15</v>
      </c>
      <c r="C100" s="8">
        <v>2017</v>
      </c>
      <c r="D100" s="8">
        <v>3</v>
      </c>
      <c r="E100" s="8">
        <v>0.50164878368377686</v>
      </c>
      <c r="F100" s="8">
        <v>3.0871781054884195E-3</v>
      </c>
      <c r="G100" s="8">
        <v>0</v>
      </c>
      <c r="H100" s="8">
        <v>0.25227364897727966</v>
      </c>
      <c r="I100" s="8">
        <v>9.7940936684608459E-2</v>
      </c>
      <c r="J100" s="8">
        <v>0.28925704956054688</v>
      </c>
      <c r="K100" s="8">
        <v>7.153850793838501E-2</v>
      </c>
      <c r="L100" s="8">
        <v>12388571</v>
      </c>
      <c r="M100" t="s">
        <v>1052</v>
      </c>
    </row>
    <row r="101" spans="2:13">
      <c r="B101" t="s">
        <v>15</v>
      </c>
      <c r="C101" s="8">
        <v>2018</v>
      </c>
      <c r="D101" s="8">
        <v>1</v>
      </c>
      <c r="E101" s="8">
        <v>0.50592637062072754</v>
      </c>
      <c r="F101" s="8">
        <v>1.2578449677675962E-3</v>
      </c>
      <c r="G101" s="8">
        <v>0</v>
      </c>
      <c r="H101" s="8">
        <v>0.51640528440475464</v>
      </c>
      <c r="I101" s="8">
        <v>0.10646682977676392</v>
      </c>
      <c r="J101" s="8">
        <v>0.43704286217689514</v>
      </c>
      <c r="K101" s="8">
        <v>4.646078497171402E-2</v>
      </c>
      <c r="L101" s="8">
        <v>12388571</v>
      </c>
      <c r="M101" t="s">
        <v>1052</v>
      </c>
    </row>
    <row r="102" spans="2:13">
      <c r="B102" t="s">
        <v>15</v>
      </c>
      <c r="C102" s="8">
        <v>2018</v>
      </c>
      <c r="D102" s="8">
        <v>2</v>
      </c>
      <c r="E102" s="8">
        <v>0.52831804752349854</v>
      </c>
      <c r="F102" s="8">
        <v>3.8972604088485241E-3</v>
      </c>
      <c r="G102" s="8">
        <v>0</v>
      </c>
      <c r="H102" s="8">
        <v>0.3366888165473938</v>
      </c>
      <c r="I102" s="8">
        <v>0.13694760203361511</v>
      </c>
      <c r="J102" s="8">
        <v>0.3989700973033905</v>
      </c>
      <c r="K102" s="8">
        <v>0.13549244403839111</v>
      </c>
      <c r="L102" s="8">
        <v>12388571</v>
      </c>
      <c r="M102" t="s">
        <v>1052</v>
      </c>
    </row>
    <row r="103" spans="2:13">
      <c r="B103" t="s">
        <v>15</v>
      </c>
      <c r="C103" s="8">
        <v>2018</v>
      </c>
      <c r="D103" s="8">
        <v>3</v>
      </c>
      <c r="E103" s="8">
        <v>0.50672662258148193</v>
      </c>
      <c r="F103" s="8">
        <v>4.7397189773619175E-3</v>
      </c>
      <c r="G103" s="8">
        <v>0</v>
      </c>
      <c r="H103" s="8">
        <v>0.19818811118602753</v>
      </c>
      <c r="I103" s="8">
        <v>8.8357783854007721E-2</v>
      </c>
      <c r="J103" s="8">
        <v>0.28388369083404541</v>
      </c>
      <c r="K103" s="8">
        <v>7.69977867603302E-2</v>
      </c>
      <c r="L103" s="8">
        <v>12388571</v>
      </c>
      <c r="M103" t="s">
        <v>1052</v>
      </c>
    </row>
    <row r="104" spans="2:13">
      <c r="B104" t="s">
        <v>15</v>
      </c>
      <c r="C104" s="8">
        <v>2019</v>
      </c>
      <c r="D104" s="8">
        <v>1</v>
      </c>
      <c r="E104" s="8">
        <v>0.50118541717529297</v>
      </c>
      <c r="F104" s="8">
        <v>9.7976112738251686E-4</v>
      </c>
      <c r="G104" s="8">
        <v>0</v>
      </c>
      <c r="H104" s="8">
        <v>0.44214063882827759</v>
      </c>
      <c r="I104" s="8">
        <v>4.7641649842262268E-2</v>
      </c>
      <c r="J104" s="8">
        <v>0.47899731993675232</v>
      </c>
      <c r="K104" s="8">
        <v>2.9563456773757935E-2</v>
      </c>
      <c r="L104" s="8">
        <v>12388571</v>
      </c>
      <c r="M104" t="s">
        <v>1052</v>
      </c>
    </row>
    <row r="105" spans="2:13">
      <c r="B105" t="s">
        <v>15</v>
      </c>
      <c r="C105" s="8">
        <v>2019</v>
      </c>
      <c r="D105" s="8">
        <v>2</v>
      </c>
      <c r="E105" s="8">
        <v>0.52222466468811035</v>
      </c>
      <c r="F105" s="8">
        <v>1.4537017559632659E-3</v>
      </c>
      <c r="G105" s="8">
        <v>0</v>
      </c>
      <c r="H105" s="8">
        <v>0.35192388296127319</v>
      </c>
      <c r="I105" s="8">
        <v>8.1492021679878235E-2</v>
      </c>
      <c r="J105" s="8">
        <v>0.41776111721992493</v>
      </c>
      <c r="K105" s="8">
        <v>9.7412407398223877E-2</v>
      </c>
      <c r="L105" s="8">
        <v>12388571</v>
      </c>
      <c r="M105" t="s">
        <v>1052</v>
      </c>
    </row>
    <row r="106" spans="2:13">
      <c r="B106" t="s">
        <v>15</v>
      </c>
      <c r="C106" s="8">
        <v>2019</v>
      </c>
      <c r="D106" s="8">
        <v>3</v>
      </c>
      <c r="E106" s="8">
        <v>0.50945460796356201</v>
      </c>
      <c r="F106" s="8">
        <v>3.6923093721270561E-3</v>
      </c>
      <c r="G106" s="8">
        <v>0</v>
      </c>
      <c r="H106" s="8">
        <v>0.23080556094646454</v>
      </c>
      <c r="I106" s="8">
        <v>6.3554368913173676E-2</v>
      </c>
      <c r="J106" s="8">
        <v>0.29795259237289429</v>
      </c>
      <c r="K106" s="8">
        <v>7.8806012868881226E-2</v>
      </c>
      <c r="L106" s="8">
        <v>12388571</v>
      </c>
      <c r="M106" t="s">
        <v>1052</v>
      </c>
    </row>
    <row r="107" spans="2:13">
      <c r="B107" t="s">
        <v>15</v>
      </c>
      <c r="C107" s="8">
        <v>2020</v>
      </c>
      <c r="D107" s="8">
        <v>1</v>
      </c>
      <c r="E107" s="8">
        <v>0.51024645566940308</v>
      </c>
      <c r="F107" s="8">
        <v>2.0851350855082273E-3</v>
      </c>
      <c r="G107" s="8">
        <v>0</v>
      </c>
      <c r="H107" s="8">
        <v>0.46140587329864502</v>
      </c>
      <c r="I107" s="8"/>
      <c r="J107" s="8">
        <v>0.43377479910850525</v>
      </c>
      <c r="K107" s="8">
        <v>4.0287133306264877E-2</v>
      </c>
      <c r="L107" s="8">
        <v>12388571</v>
      </c>
      <c r="M107" t="s">
        <v>1052</v>
      </c>
    </row>
    <row r="108" spans="2:13">
      <c r="B108" t="s">
        <v>15</v>
      </c>
      <c r="C108" s="8">
        <v>2020</v>
      </c>
      <c r="D108" s="8">
        <v>2</v>
      </c>
      <c r="E108" s="8">
        <v>0.53021490573883057</v>
      </c>
      <c r="F108" s="8">
        <v>1.5504641924053431E-3</v>
      </c>
      <c r="G108" s="8">
        <v>0</v>
      </c>
      <c r="H108" s="8">
        <v>0.37573245167732239</v>
      </c>
      <c r="I108" s="8"/>
      <c r="J108" s="8">
        <v>0.3765888512134552</v>
      </c>
      <c r="K108" s="8">
        <v>0.11906512081623077</v>
      </c>
      <c r="L108" s="8">
        <v>12388571</v>
      </c>
      <c r="M108" t="s">
        <v>1052</v>
      </c>
    </row>
    <row r="109" spans="2:13">
      <c r="B109" t="s">
        <v>15</v>
      </c>
      <c r="C109" s="8">
        <v>2020</v>
      </c>
      <c r="D109" s="8">
        <v>3</v>
      </c>
      <c r="E109" s="8">
        <v>0.503368079662323</v>
      </c>
      <c r="F109" s="8">
        <v>2.6625553146004677E-3</v>
      </c>
      <c r="G109" s="8">
        <v>0</v>
      </c>
      <c r="H109" s="8">
        <v>0.23731228709220886</v>
      </c>
      <c r="I109" s="8"/>
      <c r="J109" s="8">
        <v>0.26528629660606384</v>
      </c>
      <c r="K109" s="8">
        <v>9.586624801158905E-2</v>
      </c>
      <c r="L109" s="8">
        <v>12388571</v>
      </c>
      <c r="M109" t="s">
        <v>1052</v>
      </c>
    </row>
    <row r="110" spans="2:13">
      <c r="B110" t="s">
        <v>15</v>
      </c>
      <c r="C110" s="8">
        <v>2021</v>
      </c>
      <c r="D110" s="8">
        <v>1</v>
      </c>
      <c r="E110" s="8">
        <v>0.51352965831756592</v>
      </c>
      <c r="F110" s="8">
        <v>0</v>
      </c>
      <c r="G110" s="8">
        <v>0</v>
      </c>
      <c r="H110" s="8">
        <v>0.45713949203491211</v>
      </c>
      <c r="I110" s="8">
        <v>3.6835059523582458E-2</v>
      </c>
      <c r="J110" s="8">
        <v>0.45707237720489502</v>
      </c>
      <c r="K110" s="8">
        <v>3.0180664733052254E-2</v>
      </c>
      <c r="L110" s="8">
        <v>12388571</v>
      </c>
      <c r="M110" t="s">
        <v>1052</v>
      </c>
    </row>
    <row r="111" spans="2:13">
      <c r="B111" t="s">
        <v>15</v>
      </c>
      <c r="C111" s="8">
        <v>2021</v>
      </c>
      <c r="D111" s="8">
        <v>2</v>
      </c>
      <c r="E111" s="8">
        <v>0.52456241846084595</v>
      </c>
      <c r="F111" s="8">
        <v>6.5563409589231014E-4</v>
      </c>
      <c r="G111" s="8">
        <v>0</v>
      </c>
      <c r="H111" s="8">
        <v>0.3305974006652832</v>
      </c>
      <c r="I111" s="8">
        <v>7.570657879114151E-2</v>
      </c>
      <c r="J111" s="8">
        <v>0.4107728898525238</v>
      </c>
      <c r="K111" s="8">
        <v>0.10260072350502014</v>
      </c>
      <c r="L111" s="8">
        <v>12388571</v>
      </c>
      <c r="M111" t="s">
        <v>1052</v>
      </c>
    </row>
    <row r="112" spans="2:13">
      <c r="B112" t="s">
        <v>15</v>
      </c>
      <c r="C112" s="8">
        <v>2021</v>
      </c>
      <c r="D112" s="8">
        <v>3</v>
      </c>
      <c r="E112" s="8">
        <v>0.50408852100372314</v>
      </c>
      <c r="F112" s="8">
        <v>2.0989966578781605E-3</v>
      </c>
      <c r="G112" s="8">
        <v>0</v>
      </c>
      <c r="H112" s="8">
        <v>0.23608390986919403</v>
      </c>
      <c r="I112" s="8">
        <v>5.4328948259353638E-2</v>
      </c>
      <c r="J112" s="8">
        <v>0.28276067972183228</v>
      </c>
      <c r="K112" s="8">
        <v>7.6389238238334656E-2</v>
      </c>
      <c r="L112" s="8">
        <v>12388571</v>
      </c>
      <c r="M112" t="s">
        <v>1052</v>
      </c>
    </row>
    <row r="113" spans="2:13">
      <c r="B113" t="s">
        <v>15</v>
      </c>
      <c r="C113" s="8">
        <v>2022</v>
      </c>
      <c r="D113" s="8">
        <v>1</v>
      </c>
      <c r="E113" s="8">
        <v>0.52156853675842285</v>
      </c>
      <c r="F113" s="8">
        <v>0</v>
      </c>
      <c r="G113" s="8">
        <v>0</v>
      </c>
      <c r="H113" s="8">
        <v>0.44735503196716309</v>
      </c>
      <c r="I113" s="8"/>
      <c r="J113" s="8">
        <v>0.44990423321723938</v>
      </c>
      <c r="K113" s="8">
        <v>3.6056146025657654E-2</v>
      </c>
      <c r="L113" s="8">
        <v>12388571</v>
      </c>
      <c r="M113" t="s">
        <v>1052</v>
      </c>
    </row>
    <row r="114" spans="2:13">
      <c r="B114" t="s">
        <v>15</v>
      </c>
      <c r="C114" s="8">
        <v>2022</v>
      </c>
      <c r="D114" s="8">
        <v>2</v>
      </c>
      <c r="E114" s="8">
        <v>0.51008695363998413</v>
      </c>
      <c r="F114" s="8">
        <v>7.46003701351583E-4</v>
      </c>
      <c r="G114" s="8">
        <v>0</v>
      </c>
      <c r="H114" s="8">
        <v>0.30770286917686462</v>
      </c>
      <c r="I114" s="8"/>
      <c r="J114" s="8">
        <v>0.39027366042137146</v>
      </c>
      <c r="K114" s="8">
        <v>0.10513453185558319</v>
      </c>
      <c r="L114" s="8">
        <v>12388571</v>
      </c>
      <c r="M114" t="s">
        <v>1052</v>
      </c>
    </row>
    <row r="115" spans="2:13">
      <c r="B115" t="s">
        <v>15</v>
      </c>
      <c r="C115" s="8">
        <v>2022</v>
      </c>
      <c r="D115" s="8">
        <v>3</v>
      </c>
      <c r="E115" s="8">
        <v>0.50633019208908081</v>
      </c>
      <c r="F115" s="8">
        <v>2.0946678705513477E-3</v>
      </c>
      <c r="G115" s="8">
        <v>3.9927242323756218E-4</v>
      </c>
      <c r="H115" s="8">
        <v>0.20004449784755707</v>
      </c>
      <c r="I115" s="8"/>
      <c r="J115" s="8">
        <v>0.27350741624832153</v>
      </c>
      <c r="K115" s="8">
        <v>8.4491312503814697E-2</v>
      </c>
      <c r="L115" s="8">
        <v>12388571</v>
      </c>
      <c r="M115" t="s">
        <v>1052</v>
      </c>
    </row>
    <row r="116" spans="2:13">
      <c r="B116" t="s">
        <v>17</v>
      </c>
      <c r="C116" s="8">
        <v>2003</v>
      </c>
      <c r="D116" s="8">
        <v>1</v>
      </c>
      <c r="E116" s="8">
        <v>0.50570040941238403</v>
      </c>
      <c r="F116" s="8">
        <v>6.4937019487842917E-4</v>
      </c>
      <c r="G116" s="8">
        <v>0.66013556718826294</v>
      </c>
      <c r="H116" s="8">
        <v>2.3937777150422335E-3</v>
      </c>
      <c r="I116" s="8"/>
      <c r="J116" s="8">
        <v>0.45318707823753357</v>
      </c>
      <c r="K116" s="8">
        <v>1.6319068148732185E-2</v>
      </c>
      <c r="L116" s="8">
        <v>216422446</v>
      </c>
      <c r="M116" t="s">
        <v>1052</v>
      </c>
    </row>
    <row r="117" spans="2:13">
      <c r="B117" t="s">
        <v>17</v>
      </c>
      <c r="C117" s="8">
        <v>2003</v>
      </c>
      <c r="D117" s="8">
        <v>2</v>
      </c>
      <c r="E117" s="8">
        <v>0.51009589433670044</v>
      </c>
      <c r="F117" s="8">
        <v>1.7359459307044744E-3</v>
      </c>
      <c r="G117" s="8">
        <v>0.52351653575897217</v>
      </c>
      <c r="H117" s="8">
        <v>2.1028737537562847E-3</v>
      </c>
      <c r="I117" s="8"/>
      <c r="J117" s="8">
        <v>0.29674622416496277</v>
      </c>
      <c r="K117" s="8">
        <v>6.0168255120515823E-2</v>
      </c>
      <c r="L117" s="8">
        <v>216422446</v>
      </c>
      <c r="M117" t="s">
        <v>1052</v>
      </c>
    </row>
    <row r="118" spans="2:13">
      <c r="B118" t="s">
        <v>17</v>
      </c>
      <c r="C118" s="8">
        <v>2003</v>
      </c>
      <c r="D118" s="8">
        <v>3</v>
      </c>
      <c r="E118" s="8">
        <v>0.51376354694366455</v>
      </c>
      <c r="F118" s="8">
        <v>7.0249149575829506E-3</v>
      </c>
      <c r="G118" s="8">
        <v>0.31871423125267029</v>
      </c>
      <c r="H118" s="8">
        <v>1.2964667985215783E-3</v>
      </c>
      <c r="I118" s="8"/>
      <c r="J118" s="8">
        <v>0.17461197078227997</v>
      </c>
      <c r="K118" s="8">
        <v>0.1058696061372757</v>
      </c>
      <c r="L118" s="8">
        <v>216422446</v>
      </c>
      <c r="M118" t="s">
        <v>1052</v>
      </c>
    </row>
    <row r="119" spans="2:13">
      <c r="B119" t="s">
        <v>17</v>
      </c>
      <c r="C119" s="8">
        <v>2004</v>
      </c>
      <c r="D119" s="8">
        <v>1</v>
      </c>
      <c r="E119" s="8">
        <v>0.50902432203292847</v>
      </c>
      <c r="F119" s="8">
        <v>7.9605262726545334E-4</v>
      </c>
      <c r="G119" s="8">
        <v>0.65714675188064575</v>
      </c>
      <c r="H119" s="8">
        <v>2.0185590256005526E-3</v>
      </c>
      <c r="I119" s="8"/>
      <c r="J119" s="8">
        <v>0.45367076992988586</v>
      </c>
      <c r="K119" s="8">
        <v>1.5781586989760399E-2</v>
      </c>
      <c r="L119" s="8">
        <v>216422446</v>
      </c>
      <c r="M119" t="s">
        <v>1052</v>
      </c>
    </row>
    <row r="120" spans="2:13">
      <c r="B120" t="s">
        <v>17</v>
      </c>
      <c r="C120" s="8">
        <v>2004</v>
      </c>
      <c r="D120" s="8">
        <v>2</v>
      </c>
      <c r="E120" s="8">
        <v>0.51164418458938599</v>
      </c>
      <c r="F120" s="8">
        <v>1.3578168582171202E-3</v>
      </c>
      <c r="G120" s="8">
        <v>0.53831565380096436</v>
      </c>
      <c r="H120" s="8">
        <v>1.4934977516531944E-3</v>
      </c>
      <c r="I120" s="8"/>
      <c r="J120" s="8">
        <v>0.30020520091056824</v>
      </c>
      <c r="K120" s="8">
        <v>5.84455206990242E-2</v>
      </c>
      <c r="L120" s="8">
        <v>216422446</v>
      </c>
      <c r="M120" t="s">
        <v>1052</v>
      </c>
    </row>
    <row r="121" spans="2:13">
      <c r="B121" t="s">
        <v>17</v>
      </c>
      <c r="C121" s="8">
        <v>2004</v>
      </c>
      <c r="D121" s="8">
        <v>3</v>
      </c>
      <c r="E121" s="8">
        <v>0.51441854238510132</v>
      </c>
      <c r="F121" s="8">
        <v>6.90086605027318E-3</v>
      </c>
      <c r="G121" s="8">
        <v>0.32915768027305603</v>
      </c>
      <c r="H121" s="8">
        <v>1.2988889357075095E-3</v>
      </c>
      <c r="I121" s="8"/>
      <c r="J121" s="8">
        <v>0.17556251585483551</v>
      </c>
      <c r="K121" s="8">
        <v>0.10517147928476334</v>
      </c>
      <c r="L121" s="8">
        <v>216422446</v>
      </c>
      <c r="M121" t="s">
        <v>1052</v>
      </c>
    </row>
    <row r="122" spans="2:13">
      <c r="B122" t="s">
        <v>17</v>
      </c>
      <c r="C122" s="8">
        <v>2005</v>
      </c>
      <c r="D122" s="8">
        <v>1</v>
      </c>
      <c r="E122" s="8">
        <v>0.50989747047424316</v>
      </c>
      <c r="F122" s="8">
        <v>6.6139100817963481E-4</v>
      </c>
      <c r="G122" s="8">
        <v>0.67055320739746094</v>
      </c>
      <c r="H122" s="8">
        <v>2.3976373486220837E-3</v>
      </c>
      <c r="I122" s="8"/>
      <c r="J122" s="8">
        <v>0.45395734906196594</v>
      </c>
      <c r="K122" s="8">
        <v>1.4234884642064571E-2</v>
      </c>
      <c r="L122" s="8">
        <v>216422446</v>
      </c>
      <c r="M122" t="s">
        <v>1052</v>
      </c>
    </row>
    <row r="123" spans="2:13">
      <c r="B123" t="s">
        <v>17</v>
      </c>
      <c r="C123" s="8">
        <v>2005</v>
      </c>
      <c r="D123" s="8">
        <v>2</v>
      </c>
      <c r="E123" s="8">
        <v>0.51100504398345947</v>
      </c>
      <c r="F123" s="8">
        <v>1.4763999497517943E-3</v>
      </c>
      <c r="G123" s="8">
        <v>0.55154621601104736</v>
      </c>
      <c r="H123" s="8">
        <v>1.57286471221596E-3</v>
      </c>
      <c r="I123" s="8"/>
      <c r="J123" s="8">
        <v>0.30105516314506531</v>
      </c>
      <c r="K123" s="8">
        <v>5.4977297782897949E-2</v>
      </c>
      <c r="L123" s="8">
        <v>216422446</v>
      </c>
      <c r="M123" t="s">
        <v>1052</v>
      </c>
    </row>
    <row r="124" spans="2:13">
      <c r="B124" t="s">
        <v>17</v>
      </c>
      <c r="C124" s="8">
        <v>2005</v>
      </c>
      <c r="D124" s="8">
        <v>3</v>
      </c>
      <c r="E124" s="8">
        <v>0.51306051015853882</v>
      </c>
      <c r="F124" s="8">
        <v>6.6158897243440151E-3</v>
      </c>
      <c r="G124" s="8">
        <v>0.3541627824306488</v>
      </c>
      <c r="H124" s="8">
        <v>1.5672440640628338E-3</v>
      </c>
      <c r="I124" s="8"/>
      <c r="J124" s="8">
        <v>0.16957175731658936</v>
      </c>
      <c r="K124" s="8">
        <v>0.10889257490634918</v>
      </c>
      <c r="L124" s="8">
        <v>216422446</v>
      </c>
      <c r="M124" t="s">
        <v>1052</v>
      </c>
    </row>
    <row r="125" spans="2:13">
      <c r="B125" t="s">
        <v>17</v>
      </c>
      <c r="C125" s="8">
        <v>2006</v>
      </c>
      <c r="D125" s="8">
        <v>1</v>
      </c>
      <c r="E125" s="8">
        <v>0.51127290725708008</v>
      </c>
      <c r="F125" s="8">
        <v>9.0797862503677607E-4</v>
      </c>
      <c r="G125" s="8">
        <v>0.68635237216949463</v>
      </c>
      <c r="H125" s="8">
        <v>3.3748808782547712E-3</v>
      </c>
      <c r="I125" s="8"/>
      <c r="J125" s="8">
        <v>0.45967555046081543</v>
      </c>
      <c r="K125" s="8">
        <v>1.3134002685546875E-2</v>
      </c>
      <c r="L125" s="8">
        <v>216422446</v>
      </c>
      <c r="M125" t="s">
        <v>1052</v>
      </c>
    </row>
    <row r="126" spans="2:13">
      <c r="B126" t="s">
        <v>17</v>
      </c>
      <c r="C126" s="8">
        <v>2006</v>
      </c>
      <c r="D126" s="8">
        <v>2</v>
      </c>
      <c r="E126" s="8">
        <v>0.51278316974639893</v>
      </c>
      <c r="F126" s="8">
        <v>1.3524767709895968E-3</v>
      </c>
      <c r="G126" s="8">
        <v>0.57482069730758667</v>
      </c>
      <c r="H126" s="8">
        <v>2.9681210871785879E-3</v>
      </c>
      <c r="I126" s="8"/>
      <c r="J126" s="8">
        <v>0.31662750244140625</v>
      </c>
      <c r="K126" s="8">
        <v>5.2511196583509445E-2</v>
      </c>
      <c r="L126" s="8">
        <v>216422446</v>
      </c>
      <c r="M126" t="s">
        <v>1052</v>
      </c>
    </row>
    <row r="127" spans="2:13">
      <c r="B127" t="s">
        <v>17</v>
      </c>
      <c r="C127" s="8">
        <v>2006</v>
      </c>
      <c r="D127" s="8">
        <v>3</v>
      </c>
      <c r="E127" s="8">
        <v>0.51065570116043091</v>
      </c>
      <c r="F127" s="8">
        <v>5.99252013489604E-3</v>
      </c>
      <c r="G127" s="8">
        <v>0.36939921975135803</v>
      </c>
      <c r="H127" s="8">
        <v>2.317007165402174E-3</v>
      </c>
      <c r="I127" s="8"/>
      <c r="J127" s="8">
        <v>0.17059466242790222</v>
      </c>
      <c r="K127" s="8">
        <v>0.10863297432661057</v>
      </c>
      <c r="L127" s="8">
        <v>216422446</v>
      </c>
      <c r="M127" t="s">
        <v>1052</v>
      </c>
    </row>
    <row r="128" spans="2:13">
      <c r="B128" t="s">
        <v>17</v>
      </c>
      <c r="C128" s="8">
        <v>2007</v>
      </c>
      <c r="D128" s="8">
        <v>1</v>
      </c>
      <c r="E128" s="8">
        <v>0.50832206010818481</v>
      </c>
      <c r="F128" s="8">
        <v>7.2509888559579849E-4</v>
      </c>
      <c r="G128" s="8">
        <v>0.6935688853263855</v>
      </c>
      <c r="H128" s="8">
        <v>3.1574089080095291E-3</v>
      </c>
      <c r="I128" s="8"/>
      <c r="J128" s="8">
        <v>0.46019342541694641</v>
      </c>
      <c r="K128" s="8">
        <v>1.4283047989010811E-2</v>
      </c>
      <c r="L128" s="8">
        <v>216422446</v>
      </c>
      <c r="M128" t="s">
        <v>1052</v>
      </c>
    </row>
    <row r="129" spans="2:13">
      <c r="B129" t="s">
        <v>17</v>
      </c>
      <c r="C129" s="8">
        <v>2007</v>
      </c>
      <c r="D129" s="8">
        <v>2</v>
      </c>
      <c r="E129" s="8">
        <v>0.51128482818603516</v>
      </c>
      <c r="F129" s="8">
        <v>1.4567063190042973E-3</v>
      </c>
      <c r="G129" s="8">
        <v>0.59250724315643311</v>
      </c>
      <c r="H129" s="8">
        <v>2.6691334787756205E-3</v>
      </c>
      <c r="I129" s="8"/>
      <c r="J129" s="8">
        <v>0.31919875741004944</v>
      </c>
      <c r="K129" s="8">
        <v>5.4549284279346466E-2</v>
      </c>
      <c r="L129" s="8">
        <v>216422446</v>
      </c>
      <c r="M129" t="s">
        <v>1052</v>
      </c>
    </row>
    <row r="130" spans="2:13">
      <c r="B130" t="s">
        <v>17</v>
      </c>
      <c r="C130" s="8">
        <v>2007</v>
      </c>
      <c r="D130" s="8">
        <v>3</v>
      </c>
      <c r="E130" s="8">
        <v>0.51083528995513916</v>
      </c>
      <c r="F130" s="8">
        <v>5.2743195556104183E-3</v>
      </c>
      <c r="G130" s="8">
        <v>0.379730224609375</v>
      </c>
      <c r="H130" s="8">
        <v>2.6921266689896584E-3</v>
      </c>
      <c r="I130" s="8"/>
      <c r="J130" s="8">
        <v>0.17269973456859589</v>
      </c>
      <c r="K130" s="8">
        <v>0.10597848892211914</v>
      </c>
      <c r="L130" s="8">
        <v>216422446</v>
      </c>
      <c r="M130" t="s">
        <v>1052</v>
      </c>
    </row>
    <row r="131" spans="2:13">
      <c r="B131" t="s">
        <v>17</v>
      </c>
      <c r="C131" s="8">
        <v>2008</v>
      </c>
      <c r="D131" s="8">
        <v>1</v>
      </c>
      <c r="E131" s="8">
        <v>0.51404428482055664</v>
      </c>
      <c r="F131" s="8">
        <v>8.2518107956275344E-4</v>
      </c>
      <c r="G131" s="8">
        <v>0.69392931461334229</v>
      </c>
      <c r="H131" s="8">
        <v>3.9108064956963062E-3</v>
      </c>
      <c r="I131" s="8"/>
      <c r="J131" s="8">
        <v>0.46247869729995728</v>
      </c>
      <c r="K131" s="8">
        <v>1.2753359973430634E-2</v>
      </c>
      <c r="L131" s="8">
        <v>216422446</v>
      </c>
      <c r="M131" t="s">
        <v>1052</v>
      </c>
    </row>
    <row r="132" spans="2:13">
      <c r="B132" t="s">
        <v>17</v>
      </c>
      <c r="C132" s="8">
        <v>2008</v>
      </c>
      <c r="D132" s="8">
        <v>2</v>
      </c>
      <c r="E132" s="8">
        <v>0.51510918140411377</v>
      </c>
      <c r="F132" s="8">
        <v>1.4605221804231405E-3</v>
      </c>
      <c r="G132" s="8">
        <v>0.60869288444519043</v>
      </c>
      <c r="H132" s="8">
        <v>2.8928415849804878E-3</v>
      </c>
      <c r="I132" s="8"/>
      <c r="J132" s="8">
        <v>0.32532310485839844</v>
      </c>
      <c r="K132" s="8">
        <v>5.2107568830251694E-2</v>
      </c>
      <c r="L132" s="8">
        <v>216422446</v>
      </c>
      <c r="M132" t="s">
        <v>1052</v>
      </c>
    </row>
    <row r="133" spans="2:13">
      <c r="B133" t="s">
        <v>17</v>
      </c>
      <c r="C133" s="8">
        <v>2008</v>
      </c>
      <c r="D133" s="8">
        <v>3</v>
      </c>
      <c r="E133" s="8">
        <v>0.5105280876159668</v>
      </c>
      <c r="F133" s="8">
        <v>5.1742889918386936E-3</v>
      </c>
      <c r="G133" s="8">
        <v>0.40206199884414673</v>
      </c>
      <c r="H133" s="8">
        <v>2.3346603848040104E-3</v>
      </c>
      <c r="I133" s="8"/>
      <c r="J133" s="8">
        <v>0.17190670967102051</v>
      </c>
      <c r="K133" s="8">
        <v>0.10925137996673584</v>
      </c>
      <c r="L133" s="8">
        <v>216422446</v>
      </c>
      <c r="M133" t="s">
        <v>1052</v>
      </c>
    </row>
    <row r="134" spans="2:13">
      <c r="B134" t="s">
        <v>17</v>
      </c>
      <c r="C134" s="8">
        <v>2009</v>
      </c>
      <c r="D134" s="8">
        <v>1</v>
      </c>
      <c r="E134" s="8">
        <v>0.51826083660125732</v>
      </c>
      <c r="F134" s="8">
        <v>6.0029275482520461E-4</v>
      </c>
      <c r="G134" s="8">
        <v>0.70407605171203613</v>
      </c>
      <c r="H134" s="8">
        <v>2.4393433704972267E-3</v>
      </c>
      <c r="I134" s="8"/>
      <c r="J134" s="8">
        <v>0.46088355779647827</v>
      </c>
      <c r="K134" s="8">
        <v>1.3235307298600674E-2</v>
      </c>
      <c r="L134" s="8">
        <v>216422446</v>
      </c>
      <c r="M134" t="s">
        <v>1052</v>
      </c>
    </row>
    <row r="135" spans="2:13">
      <c r="B135" t="s">
        <v>17</v>
      </c>
      <c r="C135" s="8">
        <v>2009</v>
      </c>
      <c r="D135" s="8">
        <v>2</v>
      </c>
      <c r="E135" s="8">
        <v>0.51325327157974243</v>
      </c>
      <c r="F135" s="8">
        <v>1.5736947534605861E-3</v>
      </c>
      <c r="G135" s="8">
        <v>0.61043459177017212</v>
      </c>
      <c r="H135" s="8">
        <v>2.175863366574049E-3</v>
      </c>
      <c r="I135" s="8"/>
      <c r="J135" s="8">
        <v>0.33415862917900085</v>
      </c>
      <c r="K135" s="8">
        <v>4.4545553624629974E-2</v>
      </c>
      <c r="L135" s="8">
        <v>216422446</v>
      </c>
      <c r="M135" t="s">
        <v>1052</v>
      </c>
    </row>
    <row r="136" spans="2:13">
      <c r="B136" t="s">
        <v>17</v>
      </c>
      <c r="C136" s="8">
        <v>2009</v>
      </c>
      <c r="D136" s="8">
        <v>3</v>
      </c>
      <c r="E136" s="8">
        <v>0.50936245918273926</v>
      </c>
      <c r="F136" s="8">
        <v>5.0025628879666328E-3</v>
      </c>
      <c r="G136" s="8">
        <v>0.41288033127784729</v>
      </c>
      <c r="H136" s="8">
        <v>2.030929084867239E-3</v>
      </c>
      <c r="I136" s="8"/>
      <c r="J136" s="8">
        <v>0.16789360344409943</v>
      </c>
      <c r="K136" s="8">
        <v>0.11336348950862885</v>
      </c>
      <c r="L136" s="8">
        <v>216422446</v>
      </c>
      <c r="M136" t="s">
        <v>1052</v>
      </c>
    </row>
    <row r="137" spans="2:13">
      <c r="B137" t="s">
        <v>17</v>
      </c>
      <c r="C137" s="8">
        <v>2011</v>
      </c>
      <c r="D137" s="8">
        <v>1</v>
      </c>
      <c r="E137" s="8">
        <v>0.5175330638885498</v>
      </c>
      <c r="F137" s="8">
        <v>1.1608792701736093E-3</v>
      </c>
      <c r="G137" s="8">
        <v>0.71228969097137451</v>
      </c>
      <c r="H137" s="8">
        <v>7.9155592247843742E-3</v>
      </c>
      <c r="I137" s="8"/>
      <c r="J137" s="8">
        <v>0.46093073487281799</v>
      </c>
      <c r="K137" s="8">
        <v>9.8492233082652092E-3</v>
      </c>
      <c r="L137" s="8">
        <v>216422446</v>
      </c>
      <c r="M137" t="s">
        <v>1052</v>
      </c>
    </row>
    <row r="138" spans="2:13">
      <c r="B138" t="s">
        <v>17</v>
      </c>
      <c r="C138" s="8">
        <v>2011</v>
      </c>
      <c r="D138" s="8">
        <v>2</v>
      </c>
      <c r="E138" s="8">
        <v>0.51693928241729736</v>
      </c>
      <c r="F138" s="8">
        <v>1.4547090977430344E-3</v>
      </c>
      <c r="G138" s="8">
        <v>0.62610876560211182</v>
      </c>
      <c r="H138" s="8">
        <v>3.6286618560552597E-3</v>
      </c>
      <c r="I138" s="8"/>
      <c r="J138" s="8">
        <v>0.33507904410362244</v>
      </c>
      <c r="K138" s="8">
        <v>4.748142883181572E-2</v>
      </c>
      <c r="L138" s="8">
        <v>216422446</v>
      </c>
      <c r="M138" t="s">
        <v>1052</v>
      </c>
    </row>
    <row r="139" spans="2:13">
      <c r="B139" t="s">
        <v>17</v>
      </c>
      <c r="C139" s="8">
        <v>2011</v>
      </c>
      <c r="D139" s="8">
        <v>3</v>
      </c>
      <c r="E139" s="8">
        <v>0.511810302734375</v>
      </c>
      <c r="F139" s="8">
        <v>4.3235956691205502E-3</v>
      </c>
      <c r="G139" s="8">
        <v>0.4265582263469696</v>
      </c>
      <c r="H139" s="8">
        <v>3.097941167652607E-3</v>
      </c>
      <c r="I139" s="8"/>
      <c r="J139" s="8">
        <v>0.16976505517959595</v>
      </c>
      <c r="K139" s="8">
        <v>0.1134050115942955</v>
      </c>
      <c r="L139" s="8">
        <v>216422446</v>
      </c>
      <c r="M139" t="s">
        <v>1052</v>
      </c>
    </row>
    <row r="140" spans="2:13">
      <c r="B140" t="s">
        <v>17</v>
      </c>
      <c r="C140" s="8">
        <v>2012</v>
      </c>
      <c r="D140" s="8">
        <v>1</v>
      </c>
      <c r="E140" s="8">
        <v>0.5195041298866272</v>
      </c>
      <c r="F140" s="8">
        <v>7.8757829032838345E-4</v>
      </c>
      <c r="G140" s="8">
        <v>0.73884057998657227</v>
      </c>
      <c r="H140" s="8">
        <v>7.6713403686881065E-3</v>
      </c>
      <c r="I140" s="8"/>
      <c r="J140" s="8">
        <v>0.46133896708488464</v>
      </c>
      <c r="K140" s="8">
        <v>1.0114837437868118E-2</v>
      </c>
      <c r="L140" s="8">
        <v>216422446</v>
      </c>
      <c r="M140" t="s">
        <v>1052</v>
      </c>
    </row>
    <row r="141" spans="2:13">
      <c r="B141" t="s">
        <v>17</v>
      </c>
      <c r="C141" s="8">
        <v>2012</v>
      </c>
      <c r="D141" s="8">
        <v>2</v>
      </c>
      <c r="E141" s="8">
        <v>0.51836711168289185</v>
      </c>
      <c r="F141" s="8">
        <v>1.956793712452054E-3</v>
      </c>
      <c r="G141" s="8">
        <v>0.65691745281219482</v>
      </c>
      <c r="H141" s="8">
        <v>2.7089493814855814E-3</v>
      </c>
      <c r="I141" s="8"/>
      <c r="J141" s="8">
        <v>0.34462705254554749</v>
      </c>
      <c r="K141" s="8">
        <v>4.5074291527271271E-2</v>
      </c>
      <c r="L141" s="8">
        <v>216422446</v>
      </c>
      <c r="M141" t="s">
        <v>1052</v>
      </c>
    </row>
    <row r="142" spans="2:13">
      <c r="B142" t="s">
        <v>17</v>
      </c>
      <c r="C142" s="8">
        <v>2012</v>
      </c>
      <c r="D142" s="8">
        <v>3</v>
      </c>
      <c r="E142" s="8">
        <v>0.50911760330200195</v>
      </c>
      <c r="F142" s="8">
        <v>4.3237954378128052E-3</v>
      </c>
      <c r="G142" s="8">
        <v>0.45091196894645691</v>
      </c>
      <c r="H142" s="8">
        <v>2.0547865424305201E-3</v>
      </c>
      <c r="I142" s="8"/>
      <c r="J142" s="8">
        <v>0.1729244738817215</v>
      </c>
      <c r="K142" s="8">
        <v>0.11466928571462631</v>
      </c>
      <c r="L142" s="8">
        <v>216422446</v>
      </c>
      <c r="M142" t="s">
        <v>1052</v>
      </c>
    </row>
    <row r="143" spans="2:13">
      <c r="B143" t="s">
        <v>17</v>
      </c>
      <c r="C143" s="8">
        <v>2013</v>
      </c>
      <c r="D143" s="8">
        <v>1</v>
      </c>
      <c r="E143" s="8">
        <v>0.51831579208374023</v>
      </c>
      <c r="F143" s="8">
        <v>1.0907292598858476E-3</v>
      </c>
      <c r="G143" s="8">
        <v>0.72244763374328613</v>
      </c>
      <c r="H143" s="8">
        <v>9.2115476727485657E-3</v>
      </c>
      <c r="I143" s="8"/>
      <c r="J143" s="8">
        <v>0.45116126537322998</v>
      </c>
      <c r="K143" s="8">
        <v>9.0332441031932831E-3</v>
      </c>
      <c r="L143" s="8">
        <v>216422446</v>
      </c>
      <c r="M143" t="s">
        <v>1052</v>
      </c>
    </row>
    <row r="144" spans="2:13">
      <c r="B144" t="s">
        <v>17</v>
      </c>
      <c r="C144" s="8">
        <v>2013</v>
      </c>
      <c r="D144" s="8">
        <v>2</v>
      </c>
      <c r="E144" s="8">
        <v>0.52005624771118164</v>
      </c>
      <c r="F144" s="8">
        <v>1.7073097405955195E-3</v>
      </c>
      <c r="G144" s="8">
        <v>0.65727472305297852</v>
      </c>
      <c r="H144" s="8">
        <v>3.504014341160655E-3</v>
      </c>
      <c r="I144" s="8"/>
      <c r="J144" s="8">
        <v>0.34009265899658203</v>
      </c>
      <c r="K144" s="8">
        <v>4.5997180044651031E-2</v>
      </c>
      <c r="L144" s="8">
        <v>216422446</v>
      </c>
      <c r="M144" t="s">
        <v>1052</v>
      </c>
    </row>
    <row r="145" spans="2:13">
      <c r="B145" t="s">
        <v>17</v>
      </c>
      <c r="C145" s="8">
        <v>2013</v>
      </c>
      <c r="D145" s="8">
        <v>3</v>
      </c>
      <c r="E145" s="8">
        <v>0.51030868291854858</v>
      </c>
      <c r="F145" s="8">
        <v>4.5600659213960171E-3</v>
      </c>
      <c r="G145" s="8">
        <v>0.45857632160186768</v>
      </c>
      <c r="H145" s="8">
        <v>2.2727819159626961E-3</v>
      </c>
      <c r="I145" s="8"/>
      <c r="J145" s="8">
        <v>0.17072062194347382</v>
      </c>
      <c r="K145" s="8">
        <v>0.11743178963661194</v>
      </c>
      <c r="L145" s="8">
        <v>216422446</v>
      </c>
      <c r="M145" t="s">
        <v>1052</v>
      </c>
    </row>
    <row r="146" spans="2:13">
      <c r="B146" t="s">
        <v>17</v>
      </c>
      <c r="C146" s="8">
        <v>2014</v>
      </c>
      <c r="D146" s="8">
        <v>1</v>
      </c>
      <c r="E146" s="8">
        <v>0.52733784914016724</v>
      </c>
      <c r="F146" s="8">
        <v>9.2510541435331106E-4</v>
      </c>
      <c r="G146" s="8">
        <v>0.73578298091888428</v>
      </c>
      <c r="H146" s="8">
        <v>1.0151339694857597E-2</v>
      </c>
      <c r="I146" s="8"/>
      <c r="J146" s="8">
        <v>0.45067623257637024</v>
      </c>
      <c r="K146" s="8">
        <v>9.8120458424091339E-3</v>
      </c>
      <c r="L146" s="8">
        <v>216422446</v>
      </c>
      <c r="M146" t="s">
        <v>1052</v>
      </c>
    </row>
    <row r="147" spans="2:13">
      <c r="B147" t="s">
        <v>17</v>
      </c>
      <c r="C147" s="8">
        <v>2014</v>
      </c>
      <c r="D147" s="8">
        <v>2</v>
      </c>
      <c r="E147" s="8">
        <v>0.5212816596031189</v>
      </c>
      <c r="F147" s="8">
        <v>1.7130301566794515E-3</v>
      </c>
      <c r="G147" s="8">
        <v>0.66092723608016968</v>
      </c>
      <c r="H147" s="8">
        <v>4.6717869117856026E-3</v>
      </c>
      <c r="I147" s="8"/>
      <c r="J147" s="8">
        <v>0.34174156188964844</v>
      </c>
      <c r="K147" s="8">
        <v>4.4968303292989731E-2</v>
      </c>
      <c r="L147" s="8">
        <v>216422446</v>
      </c>
      <c r="M147" t="s">
        <v>1052</v>
      </c>
    </row>
    <row r="148" spans="2:13">
      <c r="B148" t="s">
        <v>17</v>
      </c>
      <c r="C148" s="8">
        <v>2014</v>
      </c>
      <c r="D148" s="8">
        <v>3</v>
      </c>
      <c r="E148" s="8">
        <v>0.51113635301589966</v>
      </c>
      <c r="F148" s="8">
        <v>4.9632401205599308E-3</v>
      </c>
      <c r="G148" s="8">
        <v>0.47286036610603333</v>
      </c>
      <c r="H148" s="8">
        <v>2.7276042383164167E-3</v>
      </c>
      <c r="I148" s="8"/>
      <c r="J148" s="8">
        <v>0.16707399487495422</v>
      </c>
      <c r="K148" s="8">
        <v>0.12037631124258041</v>
      </c>
      <c r="L148" s="8">
        <v>216422446</v>
      </c>
      <c r="M148" t="s">
        <v>1052</v>
      </c>
    </row>
    <row r="149" spans="2:13">
      <c r="B149" t="s">
        <v>17</v>
      </c>
      <c r="C149" s="8">
        <v>2015</v>
      </c>
      <c r="D149" s="8">
        <v>1</v>
      </c>
      <c r="E149" s="8">
        <v>0.52163702249526978</v>
      </c>
      <c r="F149" s="8">
        <v>7.7651324681937695E-4</v>
      </c>
      <c r="G149" s="8">
        <v>0.73199367523193359</v>
      </c>
      <c r="H149" s="8">
        <v>1.0128281079232693E-2</v>
      </c>
      <c r="I149" s="8"/>
      <c r="J149" s="8">
        <v>0.43579027056694031</v>
      </c>
      <c r="K149" s="8">
        <v>9.1158822178840637E-3</v>
      </c>
      <c r="L149" s="8">
        <v>216422446</v>
      </c>
      <c r="M149" t="s">
        <v>1052</v>
      </c>
    </row>
    <row r="150" spans="2:13">
      <c r="B150" t="s">
        <v>17</v>
      </c>
      <c r="C150" s="8">
        <v>2015</v>
      </c>
      <c r="D150" s="8">
        <v>2</v>
      </c>
      <c r="E150" s="8">
        <v>0.51803183555603027</v>
      </c>
      <c r="F150" s="8">
        <v>2.0880410447716713E-3</v>
      </c>
      <c r="G150" s="8">
        <v>0.65704196691513062</v>
      </c>
      <c r="H150" s="8">
        <v>3.7784564774483442E-3</v>
      </c>
      <c r="I150" s="8"/>
      <c r="J150" s="8">
        <v>0.3231792151927948</v>
      </c>
      <c r="K150" s="8">
        <v>5.0828319042921066E-2</v>
      </c>
      <c r="L150" s="8">
        <v>216422446</v>
      </c>
      <c r="M150" t="s">
        <v>1052</v>
      </c>
    </row>
    <row r="151" spans="2:13">
      <c r="B151" t="s">
        <v>17</v>
      </c>
      <c r="C151" s="8">
        <v>2015</v>
      </c>
      <c r="D151" s="8">
        <v>3</v>
      </c>
      <c r="E151" s="8">
        <v>0.51148766279220581</v>
      </c>
      <c r="F151" s="8">
        <v>4.6408763155341148E-3</v>
      </c>
      <c r="G151" s="8">
        <v>0.47121566534042358</v>
      </c>
      <c r="H151" s="8">
        <v>2.656345721334219E-3</v>
      </c>
      <c r="I151" s="8"/>
      <c r="J151" s="8">
        <v>0.16020025312900543</v>
      </c>
      <c r="K151" s="8">
        <v>0.13039447367191315</v>
      </c>
      <c r="L151" s="8">
        <v>216422446</v>
      </c>
      <c r="M151" t="s">
        <v>1052</v>
      </c>
    </row>
    <row r="152" spans="2:13">
      <c r="B152" t="s">
        <v>17</v>
      </c>
      <c r="C152" s="8">
        <v>2016</v>
      </c>
      <c r="D152" s="8">
        <v>1</v>
      </c>
      <c r="E152" s="8">
        <v>0.51670640707015991</v>
      </c>
      <c r="F152" s="8"/>
      <c r="G152" s="8">
        <v>0.76231038570404053</v>
      </c>
      <c r="H152" s="8">
        <v>3.1863083131611347E-3</v>
      </c>
      <c r="I152" s="8"/>
      <c r="J152" s="8">
        <v>0.40991038084030151</v>
      </c>
      <c r="K152" s="8">
        <v>1.1164998635649681E-2</v>
      </c>
      <c r="L152" s="8">
        <v>216422446</v>
      </c>
      <c r="M152" t="s">
        <v>1052</v>
      </c>
    </row>
    <row r="153" spans="2:13">
      <c r="B153" t="s">
        <v>17</v>
      </c>
      <c r="C153" s="8">
        <v>2016</v>
      </c>
      <c r="D153" s="8">
        <v>2</v>
      </c>
      <c r="E153" s="8">
        <v>0.52150988578796387</v>
      </c>
      <c r="F153" s="8"/>
      <c r="G153" s="8">
        <v>0.68240910768508911</v>
      </c>
      <c r="H153" s="8">
        <v>3.7332973442971706E-3</v>
      </c>
      <c r="I153" s="8"/>
      <c r="J153" s="8">
        <v>0.3088320791721344</v>
      </c>
      <c r="K153" s="8">
        <v>4.9556486308574677E-2</v>
      </c>
      <c r="L153" s="8">
        <v>216422446</v>
      </c>
      <c r="M153" t="s">
        <v>1052</v>
      </c>
    </row>
    <row r="154" spans="2:13">
      <c r="B154" t="s">
        <v>17</v>
      </c>
      <c r="C154" s="8">
        <v>2016</v>
      </c>
      <c r="D154" s="8">
        <v>3</v>
      </c>
      <c r="E154" s="8">
        <v>0.51350528001785278</v>
      </c>
      <c r="F154" s="8"/>
      <c r="G154" s="8">
        <v>0.46851992607116699</v>
      </c>
      <c r="H154" s="8">
        <v>2.0749259274452925E-3</v>
      </c>
      <c r="I154" s="8"/>
      <c r="J154" s="8">
        <v>0.16032505035400391</v>
      </c>
      <c r="K154" s="8">
        <v>0.13007953763008118</v>
      </c>
      <c r="L154" s="8">
        <v>216422446</v>
      </c>
      <c r="M154" t="s">
        <v>1052</v>
      </c>
    </row>
    <row r="155" spans="2:13">
      <c r="B155" t="s">
        <v>17</v>
      </c>
      <c r="C155" s="8">
        <v>2017</v>
      </c>
      <c r="D155" s="8">
        <v>1</v>
      </c>
      <c r="E155" s="8">
        <v>0.5193743109703064</v>
      </c>
      <c r="F155" s="8"/>
      <c r="G155" s="8">
        <v>0.75730830430984497</v>
      </c>
      <c r="H155" s="8">
        <v>5.1983818411827087E-3</v>
      </c>
      <c r="I155" s="8"/>
      <c r="J155" s="8">
        <v>0.40399527549743652</v>
      </c>
      <c r="K155" s="8">
        <v>1.150680985301733E-2</v>
      </c>
      <c r="L155" s="8">
        <v>216422446</v>
      </c>
      <c r="M155" t="s">
        <v>1052</v>
      </c>
    </row>
    <row r="156" spans="2:13">
      <c r="B156" t="s">
        <v>17</v>
      </c>
      <c r="C156" s="8">
        <v>2017</v>
      </c>
      <c r="D156" s="8">
        <v>2</v>
      </c>
      <c r="E156" s="8">
        <v>0.51823323965072632</v>
      </c>
      <c r="F156" s="8"/>
      <c r="G156" s="8">
        <v>0.68327540159225464</v>
      </c>
      <c r="H156" s="8">
        <v>3.5447410773485899E-3</v>
      </c>
      <c r="I156" s="8"/>
      <c r="J156" s="8">
        <v>0.30611443519592285</v>
      </c>
      <c r="K156" s="8">
        <v>5.0710674375295639E-2</v>
      </c>
      <c r="L156" s="8">
        <v>216422446</v>
      </c>
      <c r="M156" t="s">
        <v>1052</v>
      </c>
    </row>
    <row r="157" spans="2:13">
      <c r="B157" t="s">
        <v>17</v>
      </c>
      <c r="C157" s="8">
        <v>2017</v>
      </c>
      <c r="D157" s="8">
        <v>3</v>
      </c>
      <c r="E157" s="8">
        <v>0.51567071676254272</v>
      </c>
      <c r="F157" s="8"/>
      <c r="G157" s="8">
        <v>0.47670871019363403</v>
      </c>
      <c r="H157" s="8">
        <v>2.3382918443530798E-3</v>
      </c>
      <c r="I157" s="8"/>
      <c r="J157" s="8">
        <v>0.15799075365066528</v>
      </c>
      <c r="K157" s="8">
        <v>0.13246285915374756</v>
      </c>
      <c r="L157" s="8">
        <v>216422446</v>
      </c>
      <c r="M157" t="s">
        <v>1052</v>
      </c>
    </row>
    <row r="158" spans="2:13">
      <c r="B158" t="s">
        <v>17</v>
      </c>
      <c r="C158" s="8">
        <v>2018</v>
      </c>
      <c r="D158" s="8">
        <v>1</v>
      </c>
      <c r="E158" s="8">
        <v>0.51883101463317871</v>
      </c>
      <c r="F158" s="8"/>
      <c r="G158" s="8">
        <v>0.75751644372940063</v>
      </c>
      <c r="H158" s="8">
        <v>6.365783978253603E-3</v>
      </c>
      <c r="I158" s="8"/>
      <c r="J158" s="8">
        <v>0.40861579775810242</v>
      </c>
      <c r="K158" s="8">
        <v>1.1698432266712189E-2</v>
      </c>
      <c r="L158" s="8">
        <v>216422446</v>
      </c>
      <c r="M158" t="s">
        <v>1052</v>
      </c>
    </row>
    <row r="159" spans="2:13">
      <c r="B159" t="s">
        <v>17</v>
      </c>
      <c r="C159" s="8">
        <v>2018</v>
      </c>
      <c r="D159" s="8">
        <v>2</v>
      </c>
      <c r="E159" s="8">
        <v>0.51742380857467651</v>
      </c>
      <c r="F159" s="8"/>
      <c r="G159" s="8">
        <v>0.67175519466400146</v>
      </c>
      <c r="H159" s="8">
        <v>5.3969766013324261E-3</v>
      </c>
      <c r="I159" s="8"/>
      <c r="J159" s="8">
        <v>0.31433564424514771</v>
      </c>
      <c r="K159" s="8">
        <v>4.5121368020772934E-2</v>
      </c>
      <c r="L159" s="8">
        <v>216422446</v>
      </c>
      <c r="M159" t="s">
        <v>1052</v>
      </c>
    </row>
    <row r="160" spans="2:13">
      <c r="B160" t="s">
        <v>17</v>
      </c>
      <c r="C160" s="8">
        <v>2018</v>
      </c>
      <c r="D160" s="8">
        <v>3</v>
      </c>
      <c r="E160" s="8">
        <v>0.50789237022399902</v>
      </c>
      <c r="F160" s="8"/>
      <c r="G160" s="8">
        <v>0.48668920993804932</v>
      </c>
      <c r="H160" s="8">
        <v>2.9293436091393232E-3</v>
      </c>
      <c r="I160" s="8"/>
      <c r="J160" s="8">
        <v>0.16583073139190674</v>
      </c>
      <c r="K160" s="8">
        <v>0.12411664426326752</v>
      </c>
      <c r="L160" s="8">
        <v>216422446</v>
      </c>
      <c r="M160" t="s">
        <v>1052</v>
      </c>
    </row>
    <row r="161" spans="2:13">
      <c r="B161" t="s">
        <v>17</v>
      </c>
      <c r="C161" s="8">
        <v>2019</v>
      </c>
      <c r="D161" s="8">
        <v>1</v>
      </c>
      <c r="E161" s="8">
        <v>0.52281635999679565</v>
      </c>
      <c r="F161" s="8"/>
      <c r="G161" s="8">
        <v>0.76912093162536621</v>
      </c>
      <c r="H161" s="8">
        <v>7.008447777479887E-3</v>
      </c>
      <c r="I161" s="8"/>
      <c r="J161" s="8">
        <v>0.39456889033317566</v>
      </c>
      <c r="K161" s="8">
        <v>1.2345091439783573E-2</v>
      </c>
      <c r="L161" s="8">
        <v>216422446</v>
      </c>
      <c r="M161" t="s">
        <v>1052</v>
      </c>
    </row>
    <row r="162" spans="2:13">
      <c r="B162" t="s">
        <v>17</v>
      </c>
      <c r="C162" s="8">
        <v>2019</v>
      </c>
      <c r="D162" s="8">
        <v>2</v>
      </c>
      <c r="E162" s="8">
        <v>0.52355635166168213</v>
      </c>
      <c r="F162" s="8"/>
      <c r="G162" s="8">
        <v>0.68850582838058472</v>
      </c>
      <c r="H162" s="8">
        <v>3.8760432507842779E-3</v>
      </c>
      <c r="I162" s="8"/>
      <c r="J162" s="8">
        <v>0.30065256357192993</v>
      </c>
      <c r="K162" s="8">
        <v>5.2790813148021698E-2</v>
      </c>
      <c r="L162" s="8">
        <v>216422446</v>
      </c>
      <c r="M162" t="s">
        <v>1052</v>
      </c>
    </row>
    <row r="163" spans="2:13">
      <c r="B163" t="s">
        <v>17</v>
      </c>
      <c r="C163" s="8">
        <v>2019</v>
      </c>
      <c r="D163" s="8">
        <v>3</v>
      </c>
      <c r="E163" s="8">
        <v>0.51529127359390259</v>
      </c>
      <c r="F163" s="8"/>
      <c r="G163" s="8">
        <v>0.48993819952011108</v>
      </c>
      <c r="H163" s="8">
        <v>2.942441264167428E-3</v>
      </c>
      <c r="I163" s="8"/>
      <c r="J163" s="8">
        <v>0.15655328333377838</v>
      </c>
      <c r="K163" s="8">
        <v>0.14088545739650726</v>
      </c>
      <c r="L163" s="8">
        <v>216422446</v>
      </c>
      <c r="M163" t="s">
        <v>1052</v>
      </c>
    </row>
    <row r="164" spans="2:13">
      <c r="B164" t="s">
        <v>17</v>
      </c>
      <c r="C164" s="8">
        <v>2020</v>
      </c>
      <c r="D164" s="8">
        <v>1</v>
      </c>
      <c r="E164" s="8">
        <v>0.52779334783554077</v>
      </c>
      <c r="F164" s="8"/>
      <c r="G164" s="8">
        <v>0.75814801454544067</v>
      </c>
      <c r="H164" s="8">
        <v>8.4695564582943916E-3</v>
      </c>
      <c r="I164" s="8"/>
      <c r="J164" s="8">
        <v>0.39312845468521118</v>
      </c>
      <c r="K164" s="8">
        <v>1.3540483079850674E-2</v>
      </c>
      <c r="L164" s="8">
        <v>216422446</v>
      </c>
      <c r="M164" t="s">
        <v>1052</v>
      </c>
    </row>
    <row r="165" spans="2:13">
      <c r="B165" t="s">
        <v>17</v>
      </c>
      <c r="C165" s="8">
        <v>2020</v>
      </c>
      <c r="D165" s="8">
        <v>2</v>
      </c>
      <c r="E165" s="8">
        <v>0.5223965048789978</v>
      </c>
      <c r="F165" s="8"/>
      <c r="G165" s="8">
        <v>0.68776053190231323</v>
      </c>
      <c r="H165" s="8">
        <v>3.6765648983418941E-3</v>
      </c>
      <c r="I165" s="8"/>
      <c r="J165" s="8">
        <v>0.31826284527778625</v>
      </c>
      <c r="K165" s="8">
        <v>4.7174584120512009E-2</v>
      </c>
      <c r="L165" s="8">
        <v>216422446</v>
      </c>
      <c r="M165" t="s">
        <v>1052</v>
      </c>
    </row>
    <row r="166" spans="2:13">
      <c r="B166" t="s">
        <v>17</v>
      </c>
      <c r="C166" s="8">
        <v>2020</v>
      </c>
      <c r="D166" s="8">
        <v>3</v>
      </c>
      <c r="E166" s="8">
        <v>0.50523889064788818</v>
      </c>
      <c r="F166" s="8"/>
      <c r="G166" s="8">
        <v>0.49423375725746155</v>
      </c>
      <c r="H166" s="8">
        <v>1.9252279307693243E-3</v>
      </c>
      <c r="I166" s="8"/>
      <c r="J166" s="8">
        <v>0.168858602643013</v>
      </c>
      <c r="K166" s="8">
        <v>0.12705102562904358</v>
      </c>
      <c r="L166" s="8">
        <v>216422446</v>
      </c>
      <c r="M166" t="s">
        <v>1052</v>
      </c>
    </row>
    <row r="167" spans="2:13">
      <c r="B167" t="s">
        <v>17</v>
      </c>
      <c r="C167" s="8">
        <v>2021</v>
      </c>
      <c r="D167" s="8">
        <v>1</v>
      </c>
      <c r="E167" s="8">
        <v>0.52873700857162476</v>
      </c>
      <c r="F167" s="8"/>
      <c r="G167" s="8">
        <v>0.74513483047485352</v>
      </c>
      <c r="H167" s="8">
        <v>4.0940437465906143E-3</v>
      </c>
      <c r="I167" s="8"/>
      <c r="J167" s="8">
        <v>0.382455974817276</v>
      </c>
      <c r="K167" s="8">
        <v>1.6105372458696365E-2</v>
      </c>
      <c r="L167" s="8">
        <v>216422446</v>
      </c>
      <c r="M167" t="s">
        <v>1052</v>
      </c>
    </row>
    <row r="168" spans="2:13">
      <c r="B168" t="s">
        <v>17</v>
      </c>
      <c r="C168" s="8">
        <v>2021</v>
      </c>
      <c r="D168" s="8">
        <v>2</v>
      </c>
      <c r="E168" s="8">
        <v>0.52169519662857056</v>
      </c>
      <c r="F168" s="8"/>
      <c r="G168" s="8">
        <v>0.67383444309234619</v>
      </c>
      <c r="H168" s="8">
        <v>4.6267658472061157E-3</v>
      </c>
      <c r="I168" s="8"/>
      <c r="J168" s="8">
        <v>0.29651734232902527</v>
      </c>
      <c r="K168" s="8">
        <v>5.2526656538248062E-2</v>
      </c>
      <c r="L168" s="8">
        <v>216422446</v>
      </c>
      <c r="M168" t="s">
        <v>1052</v>
      </c>
    </row>
    <row r="169" spans="2:13">
      <c r="B169" t="s">
        <v>17</v>
      </c>
      <c r="C169" s="8">
        <v>2021</v>
      </c>
      <c r="D169" s="8">
        <v>3</v>
      </c>
      <c r="E169" s="8">
        <v>0.50314241647720337</v>
      </c>
      <c r="F169" s="8"/>
      <c r="G169" s="8">
        <v>0.47817835211753845</v>
      </c>
      <c r="H169" s="8">
        <v>2.4702826049178839E-3</v>
      </c>
      <c r="I169" s="8"/>
      <c r="J169" s="8">
        <v>0.1586793065071106</v>
      </c>
      <c r="K169" s="8">
        <v>0.13856500387191772</v>
      </c>
      <c r="L169" s="8">
        <v>216422446</v>
      </c>
      <c r="M169" t="s">
        <v>1052</v>
      </c>
    </row>
    <row r="170" spans="2:13">
      <c r="B170" t="s">
        <v>17</v>
      </c>
      <c r="C170" s="8">
        <v>2022</v>
      </c>
      <c r="D170" s="8">
        <v>1</v>
      </c>
      <c r="E170" s="8">
        <v>0.52539616823196411</v>
      </c>
      <c r="F170" s="8"/>
      <c r="G170" s="8">
        <v>0.76018428802490234</v>
      </c>
      <c r="H170" s="8">
        <v>7.3935259133577347E-3</v>
      </c>
      <c r="I170" s="8"/>
      <c r="J170" s="8">
        <v>0.4145427942276001</v>
      </c>
      <c r="K170" s="8">
        <v>1.2986969202756882E-2</v>
      </c>
      <c r="L170" s="8">
        <v>216422446</v>
      </c>
      <c r="M170" t="s">
        <v>1052</v>
      </c>
    </row>
    <row r="171" spans="2:13">
      <c r="B171" t="s">
        <v>17</v>
      </c>
      <c r="C171" s="8">
        <v>2022</v>
      </c>
      <c r="D171" s="8">
        <v>2</v>
      </c>
      <c r="E171" s="8">
        <v>0.52375411987304688</v>
      </c>
      <c r="F171" s="8"/>
      <c r="G171" s="8">
        <v>0.67681694030761719</v>
      </c>
      <c r="H171" s="8">
        <v>6.0756136663258076E-3</v>
      </c>
      <c r="I171" s="8"/>
      <c r="J171" s="8">
        <v>0.31686121225357056</v>
      </c>
      <c r="K171" s="8">
        <v>4.7751899808645248E-2</v>
      </c>
      <c r="L171" s="8">
        <v>216422446</v>
      </c>
      <c r="M171" t="s">
        <v>1052</v>
      </c>
    </row>
    <row r="172" spans="2:13">
      <c r="B172" t="s">
        <v>17</v>
      </c>
      <c r="C172" s="8">
        <v>2022</v>
      </c>
      <c r="D172" s="8">
        <v>3</v>
      </c>
      <c r="E172" s="8">
        <v>0.50618982315063477</v>
      </c>
      <c r="F172" s="8"/>
      <c r="G172" s="8">
        <v>0.49661225080490112</v>
      </c>
      <c r="H172" s="8">
        <v>3.5534163471311331E-3</v>
      </c>
      <c r="I172" s="8"/>
      <c r="J172" s="8">
        <v>0.16316905617713928</v>
      </c>
      <c r="K172" s="8">
        <v>0.13434495031833649</v>
      </c>
      <c r="L172" s="8">
        <v>216422446</v>
      </c>
      <c r="M172" t="s">
        <v>1052</v>
      </c>
    </row>
    <row r="173" spans="2:13">
      <c r="B173" t="s">
        <v>21</v>
      </c>
      <c r="C173" s="8">
        <v>2003</v>
      </c>
      <c r="D173" s="8">
        <v>1</v>
      </c>
      <c r="E173" s="8">
        <v>0.52666890621185303</v>
      </c>
      <c r="F173" s="8"/>
      <c r="G173" s="8">
        <v>0</v>
      </c>
      <c r="H173" s="8">
        <v>0.1008894145488739</v>
      </c>
      <c r="I173" s="8"/>
      <c r="J173" s="8">
        <v>0.40289098024368286</v>
      </c>
      <c r="K173" s="8">
        <v>4.0879763662815094E-2</v>
      </c>
      <c r="L173" s="8">
        <v>19629590</v>
      </c>
      <c r="M173" t="s">
        <v>1052</v>
      </c>
    </row>
    <row r="174" spans="2:13">
      <c r="B174" t="s">
        <v>21</v>
      </c>
      <c r="C174" s="8">
        <v>2003</v>
      </c>
      <c r="D174" s="8">
        <v>2</v>
      </c>
      <c r="E174" s="8">
        <v>0.51257854700088501</v>
      </c>
      <c r="F174" s="8"/>
      <c r="G174" s="8">
        <v>0</v>
      </c>
      <c r="H174" s="8">
        <v>6.5409712493419647E-2</v>
      </c>
      <c r="I174" s="8"/>
      <c r="J174" s="8">
        <v>0.32689195871353149</v>
      </c>
      <c r="K174" s="8">
        <v>7.097412645816803E-2</v>
      </c>
      <c r="L174" s="8">
        <v>19629590</v>
      </c>
      <c r="M174" t="s">
        <v>1052</v>
      </c>
    </row>
    <row r="175" spans="2:13">
      <c r="B175" t="s">
        <v>21</v>
      </c>
      <c r="C175" s="8">
        <v>2003</v>
      </c>
      <c r="D175" s="8">
        <v>3</v>
      </c>
      <c r="E175" s="8">
        <v>0.50976037979125977</v>
      </c>
      <c r="F175" s="8"/>
      <c r="G175" s="8">
        <v>0</v>
      </c>
      <c r="H175" s="8">
        <v>3.7645503878593445E-2</v>
      </c>
      <c r="I175" s="8"/>
      <c r="J175" s="8">
        <v>0.22531026601791382</v>
      </c>
      <c r="K175" s="8">
        <v>9.1639488935470581E-2</v>
      </c>
      <c r="L175" s="8">
        <v>19629590</v>
      </c>
      <c r="M175" t="s">
        <v>1052</v>
      </c>
    </row>
    <row r="176" spans="2:13">
      <c r="B176" t="s">
        <v>21</v>
      </c>
      <c r="C176" s="8">
        <v>2006</v>
      </c>
      <c r="D176" s="8">
        <v>1</v>
      </c>
      <c r="E176" s="8">
        <v>0.5360754132270813</v>
      </c>
      <c r="F176" s="8"/>
      <c r="G176" s="8">
        <v>0</v>
      </c>
      <c r="H176" s="8">
        <v>0.11036491394042969</v>
      </c>
      <c r="I176" s="8"/>
      <c r="J176" s="8">
        <v>0.38532766699790955</v>
      </c>
      <c r="K176" s="8">
        <v>5.6688647717237473E-2</v>
      </c>
      <c r="L176" s="8">
        <v>19629590</v>
      </c>
      <c r="M176" t="s">
        <v>1052</v>
      </c>
    </row>
    <row r="177" spans="2:13">
      <c r="B177" t="s">
        <v>21</v>
      </c>
      <c r="C177" s="8">
        <v>2006</v>
      </c>
      <c r="D177" s="8">
        <v>2</v>
      </c>
      <c r="E177" s="8">
        <v>0.52234214544296265</v>
      </c>
      <c r="F177" s="8"/>
      <c r="G177" s="8">
        <v>0</v>
      </c>
      <c r="H177" s="8">
        <v>8.2630962133407593E-2</v>
      </c>
      <c r="I177" s="8"/>
      <c r="J177" s="8">
        <v>0.31607049703598022</v>
      </c>
      <c r="K177" s="8">
        <v>8.9215628802776337E-2</v>
      </c>
      <c r="L177" s="8">
        <v>19629590</v>
      </c>
      <c r="M177" t="s">
        <v>1052</v>
      </c>
    </row>
    <row r="178" spans="2:13">
      <c r="B178" t="s">
        <v>21</v>
      </c>
      <c r="C178" s="8">
        <v>2006</v>
      </c>
      <c r="D178" s="8">
        <v>3</v>
      </c>
      <c r="E178" s="8">
        <v>0.50719684362411499</v>
      </c>
      <c r="F178" s="8"/>
      <c r="G178" s="8">
        <v>0</v>
      </c>
      <c r="H178" s="8">
        <v>5.4257433861494064E-2</v>
      </c>
      <c r="I178" s="8"/>
      <c r="J178" s="8">
        <v>0.21322883665561676</v>
      </c>
      <c r="K178" s="8">
        <v>9.8521329462528229E-2</v>
      </c>
      <c r="L178" s="8">
        <v>19629590</v>
      </c>
      <c r="M178" t="s">
        <v>1052</v>
      </c>
    </row>
    <row r="179" spans="2:13">
      <c r="B179" t="s">
        <v>21</v>
      </c>
      <c r="C179" s="8">
        <v>2009</v>
      </c>
      <c r="D179" s="8">
        <v>1</v>
      </c>
      <c r="E179" s="8">
        <v>0.54110145568847656</v>
      </c>
      <c r="F179" s="8"/>
      <c r="G179" s="8">
        <v>0</v>
      </c>
      <c r="H179" s="8">
        <v>0.12847895920276642</v>
      </c>
      <c r="I179" s="8"/>
      <c r="J179" s="8">
        <v>0.35100045800209045</v>
      </c>
      <c r="K179" s="8">
        <v>6.4235351979732513E-2</v>
      </c>
      <c r="L179" s="8">
        <v>19629590</v>
      </c>
      <c r="M179" t="s">
        <v>1052</v>
      </c>
    </row>
    <row r="180" spans="2:13">
      <c r="B180" t="s">
        <v>21</v>
      </c>
      <c r="C180" s="8">
        <v>2009</v>
      </c>
      <c r="D180" s="8">
        <v>2</v>
      </c>
      <c r="E180" s="8">
        <v>0.53343665599822998</v>
      </c>
      <c r="F180" s="8"/>
      <c r="G180" s="8">
        <v>0</v>
      </c>
      <c r="H180" s="8">
        <v>8.8131546974182129E-2</v>
      </c>
      <c r="I180" s="8"/>
      <c r="J180" s="8">
        <v>0.31132504343986511</v>
      </c>
      <c r="K180" s="8">
        <v>8.9811995625495911E-2</v>
      </c>
      <c r="L180" s="8">
        <v>19629590</v>
      </c>
      <c r="M180" t="s">
        <v>1052</v>
      </c>
    </row>
    <row r="181" spans="2:13">
      <c r="B181" t="s">
        <v>21</v>
      </c>
      <c r="C181" s="8">
        <v>2009</v>
      </c>
      <c r="D181" s="8">
        <v>3</v>
      </c>
      <c r="E181" s="8">
        <v>0.51219743490219116</v>
      </c>
      <c r="F181" s="8"/>
      <c r="G181" s="8">
        <v>0</v>
      </c>
      <c r="H181" s="8">
        <v>5.8372333645820618E-2</v>
      </c>
      <c r="I181" s="8"/>
      <c r="J181" s="8">
        <v>0.20603075623512268</v>
      </c>
      <c r="K181" s="8">
        <v>0.11648821830749512</v>
      </c>
      <c r="L181" s="8">
        <v>19629590</v>
      </c>
      <c r="M181" t="s">
        <v>1052</v>
      </c>
    </row>
    <row r="182" spans="2:13">
      <c r="B182" t="s">
        <v>21</v>
      </c>
      <c r="C182" s="8">
        <v>2011</v>
      </c>
      <c r="D182" s="8">
        <v>1</v>
      </c>
      <c r="E182" s="8">
        <v>0.55681174993515015</v>
      </c>
      <c r="F182" s="8">
        <v>3.8113512564450502E-3</v>
      </c>
      <c r="G182" s="8">
        <v>0</v>
      </c>
      <c r="H182" s="8">
        <v>0.13899633288383484</v>
      </c>
      <c r="I182" s="8"/>
      <c r="J182" s="8">
        <v>0.35581967234611511</v>
      </c>
      <c r="K182" s="8">
        <v>7.6154135167598724E-2</v>
      </c>
      <c r="L182" s="8">
        <v>19629590</v>
      </c>
      <c r="M182" t="s">
        <v>1052</v>
      </c>
    </row>
    <row r="183" spans="2:13">
      <c r="B183" t="s">
        <v>21</v>
      </c>
      <c r="C183" s="8">
        <v>2011</v>
      </c>
      <c r="D183" s="8">
        <v>2</v>
      </c>
      <c r="E183" s="8">
        <v>0.5493091344833374</v>
      </c>
      <c r="F183" s="8">
        <v>6.139047909528017E-3</v>
      </c>
      <c r="G183" s="8">
        <v>0</v>
      </c>
      <c r="H183" s="8">
        <v>0.10907974094152451</v>
      </c>
      <c r="I183" s="8"/>
      <c r="J183" s="8">
        <v>0.32524022459983826</v>
      </c>
      <c r="K183" s="8">
        <v>7.9767622053623199E-2</v>
      </c>
      <c r="L183" s="8">
        <v>19629590</v>
      </c>
      <c r="M183" t="s">
        <v>1052</v>
      </c>
    </row>
    <row r="184" spans="2:13">
      <c r="B184" t="s">
        <v>21</v>
      </c>
      <c r="C184" s="8">
        <v>2011</v>
      </c>
      <c r="D184" s="8">
        <v>3</v>
      </c>
      <c r="E184" s="8">
        <v>0.51641488075256348</v>
      </c>
      <c r="F184" s="8">
        <v>9.8824789747595787E-3</v>
      </c>
      <c r="G184" s="8">
        <v>0</v>
      </c>
      <c r="H184" s="8">
        <v>6.8875722587108612E-2</v>
      </c>
      <c r="I184" s="8"/>
      <c r="J184" s="8">
        <v>0.1972450315952301</v>
      </c>
      <c r="K184" s="8">
        <v>0.12070969492197037</v>
      </c>
      <c r="L184" s="8">
        <v>19629590</v>
      </c>
      <c r="M184" t="s">
        <v>1052</v>
      </c>
    </row>
    <row r="185" spans="2:13">
      <c r="B185" t="s">
        <v>21</v>
      </c>
      <c r="C185" s="8">
        <v>2013</v>
      </c>
      <c r="D185" s="8">
        <v>1</v>
      </c>
      <c r="E185" s="8">
        <v>0.56674414873123169</v>
      </c>
      <c r="F185" s="8">
        <v>9.3156741932034492E-3</v>
      </c>
      <c r="G185" s="8">
        <v>0</v>
      </c>
      <c r="H185" s="8">
        <v>0.13921792805194855</v>
      </c>
      <c r="I185" s="8"/>
      <c r="J185" s="8">
        <v>0.35938474535942078</v>
      </c>
      <c r="K185" s="8">
        <v>6.8532615900039673E-2</v>
      </c>
      <c r="L185" s="8">
        <v>19629590</v>
      </c>
      <c r="M185" t="s">
        <v>1052</v>
      </c>
    </row>
    <row r="186" spans="2:13">
      <c r="B186" t="s">
        <v>21</v>
      </c>
      <c r="C186" s="8">
        <v>2013</v>
      </c>
      <c r="D186" s="8">
        <v>2</v>
      </c>
      <c r="E186" s="8">
        <v>0.54981696605682373</v>
      </c>
      <c r="F186" s="8">
        <v>1.1315489187836647E-2</v>
      </c>
      <c r="G186" s="8">
        <v>0</v>
      </c>
      <c r="H186" s="8">
        <v>0.12943777441978455</v>
      </c>
      <c r="I186" s="8"/>
      <c r="J186" s="8">
        <v>0.32707244157791138</v>
      </c>
      <c r="K186" s="8">
        <v>8.6293302476406097E-2</v>
      </c>
      <c r="L186" s="8">
        <v>19629590</v>
      </c>
      <c r="M186" t="s">
        <v>1052</v>
      </c>
    </row>
    <row r="187" spans="2:13">
      <c r="B187" t="s">
        <v>21</v>
      </c>
      <c r="C187" s="8">
        <v>2013</v>
      </c>
      <c r="D187" s="8">
        <v>3</v>
      </c>
      <c r="E187" s="8">
        <v>0.52070832252502441</v>
      </c>
      <c r="F187" s="8">
        <v>2.2793062031269073E-2</v>
      </c>
      <c r="G187" s="8">
        <v>0</v>
      </c>
      <c r="H187" s="8">
        <v>8.2182236015796661E-2</v>
      </c>
      <c r="I187" s="8"/>
      <c r="J187" s="8">
        <v>0.20137085020542145</v>
      </c>
      <c r="K187" s="8">
        <v>0.12822476029396057</v>
      </c>
      <c r="L187" s="8">
        <v>19629590</v>
      </c>
      <c r="M187" t="s">
        <v>1052</v>
      </c>
    </row>
    <row r="188" spans="2:13">
      <c r="B188" t="s">
        <v>21</v>
      </c>
      <c r="C188" s="8">
        <v>2015</v>
      </c>
      <c r="D188" s="8">
        <v>1</v>
      </c>
      <c r="E188" s="8">
        <v>0.55589872598648071</v>
      </c>
      <c r="F188" s="8">
        <v>2.0523183047771454E-2</v>
      </c>
      <c r="G188" s="8">
        <v>0</v>
      </c>
      <c r="H188" s="8">
        <v>0.162565678358078</v>
      </c>
      <c r="I188" s="8"/>
      <c r="J188" s="8">
        <v>0.35283839702606201</v>
      </c>
      <c r="K188" s="8">
        <v>5.7730630040168762E-2</v>
      </c>
      <c r="L188" s="8">
        <v>19629590</v>
      </c>
      <c r="M188" t="s">
        <v>1052</v>
      </c>
    </row>
    <row r="189" spans="2:13">
      <c r="B189" t="s">
        <v>21</v>
      </c>
      <c r="C189" s="8">
        <v>2015</v>
      </c>
      <c r="D189" s="8">
        <v>2</v>
      </c>
      <c r="E189" s="8">
        <v>0.54630070924758911</v>
      </c>
      <c r="F189" s="8">
        <v>1.5437784604728222E-2</v>
      </c>
      <c r="G189" s="8">
        <v>0</v>
      </c>
      <c r="H189" s="8">
        <v>0.12542012333869934</v>
      </c>
      <c r="I189" s="8"/>
      <c r="J189" s="8">
        <v>0.32296434044837952</v>
      </c>
      <c r="K189" s="8">
        <v>8.1776969134807587E-2</v>
      </c>
      <c r="L189" s="8">
        <v>19629590</v>
      </c>
      <c r="M189" t="s">
        <v>1052</v>
      </c>
    </row>
    <row r="190" spans="2:13">
      <c r="B190" t="s">
        <v>21</v>
      </c>
      <c r="C190" s="8">
        <v>2015</v>
      </c>
      <c r="D190" s="8">
        <v>3</v>
      </c>
      <c r="E190" s="8">
        <v>0.52186214923858643</v>
      </c>
      <c r="F190" s="8">
        <v>2.9009083285927773E-2</v>
      </c>
      <c r="G190" s="8">
        <v>0</v>
      </c>
      <c r="H190" s="8">
        <v>8.0278605222702026E-2</v>
      </c>
      <c r="I190" s="8"/>
      <c r="J190" s="8">
        <v>0.19366990029811859</v>
      </c>
      <c r="K190" s="8">
        <v>0.13821713626384735</v>
      </c>
      <c r="L190" s="8">
        <v>19629590</v>
      </c>
      <c r="M190" t="s">
        <v>1052</v>
      </c>
    </row>
    <row r="191" spans="2:13">
      <c r="B191" t="s">
        <v>21</v>
      </c>
      <c r="C191" s="8">
        <v>2017</v>
      </c>
      <c r="D191" s="8">
        <v>1</v>
      </c>
      <c r="E191" s="8">
        <v>0.56177216768264771</v>
      </c>
      <c r="F191" s="8">
        <v>2.5000888854265213E-2</v>
      </c>
      <c r="G191" s="8">
        <v>0</v>
      </c>
      <c r="H191" s="8">
        <v>0.16088111698627472</v>
      </c>
      <c r="I191" s="8">
        <v>0.20876410603523254</v>
      </c>
      <c r="J191" s="8">
        <v>0.33296388387680054</v>
      </c>
      <c r="K191" s="8">
        <v>5.9484243392944336E-2</v>
      </c>
      <c r="L191" s="8">
        <v>19629590</v>
      </c>
      <c r="M191" t="s">
        <v>1052</v>
      </c>
    </row>
    <row r="192" spans="2:13">
      <c r="B192" t="s">
        <v>21</v>
      </c>
      <c r="C192" s="8">
        <v>2017</v>
      </c>
      <c r="D192" s="8">
        <v>2</v>
      </c>
      <c r="E192" s="8">
        <v>0.54593420028686523</v>
      </c>
      <c r="F192" s="8">
        <v>2.934994176030159E-2</v>
      </c>
      <c r="G192" s="8">
        <v>0</v>
      </c>
      <c r="H192" s="8">
        <v>0.14240583777427673</v>
      </c>
      <c r="I192" s="8">
        <v>0.18551413714885712</v>
      </c>
      <c r="J192" s="8">
        <v>0.31879115104675293</v>
      </c>
      <c r="K192" s="8">
        <v>8.2614414393901825E-2</v>
      </c>
      <c r="L192" s="8">
        <v>19629590</v>
      </c>
      <c r="M192" t="s">
        <v>1052</v>
      </c>
    </row>
    <row r="193" spans="2:13">
      <c r="B193" t="s">
        <v>21</v>
      </c>
      <c r="C193" s="8">
        <v>2017</v>
      </c>
      <c r="D193" s="8">
        <v>3</v>
      </c>
      <c r="E193" s="8">
        <v>0.51991832256317139</v>
      </c>
      <c r="F193" s="8">
        <v>4.6702105551958084E-2</v>
      </c>
      <c r="G193" s="8">
        <v>0</v>
      </c>
      <c r="H193" s="8">
        <v>8.5549771785736084E-2</v>
      </c>
      <c r="I193" s="8">
        <v>0.20131108164787292</v>
      </c>
      <c r="J193" s="8">
        <v>0.18454994261264801</v>
      </c>
      <c r="K193" s="8">
        <v>0.15011373162269592</v>
      </c>
      <c r="L193" s="8">
        <v>19629590</v>
      </c>
      <c r="M193" t="s">
        <v>1052</v>
      </c>
    </row>
    <row r="194" spans="2:13">
      <c r="B194" t="s">
        <v>21</v>
      </c>
      <c r="C194" s="8">
        <v>2020</v>
      </c>
      <c r="D194" s="8">
        <v>1</v>
      </c>
      <c r="E194" s="8">
        <v>0.54957836866378784</v>
      </c>
      <c r="F194" s="8">
        <v>4.3960101902484894E-2</v>
      </c>
      <c r="G194" s="8">
        <v>0</v>
      </c>
      <c r="H194" s="8">
        <v>0.1427888423204422</v>
      </c>
      <c r="I194" s="8"/>
      <c r="J194" s="8">
        <v>0.26180383563041687</v>
      </c>
      <c r="K194" s="8">
        <v>5.197746679186821E-2</v>
      </c>
      <c r="L194" s="8">
        <v>19629590</v>
      </c>
      <c r="M194" t="s">
        <v>1052</v>
      </c>
    </row>
    <row r="195" spans="2:13">
      <c r="B195" t="s">
        <v>21</v>
      </c>
      <c r="C195" s="8">
        <v>2020</v>
      </c>
      <c r="D195" s="8">
        <v>2</v>
      </c>
      <c r="E195" s="8">
        <v>0.55929529666900635</v>
      </c>
      <c r="F195" s="8">
        <v>4.7584068030118942E-2</v>
      </c>
      <c r="G195" s="8">
        <v>0</v>
      </c>
      <c r="H195" s="8">
        <v>0.13993026316165924</v>
      </c>
      <c r="I195" s="8"/>
      <c r="J195" s="8">
        <v>0.28284779191017151</v>
      </c>
      <c r="K195" s="8">
        <v>9.5945201814174652E-2</v>
      </c>
      <c r="L195" s="8">
        <v>19629590</v>
      </c>
      <c r="M195" t="s">
        <v>1052</v>
      </c>
    </row>
    <row r="196" spans="2:13">
      <c r="B196" t="s">
        <v>21</v>
      </c>
      <c r="C196" s="8">
        <v>2020</v>
      </c>
      <c r="D196" s="8">
        <v>3</v>
      </c>
      <c r="E196" s="8">
        <v>0.5352669358253479</v>
      </c>
      <c r="F196" s="8">
        <v>6.5674327313899994E-2</v>
      </c>
      <c r="G196" s="8">
        <v>0</v>
      </c>
      <c r="H196" s="8">
        <v>9.737665206193924E-2</v>
      </c>
      <c r="I196" s="8"/>
      <c r="J196" s="8">
        <v>0.18459682166576385</v>
      </c>
      <c r="K196" s="8">
        <v>0.15512068569660187</v>
      </c>
      <c r="L196" s="8">
        <v>19629590</v>
      </c>
      <c r="M196" t="s">
        <v>1052</v>
      </c>
    </row>
    <row r="197" spans="2:13">
      <c r="B197" t="s">
        <v>21</v>
      </c>
      <c r="C197" s="8">
        <v>2022</v>
      </c>
      <c r="D197" s="8">
        <v>1</v>
      </c>
      <c r="E197" s="8">
        <v>0.54256945848464966</v>
      </c>
      <c r="F197" s="8">
        <v>5.3428236395120621E-2</v>
      </c>
      <c r="G197" s="8">
        <v>0</v>
      </c>
      <c r="H197" s="8">
        <v>0.17382089793682098</v>
      </c>
      <c r="I197" s="8">
        <v>0.29316157102584839</v>
      </c>
      <c r="J197" s="8">
        <v>0.31529194116592407</v>
      </c>
      <c r="K197" s="8">
        <v>4.298689216375351E-2</v>
      </c>
      <c r="L197" s="8">
        <v>19629590</v>
      </c>
      <c r="M197" t="s">
        <v>1052</v>
      </c>
    </row>
    <row r="198" spans="2:13">
      <c r="B198" t="s">
        <v>21</v>
      </c>
      <c r="C198" s="8">
        <v>2022</v>
      </c>
      <c r="D198" s="8">
        <v>2</v>
      </c>
      <c r="E198" s="8">
        <v>0.54883402585983276</v>
      </c>
      <c r="F198" s="8">
        <v>7.7227130532264709E-2</v>
      </c>
      <c r="G198" s="8">
        <v>0</v>
      </c>
      <c r="H198" s="8">
        <v>0.14222069084644318</v>
      </c>
      <c r="I198" s="8">
        <v>0.29759103059768677</v>
      </c>
      <c r="J198" s="8">
        <v>0.30539363622665405</v>
      </c>
      <c r="K198" s="8">
        <v>7.9250402748584747E-2</v>
      </c>
      <c r="L198" s="8">
        <v>19629590</v>
      </c>
      <c r="M198" t="s">
        <v>1052</v>
      </c>
    </row>
    <row r="199" spans="2:13">
      <c r="B199" t="s">
        <v>21</v>
      </c>
      <c r="C199" s="8">
        <v>2022</v>
      </c>
      <c r="D199" s="8">
        <v>3</v>
      </c>
      <c r="E199" s="8">
        <v>0.5022396445274353</v>
      </c>
      <c r="F199" s="8">
        <v>8.9207284152507782E-2</v>
      </c>
      <c r="G199" s="8">
        <v>0</v>
      </c>
      <c r="H199" s="8">
        <v>9.5804214477539063E-2</v>
      </c>
      <c r="I199" s="8">
        <v>0.28649410605430603</v>
      </c>
      <c r="J199" s="8">
        <v>0.18759448826313019</v>
      </c>
      <c r="K199" s="8">
        <v>0.13948696851730347</v>
      </c>
      <c r="L199" s="8">
        <v>19629590</v>
      </c>
      <c r="M199" t="s">
        <v>1052</v>
      </c>
    </row>
    <row r="200" spans="2:13">
      <c r="B200" t="s">
        <v>23</v>
      </c>
      <c r="C200" s="8">
        <v>2003</v>
      </c>
      <c r="D200" s="8">
        <v>1</v>
      </c>
      <c r="E200" s="8">
        <v>0.50853157043457031</v>
      </c>
      <c r="F200" s="8"/>
      <c r="G200" s="8"/>
      <c r="H200" s="8"/>
      <c r="I200" s="8"/>
      <c r="J200" s="8">
        <v>0.44298282265663147</v>
      </c>
      <c r="K200" s="8">
        <v>5.090457946062088E-2</v>
      </c>
      <c r="L200" s="8">
        <v>52085168</v>
      </c>
      <c r="M200" t="s">
        <v>1052</v>
      </c>
    </row>
    <row r="201" spans="2:13">
      <c r="B201" t="s">
        <v>23</v>
      </c>
      <c r="C201" s="8">
        <v>2003</v>
      </c>
      <c r="D201" s="8">
        <v>2</v>
      </c>
      <c r="E201" s="8">
        <v>0.4983254075050354</v>
      </c>
      <c r="F201" s="8"/>
      <c r="G201" s="8"/>
      <c r="H201" s="8"/>
      <c r="I201" s="8"/>
      <c r="J201" s="8">
        <v>0.33223548531532288</v>
      </c>
      <c r="K201" s="8">
        <v>5.2682172507047653E-2</v>
      </c>
      <c r="L201" s="8">
        <v>52085168</v>
      </c>
      <c r="M201" t="s">
        <v>1052</v>
      </c>
    </row>
    <row r="202" spans="2:13">
      <c r="B202" t="s">
        <v>23</v>
      </c>
      <c r="C202" s="8">
        <v>2003</v>
      </c>
      <c r="D202" s="8">
        <v>3</v>
      </c>
      <c r="E202" s="8">
        <v>0.51224088668823242</v>
      </c>
      <c r="F202" s="8"/>
      <c r="G202" s="8"/>
      <c r="H202" s="8"/>
      <c r="I202" s="8"/>
      <c r="J202" s="8">
        <v>0.22199396789073944</v>
      </c>
      <c r="K202" s="8">
        <v>7.518729567527771E-2</v>
      </c>
      <c r="L202" s="8">
        <v>52085168</v>
      </c>
      <c r="M202" t="s">
        <v>1052</v>
      </c>
    </row>
    <row r="203" spans="2:13">
      <c r="B203" t="s">
        <v>23</v>
      </c>
      <c r="C203" s="8">
        <v>2004</v>
      </c>
      <c r="D203" s="8">
        <v>1</v>
      </c>
      <c r="E203" s="8">
        <v>0.51006424427032471</v>
      </c>
      <c r="F203" s="8"/>
      <c r="G203" s="8"/>
      <c r="H203" s="8"/>
      <c r="I203" s="8"/>
      <c r="J203" s="8">
        <v>0.43691748380661011</v>
      </c>
      <c r="K203" s="8">
        <v>5.3257197141647339E-2</v>
      </c>
      <c r="L203" s="8">
        <v>52085168</v>
      </c>
      <c r="M203" t="s">
        <v>1052</v>
      </c>
    </row>
    <row r="204" spans="2:13">
      <c r="B204" t="s">
        <v>23</v>
      </c>
      <c r="C204" s="8">
        <v>2004</v>
      </c>
      <c r="D204" s="8">
        <v>2</v>
      </c>
      <c r="E204" s="8">
        <v>0.5011744499206543</v>
      </c>
      <c r="F204" s="8"/>
      <c r="G204" s="8"/>
      <c r="H204" s="8"/>
      <c r="I204" s="8"/>
      <c r="J204" s="8">
        <v>0.32058072090148926</v>
      </c>
      <c r="K204" s="8">
        <v>6.0301847755908966E-2</v>
      </c>
      <c r="L204" s="8">
        <v>52085168</v>
      </c>
      <c r="M204" t="s">
        <v>1052</v>
      </c>
    </row>
    <row r="205" spans="2:13">
      <c r="B205" t="s">
        <v>23</v>
      </c>
      <c r="C205" s="8">
        <v>2004</v>
      </c>
      <c r="D205" s="8">
        <v>3</v>
      </c>
      <c r="E205" s="8">
        <v>0.50778424739837646</v>
      </c>
      <c r="F205" s="8"/>
      <c r="G205" s="8"/>
      <c r="H205" s="8"/>
      <c r="I205" s="8"/>
      <c r="J205" s="8">
        <v>0.21588294208049774</v>
      </c>
      <c r="K205" s="8">
        <v>7.3608376085758209E-2</v>
      </c>
      <c r="L205" s="8">
        <v>52085168</v>
      </c>
      <c r="M205" t="s">
        <v>1052</v>
      </c>
    </row>
    <row r="206" spans="2:13">
      <c r="B206" t="s">
        <v>23</v>
      </c>
      <c r="C206" s="8">
        <v>2005</v>
      </c>
      <c r="D206" s="8">
        <v>1</v>
      </c>
      <c r="E206" s="8">
        <v>0.50863903760910034</v>
      </c>
      <c r="F206" s="8"/>
      <c r="G206" s="8"/>
      <c r="H206" s="8"/>
      <c r="I206" s="8"/>
      <c r="J206" s="8">
        <v>0.43861761689186096</v>
      </c>
      <c r="K206" s="8">
        <v>5.6599430739879608E-2</v>
      </c>
      <c r="L206" s="8">
        <v>52085168</v>
      </c>
      <c r="M206" t="s">
        <v>1052</v>
      </c>
    </row>
    <row r="207" spans="2:13">
      <c r="B207" t="s">
        <v>23</v>
      </c>
      <c r="C207" s="8">
        <v>2005</v>
      </c>
      <c r="D207" s="8">
        <v>2</v>
      </c>
      <c r="E207" s="8">
        <v>0.50506877899169922</v>
      </c>
      <c r="F207" s="8"/>
      <c r="G207" s="8"/>
      <c r="H207" s="8"/>
      <c r="I207" s="8"/>
      <c r="J207" s="8">
        <v>0.34264940023422241</v>
      </c>
      <c r="K207" s="8">
        <v>5.3180679678916931E-2</v>
      </c>
      <c r="L207" s="8">
        <v>52085168</v>
      </c>
      <c r="M207" t="s">
        <v>1052</v>
      </c>
    </row>
    <row r="208" spans="2:13">
      <c r="B208" t="s">
        <v>23</v>
      </c>
      <c r="C208" s="8">
        <v>2005</v>
      </c>
      <c r="D208" s="8">
        <v>3</v>
      </c>
      <c r="E208" s="8">
        <v>0.50608927011489868</v>
      </c>
      <c r="F208" s="8"/>
      <c r="G208" s="8"/>
      <c r="H208" s="8"/>
      <c r="I208" s="8"/>
      <c r="J208" s="8">
        <v>0.21821871399879456</v>
      </c>
      <c r="K208" s="8">
        <v>7.6590217649936676E-2</v>
      </c>
      <c r="L208" s="8">
        <v>52085168</v>
      </c>
      <c r="M208" t="s">
        <v>1052</v>
      </c>
    </row>
    <row r="209" spans="2:13">
      <c r="B209" t="s">
        <v>23</v>
      </c>
      <c r="C209" s="8">
        <v>2006</v>
      </c>
      <c r="D209" s="8">
        <v>1</v>
      </c>
      <c r="E209" s="8">
        <v>0.5194745659828186</v>
      </c>
      <c r="F209" s="8"/>
      <c r="G209" s="8">
        <v>6.1791304498910904E-2</v>
      </c>
      <c r="H209" s="8">
        <v>4.6676933765411377E-2</v>
      </c>
      <c r="I209" s="8"/>
      <c r="J209" s="8">
        <v>0.39440268278121948</v>
      </c>
      <c r="K209" s="8">
        <v>6.2500543892383575E-2</v>
      </c>
      <c r="L209" s="8">
        <v>52085168</v>
      </c>
      <c r="M209" t="s">
        <v>1052</v>
      </c>
    </row>
    <row r="210" spans="2:13">
      <c r="B210" t="s">
        <v>23</v>
      </c>
      <c r="C210" s="8">
        <v>2006</v>
      </c>
      <c r="D210" s="8">
        <v>2</v>
      </c>
      <c r="E210" s="8">
        <v>0.51287287473678589</v>
      </c>
      <c r="F210" s="8"/>
      <c r="G210" s="8">
        <v>5.6411687284708023E-2</v>
      </c>
      <c r="H210" s="8">
        <v>1.477229967713356E-2</v>
      </c>
      <c r="I210" s="8"/>
      <c r="J210" s="8">
        <v>0.3336186408996582</v>
      </c>
      <c r="K210" s="8">
        <v>5.7527586817741394E-2</v>
      </c>
      <c r="L210" s="8">
        <v>52085168</v>
      </c>
      <c r="M210" t="s">
        <v>1052</v>
      </c>
    </row>
    <row r="211" spans="2:13">
      <c r="B211" t="s">
        <v>23</v>
      </c>
      <c r="C211" s="8">
        <v>2006</v>
      </c>
      <c r="D211" s="8">
        <v>3</v>
      </c>
      <c r="E211" s="8">
        <v>0.52203816175460815</v>
      </c>
      <c r="F211" s="8"/>
      <c r="G211" s="8">
        <v>5.8511935174465179E-2</v>
      </c>
      <c r="H211" s="8">
        <v>9.0314829722046852E-3</v>
      </c>
      <c r="I211" s="8"/>
      <c r="J211" s="8">
        <v>0.24318219721317291</v>
      </c>
      <c r="K211" s="8">
        <v>5.5064164102077484E-2</v>
      </c>
      <c r="L211" s="8">
        <v>52085168</v>
      </c>
      <c r="M211" t="s">
        <v>1052</v>
      </c>
    </row>
    <row r="212" spans="2:13">
      <c r="B212" t="s">
        <v>23</v>
      </c>
      <c r="C212" s="8">
        <v>2007</v>
      </c>
      <c r="D212" s="8">
        <v>1</v>
      </c>
      <c r="E212" s="8">
        <v>0.52754497528076172</v>
      </c>
      <c r="F212" s="8"/>
      <c r="G212" s="8">
        <v>7.4425607919692993E-2</v>
      </c>
      <c r="H212" s="8">
        <v>5.4681938141584396E-2</v>
      </c>
      <c r="I212" s="8"/>
      <c r="J212" s="8">
        <v>0.38378098607063293</v>
      </c>
      <c r="K212" s="8">
        <v>9.1658301651477814E-2</v>
      </c>
      <c r="L212" s="8">
        <v>52085168</v>
      </c>
      <c r="M212" t="s">
        <v>1052</v>
      </c>
    </row>
    <row r="213" spans="2:13">
      <c r="B213" t="s">
        <v>23</v>
      </c>
      <c r="C213" s="8">
        <v>2007</v>
      </c>
      <c r="D213" s="8">
        <v>2</v>
      </c>
      <c r="E213" s="8">
        <v>0.51376825571060181</v>
      </c>
      <c r="F213" s="8"/>
      <c r="G213" s="8">
        <v>7.2550900280475616E-2</v>
      </c>
      <c r="H213" s="8">
        <v>1.8122715875506401E-2</v>
      </c>
      <c r="I213" s="8"/>
      <c r="J213" s="8">
        <v>0.33683258295059204</v>
      </c>
      <c r="K213" s="8">
        <v>5.7763352990150452E-2</v>
      </c>
      <c r="L213" s="8">
        <v>52085168</v>
      </c>
      <c r="M213" t="s">
        <v>1052</v>
      </c>
    </row>
    <row r="214" spans="2:13">
      <c r="B214" t="s">
        <v>23</v>
      </c>
      <c r="C214" s="8">
        <v>2007</v>
      </c>
      <c r="D214" s="8">
        <v>3</v>
      </c>
      <c r="E214" s="8">
        <v>0.51866060495376587</v>
      </c>
      <c r="F214" s="8"/>
      <c r="G214" s="8">
        <v>4.0883179754018784E-2</v>
      </c>
      <c r="H214" s="8">
        <v>1.051741000264883E-2</v>
      </c>
      <c r="I214" s="8"/>
      <c r="J214" s="8">
        <v>0.23010382056236267</v>
      </c>
      <c r="K214" s="8">
        <v>5.5619429796934128E-2</v>
      </c>
      <c r="L214" s="8">
        <v>52085168</v>
      </c>
      <c r="M214" t="s">
        <v>1052</v>
      </c>
    </row>
    <row r="215" spans="2:13">
      <c r="B215" t="s">
        <v>23</v>
      </c>
      <c r="C215" s="8">
        <v>2008</v>
      </c>
      <c r="D215" s="8">
        <v>1</v>
      </c>
      <c r="E215" s="8">
        <v>0.51220113039016724</v>
      </c>
      <c r="F215" s="8"/>
      <c r="G215" s="8"/>
      <c r="H215" s="8"/>
      <c r="I215" s="8"/>
      <c r="J215" s="8">
        <v>0.43673300743103027</v>
      </c>
      <c r="K215" s="8">
        <v>5.7688046246767044E-2</v>
      </c>
      <c r="L215" s="8">
        <v>52085168</v>
      </c>
      <c r="M215" t="s">
        <v>1052</v>
      </c>
    </row>
    <row r="216" spans="2:13">
      <c r="B216" t="s">
        <v>23</v>
      </c>
      <c r="C216" s="8">
        <v>2008</v>
      </c>
      <c r="D216" s="8">
        <v>2</v>
      </c>
      <c r="E216" s="8">
        <v>0.50336349010467529</v>
      </c>
      <c r="F216" s="8"/>
      <c r="G216" s="8"/>
      <c r="H216" s="8"/>
      <c r="I216" s="8"/>
      <c r="J216" s="8">
        <v>0.34905490279197693</v>
      </c>
      <c r="K216" s="8">
        <v>5.7255227118730545E-2</v>
      </c>
      <c r="L216" s="8">
        <v>52085168</v>
      </c>
      <c r="M216" t="s">
        <v>1052</v>
      </c>
    </row>
    <row r="217" spans="2:13">
      <c r="B217" t="s">
        <v>23</v>
      </c>
      <c r="C217" s="8">
        <v>2008</v>
      </c>
      <c r="D217" s="8">
        <v>3</v>
      </c>
      <c r="E217" s="8">
        <v>0.50452315807342529</v>
      </c>
      <c r="F217" s="8"/>
      <c r="G217" s="8"/>
      <c r="H217" s="8"/>
      <c r="I217" s="8"/>
      <c r="J217" s="8">
        <v>0.22323255240917206</v>
      </c>
      <c r="K217" s="8">
        <v>7.8969195485115051E-2</v>
      </c>
      <c r="L217" s="8">
        <v>52085168</v>
      </c>
      <c r="M217" t="s">
        <v>1052</v>
      </c>
    </row>
    <row r="218" spans="2:13">
      <c r="B218" t="s">
        <v>23</v>
      </c>
      <c r="C218" s="8">
        <v>2009</v>
      </c>
      <c r="D218" s="8">
        <v>1</v>
      </c>
      <c r="E218" s="8">
        <v>0.5132872462272644</v>
      </c>
      <c r="F218" s="8"/>
      <c r="G218" s="8"/>
      <c r="H218" s="8"/>
      <c r="I218" s="8"/>
      <c r="J218" s="8">
        <v>0.4330776035785675</v>
      </c>
      <c r="K218" s="8">
        <v>6.1188992112874985E-2</v>
      </c>
      <c r="L218" s="8">
        <v>52085168</v>
      </c>
      <c r="M218" t="s">
        <v>1052</v>
      </c>
    </row>
    <row r="219" spans="2:13">
      <c r="B219" t="s">
        <v>23</v>
      </c>
      <c r="C219" s="8">
        <v>2009</v>
      </c>
      <c r="D219" s="8">
        <v>2</v>
      </c>
      <c r="E219" s="8">
        <v>0.50622934103012085</v>
      </c>
      <c r="F219" s="8"/>
      <c r="G219" s="8"/>
      <c r="H219" s="8"/>
      <c r="I219" s="8"/>
      <c r="J219" s="8">
        <v>0.34506091475486755</v>
      </c>
      <c r="K219" s="8">
        <v>5.6475114077329636E-2</v>
      </c>
      <c r="L219" s="8">
        <v>52085168</v>
      </c>
      <c r="M219" t="s">
        <v>1052</v>
      </c>
    </row>
    <row r="220" spans="2:13">
      <c r="B220" t="s">
        <v>23</v>
      </c>
      <c r="C220" s="8">
        <v>2009</v>
      </c>
      <c r="D220" s="8">
        <v>3</v>
      </c>
      <c r="E220" s="8">
        <v>0.50313663482666016</v>
      </c>
      <c r="F220" s="8"/>
      <c r="G220" s="8"/>
      <c r="H220" s="8"/>
      <c r="I220" s="8"/>
      <c r="J220" s="8">
        <v>0.22098743915557861</v>
      </c>
      <c r="K220" s="8">
        <v>7.589837908744812E-2</v>
      </c>
      <c r="L220" s="8">
        <v>52085168</v>
      </c>
      <c r="M220" t="s">
        <v>1052</v>
      </c>
    </row>
    <row r="221" spans="2:13">
      <c r="B221" t="s">
        <v>23</v>
      </c>
      <c r="C221" s="8">
        <v>2010</v>
      </c>
      <c r="D221" s="8">
        <v>1</v>
      </c>
      <c r="E221" s="8">
        <v>0.5123436450958252</v>
      </c>
      <c r="F221" s="8"/>
      <c r="G221" s="8"/>
      <c r="H221" s="8"/>
      <c r="I221" s="8"/>
      <c r="J221" s="8">
        <v>0.43246987462043762</v>
      </c>
      <c r="K221" s="8">
        <v>6.2574528157711029E-2</v>
      </c>
      <c r="L221" s="8">
        <v>52085168</v>
      </c>
      <c r="M221" t="s">
        <v>1052</v>
      </c>
    </row>
    <row r="222" spans="2:13">
      <c r="B222" t="s">
        <v>23</v>
      </c>
      <c r="C222" s="8">
        <v>2010</v>
      </c>
      <c r="D222" s="8">
        <v>2</v>
      </c>
      <c r="E222" s="8">
        <v>0.50511640310287476</v>
      </c>
      <c r="F222" s="8"/>
      <c r="G222" s="8"/>
      <c r="H222" s="8"/>
      <c r="I222" s="8"/>
      <c r="J222" s="8">
        <v>0.34673029184341431</v>
      </c>
      <c r="K222" s="8">
        <v>5.6997254490852356E-2</v>
      </c>
      <c r="L222" s="8">
        <v>52085168</v>
      </c>
      <c r="M222" t="s">
        <v>1052</v>
      </c>
    </row>
    <row r="223" spans="2:13">
      <c r="B223" t="s">
        <v>23</v>
      </c>
      <c r="C223" s="8">
        <v>2010</v>
      </c>
      <c r="D223" s="8">
        <v>3</v>
      </c>
      <c r="E223" s="8">
        <v>0.50434082746505737</v>
      </c>
      <c r="F223" s="8"/>
      <c r="G223" s="8"/>
      <c r="H223" s="8"/>
      <c r="I223" s="8"/>
      <c r="J223" s="8">
        <v>0.219014972448349</v>
      </c>
      <c r="K223" s="8">
        <v>7.7793225646018982E-2</v>
      </c>
      <c r="L223" s="8">
        <v>52085168</v>
      </c>
      <c r="M223" t="s">
        <v>1052</v>
      </c>
    </row>
    <row r="224" spans="2:13">
      <c r="B224" t="s">
        <v>23</v>
      </c>
      <c r="C224" s="8">
        <v>2011</v>
      </c>
      <c r="D224" s="8">
        <v>1</v>
      </c>
      <c r="E224" s="8">
        <v>0.51629549264907837</v>
      </c>
      <c r="F224" s="8"/>
      <c r="G224" s="8"/>
      <c r="H224" s="8"/>
      <c r="I224" s="8"/>
      <c r="J224" s="8">
        <v>0.43052536249160767</v>
      </c>
      <c r="K224" s="8">
        <v>6.16738460958004E-2</v>
      </c>
      <c r="L224" s="8">
        <v>52085168</v>
      </c>
      <c r="M224" t="s">
        <v>1052</v>
      </c>
    </row>
    <row r="225" spans="2:13">
      <c r="B225" t="s">
        <v>23</v>
      </c>
      <c r="C225" s="8">
        <v>2011</v>
      </c>
      <c r="D225" s="8">
        <v>2</v>
      </c>
      <c r="E225" s="8">
        <v>0.50676482915878296</v>
      </c>
      <c r="F225" s="8"/>
      <c r="G225" s="8"/>
      <c r="H225" s="8"/>
      <c r="I225" s="8"/>
      <c r="J225" s="8">
        <v>0.35299155116081238</v>
      </c>
      <c r="K225" s="8">
        <v>5.9390056878328323E-2</v>
      </c>
      <c r="L225" s="8">
        <v>52085168</v>
      </c>
      <c r="M225" t="s">
        <v>1052</v>
      </c>
    </row>
    <row r="226" spans="2:13">
      <c r="B226" t="s">
        <v>23</v>
      </c>
      <c r="C226" s="8">
        <v>2011</v>
      </c>
      <c r="D226" s="8">
        <v>3</v>
      </c>
      <c r="E226" s="8">
        <v>0.50245183706283569</v>
      </c>
      <c r="F226" s="8"/>
      <c r="G226" s="8"/>
      <c r="H226" s="8"/>
      <c r="I226" s="8"/>
      <c r="J226" s="8">
        <v>0.22124359011650085</v>
      </c>
      <c r="K226" s="8">
        <v>7.8797377645969391E-2</v>
      </c>
      <c r="L226" s="8">
        <v>52085168</v>
      </c>
      <c r="M226" t="s">
        <v>1052</v>
      </c>
    </row>
    <row r="227" spans="2:13">
      <c r="B227" t="s">
        <v>23</v>
      </c>
      <c r="C227" s="8">
        <v>2012</v>
      </c>
      <c r="D227" s="8">
        <v>1</v>
      </c>
      <c r="E227" s="8">
        <v>0.51889216899871826</v>
      </c>
      <c r="F227" s="8"/>
      <c r="G227" s="8"/>
      <c r="H227" s="8"/>
      <c r="I227" s="8"/>
      <c r="J227" s="8">
        <v>0.42608720064163208</v>
      </c>
      <c r="K227" s="8">
        <v>6.3733853399753571E-2</v>
      </c>
      <c r="L227" s="8">
        <v>52085168</v>
      </c>
      <c r="M227" t="s">
        <v>1052</v>
      </c>
    </row>
    <row r="228" spans="2:13">
      <c r="B228" t="s">
        <v>23</v>
      </c>
      <c r="C228" s="8">
        <v>2012</v>
      </c>
      <c r="D228" s="8">
        <v>2</v>
      </c>
      <c r="E228" s="8">
        <v>0.50622755289077759</v>
      </c>
      <c r="F228" s="8"/>
      <c r="G228" s="8"/>
      <c r="H228" s="8"/>
      <c r="I228" s="8"/>
      <c r="J228" s="8">
        <v>0.34707483649253845</v>
      </c>
      <c r="K228" s="8">
        <v>6.0694407671689987E-2</v>
      </c>
      <c r="L228" s="8">
        <v>52085168</v>
      </c>
      <c r="M228" t="s">
        <v>1052</v>
      </c>
    </row>
    <row r="229" spans="2:13">
      <c r="B229" t="s">
        <v>23</v>
      </c>
      <c r="C229" s="8">
        <v>2012</v>
      </c>
      <c r="D229" s="8">
        <v>3</v>
      </c>
      <c r="E229" s="8">
        <v>0.50168311595916748</v>
      </c>
      <c r="F229" s="8"/>
      <c r="G229" s="8"/>
      <c r="H229" s="8"/>
      <c r="I229" s="8"/>
      <c r="J229" s="8">
        <v>0.21985410153865814</v>
      </c>
      <c r="K229" s="8">
        <v>7.9068891704082489E-2</v>
      </c>
      <c r="L229" s="8">
        <v>52085168</v>
      </c>
      <c r="M229" t="s">
        <v>1052</v>
      </c>
    </row>
    <row r="230" spans="2:13">
      <c r="B230" t="s">
        <v>23</v>
      </c>
      <c r="C230" s="8">
        <v>2013</v>
      </c>
      <c r="D230" s="8">
        <v>1</v>
      </c>
      <c r="E230" s="8">
        <v>0.51835101842880249</v>
      </c>
      <c r="F230" s="8"/>
      <c r="G230" s="8"/>
      <c r="H230" s="8"/>
      <c r="I230" s="8"/>
      <c r="J230" s="8">
        <v>0.43078553676605225</v>
      </c>
      <c r="K230" s="8">
        <v>6.5952546894550323E-2</v>
      </c>
      <c r="L230" s="8">
        <v>52085168</v>
      </c>
      <c r="M230" t="s">
        <v>1052</v>
      </c>
    </row>
    <row r="231" spans="2:13">
      <c r="B231" t="s">
        <v>23</v>
      </c>
      <c r="C231" s="8">
        <v>2013</v>
      </c>
      <c r="D231" s="8">
        <v>2</v>
      </c>
      <c r="E231" s="8">
        <v>0.50998932123184204</v>
      </c>
      <c r="F231" s="8"/>
      <c r="G231" s="8"/>
      <c r="H231" s="8"/>
      <c r="I231" s="8"/>
      <c r="J231" s="8">
        <v>0.35212138295173645</v>
      </c>
      <c r="K231" s="8">
        <v>6.3760086894035339E-2</v>
      </c>
      <c r="L231" s="8">
        <v>52085168</v>
      </c>
      <c r="M231" t="s">
        <v>1052</v>
      </c>
    </row>
    <row r="232" spans="2:13">
      <c r="B232" t="s">
        <v>23</v>
      </c>
      <c r="C232" s="8">
        <v>2013</v>
      </c>
      <c r="D232" s="8">
        <v>3</v>
      </c>
      <c r="E232" s="8">
        <v>0.50109845399856567</v>
      </c>
      <c r="F232" s="8"/>
      <c r="G232" s="8"/>
      <c r="H232" s="8"/>
      <c r="I232" s="8"/>
      <c r="J232" s="8">
        <v>0.21676574647426605</v>
      </c>
      <c r="K232" s="8">
        <v>8.2807339727878571E-2</v>
      </c>
      <c r="L232" s="8">
        <v>52085168</v>
      </c>
      <c r="M232" t="s">
        <v>1052</v>
      </c>
    </row>
    <row r="233" spans="2:13">
      <c r="B233" t="s">
        <v>23</v>
      </c>
      <c r="C233" s="8">
        <v>2014</v>
      </c>
      <c r="D233" s="8">
        <v>1</v>
      </c>
      <c r="E233" s="8">
        <v>0.51765900850296021</v>
      </c>
      <c r="F233" s="8"/>
      <c r="G233" s="8">
        <v>0.12283810973167419</v>
      </c>
      <c r="H233" s="8">
        <v>4.9711871892213821E-2</v>
      </c>
      <c r="I233" s="8"/>
      <c r="J233" s="8">
        <v>0.42754420638084412</v>
      </c>
      <c r="K233" s="8">
        <v>6.8753205239772797E-2</v>
      </c>
      <c r="L233" s="8">
        <v>52085168</v>
      </c>
      <c r="M233" t="s">
        <v>1052</v>
      </c>
    </row>
    <row r="234" spans="2:13">
      <c r="B234" t="s">
        <v>23</v>
      </c>
      <c r="C234" s="8">
        <v>2014</v>
      </c>
      <c r="D234" s="8">
        <v>2</v>
      </c>
      <c r="E234" s="8">
        <v>0.50365006923675537</v>
      </c>
      <c r="F234" s="8"/>
      <c r="G234" s="8">
        <v>9.1775722801685333E-2</v>
      </c>
      <c r="H234" s="8">
        <v>1.8284309655427933E-2</v>
      </c>
      <c r="I234" s="8"/>
      <c r="J234" s="8">
        <v>0.35293453931808472</v>
      </c>
      <c r="K234" s="8">
        <v>6.7409344017505646E-2</v>
      </c>
      <c r="L234" s="8">
        <v>52085168</v>
      </c>
      <c r="M234" t="s">
        <v>1052</v>
      </c>
    </row>
    <row r="235" spans="2:13">
      <c r="B235" t="s">
        <v>23</v>
      </c>
      <c r="C235" s="8">
        <v>2014</v>
      </c>
      <c r="D235" s="8">
        <v>3</v>
      </c>
      <c r="E235" s="8">
        <v>0.50359708070755005</v>
      </c>
      <c r="F235" s="8"/>
      <c r="G235" s="8">
        <v>5.8379136025905609E-2</v>
      </c>
      <c r="H235" s="8">
        <v>1.1777307838201523E-2</v>
      </c>
      <c r="I235" s="8"/>
      <c r="J235" s="8">
        <v>0.21931220591068268</v>
      </c>
      <c r="K235" s="8">
        <v>8.2225464284420013E-2</v>
      </c>
      <c r="L235" s="8">
        <v>52085168</v>
      </c>
      <c r="M235" t="s">
        <v>1052</v>
      </c>
    </row>
    <row r="236" spans="2:13">
      <c r="B236" t="s">
        <v>23</v>
      </c>
      <c r="C236" s="8">
        <v>2015</v>
      </c>
      <c r="D236" s="8">
        <v>1</v>
      </c>
      <c r="E236" s="8">
        <v>0.51441311836242676</v>
      </c>
      <c r="F236" s="8">
        <v>3.3764303661882877E-3</v>
      </c>
      <c r="G236" s="8">
        <v>0.11418336629867554</v>
      </c>
      <c r="H236" s="8">
        <v>4.8757467418909073E-2</v>
      </c>
      <c r="I236" s="8"/>
      <c r="J236" s="8">
        <v>0.41781744360923767</v>
      </c>
      <c r="K236" s="8">
        <v>7.3591060936450958E-2</v>
      </c>
      <c r="L236" s="8">
        <v>52085168</v>
      </c>
      <c r="M236" t="s">
        <v>1052</v>
      </c>
    </row>
    <row r="237" spans="2:13">
      <c r="B237" t="s">
        <v>23</v>
      </c>
      <c r="C237" s="8">
        <v>2015</v>
      </c>
      <c r="D237" s="8">
        <v>2</v>
      </c>
      <c r="E237" s="8">
        <v>0.51364165544509888</v>
      </c>
      <c r="F237" s="8">
        <v>4.224853590130806E-3</v>
      </c>
      <c r="G237" s="8">
        <v>8.6496643722057343E-2</v>
      </c>
      <c r="H237" s="8">
        <v>2.686941996216774E-2</v>
      </c>
      <c r="I237" s="8"/>
      <c r="J237" s="8">
        <v>0.35791510343551636</v>
      </c>
      <c r="K237" s="8">
        <v>6.3075542449951172E-2</v>
      </c>
      <c r="L237" s="8">
        <v>52085168</v>
      </c>
      <c r="M237" t="s">
        <v>1052</v>
      </c>
    </row>
    <row r="238" spans="2:13">
      <c r="B238" t="s">
        <v>23</v>
      </c>
      <c r="C238" s="8">
        <v>2015</v>
      </c>
      <c r="D238" s="8">
        <v>3</v>
      </c>
      <c r="E238" s="8">
        <v>0.50118476152420044</v>
      </c>
      <c r="F238" s="8">
        <v>5.5494355037808418E-3</v>
      </c>
      <c r="G238" s="8">
        <v>6.5366156399250031E-2</v>
      </c>
      <c r="H238" s="8">
        <v>1.2929955497384071E-2</v>
      </c>
      <c r="I238" s="8"/>
      <c r="J238" s="8">
        <v>0.21425728499889374</v>
      </c>
      <c r="K238" s="8">
        <v>8.5554160177707672E-2</v>
      </c>
      <c r="L238" s="8">
        <v>52085168</v>
      </c>
      <c r="M238" t="s">
        <v>1052</v>
      </c>
    </row>
    <row r="239" spans="2:13">
      <c r="B239" t="s">
        <v>23</v>
      </c>
      <c r="C239" s="8">
        <v>2016</v>
      </c>
      <c r="D239" s="8">
        <v>1</v>
      </c>
      <c r="E239" s="8">
        <v>0.52170640230178833</v>
      </c>
      <c r="F239" s="8">
        <v>1.127726212143898E-2</v>
      </c>
      <c r="G239" s="8">
        <v>0.13742965459823608</v>
      </c>
      <c r="H239" s="8">
        <v>5.4308410733938217E-2</v>
      </c>
      <c r="I239" s="8"/>
      <c r="J239" s="8">
        <v>0.41023910045623779</v>
      </c>
      <c r="K239" s="8">
        <v>7.6923400163650513E-2</v>
      </c>
      <c r="L239" s="8">
        <v>52085168</v>
      </c>
      <c r="M239" t="s">
        <v>1052</v>
      </c>
    </row>
    <row r="240" spans="2:13">
      <c r="B240" t="s">
        <v>23</v>
      </c>
      <c r="C240" s="8">
        <v>2016</v>
      </c>
      <c r="D240" s="8">
        <v>2</v>
      </c>
      <c r="E240" s="8">
        <v>0.50689291954040527</v>
      </c>
      <c r="F240" s="8">
        <v>4.7699245624244213E-3</v>
      </c>
      <c r="G240" s="8">
        <v>0.1098320335149765</v>
      </c>
      <c r="H240" s="8">
        <v>2.2609945386648178E-2</v>
      </c>
      <c r="I240" s="8"/>
      <c r="J240" s="8">
        <v>0.35200509428977966</v>
      </c>
      <c r="K240" s="8">
        <v>6.4811103045940399E-2</v>
      </c>
      <c r="L240" s="8">
        <v>52085168</v>
      </c>
      <c r="M240" t="s">
        <v>1052</v>
      </c>
    </row>
    <row r="241" spans="2:13">
      <c r="B241" t="s">
        <v>23</v>
      </c>
      <c r="C241" s="8">
        <v>2016</v>
      </c>
      <c r="D241" s="8">
        <v>3</v>
      </c>
      <c r="E241" s="8">
        <v>0.501933753490448</v>
      </c>
      <c r="F241" s="8">
        <v>4.8636025749146938E-3</v>
      </c>
      <c r="G241" s="8">
        <v>8.0514028668403625E-2</v>
      </c>
      <c r="H241" s="8">
        <v>1.2878277339041233E-2</v>
      </c>
      <c r="I241" s="8"/>
      <c r="J241" s="8">
        <v>0.21022707223892212</v>
      </c>
      <c r="K241" s="8">
        <v>9.0812884271144867E-2</v>
      </c>
      <c r="L241" s="8">
        <v>52085168</v>
      </c>
      <c r="M241" t="s">
        <v>1052</v>
      </c>
    </row>
    <row r="242" spans="2:13">
      <c r="B242" t="s">
        <v>23</v>
      </c>
      <c r="C242" s="8">
        <v>2017</v>
      </c>
      <c r="D242" s="8">
        <v>1</v>
      </c>
      <c r="E242" s="8">
        <v>0.520912766456604</v>
      </c>
      <c r="F242" s="8">
        <v>1.1800490319728851E-2</v>
      </c>
      <c r="G242" s="8">
        <v>0.12551878392696381</v>
      </c>
      <c r="H242" s="8">
        <v>6.2460672110319138E-2</v>
      </c>
      <c r="I242" s="8"/>
      <c r="J242" s="8">
        <v>0.4118761420249939</v>
      </c>
      <c r="K242" s="8">
        <v>7.5346283614635468E-2</v>
      </c>
      <c r="L242" s="8">
        <v>52085168</v>
      </c>
      <c r="M242" t="s">
        <v>1052</v>
      </c>
    </row>
    <row r="243" spans="2:13">
      <c r="B243" t="s">
        <v>23</v>
      </c>
      <c r="C243" s="8">
        <v>2017</v>
      </c>
      <c r="D243" s="8">
        <v>2</v>
      </c>
      <c r="E243" s="8">
        <v>0.5135962963104248</v>
      </c>
      <c r="F243" s="8">
        <v>1.8494926393032074E-2</v>
      </c>
      <c r="G243" s="8">
        <v>0.10066515952348709</v>
      </c>
      <c r="H243" s="8">
        <v>2.7408136054873466E-2</v>
      </c>
      <c r="I243" s="8"/>
      <c r="J243" s="8">
        <v>0.34372600913047791</v>
      </c>
      <c r="K243" s="8">
        <v>6.9113001227378845E-2</v>
      </c>
      <c r="L243" s="8">
        <v>52085168</v>
      </c>
      <c r="M243" t="s">
        <v>1052</v>
      </c>
    </row>
    <row r="244" spans="2:13">
      <c r="B244" t="s">
        <v>23</v>
      </c>
      <c r="C244" s="8">
        <v>2017</v>
      </c>
      <c r="D244" s="8">
        <v>3</v>
      </c>
      <c r="E244" s="8">
        <v>0.49953597784042358</v>
      </c>
      <c r="F244" s="8">
        <v>8.8271554559469223E-3</v>
      </c>
      <c r="G244" s="8">
        <v>7.3115631937980652E-2</v>
      </c>
      <c r="H244" s="8">
        <v>1.2922144494950771E-2</v>
      </c>
      <c r="I244" s="8"/>
      <c r="J244" s="8">
        <v>0.20836128294467926</v>
      </c>
      <c r="K244" s="8">
        <v>9.3495696783065796E-2</v>
      </c>
      <c r="L244" s="8">
        <v>52085168</v>
      </c>
      <c r="M244" t="s">
        <v>1052</v>
      </c>
    </row>
    <row r="245" spans="2:13">
      <c r="B245" t="s">
        <v>23</v>
      </c>
      <c r="C245" s="8">
        <v>2018</v>
      </c>
      <c r="D245" s="8">
        <v>1</v>
      </c>
      <c r="E245" s="8">
        <v>0.52102100849151611</v>
      </c>
      <c r="F245" s="8">
        <v>3.2669726759195328E-2</v>
      </c>
      <c r="G245" s="8">
        <v>0.13647556304931641</v>
      </c>
      <c r="H245" s="8">
        <v>5.8877281844615936E-2</v>
      </c>
      <c r="I245" s="8"/>
      <c r="J245" s="8">
        <v>0.40834769606590271</v>
      </c>
      <c r="K245" s="8">
        <v>7.1764610707759857E-2</v>
      </c>
      <c r="L245" s="8">
        <v>52085168</v>
      </c>
      <c r="M245" t="s">
        <v>1052</v>
      </c>
    </row>
    <row r="246" spans="2:13">
      <c r="B246" t="s">
        <v>23</v>
      </c>
      <c r="C246" s="8">
        <v>2018</v>
      </c>
      <c r="D246" s="8">
        <v>2</v>
      </c>
      <c r="E246" s="8">
        <v>0.5087285041809082</v>
      </c>
      <c r="F246" s="8">
        <v>3.5085514187812805E-2</v>
      </c>
      <c r="G246" s="8">
        <v>9.8807640373706818E-2</v>
      </c>
      <c r="H246" s="8">
        <v>2.5132263079285622E-2</v>
      </c>
      <c r="I246" s="8"/>
      <c r="J246" s="8">
        <v>0.34137076139450073</v>
      </c>
      <c r="K246" s="8">
        <v>6.5894439816474915E-2</v>
      </c>
      <c r="L246" s="8">
        <v>52085168</v>
      </c>
      <c r="M246" t="s">
        <v>1052</v>
      </c>
    </row>
    <row r="247" spans="2:13">
      <c r="B247" t="s">
        <v>23</v>
      </c>
      <c r="C247" s="8">
        <v>2018</v>
      </c>
      <c r="D247" s="8">
        <v>3</v>
      </c>
      <c r="E247" s="8">
        <v>0.50131738185882568</v>
      </c>
      <c r="F247" s="8">
        <v>2.3578273132443428E-2</v>
      </c>
      <c r="G247" s="8">
        <v>7.3306962847709656E-2</v>
      </c>
      <c r="H247" s="8">
        <v>1.3405870646238327E-2</v>
      </c>
      <c r="I247" s="8"/>
      <c r="J247" s="8">
        <v>0.2034391313791275</v>
      </c>
      <c r="K247" s="8">
        <v>9.4723351299762726E-2</v>
      </c>
      <c r="L247" s="8">
        <v>52085168</v>
      </c>
      <c r="M247" t="s">
        <v>1052</v>
      </c>
    </row>
    <row r="248" spans="2:13">
      <c r="B248" t="s">
        <v>23</v>
      </c>
      <c r="C248" s="8">
        <v>2019</v>
      </c>
      <c r="D248" s="8">
        <v>1</v>
      </c>
      <c r="E248" s="8">
        <v>0.51365184783935547</v>
      </c>
      <c r="F248" s="8">
        <v>5.3452819585800171E-2</v>
      </c>
      <c r="G248" s="8">
        <v>0.12769803404808044</v>
      </c>
      <c r="H248" s="8">
        <v>5.9387706220149994E-2</v>
      </c>
      <c r="I248" s="8"/>
      <c r="J248" s="8">
        <v>0.3944239616394043</v>
      </c>
      <c r="K248" s="8">
        <v>7.8053750097751617E-2</v>
      </c>
      <c r="L248" s="8">
        <v>52085168</v>
      </c>
      <c r="M248" t="s">
        <v>1052</v>
      </c>
    </row>
    <row r="249" spans="2:13">
      <c r="B249" t="s">
        <v>23</v>
      </c>
      <c r="C249" s="8">
        <v>2019</v>
      </c>
      <c r="D249" s="8">
        <v>2</v>
      </c>
      <c r="E249" s="8">
        <v>0.51129132509231567</v>
      </c>
      <c r="F249" s="8">
        <v>5.6691057980060577E-2</v>
      </c>
      <c r="G249" s="8">
        <v>9.1333605349063873E-2</v>
      </c>
      <c r="H249" s="8">
        <v>1.8900075927376747E-2</v>
      </c>
      <c r="I249" s="8"/>
      <c r="J249" s="8">
        <v>0.34028136730194092</v>
      </c>
      <c r="K249" s="8">
        <v>6.7151628434658051E-2</v>
      </c>
      <c r="L249" s="8">
        <v>52085168</v>
      </c>
      <c r="M249" t="s">
        <v>1052</v>
      </c>
    </row>
    <row r="250" spans="2:13">
      <c r="B250" t="s">
        <v>23</v>
      </c>
      <c r="C250" s="8">
        <v>2019</v>
      </c>
      <c r="D250" s="8">
        <v>3</v>
      </c>
      <c r="E250" s="8">
        <v>0.50251036882400513</v>
      </c>
      <c r="F250" s="8">
        <v>3.3099636435508728E-2</v>
      </c>
      <c r="G250" s="8">
        <v>6.4238734543323517E-2</v>
      </c>
      <c r="H250" s="8">
        <v>1.2633608654141426E-2</v>
      </c>
      <c r="I250" s="8"/>
      <c r="J250" s="8">
        <v>0.19972549378871918</v>
      </c>
      <c r="K250" s="8">
        <v>0.10103989392518997</v>
      </c>
      <c r="L250" s="8">
        <v>52085168</v>
      </c>
      <c r="M250" t="s">
        <v>1052</v>
      </c>
    </row>
    <row r="251" spans="2:13">
      <c r="B251" t="s">
        <v>23</v>
      </c>
      <c r="C251" s="8">
        <v>2020</v>
      </c>
      <c r="D251" s="8">
        <v>1</v>
      </c>
      <c r="E251" s="8">
        <v>0.51381903886795044</v>
      </c>
      <c r="F251" s="8">
        <v>6.4311861991882324E-2</v>
      </c>
      <c r="G251" s="8">
        <v>0.10773018002510071</v>
      </c>
      <c r="H251" s="8">
        <v>8.3499625325202942E-2</v>
      </c>
      <c r="I251" s="8"/>
      <c r="J251" s="8">
        <v>0.37725380063056946</v>
      </c>
      <c r="K251" s="8">
        <v>6.7968025803565979E-2</v>
      </c>
      <c r="L251" s="8">
        <v>52085168</v>
      </c>
      <c r="M251" t="s">
        <v>1052</v>
      </c>
    </row>
    <row r="252" spans="2:13">
      <c r="B252" t="s">
        <v>23</v>
      </c>
      <c r="C252" s="8">
        <v>2020</v>
      </c>
      <c r="D252" s="8">
        <v>2</v>
      </c>
      <c r="E252" s="8">
        <v>0.50563418865203857</v>
      </c>
      <c r="F252" s="8">
        <v>6.2845900654792786E-2</v>
      </c>
      <c r="G252" s="8">
        <v>7.7363811433315277E-2</v>
      </c>
      <c r="H252" s="8">
        <v>3.4886274486780167E-2</v>
      </c>
      <c r="I252" s="8"/>
      <c r="J252" s="8">
        <v>0.32444262504577637</v>
      </c>
      <c r="K252" s="8">
        <v>7.0977017283439636E-2</v>
      </c>
      <c r="L252" s="8">
        <v>52085168</v>
      </c>
      <c r="M252" t="s">
        <v>1052</v>
      </c>
    </row>
    <row r="253" spans="2:13">
      <c r="B253" t="s">
        <v>23</v>
      </c>
      <c r="C253" s="8">
        <v>2020</v>
      </c>
      <c r="D253" s="8">
        <v>3</v>
      </c>
      <c r="E253" s="8">
        <v>0.50431650876998901</v>
      </c>
      <c r="F253" s="8">
        <v>3.7511445581912994E-2</v>
      </c>
      <c r="G253" s="8">
        <v>5.846245214343071E-2</v>
      </c>
      <c r="H253" s="8">
        <v>2.0630298182368279E-2</v>
      </c>
      <c r="I253" s="8"/>
      <c r="J253" s="8">
        <v>0.19160279631614685</v>
      </c>
      <c r="K253" s="8">
        <v>0.10895265638828278</v>
      </c>
      <c r="L253" s="8">
        <v>52085168</v>
      </c>
      <c r="M253" t="s">
        <v>1052</v>
      </c>
    </row>
    <row r="254" spans="2:13">
      <c r="B254" t="s">
        <v>23</v>
      </c>
      <c r="C254" s="8">
        <v>2021</v>
      </c>
      <c r="D254" s="8">
        <v>1</v>
      </c>
      <c r="E254" s="8">
        <v>0.51990228891372681</v>
      </c>
      <c r="F254" s="8">
        <v>6.661958247423172E-2</v>
      </c>
      <c r="G254" s="8">
        <v>0.12710556387901306</v>
      </c>
      <c r="H254" s="8">
        <v>6.0040172189474106E-2</v>
      </c>
      <c r="I254" s="8"/>
      <c r="J254" s="8">
        <v>0.3889121413230896</v>
      </c>
      <c r="K254" s="8">
        <v>7.3231890797615051E-2</v>
      </c>
      <c r="L254" s="8">
        <v>52085168</v>
      </c>
      <c r="M254" t="s">
        <v>1052</v>
      </c>
    </row>
    <row r="255" spans="2:13">
      <c r="B255" t="s">
        <v>23</v>
      </c>
      <c r="C255" s="8">
        <v>2021</v>
      </c>
      <c r="D255" s="8">
        <v>2</v>
      </c>
      <c r="E255" s="8">
        <v>0.51093453168869019</v>
      </c>
      <c r="F255" s="8">
        <v>7.4036739766597748E-2</v>
      </c>
      <c r="G255" s="8">
        <v>8.4279455244541168E-2</v>
      </c>
      <c r="H255" s="8">
        <v>2.077426016330719E-2</v>
      </c>
      <c r="I255" s="8"/>
      <c r="J255" s="8">
        <v>0.32482865452766418</v>
      </c>
      <c r="K255" s="8">
        <v>7.1517400443553925E-2</v>
      </c>
      <c r="L255" s="8">
        <v>52085168</v>
      </c>
      <c r="M255" t="s">
        <v>1052</v>
      </c>
    </row>
    <row r="256" spans="2:13">
      <c r="B256" t="s">
        <v>23</v>
      </c>
      <c r="C256" s="8">
        <v>2021</v>
      </c>
      <c r="D256" s="8">
        <v>3</v>
      </c>
      <c r="E256" s="8">
        <v>0.50014936923980713</v>
      </c>
      <c r="F256" s="8">
        <v>4.6352237462997437E-2</v>
      </c>
      <c r="G256" s="8">
        <v>5.8177132159471512E-2</v>
      </c>
      <c r="H256" s="8">
        <v>1.1980097740888596E-2</v>
      </c>
      <c r="I256" s="8"/>
      <c r="J256" s="8">
        <v>0.18952074646949768</v>
      </c>
      <c r="K256" s="8">
        <v>0.10658625513315201</v>
      </c>
      <c r="L256" s="8">
        <v>52085168</v>
      </c>
      <c r="M256" t="s">
        <v>1052</v>
      </c>
    </row>
    <row r="257" spans="2:13">
      <c r="B257" t="s">
        <v>23</v>
      </c>
      <c r="C257" s="8">
        <v>2022</v>
      </c>
      <c r="D257" s="8">
        <v>1</v>
      </c>
      <c r="E257" s="8">
        <v>0.52836531400680542</v>
      </c>
      <c r="F257" s="8">
        <v>5.2490811794996262E-2</v>
      </c>
      <c r="G257" s="8">
        <v>0.12889556586742401</v>
      </c>
      <c r="H257" s="8">
        <v>0.11379832774400711</v>
      </c>
      <c r="I257" s="8">
        <v>0.18241031467914581</v>
      </c>
      <c r="J257" s="8">
        <v>0.36421653628349304</v>
      </c>
      <c r="K257" s="8">
        <v>9.7910545766353607E-2</v>
      </c>
      <c r="L257" s="8">
        <v>52085168</v>
      </c>
      <c r="M257" t="s">
        <v>1052</v>
      </c>
    </row>
    <row r="258" spans="2:13">
      <c r="B258" t="s">
        <v>23</v>
      </c>
      <c r="C258" s="8">
        <v>2022</v>
      </c>
      <c r="D258" s="8">
        <v>2</v>
      </c>
      <c r="E258" s="8">
        <v>0.51521027088165283</v>
      </c>
      <c r="F258" s="8">
        <v>6.8865381181240082E-2</v>
      </c>
      <c r="G258" s="8">
        <v>0.10223551094532013</v>
      </c>
      <c r="H258" s="8">
        <v>4.9578849226236343E-2</v>
      </c>
      <c r="I258" s="8">
        <v>0.15184742212295532</v>
      </c>
      <c r="J258" s="8">
        <v>0.30939683318138123</v>
      </c>
      <c r="K258" s="8">
        <v>7.8144431114196777E-2</v>
      </c>
      <c r="L258" s="8">
        <v>52085168</v>
      </c>
      <c r="M258" t="s">
        <v>1052</v>
      </c>
    </row>
    <row r="259" spans="2:13">
      <c r="B259" t="s">
        <v>23</v>
      </c>
      <c r="C259" s="8">
        <v>2022</v>
      </c>
      <c r="D259" s="8">
        <v>3</v>
      </c>
      <c r="E259" s="8">
        <v>0.50684267282485962</v>
      </c>
      <c r="F259" s="8">
        <v>4.1006084531545639E-2</v>
      </c>
      <c r="G259" s="8">
        <v>5.9236969798803329E-2</v>
      </c>
      <c r="H259" s="8">
        <v>1.9515026360750198E-2</v>
      </c>
      <c r="I259" s="8">
        <v>0.1475280374288559</v>
      </c>
      <c r="J259" s="8">
        <v>0.17885708808898926</v>
      </c>
      <c r="K259" s="8">
        <v>0.11312135308980942</v>
      </c>
      <c r="L259" s="8">
        <v>52085168</v>
      </c>
      <c r="M259" t="s">
        <v>1052</v>
      </c>
    </row>
    <row r="260" spans="2:13">
      <c r="B260" t="s">
        <v>25</v>
      </c>
      <c r="C260" s="8">
        <v>2003</v>
      </c>
      <c r="D260" s="8">
        <v>1</v>
      </c>
      <c r="E260" s="8">
        <v>0.53190702199935913</v>
      </c>
      <c r="F260" s="8"/>
      <c r="G260" s="8"/>
      <c r="H260" s="8"/>
      <c r="I260" s="8"/>
      <c r="J260" s="8">
        <v>0.45409855246543884</v>
      </c>
      <c r="K260" s="8">
        <v>7.5493402779102325E-2</v>
      </c>
      <c r="L260" s="8">
        <v>5212173</v>
      </c>
      <c r="M260" t="s">
        <v>1052</v>
      </c>
    </row>
    <row r="261" spans="2:13">
      <c r="B261" t="s">
        <v>25</v>
      </c>
      <c r="C261" s="8">
        <v>2003</v>
      </c>
      <c r="D261" s="8">
        <v>2</v>
      </c>
      <c r="E261" s="8">
        <v>0.51076048612594604</v>
      </c>
      <c r="F261" s="8"/>
      <c r="G261" s="8"/>
      <c r="H261" s="8"/>
      <c r="I261" s="8"/>
      <c r="J261" s="8">
        <v>0.41258329153060913</v>
      </c>
      <c r="K261" s="8">
        <v>5.6717026978731155E-2</v>
      </c>
      <c r="L261" s="8">
        <v>5212173</v>
      </c>
      <c r="M261" t="s">
        <v>1052</v>
      </c>
    </row>
    <row r="262" spans="2:13">
      <c r="B262" t="s">
        <v>25</v>
      </c>
      <c r="C262" s="8">
        <v>2003</v>
      </c>
      <c r="D262" s="8">
        <v>3</v>
      </c>
      <c r="E262" s="8">
        <v>0.50119966268539429</v>
      </c>
      <c r="F262" s="8"/>
      <c r="G262" s="8"/>
      <c r="H262" s="8"/>
      <c r="I262" s="8"/>
      <c r="J262" s="8">
        <v>0.26225900650024414</v>
      </c>
      <c r="K262" s="8">
        <v>5.7812429964542389E-2</v>
      </c>
      <c r="L262" s="8">
        <v>5212173</v>
      </c>
      <c r="M262" t="s">
        <v>1052</v>
      </c>
    </row>
    <row r="263" spans="2:13">
      <c r="B263" t="s">
        <v>25</v>
      </c>
      <c r="C263" s="8">
        <v>2004</v>
      </c>
      <c r="D263" s="8">
        <v>1</v>
      </c>
      <c r="E263" s="8">
        <v>0.52068012952804565</v>
      </c>
      <c r="F263" s="8"/>
      <c r="G263" s="8"/>
      <c r="H263" s="8"/>
      <c r="I263" s="8"/>
      <c r="J263" s="8">
        <v>0.4429764449596405</v>
      </c>
      <c r="K263" s="8">
        <v>7.6675169169902802E-2</v>
      </c>
      <c r="L263" s="8">
        <v>5212173</v>
      </c>
      <c r="M263" t="s">
        <v>1052</v>
      </c>
    </row>
    <row r="264" spans="2:13">
      <c r="B264" t="s">
        <v>25</v>
      </c>
      <c r="C264" s="8">
        <v>2004</v>
      </c>
      <c r="D264" s="8">
        <v>2</v>
      </c>
      <c r="E264" s="8">
        <v>0.51774322986602783</v>
      </c>
      <c r="F264" s="8"/>
      <c r="G264" s="8"/>
      <c r="H264" s="8"/>
      <c r="I264" s="8"/>
      <c r="J264" s="8">
        <v>0.40230077505111694</v>
      </c>
      <c r="K264" s="8">
        <v>5.715407058596611E-2</v>
      </c>
      <c r="L264" s="8">
        <v>5212173</v>
      </c>
      <c r="M264" t="s">
        <v>1052</v>
      </c>
    </row>
    <row r="265" spans="2:13">
      <c r="B265" t="s">
        <v>25</v>
      </c>
      <c r="C265" s="8">
        <v>2004</v>
      </c>
      <c r="D265" s="8">
        <v>3</v>
      </c>
      <c r="E265" s="8">
        <v>0.50204294919967651</v>
      </c>
      <c r="F265" s="8"/>
      <c r="G265" s="8"/>
      <c r="H265" s="8"/>
      <c r="I265" s="8"/>
      <c r="J265" s="8">
        <v>0.26261582970619202</v>
      </c>
      <c r="K265" s="8">
        <v>5.7695060968399048E-2</v>
      </c>
      <c r="L265" s="8">
        <v>5212173</v>
      </c>
      <c r="M265" t="s">
        <v>1052</v>
      </c>
    </row>
    <row r="266" spans="2:13">
      <c r="B266" t="s">
        <v>25</v>
      </c>
      <c r="C266" s="8">
        <v>2005</v>
      </c>
      <c r="D266" s="8">
        <v>1</v>
      </c>
      <c r="E266" s="8">
        <v>0.51846969127655029</v>
      </c>
      <c r="F266" s="8"/>
      <c r="G266" s="8"/>
      <c r="H266" s="8"/>
      <c r="I266" s="8"/>
      <c r="J266" s="8">
        <v>0.44227620959281921</v>
      </c>
      <c r="K266" s="8">
        <v>8.2420699298381805E-2</v>
      </c>
      <c r="L266" s="8">
        <v>5212173</v>
      </c>
      <c r="M266" t="s">
        <v>1052</v>
      </c>
    </row>
    <row r="267" spans="2:13">
      <c r="B267" t="s">
        <v>25</v>
      </c>
      <c r="C267" s="8">
        <v>2005</v>
      </c>
      <c r="D267" s="8">
        <v>2</v>
      </c>
      <c r="E267" s="8">
        <v>0.51897895336151123</v>
      </c>
      <c r="F267" s="8"/>
      <c r="G267" s="8"/>
      <c r="H267" s="8"/>
      <c r="I267" s="8"/>
      <c r="J267" s="8">
        <v>0.39003071188926697</v>
      </c>
      <c r="K267" s="8">
        <v>5.9575419872999191E-2</v>
      </c>
      <c r="L267" s="8">
        <v>5212173</v>
      </c>
      <c r="M267" t="s">
        <v>1052</v>
      </c>
    </row>
    <row r="268" spans="2:13">
      <c r="B268" t="s">
        <v>25</v>
      </c>
      <c r="C268" s="8">
        <v>2005</v>
      </c>
      <c r="D268" s="8">
        <v>3</v>
      </c>
      <c r="E268" s="8">
        <v>0.49848201870918274</v>
      </c>
      <c r="F268" s="8"/>
      <c r="G268" s="8"/>
      <c r="H268" s="8"/>
      <c r="I268" s="8"/>
      <c r="J268" s="8">
        <v>0.25611951947212219</v>
      </c>
      <c r="K268" s="8">
        <v>5.9461820870637894E-2</v>
      </c>
      <c r="L268" s="8">
        <v>5212173</v>
      </c>
      <c r="M268" t="s">
        <v>1052</v>
      </c>
    </row>
    <row r="269" spans="2:13">
      <c r="B269" t="s">
        <v>25</v>
      </c>
      <c r="C269" s="8">
        <v>2006</v>
      </c>
      <c r="D269" s="8">
        <v>1</v>
      </c>
      <c r="E269" s="8">
        <v>0.52819454669952393</v>
      </c>
      <c r="F269" s="8"/>
      <c r="G269" s="8"/>
      <c r="H269" s="8"/>
      <c r="I269" s="8"/>
      <c r="J269" s="8">
        <v>0.44617053866386414</v>
      </c>
      <c r="K269" s="8">
        <v>9.2738866806030273E-2</v>
      </c>
      <c r="L269" s="8">
        <v>5212173</v>
      </c>
      <c r="M269" t="s">
        <v>1052</v>
      </c>
    </row>
    <row r="270" spans="2:13">
      <c r="B270" t="s">
        <v>25</v>
      </c>
      <c r="C270" s="8">
        <v>2006</v>
      </c>
      <c r="D270" s="8">
        <v>2</v>
      </c>
      <c r="E270" s="8">
        <v>0.52686536312103271</v>
      </c>
      <c r="F270" s="8"/>
      <c r="G270" s="8"/>
      <c r="H270" s="8"/>
      <c r="I270" s="8"/>
      <c r="J270" s="8">
        <v>0.39000618457794189</v>
      </c>
      <c r="K270" s="8">
        <v>6.5992794930934906E-2</v>
      </c>
      <c r="L270" s="8">
        <v>5212173</v>
      </c>
      <c r="M270" t="s">
        <v>1052</v>
      </c>
    </row>
    <row r="271" spans="2:13">
      <c r="B271" t="s">
        <v>25</v>
      </c>
      <c r="C271" s="8">
        <v>2006</v>
      </c>
      <c r="D271" s="8">
        <v>3</v>
      </c>
      <c r="E271" s="8">
        <v>0.49904710054397583</v>
      </c>
      <c r="F271" s="8"/>
      <c r="G271" s="8"/>
      <c r="H271" s="8"/>
      <c r="I271" s="8"/>
      <c r="J271" s="8">
        <v>0.24800054728984833</v>
      </c>
      <c r="K271" s="8">
        <v>5.7971172034740448E-2</v>
      </c>
      <c r="L271" s="8">
        <v>5212173</v>
      </c>
      <c r="M271" t="s">
        <v>1052</v>
      </c>
    </row>
    <row r="272" spans="2:13">
      <c r="B272" t="s">
        <v>25</v>
      </c>
      <c r="C272" s="8">
        <v>2007</v>
      </c>
      <c r="D272" s="8">
        <v>1</v>
      </c>
      <c r="E272" s="8">
        <v>0.52889680862426758</v>
      </c>
      <c r="F272" s="8"/>
      <c r="G272" s="8"/>
      <c r="H272" s="8"/>
      <c r="I272" s="8"/>
      <c r="J272" s="8">
        <v>0.46043771505355835</v>
      </c>
      <c r="K272" s="8">
        <v>7.8556284308433533E-2</v>
      </c>
      <c r="L272" s="8">
        <v>5212173</v>
      </c>
      <c r="M272" t="s">
        <v>1052</v>
      </c>
    </row>
    <row r="273" spans="2:13">
      <c r="B273" t="s">
        <v>25</v>
      </c>
      <c r="C273" s="8">
        <v>2007</v>
      </c>
      <c r="D273" s="8">
        <v>2</v>
      </c>
      <c r="E273" s="8">
        <v>0.5213204026222229</v>
      </c>
      <c r="F273" s="8"/>
      <c r="G273" s="8"/>
      <c r="H273" s="8"/>
      <c r="I273" s="8"/>
      <c r="J273" s="8">
        <v>0.39356705546379089</v>
      </c>
      <c r="K273" s="8">
        <v>7.2986572980880737E-2</v>
      </c>
      <c r="L273" s="8">
        <v>5212173</v>
      </c>
      <c r="M273" t="s">
        <v>1052</v>
      </c>
    </row>
    <row r="274" spans="2:13">
      <c r="B274" t="s">
        <v>25</v>
      </c>
      <c r="C274" s="8">
        <v>2007</v>
      </c>
      <c r="D274" s="8">
        <v>3</v>
      </c>
      <c r="E274" s="8">
        <v>0.5020110011100769</v>
      </c>
      <c r="F274" s="8"/>
      <c r="G274" s="8"/>
      <c r="H274" s="8"/>
      <c r="I274" s="8"/>
      <c r="J274" s="8">
        <v>0.2454323023557663</v>
      </c>
      <c r="K274" s="8">
        <v>6.3026584684848785E-2</v>
      </c>
      <c r="L274" s="8">
        <v>5212173</v>
      </c>
      <c r="M274" t="s">
        <v>1052</v>
      </c>
    </row>
    <row r="275" spans="2:13">
      <c r="B275" t="s">
        <v>25</v>
      </c>
      <c r="C275" s="8">
        <v>2008</v>
      </c>
      <c r="D275" s="8">
        <v>1</v>
      </c>
      <c r="E275" s="8">
        <v>0.52085906267166138</v>
      </c>
      <c r="F275" s="8">
        <v>0.21402701735496521</v>
      </c>
      <c r="G275" s="8"/>
      <c r="H275" s="8"/>
      <c r="I275" s="8"/>
      <c r="J275" s="8">
        <v>0.45616406202316284</v>
      </c>
      <c r="K275" s="8">
        <v>5.8714352548122406E-2</v>
      </c>
      <c r="L275" s="8">
        <v>5212173</v>
      </c>
      <c r="M275" t="s">
        <v>1052</v>
      </c>
    </row>
    <row r="276" spans="2:13">
      <c r="B276" t="s">
        <v>25</v>
      </c>
      <c r="C276" s="8">
        <v>2008</v>
      </c>
      <c r="D276" s="8">
        <v>2</v>
      </c>
      <c r="E276" s="8">
        <v>0.51657718420028687</v>
      </c>
      <c r="F276" s="8">
        <v>0.18129628896713257</v>
      </c>
      <c r="G276" s="8"/>
      <c r="H276" s="8"/>
      <c r="I276" s="8"/>
      <c r="J276" s="8">
        <v>0.39610865712165833</v>
      </c>
      <c r="K276" s="8">
        <v>7.2130389511585236E-2</v>
      </c>
      <c r="L276" s="8">
        <v>5212173</v>
      </c>
      <c r="M276" t="s">
        <v>1052</v>
      </c>
    </row>
    <row r="277" spans="2:13">
      <c r="B277" t="s">
        <v>25</v>
      </c>
      <c r="C277" s="8">
        <v>2008</v>
      </c>
      <c r="D277" s="8">
        <v>3</v>
      </c>
      <c r="E277" s="8">
        <v>0.5011780858039856</v>
      </c>
      <c r="F277" s="8">
        <v>0.12680396437644958</v>
      </c>
      <c r="G277" s="8"/>
      <c r="H277" s="8"/>
      <c r="I277" s="8"/>
      <c r="J277" s="8">
        <v>0.24426105618476868</v>
      </c>
      <c r="K277" s="8">
        <v>6.631152331829071E-2</v>
      </c>
      <c r="L277" s="8">
        <v>5212173</v>
      </c>
      <c r="M277" t="s">
        <v>1052</v>
      </c>
    </row>
    <row r="278" spans="2:13">
      <c r="B278" t="s">
        <v>25</v>
      </c>
      <c r="C278" s="8">
        <v>2009</v>
      </c>
      <c r="D278" s="8">
        <v>1</v>
      </c>
      <c r="E278" s="8">
        <v>0.52904665470123291</v>
      </c>
      <c r="F278" s="8">
        <v>0.22053734958171844</v>
      </c>
      <c r="G278" s="8"/>
      <c r="H278" s="8"/>
      <c r="I278" s="8"/>
      <c r="J278" s="8">
        <v>0.44353988766670227</v>
      </c>
      <c r="K278" s="8">
        <v>4.8881128430366516E-2</v>
      </c>
      <c r="L278" s="8">
        <v>5212173</v>
      </c>
      <c r="M278" t="s">
        <v>1052</v>
      </c>
    </row>
    <row r="279" spans="2:13">
      <c r="B279" t="s">
        <v>25</v>
      </c>
      <c r="C279" s="8">
        <v>2009</v>
      </c>
      <c r="D279" s="8">
        <v>2</v>
      </c>
      <c r="E279" s="8">
        <v>0.51446366310119629</v>
      </c>
      <c r="F279" s="8">
        <v>0.18187333643436432</v>
      </c>
      <c r="G279" s="8"/>
      <c r="H279" s="8"/>
      <c r="I279" s="8"/>
      <c r="J279" s="8">
        <v>0.37429854273796082</v>
      </c>
      <c r="K279" s="8">
        <v>7.5265079736709595E-2</v>
      </c>
      <c r="L279" s="8">
        <v>5212173</v>
      </c>
      <c r="M279" t="s">
        <v>1052</v>
      </c>
    </row>
    <row r="280" spans="2:13">
      <c r="B280" t="s">
        <v>25</v>
      </c>
      <c r="C280" s="8">
        <v>2009</v>
      </c>
      <c r="D280" s="8">
        <v>3</v>
      </c>
      <c r="E280" s="8">
        <v>0.50164675712585449</v>
      </c>
      <c r="F280" s="8">
        <v>0.13734979927539825</v>
      </c>
      <c r="G280" s="8"/>
      <c r="H280" s="8"/>
      <c r="I280" s="8"/>
      <c r="J280" s="8">
        <v>0.22678583860397339</v>
      </c>
      <c r="K280" s="8">
        <v>7.125360518693924E-2</v>
      </c>
      <c r="L280" s="8">
        <v>5212173</v>
      </c>
      <c r="M280" t="s">
        <v>1052</v>
      </c>
    </row>
    <row r="281" spans="2:13">
      <c r="B281" t="s">
        <v>25</v>
      </c>
      <c r="C281" s="8">
        <v>2010</v>
      </c>
      <c r="D281" s="8">
        <v>1</v>
      </c>
      <c r="E281" s="8">
        <v>0.51850336790084839</v>
      </c>
      <c r="F281" s="8">
        <v>0.1022317036986351</v>
      </c>
      <c r="G281" s="8"/>
      <c r="H281" s="8"/>
      <c r="I281" s="8">
        <v>4.8851661384105682E-2</v>
      </c>
      <c r="J281" s="8">
        <v>0.42539903521537781</v>
      </c>
      <c r="K281" s="8">
        <v>4.4018194079399109E-2</v>
      </c>
      <c r="L281" s="8">
        <v>5212173</v>
      </c>
      <c r="M281" t="s">
        <v>1052</v>
      </c>
    </row>
    <row r="282" spans="2:13">
      <c r="B282" t="s">
        <v>25</v>
      </c>
      <c r="C282" s="8">
        <v>2010</v>
      </c>
      <c r="D282" s="8">
        <v>2</v>
      </c>
      <c r="E282" s="8">
        <v>0.51203250885009766</v>
      </c>
      <c r="F282" s="8">
        <v>9.1758184134960175E-2</v>
      </c>
      <c r="G282" s="8"/>
      <c r="H282" s="8"/>
      <c r="I282" s="8">
        <v>4.5154578983783722E-2</v>
      </c>
      <c r="J282" s="8">
        <v>0.37177330255508423</v>
      </c>
      <c r="K282" s="8">
        <v>6.2669798731803894E-2</v>
      </c>
      <c r="L282" s="8">
        <v>5212173</v>
      </c>
      <c r="M282" t="s">
        <v>1052</v>
      </c>
    </row>
    <row r="283" spans="2:13">
      <c r="B283" t="s">
        <v>25</v>
      </c>
      <c r="C283" s="8">
        <v>2010</v>
      </c>
      <c r="D283" s="8">
        <v>3</v>
      </c>
      <c r="E283" s="8">
        <v>0.50941580533981323</v>
      </c>
      <c r="F283" s="8">
        <v>7.9116784036159515E-2</v>
      </c>
      <c r="G283" s="8"/>
      <c r="H283" s="8"/>
      <c r="I283" s="8">
        <v>3.9958443492650986E-2</v>
      </c>
      <c r="J283" s="8">
        <v>0.21743109822273254</v>
      </c>
      <c r="K283" s="8">
        <v>8.5157915949821472E-2</v>
      </c>
      <c r="L283" s="8">
        <v>5212173</v>
      </c>
      <c r="M283" t="s">
        <v>1052</v>
      </c>
    </row>
    <row r="284" spans="2:13">
      <c r="B284" t="s">
        <v>25</v>
      </c>
      <c r="C284" s="8">
        <v>2011</v>
      </c>
      <c r="D284" s="8">
        <v>1</v>
      </c>
      <c r="E284" s="8">
        <v>0.50089091062545776</v>
      </c>
      <c r="F284" s="8">
        <v>8.362269401550293E-2</v>
      </c>
      <c r="G284" s="8"/>
      <c r="H284" s="8"/>
      <c r="I284" s="8">
        <v>3.7578623741865158E-2</v>
      </c>
      <c r="J284" s="8">
        <v>0.37725105881690979</v>
      </c>
      <c r="K284" s="8">
        <v>5.3565431386232376E-2</v>
      </c>
      <c r="L284" s="8">
        <v>5212173</v>
      </c>
      <c r="M284" t="s">
        <v>1052</v>
      </c>
    </row>
    <row r="285" spans="2:13">
      <c r="B285" t="s">
        <v>25</v>
      </c>
      <c r="C285" s="8">
        <v>2011</v>
      </c>
      <c r="D285" s="8">
        <v>2</v>
      </c>
      <c r="E285" s="8">
        <v>0.52558392286300659</v>
      </c>
      <c r="F285" s="8">
        <v>9.4946227967739105E-2</v>
      </c>
      <c r="G285" s="8"/>
      <c r="H285" s="8"/>
      <c r="I285" s="8">
        <v>3.8137849420309067E-2</v>
      </c>
      <c r="J285" s="8">
        <v>0.35747513175010681</v>
      </c>
      <c r="K285" s="8">
        <v>6.9702722132205963E-2</v>
      </c>
      <c r="L285" s="8">
        <v>5212173</v>
      </c>
      <c r="M285" t="s">
        <v>1052</v>
      </c>
    </row>
    <row r="286" spans="2:13">
      <c r="B286" t="s">
        <v>25</v>
      </c>
      <c r="C286" s="8">
        <v>2011</v>
      </c>
      <c r="D286" s="8">
        <v>3</v>
      </c>
      <c r="E286" s="8">
        <v>0.509307861328125</v>
      </c>
      <c r="F286" s="8">
        <v>8.6324684321880341E-2</v>
      </c>
      <c r="G286" s="8"/>
      <c r="H286" s="8"/>
      <c r="I286" s="8">
        <v>3.4416463226079941E-2</v>
      </c>
      <c r="J286" s="8">
        <v>0.20940107107162476</v>
      </c>
      <c r="K286" s="8">
        <v>8.3913139998912811E-2</v>
      </c>
      <c r="L286" s="8">
        <v>5212173</v>
      </c>
      <c r="M286" t="s">
        <v>1052</v>
      </c>
    </row>
    <row r="287" spans="2:13">
      <c r="B287" t="s">
        <v>25</v>
      </c>
      <c r="C287" s="8">
        <v>2012</v>
      </c>
      <c r="D287" s="8">
        <v>1</v>
      </c>
      <c r="E287" s="8">
        <v>0.51531362533569336</v>
      </c>
      <c r="F287" s="8">
        <v>9.795650839805603E-2</v>
      </c>
      <c r="G287" s="8"/>
      <c r="H287" s="8"/>
      <c r="I287" s="8">
        <v>3.4226596355438232E-2</v>
      </c>
      <c r="J287" s="8">
        <v>0.39579376578330994</v>
      </c>
      <c r="K287" s="8">
        <v>4.1051667183637619E-2</v>
      </c>
      <c r="L287" s="8">
        <v>5212173</v>
      </c>
      <c r="M287" t="s">
        <v>1052</v>
      </c>
    </row>
    <row r="288" spans="2:13">
      <c r="B288" t="s">
        <v>25</v>
      </c>
      <c r="C288" s="8">
        <v>2012</v>
      </c>
      <c r="D288" s="8">
        <v>2</v>
      </c>
      <c r="E288" s="8">
        <v>0.51527011394500732</v>
      </c>
      <c r="F288" s="8">
        <v>8.8977925479412079E-2</v>
      </c>
      <c r="G288" s="8"/>
      <c r="H288" s="8"/>
      <c r="I288" s="8">
        <v>4.5427359640598297E-2</v>
      </c>
      <c r="J288" s="8">
        <v>0.34983542561531067</v>
      </c>
      <c r="K288" s="8">
        <v>6.9892644882202148E-2</v>
      </c>
      <c r="L288" s="8">
        <v>5212173</v>
      </c>
      <c r="M288" t="s">
        <v>1052</v>
      </c>
    </row>
    <row r="289" spans="2:13">
      <c r="B289" t="s">
        <v>25</v>
      </c>
      <c r="C289" s="8">
        <v>2012</v>
      </c>
      <c r="D289" s="8">
        <v>3</v>
      </c>
      <c r="E289" s="8">
        <v>0.50833684206008911</v>
      </c>
      <c r="F289" s="8">
        <v>8.3999358117580414E-2</v>
      </c>
      <c r="G289" s="8"/>
      <c r="H289" s="8"/>
      <c r="I289" s="8">
        <v>3.8421045988798141E-2</v>
      </c>
      <c r="J289" s="8">
        <v>0.19859543442726135</v>
      </c>
      <c r="K289" s="8">
        <v>9.3939214944839478E-2</v>
      </c>
      <c r="L289" s="8">
        <v>5212173</v>
      </c>
      <c r="M289" t="s">
        <v>1052</v>
      </c>
    </row>
    <row r="290" spans="2:13">
      <c r="B290" t="s">
        <v>25</v>
      </c>
      <c r="C290" s="8">
        <v>2013</v>
      </c>
      <c r="D290" s="8">
        <v>1</v>
      </c>
      <c r="E290" s="8">
        <v>0.5137367844581604</v>
      </c>
      <c r="F290" s="8">
        <v>9.017624706029892E-2</v>
      </c>
      <c r="G290" s="8"/>
      <c r="H290" s="8"/>
      <c r="I290" s="8">
        <v>3.2936658710241318E-2</v>
      </c>
      <c r="J290" s="8">
        <v>0.38286310434341431</v>
      </c>
      <c r="K290" s="8">
        <v>4.9059174954891205E-2</v>
      </c>
      <c r="L290" s="8">
        <v>5212173</v>
      </c>
      <c r="M290" t="s">
        <v>1052</v>
      </c>
    </row>
    <row r="291" spans="2:13">
      <c r="B291" t="s">
        <v>25</v>
      </c>
      <c r="C291" s="8">
        <v>2013</v>
      </c>
      <c r="D291" s="8">
        <v>2</v>
      </c>
      <c r="E291" s="8">
        <v>0.51394385099411011</v>
      </c>
      <c r="F291" s="8">
        <v>0.10428708791732788</v>
      </c>
      <c r="G291" s="8"/>
      <c r="H291" s="8"/>
      <c r="I291" s="8">
        <v>4.3535251170396805E-2</v>
      </c>
      <c r="J291" s="8">
        <v>0.34107875823974609</v>
      </c>
      <c r="K291" s="8">
        <v>7.4297629296779633E-2</v>
      </c>
      <c r="L291" s="8">
        <v>5212173</v>
      </c>
      <c r="M291" t="s">
        <v>1052</v>
      </c>
    </row>
    <row r="292" spans="2:13">
      <c r="B292" t="s">
        <v>25</v>
      </c>
      <c r="C292" s="8">
        <v>2013</v>
      </c>
      <c r="D292" s="8">
        <v>3</v>
      </c>
      <c r="E292" s="8">
        <v>0.51460736989974976</v>
      </c>
      <c r="F292" s="8">
        <v>7.4141055345535278E-2</v>
      </c>
      <c r="G292" s="8"/>
      <c r="H292" s="8"/>
      <c r="I292" s="8">
        <v>3.7443961948156357E-2</v>
      </c>
      <c r="J292" s="8">
        <v>0.19726194441318512</v>
      </c>
      <c r="K292" s="8">
        <v>0.10032550990581512</v>
      </c>
      <c r="L292" s="8">
        <v>5212173</v>
      </c>
      <c r="M292" t="s">
        <v>1052</v>
      </c>
    </row>
    <row r="293" spans="2:13">
      <c r="B293" t="s">
        <v>25</v>
      </c>
      <c r="C293" s="8">
        <v>2014</v>
      </c>
      <c r="D293" s="8">
        <v>1</v>
      </c>
      <c r="E293" s="8">
        <v>0.53435146808624268</v>
      </c>
      <c r="F293" s="8">
        <v>8.3997964859008789E-2</v>
      </c>
      <c r="G293" s="8"/>
      <c r="H293" s="8"/>
      <c r="I293" s="8">
        <v>4.4530235230922699E-2</v>
      </c>
      <c r="J293" s="8">
        <v>0.3862265944480896</v>
      </c>
      <c r="K293" s="8">
        <v>5.0950281322002411E-2</v>
      </c>
      <c r="L293" s="8">
        <v>5212173</v>
      </c>
      <c r="M293" t="s">
        <v>1052</v>
      </c>
    </row>
    <row r="294" spans="2:13">
      <c r="B294" t="s">
        <v>25</v>
      </c>
      <c r="C294" s="8">
        <v>2014</v>
      </c>
      <c r="D294" s="8">
        <v>2</v>
      </c>
      <c r="E294" s="8">
        <v>0.52311354875564575</v>
      </c>
      <c r="F294" s="8">
        <v>0.10682149231433868</v>
      </c>
      <c r="G294" s="8"/>
      <c r="H294" s="8"/>
      <c r="I294" s="8">
        <v>4.8608884215354919E-2</v>
      </c>
      <c r="J294" s="8">
        <v>0.3316742479801178</v>
      </c>
      <c r="K294" s="8">
        <v>8.2106605172157288E-2</v>
      </c>
      <c r="L294" s="8">
        <v>5212173</v>
      </c>
      <c r="M294" t="s">
        <v>1052</v>
      </c>
    </row>
    <row r="295" spans="2:13">
      <c r="B295" t="s">
        <v>25</v>
      </c>
      <c r="C295" s="8">
        <v>2014</v>
      </c>
      <c r="D295" s="8">
        <v>3</v>
      </c>
      <c r="E295" s="8">
        <v>0.50900375843048096</v>
      </c>
      <c r="F295" s="8">
        <v>8.0459900200366974E-2</v>
      </c>
      <c r="G295" s="8"/>
      <c r="H295" s="8"/>
      <c r="I295" s="8">
        <v>4.2807623744010925E-2</v>
      </c>
      <c r="J295" s="8">
        <v>0.19049166142940521</v>
      </c>
      <c r="K295" s="8">
        <v>9.8678119480609894E-2</v>
      </c>
      <c r="L295" s="8">
        <v>5212173</v>
      </c>
      <c r="M295" t="s">
        <v>1052</v>
      </c>
    </row>
    <row r="296" spans="2:13">
      <c r="B296" t="s">
        <v>25</v>
      </c>
      <c r="C296" s="8">
        <v>2015</v>
      </c>
      <c r="D296" s="8">
        <v>1</v>
      </c>
      <c r="E296" s="8">
        <v>0.53373336791992188</v>
      </c>
      <c r="F296" s="8">
        <v>9.5147229731082916E-2</v>
      </c>
      <c r="G296" s="8"/>
      <c r="H296" s="8"/>
      <c r="I296" s="8">
        <v>3.2361261546611786E-2</v>
      </c>
      <c r="J296" s="8">
        <v>0.39584535360336304</v>
      </c>
      <c r="K296" s="8">
        <v>4.721388965845108E-2</v>
      </c>
      <c r="L296" s="8">
        <v>5212173</v>
      </c>
      <c r="M296" t="s">
        <v>1052</v>
      </c>
    </row>
    <row r="297" spans="2:13">
      <c r="B297" t="s">
        <v>25</v>
      </c>
      <c r="C297" s="8">
        <v>2015</v>
      </c>
      <c r="D297" s="8">
        <v>2</v>
      </c>
      <c r="E297" s="8">
        <v>0.52905517816543579</v>
      </c>
      <c r="F297" s="8">
        <v>9.5382533967494965E-2</v>
      </c>
      <c r="G297" s="8"/>
      <c r="H297" s="8"/>
      <c r="I297" s="8">
        <v>4.1082825511693954E-2</v>
      </c>
      <c r="J297" s="8">
        <v>0.34406253695487976</v>
      </c>
      <c r="K297" s="8">
        <v>7.8655295073986053E-2</v>
      </c>
      <c r="L297" s="8">
        <v>5212173</v>
      </c>
      <c r="M297" t="s">
        <v>1052</v>
      </c>
    </row>
    <row r="298" spans="2:13">
      <c r="B298" t="s">
        <v>25</v>
      </c>
      <c r="C298" s="8">
        <v>2015</v>
      </c>
      <c r="D298" s="8">
        <v>3</v>
      </c>
      <c r="E298" s="8">
        <v>0.50945419073104858</v>
      </c>
      <c r="F298" s="8">
        <v>8.1974223256111145E-2</v>
      </c>
      <c r="G298" s="8"/>
      <c r="H298" s="8"/>
      <c r="I298" s="8">
        <v>3.177468478679657E-2</v>
      </c>
      <c r="J298" s="8">
        <v>0.20232805609703064</v>
      </c>
      <c r="K298" s="8">
        <v>9.7667872905731201E-2</v>
      </c>
      <c r="L298" s="8">
        <v>5212173</v>
      </c>
      <c r="M298" t="s">
        <v>1052</v>
      </c>
    </row>
    <row r="299" spans="2:13">
      <c r="B299" t="s">
        <v>25</v>
      </c>
      <c r="C299" s="8">
        <v>2016</v>
      </c>
      <c r="D299" s="8">
        <v>1</v>
      </c>
      <c r="E299" s="8">
        <v>0.52028071880340576</v>
      </c>
      <c r="F299" s="8">
        <v>0.11485017836093903</v>
      </c>
      <c r="G299" s="8"/>
      <c r="H299" s="8"/>
      <c r="I299" s="8">
        <v>4.3226853013038635E-2</v>
      </c>
      <c r="J299" s="8">
        <v>0.39072832465171814</v>
      </c>
      <c r="K299" s="8">
        <v>4.4796988368034363E-2</v>
      </c>
      <c r="L299" s="8">
        <v>5212173</v>
      </c>
      <c r="M299" t="s">
        <v>1052</v>
      </c>
    </row>
    <row r="300" spans="2:13">
      <c r="B300" t="s">
        <v>25</v>
      </c>
      <c r="C300" s="8">
        <v>2016</v>
      </c>
      <c r="D300" s="8">
        <v>2</v>
      </c>
      <c r="E300" s="8">
        <v>0.52723443508148193</v>
      </c>
      <c r="F300" s="8">
        <v>9.6602380275726318E-2</v>
      </c>
      <c r="G300" s="8"/>
      <c r="H300" s="8"/>
      <c r="I300" s="8">
        <v>5.1132909953594208E-2</v>
      </c>
      <c r="J300" s="8">
        <v>0.35232287645339966</v>
      </c>
      <c r="K300" s="8">
        <v>7.8410759568214417E-2</v>
      </c>
      <c r="L300" s="8">
        <v>5212173</v>
      </c>
      <c r="M300" t="s">
        <v>1052</v>
      </c>
    </row>
    <row r="301" spans="2:13">
      <c r="B301" t="s">
        <v>25</v>
      </c>
      <c r="C301" s="8">
        <v>2016</v>
      </c>
      <c r="D301" s="8">
        <v>3</v>
      </c>
      <c r="E301" s="8">
        <v>0.51190871000289917</v>
      </c>
      <c r="F301" s="8">
        <v>8.5808560252189636E-2</v>
      </c>
      <c r="G301" s="8"/>
      <c r="H301" s="8"/>
      <c r="I301" s="8">
        <v>4.1719011962413788E-2</v>
      </c>
      <c r="J301" s="8">
        <v>0.19979634881019592</v>
      </c>
      <c r="K301" s="8">
        <v>0.10562016069889069</v>
      </c>
      <c r="L301" s="8">
        <v>5212173</v>
      </c>
      <c r="M301" t="s">
        <v>1052</v>
      </c>
    </row>
    <row r="302" spans="2:13">
      <c r="B302" t="s">
        <v>25</v>
      </c>
      <c r="C302" s="8">
        <v>2017</v>
      </c>
      <c r="D302" s="8">
        <v>1</v>
      </c>
      <c r="E302" s="8">
        <v>0.52356916666030884</v>
      </c>
      <c r="F302" s="8">
        <v>9.0751081705093384E-2</v>
      </c>
      <c r="G302" s="8"/>
      <c r="H302" s="8"/>
      <c r="I302" s="8">
        <v>5.5841129273176193E-2</v>
      </c>
      <c r="J302" s="8">
        <v>0.39498353004455566</v>
      </c>
      <c r="K302" s="8">
        <v>4.8019673675298691E-2</v>
      </c>
      <c r="L302" s="8">
        <v>5212173</v>
      </c>
      <c r="M302" t="s">
        <v>1052</v>
      </c>
    </row>
    <row r="303" spans="2:13">
      <c r="B303" t="s">
        <v>25</v>
      </c>
      <c r="C303" s="8">
        <v>2017</v>
      </c>
      <c r="D303" s="8">
        <v>2</v>
      </c>
      <c r="E303" s="8">
        <v>0.52543312311172485</v>
      </c>
      <c r="F303" s="8">
        <v>9.5677889883518219E-2</v>
      </c>
      <c r="G303" s="8"/>
      <c r="H303" s="8"/>
      <c r="I303" s="8">
        <v>6.1715811491012573E-2</v>
      </c>
      <c r="J303" s="8">
        <v>0.34249866008758545</v>
      </c>
      <c r="K303" s="8">
        <v>8.9523732662200928E-2</v>
      </c>
      <c r="L303" s="8">
        <v>5212173</v>
      </c>
      <c r="M303" t="s">
        <v>1052</v>
      </c>
    </row>
    <row r="304" spans="2:13">
      <c r="B304" t="s">
        <v>25</v>
      </c>
      <c r="C304" s="8">
        <v>2017</v>
      </c>
      <c r="D304" s="8">
        <v>3</v>
      </c>
      <c r="E304" s="8">
        <v>0.51102495193481445</v>
      </c>
      <c r="F304" s="8">
        <v>8.494480699300766E-2</v>
      </c>
      <c r="G304" s="8"/>
      <c r="H304" s="8"/>
      <c r="I304" s="8">
        <v>4.4210858643054962E-2</v>
      </c>
      <c r="J304" s="8">
        <v>0.19275730848312378</v>
      </c>
      <c r="K304" s="8">
        <v>0.11283355951309204</v>
      </c>
      <c r="L304" s="8">
        <v>5212173</v>
      </c>
      <c r="M304" t="s">
        <v>1052</v>
      </c>
    </row>
    <row r="305" spans="2:13">
      <c r="B305" t="s">
        <v>25</v>
      </c>
      <c r="C305" s="8">
        <v>2018</v>
      </c>
      <c r="D305" s="8">
        <v>1</v>
      </c>
      <c r="E305" s="8">
        <v>0.54520422220230103</v>
      </c>
      <c r="F305" s="8">
        <v>0.11084303259849548</v>
      </c>
      <c r="G305" s="8"/>
      <c r="H305" s="8"/>
      <c r="I305" s="8">
        <v>6.4979285001754761E-2</v>
      </c>
      <c r="J305" s="8">
        <v>0.39553537964820862</v>
      </c>
      <c r="K305" s="8">
        <v>5.4804250597953796E-2</v>
      </c>
      <c r="L305" s="8">
        <v>5212173</v>
      </c>
      <c r="M305" t="s">
        <v>1052</v>
      </c>
    </row>
    <row r="306" spans="2:13">
      <c r="B306" t="s">
        <v>25</v>
      </c>
      <c r="C306" s="8">
        <v>2018</v>
      </c>
      <c r="D306" s="8">
        <v>2</v>
      </c>
      <c r="E306" s="8">
        <v>0.52403593063354492</v>
      </c>
      <c r="F306" s="8">
        <v>0.10438576340675354</v>
      </c>
      <c r="G306" s="8"/>
      <c r="H306" s="8"/>
      <c r="I306" s="8">
        <v>7.1159482002258301E-2</v>
      </c>
      <c r="J306" s="8">
        <v>0.33518925309181213</v>
      </c>
      <c r="K306" s="8">
        <v>9.699307382106781E-2</v>
      </c>
      <c r="L306" s="8">
        <v>5212173</v>
      </c>
      <c r="M306" t="s">
        <v>1052</v>
      </c>
    </row>
    <row r="307" spans="2:13">
      <c r="B307" t="s">
        <v>25</v>
      </c>
      <c r="C307" s="8">
        <v>2018</v>
      </c>
      <c r="D307" s="8">
        <v>3</v>
      </c>
      <c r="E307" s="8">
        <v>0.5096595287322998</v>
      </c>
      <c r="F307" s="8">
        <v>8.8940784335136414E-2</v>
      </c>
      <c r="G307" s="8"/>
      <c r="H307" s="8"/>
      <c r="I307" s="8">
        <v>5.8906540274620056E-2</v>
      </c>
      <c r="J307" s="8">
        <v>0.18737390637397766</v>
      </c>
      <c r="K307" s="8">
        <v>0.11628387123346329</v>
      </c>
      <c r="L307" s="8">
        <v>5212173</v>
      </c>
      <c r="M307" t="s">
        <v>1052</v>
      </c>
    </row>
    <row r="308" spans="2:13">
      <c r="B308" t="s">
        <v>25</v>
      </c>
      <c r="C308" s="8">
        <v>2019</v>
      </c>
      <c r="D308" s="8">
        <v>1</v>
      </c>
      <c r="E308" s="8">
        <v>0.53726601600646973</v>
      </c>
      <c r="F308" s="8">
        <v>0.11194206029176712</v>
      </c>
      <c r="G308" s="8"/>
      <c r="H308" s="8"/>
      <c r="I308" s="8">
        <v>5.5931743234395981E-2</v>
      </c>
      <c r="J308" s="8">
        <v>0.37168523669242859</v>
      </c>
      <c r="K308" s="8">
        <v>6.3730351626873016E-2</v>
      </c>
      <c r="L308" s="8">
        <v>5212173</v>
      </c>
      <c r="M308" t="s">
        <v>1052</v>
      </c>
    </row>
    <row r="309" spans="2:13">
      <c r="B309" t="s">
        <v>25</v>
      </c>
      <c r="C309" s="8">
        <v>2019</v>
      </c>
      <c r="D309" s="8">
        <v>2</v>
      </c>
      <c r="E309" s="8">
        <v>0.53010600805282593</v>
      </c>
      <c r="F309" s="8">
        <v>0.11049675941467285</v>
      </c>
      <c r="G309" s="8"/>
      <c r="H309" s="8"/>
      <c r="I309" s="8">
        <v>6.6865630447864532E-2</v>
      </c>
      <c r="J309" s="8">
        <v>0.34198635816574097</v>
      </c>
      <c r="K309" s="8">
        <v>9.2804752290248871E-2</v>
      </c>
      <c r="L309" s="8">
        <v>5212173</v>
      </c>
      <c r="M309" t="s">
        <v>1052</v>
      </c>
    </row>
    <row r="310" spans="2:13">
      <c r="B310" t="s">
        <v>25</v>
      </c>
      <c r="C310" s="8">
        <v>2019</v>
      </c>
      <c r="D310" s="8">
        <v>3</v>
      </c>
      <c r="E310" s="8">
        <v>0.51070559024810791</v>
      </c>
      <c r="F310" s="8">
        <v>8.9379839599132538E-2</v>
      </c>
      <c r="G310" s="8"/>
      <c r="H310" s="8"/>
      <c r="I310" s="8">
        <v>5.3298790007829666E-2</v>
      </c>
      <c r="J310" s="8">
        <v>0.18375764787197113</v>
      </c>
      <c r="K310" s="8">
        <v>0.12100493162870407</v>
      </c>
      <c r="L310" s="8">
        <v>5212173</v>
      </c>
      <c r="M310" t="s">
        <v>1052</v>
      </c>
    </row>
    <row r="311" spans="2:13">
      <c r="B311" t="s">
        <v>25</v>
      </c>
      <c r="C311" s="8">
        <v>2020</v>
      </c>
      <c r="D311" s="8">
        <v>1</v>
      </c>
      <c r="E311" s="8">
        <v>0.53613859415054321</v>
      </c>
      <c r="F311" s="8">
        <v>0.1018679141998291</v>
      </c>
      <c r="G311" s="8"/>
      <c r="H311" s="8"/>
      <c r="I311" s="8">
        <v>5.603259801864624E-2</v>
      </c>
      <c r="J311" s="8">
        <v>0.33811575174331665</v>
      </c>
      <c r="K311" s="8">
        <v>4.7816120088100433E-2</v>
      </c>
      <c r="L311" s="8">
        <v>5212173</v>
      </c>
      <c r="M311" t="s">
        <v>1052</v>
      </c>
    </row>
    <row r="312" spans="2:13">
      <c r="B312" t="s">
        <v>25</v>
      </c>
      <c r="C312" s="8">
        <v>2020</v>
      </c>
      <c r="D312" s="8">
        <v>2</v>
      </c>
      <c r="E312" s="8">
        <v>0.51723945140838623</v>
      </c>
      <c r="F312" s="8">
        <v>0.10703442245721817</v>
      </c>
      <c r="G312" s="8"/>
      <c r="H312" s="8"/>
      <c r="I312" s="8">
        <v>7.3999330401420593E-2</v>
      </c>
      <c r="J312" s="8">
        <v>0.29312035441398621</v>
      </c>
      <c r="K312" s="8">
        <v>9.9688097834587097E-2</v>
      </c>
      <c r="L312" s="8">
        <v>5212173</v>
      </c>
      <c r="M312" t="s">
        <v>1052</v>
      </c>
    </row>
    <row r="313" spans="2:13">
      <c r="B313" t="s">
        <v>25</v>
      </c>
      <c r="C313" s="8">
        <v>2020</v>
      </c>
      <c r="D313" s="8">
        <v>3</v>
      </c>
      <c r="E313" s="8">
        <v>0.51166433095932007</v>
      </c>
      <c r="F313" s="8">
        <v>7.2008714079856873E-2</v>
      </c>
      <c r="G313" s="8"/>
      <c r="H313" s="8"/>
      <c r="I313" s="8">
        <v>6.7889958620071411E-2</v>
      </c>
      <c r="J313" s="8">
        <v>0.16566100716590881</v>
      </c>
      <c r="K313" s="8">
        <v>0.14394189417362213</v>
      </c>
      <c r="L313" s="8">
        <v>5212173</v>
      </c>
      <c r="M313" t="s">
        <v>1052</v>
      </c>
    </row>
    <row r="314" spans="2:13">
      <c r="B314" t="s">
        <v>25</v>
      </c>
      <c r="C314" s="8">
        <v>2021</v>
      </c>
      <c r="D314" s="8">
        <v>1</v>
      </c>
      <c r="E314" s="8">
        <v>0.54474949836730957</v>
      </c>
      <c r="F314" s="8">
        <v>0.11696928739547729</v>
      </c>
      <c r="G314" s="8"/>
      <c r="H314" s="8"/>
      <c r="I314" s="8">
        <v>7.0464581251144409E-2</v>
      </c>
      <c r="J314" s="8">
        <v>0.35755619406700134</v>
      </c>
      <c r="K314" s="8">
        <v>5.5897746235132217E-2</v>
      </c>
      <c r="L314" s="8">
        <v>5212173</v>
      </c>
      <c r="M314" t="s">
        <v>1052</v>
      </c>
    </row>
    <row r="315" spans="2:13">
      <c r="B315" t="s">
        <v>25</v>
      </c>
      <c r="C315" s="8">
        <v>2021</v>
      </c>
      <c r="D315" s="8">
        <v>2</v>
      </c>
      <c r="E315" s="8">
        <v>0.53767567873001099</v>
      </c>
      <c r="F315" s="8">
        <v>0.10150518268346786</v>
      </c>
      <c r="G315" s="8"/>
      <c r="H315" s="8"/>
      <c r="I315" s="8">
        <v>8.6198747158050537E-2</v>
      </c>
      <c r="J315" s="8">
        <v>0.30837294459342957</v>
      </c>
      <c r="K315" s="8">
        <v>0.10254503041505814</v>
      </c>
      <c r="L315" s="8">
        <v>5212173</v>
      </c>
      <c r="M315" t="s">
        <v>1052</v>
      </c>
    </row>
    <row r="316" spans="2:13">
      <c r="B316" t="s">
        <v>25</v>
      </c>
      <c r="C316" s="8">
        <v>2021</v>
      </c>
      <c r="D316" s="8">
        <v>3</v>
      </c>
      <c r="E316" s="8">
        <v>0.5127062201499939</v>
      </c>
      <c r="F316" s="8">
        <v>8.0950118601322174E-2</v>
      </c>
      <c r="G316" s="8"/>
      <c r="H316" s="8"/>
      <c r="I316" s="8">
        <v>7.0572301745414734E-2</v>
      </c>
      <c r="J316" s="8">
        <v>0.16255903244018555</v>
      </c>
      <c r="K316" s="8">
        <v>0.14158175885677338</v>
      </c>
      <c r="L316" s="8">
        <v>5212173</v>
      </c>
      <c r="M316" t="s">
        <v>1052</v>
      </c>
    </row>
    <row r="317" spans="2:13">
      <c r="B317" t="s">
        <v>25</v>
      </c>
      <c r="C317" s="8">
        <v>2022</v>
      </c>
      <c r="D317" s="8">
        <v>1</v>
      </c>
      <c r="E317" s="8">
        <v>0.54644608497619629</v>
      </c>
      <c r="F317" s="8">
        <v>0.10489998012781143</v>
      </c>
      <c r="G317" s="8"/>
      <c r="H317" s="8"/>
      <c r="I317" s="8">
        <v>7.6978370547294617E-2</v>
      </c>
      <c r="J317" s="8">
        <v>0.37070047855377197</v>
      </c>
      <c r="K317" s="8">
        <v>6.8198278546333313E-2</v>
      </c>
      <c r="L317" s="8">
        <v>5212173</v>
      </c>
      <c r="M317" t="s">
        <v>1052</v>
      </c>
    </row>
    <row r="318" spans="2:13">
      <c r="B318" t="s">
        <v>25</v>
      </c>
      <c r="C318" s="8">
        <v>2022</v>
      </c>
      <c r="D318" s="8">
        <v>2</v>
      </c>
      <c r="E318" s="8">
        <v>0.5271257758140564</v>
      </c>
      <c r="F318" s="8">
        <v>0.10459327697753906</v>
      </c>
      <c r="G318" s="8"/>
      <c r="H318" s="8"/>
      <c r="I318" s="8">
        <v>0.11301042139530182</v>
      </c>
      <c r="J318" s="8">
        <v>0.30651381611824036</v>
      </c>
      <c r="K318" s="8">
        <v>0.10605065524578094</v>
      </c>
      <c r="L318" s="8">
        <v>5212173</v>
      </c>
      <c r="M318" t="s">
        <v>1052</v>
      </c>
    </row>
    <row r="319" spans="2:13">
      <c r="B319" t="s">
        <v>25</v>
      </c>
      <c r="C319" s="8">
        <v>2022</v>
      </c>
      <c r="D319" s="8">
        <v>3</v>
      </c>
      <c r="E319" s="8">
        <v>0.52008146047592163</v>
      </c>
      <c r="F319" s="8">
        <v>8.2802504301071167E-2</v>
      </c>
      <c r="G319" s="8"/>
      <c r="H319" s="8"/>
      <c r="I319" s="8">
        <v>8.3351396024227142E-2</v>
      </c>
      <c r="J319" s="8">
        <v>0.16224123537540436</v>
      </c>
      <c r="K319" s="8">
        <v>0.14885485172271729</v>
      </c>
      <c r="L319" s="8">
        <v>5212173</v>
      </c>
      <c r="M319" t="s">
        <v>1052</v>
      </c>
    </row>
    <row r="320" spans="2:13">
      <c r="B320" t="s">
        <v>25</v>
      </c>
      <c r="C320" s="8">
        <v>2023</v>
      </c>
      <c r="D320" s="8">
        <v>1</v>
      </c>
      <c r="E320" s="8">
        <v>0.57043838500976563</v>
      </c>
      <c r="F320" s="8">
        <v>0.11443872004747391</v>
      </c>
      <c r="G320" s="8"/>
      <c r="H320" s="8"/>
      <c r="I320" s="8">
        <v>7.1628302335739136E-2</v>
      </c>
      <c r="J320" s="8">
        <v>0.36181095242500305</v>
      </c>
      <c r="K320" s="8">
        <v>8.2937419414520264E-2</v>
      </c>
      <c r="L320" s="8">
        <v>5212173</v>
      </c>
      <c r="M320" t="s">
        <v>1052</v>
      </c>
    </row>
    <row r="321" spans="2:13">
      <c r="B321" t="s">
        <v>25</v>
      </c>
      <c r="C321" s="8">
        <v>2023</v>
      </c>
      <c r="D321" s="8">
        <v>2</v>
      </c>
      <c r="E321" s="8">
        <v>0.53501611948013306</v>
      </c>
      <c r="F321" s="8">
        <v>0.10216794162988663</v>
      </c>
      <c r="G321" s="8"/>
      <c r="H321" s="8"/>
      <c r="I321" s="8">
        <v>8.2406625151634216E-2</v>
      </c>
      <c r="J321" s="8">
        <v>0.31868740916252136</v>
      </c>
      <c r="K321" s="8">
        <v>0.10709526389837265</v>
      </c>
      <c r="L321" s="8">
        <v>5212173</v>
      </c>
      <c r="M321" t="s">
        <v>1052</v>
      </c>
    </row>
    <row r="322" spans="2:13">
      <c r="B322" t="s">
        <v>25</v>
      </c>
      <c r="C322" s="8">
        <v>2023</v>
      </c>
      <c r="D322" s="8">
        <v>3</v>
      </c>
      <c r="E322" s="8">
        <v>0.52060490846633911</v>
      </c>
      <c r="F322" s="8">
        <v>8.4922827780246735E-2</v>
      </c>
      <c r="G322" s="8"/>
      <c r="H322" s="8"/>
      <c r="I322" s="8">
        <v>7.0854067802429199E-2</v>
      </c>
      <c r="J322" s="8">
        <v>0.15691620111465454</v>
      </c>
      <c r="K322" s="8">
        <v>0.15093430876731873</v>
      </c>
      <c r="L322" s="8">
        <v>5212173</v>
      </c>
      <c r="M322" t="s">
        <v>1052</v>
      </c>
    </row>
    <row r="323" spans="2:13">
      <c r="B323" t="s">
        <v>27</v>
      </c>
      <c r="C323" s="8">
        <v>2003</v>
      </c>
      <c r="D323" s="8">
        <v>1</v>
      </c>
      <c r="E323" s="8">
        <v>0.51582658290863037</v>
      </c>
      <c r="F323" s="8">
        <v>1.4802157878875732E-2</v>
      </c>
      <c r="G323" s="8"/>
      <c r="H323" s="8"/>
      <c r="I323" s="8"/>
      <c r="J323" s="8">
        <v>0.45466956496238708</v>
      </c>
      <c r="K323" s="8">
        <v>6.7550688982009888E-2</v>
      </c>
      <c r="L323" s="8">
        <v>11332973</v>
      </c>
      <c r="M323" t="s">
        <v>1052</v>
      </c>
    </row>
    <row r="324" spans="2:13">
      <c r="B324" t="s">
        <v>27</v>
      </c>
      <c r="C324" s="8">
        <v>2003</v>
      </c>
      <c r="D324" s="8">
        <v>2</v>
      </c>
      <c r="E324" s="8">
        <v>0.50135171413421631</v>
      </c>
      <c r="F324" s="8">
        <v>1.4973850920796394E-2</v>
      </c>
      <c r="G324" s="8"/>
      <c r="H324" s="8"/>
      <c r="I324" s="8"/>
      <c r="J324" s="8">
        <v>0.37331977486610413</v>
      </c>
      <c r="K324" s="8">
        <v>5.5160176008939743E-2</v>
      </c>
      <c r="L324" s="8">
        <v>11332973</v>
      </c>
      <c r="M324" t="s">
        <v>1052</v>
      </c>
    </row>
    <row r="325" spans="2:13">
      <c r="B325" t="s">
        <v>27</v>
      </c>
      <c r="C325" s="8">
        <v>2003</v>
      </c>
      <c r="D325" s="8">
        <v>3</v>
      </c>
      <c r="E325" s="8">
        <v>0.4868389368057251</v>
      </c>
      <c r="F325" s="8">
        <v>2.8623459860682487E-2</v>
      </c>
      <c r="G325" s="8"/>
      <c r="H325" s="8"/>
      <c r="I325" s="8"/>
      <c r="J325" s="8">
        <v>0.2683015763759613</v>
      </c>
      <c r="K325" s="8">
        <v>5.3778130561113358E-2</v>
      </c>
      <c r="L325" s="8">
        <v>11332973</v>
      </c>
      <c r="M325" t="s">
        <v>1052</v>
      </c>
    </row>
    <row r="326" spans="2:13">
      <c r="B326" t="s">
        <v>27</v>
      </c>
      <c r="C326" s="8">
        <v>2004</v>
      </c>
      <c r="D326" s="8">
        <v>1</v>
      </c>
      <c r="E326" s="8">
        <v>0.51639467477798462</v>
      </c>
      <c r="F326" s="8">
        <v>1.7105022445321083E-2</v>
      </c>
      <c r="G326" s="8"/>
      <c r="H326" s="8"/>
      <c r="I326" s="8"/>
      <c r="J326" s="8">
        <v>0.43949905037879944</v>
      </c>
      <c r="K326" s="8">
        <v>6.6626183688640594E-2</v>
      </c>
      <c r="L326" s="8">
        <v>11332973</v>
      </c>
      <c r="M326" t="s">
        <v>1052</v>
      </c>
    </row>
    <row r="327" spans="2:13">
      <c r="B327" t="s">
        <v>27</v>
      </c>
      <c r="C327" s="8">
        <v>2004</v>
      </c>
      <c r="D327" s="8">
        <v>2</v>
      </c>
      <c r="E327" s="8">
        <v>0.50048726797103882</v>
      </c>
      <c r="F327" s="8">
        <v>1.5647010877728462E-2</v>
      </c>
      <c r="G327" s="8"/>
      <c r="H327" s="8"/>
      <c r="I327" s="8"/>
      <c r="J327" s="8">
        <v>0.34707891941070557</v>
      </c>
      <c r="K327" s="8">
        <v>5.7737085968255997E-2</v>
      </c>
      <c r="L327" s="8">
        <v>11332973</v>
      </c>
      <c r="M327" t="s">
        <v>1052</v>
      </c>
    </row>
    <row r="328" spans="2:13">
      <c r="B328" t="s">
        <v>27</v>
      </c>
      <c r="C328" s="8">
        <v>2004</v>
      </c>
      <c r="D328" s="8">
        <v>3</v>
      </c>
      <c r="E328" s="8">
        <v>0.48316201567649841</v>
      </c>
      <c r="F328" s="8">
        <v>3.5290054976940155E-2</v>
      </c>
      <c r="G328" s="8"/>
      <c r="H328" s="8"/>
      <c r="I328" s="8"/>
      <c r="J328" s="8">
        <v>0.25580224394798279</v>
      </c>
      <c r="K328" s="8">
        <v>5.6495390832424164E-2</v>
      </c>
      <c r="L328" s="8">
        <v>11332973</v>
      </c>
      <c r="M328" t="s">
        <v>1052</v>
      </c>
    </row>
    <row r="329" spans="2:13">
      <c r="B329" t="s">
        <v>27</v>
      </c>
      <c r="C329" s="8">
        <v>2005</v>
      </c>
      <c r="D329" s="8">
        <v>1</v>
      </c>
      <c r="E329" s="8">
        <v>0.52465897798538208</v>
      </c>
      <c r="F329" s="8">
        <v>1.3692322187125683E-2</v>
      </c>
      <c r="G329" s="8"/>
      <c r="H329" s="8"/>
      <c r="I329" s="8"/>
      <c r="J329" s="8">
        <v>0.44148343801498413</v>
      </c>
      <c r="K329" s="8">
        <v>7.2769075632095337E-2</v>
      </c>
      <c r="L329" s="8">
        <v>11332973</v>
      </c>
      <c r="M329" t="s">
        <v>1052</v>
      </c>
    </row>
    <row r="330" spans="2:13">
      <c r="B330" t="s">
        <v>27</v>
      </c>
      <c r="C330" s="8">
        <v>2005</v>
      </c>
      <c r="D330" s="8">
        <v>2</v>
      </c>
      <c r="E330" s="8">
        <v>0.50007522106170654</v>
      </c>
      <c r="F330" s="8">
        <v>1.6404684633016586E-2</v>
      </c>
      <c r="G330" s="8"/>
      <c r="H330" s="8"/>
      <c r="I330" s="8"/>
      <c r="J330" s="8">
        <v>0.36231034994125366</v>
      </c>
      <c r="K330" s="8">
        <v>6.3083767890930176E-2</v>
      </c>
      <c r="L330" s="8">
        <v>11332973</v>
      </c>
      <c r="M330" t="s">
        <v>1052</v>
      </c>
    </row>
    <row r="331" spans="2:13">
      <c r="B331" t="s">
        <v>27</v>
      </c>
      <c r="C331" s="8">
        <v>2005</v>
      </c>
      <c r="D331" s="8">
        <v>3</v>
      </c>
      <c r="E331" s="8">
        <v>0.47895464301109314</v>
      </c>
      <c r="F331" s="8">
        <v>2.963651530444622E-2</v>
      </c>
      <c r="G331" s="8"/>
      <c r="H331" s="8"/>
      <c r="I331" s="8"/>
      <c r="J331" s="8">
        <v>0.25910067558288574</v>
      </c>
      <c r="K331" s="8">
        <v>5.8976296335458755E-2</v>
      </c>
      <c r="L331" s="8">
        <v>11332973</v>
      </c>
      <c r="M331" t="s">
        <v>1052</v>
      </c>
    </row>
    <row r="332" spans="2:13">
      <c r="B332" t="s">
        <v>27</v>
      </c>
      <c r="C332" s="8">
        <v>2006</v>
      </c>
      <c r="D332" s="8">
        <v>1</v>
      </c>
      <c r="E332" s="8">
        <v>0.51765376329421997</v>
      </c>
      <c r="F332" s="8">
        <v>1.8989857286214828E-2</v>
      </c>
      <c r="G332" s="8"/>
      <c r="H332" s="8"/>
      <c r="I332" s="8"/>
      <c r="J332" s="8">
        <v>0.4336126446723938</v>
      </c>
      <c r="K332" s="8">
        <v>7.5980052351951599E-2</v>
      </c>
      <c r="L332" s="8">
        <v>11332973</v>
      </c>
      <c r="M332" t="s">
        <v>1052</v>
      </c>
    </row>
    <row r="333" spans="2:13">
      <c r="B333" t="s">
        <v>27</v>
      </c>
      <c r="C333" s="8">
        <v>2006</v>
      </c>
      <c r="D333" s="8">
        <v>2</v>
      </c>
      <c r="E333" s="8">
        <v>0.51051086187362671</v>
      </c>
      <c r="F333" s="8">
        <v>1.9304387271404266E-2</v>
      </c>
      <c r="G333" s="8"/>
      <c r="H333" s="8"/>
      <c r="I333" s="8"/>
      <c r="J333" s="8">
        <v>0.35340839624404907</v>
      </c>
      <c r="K333" s="8">
        <v>6.5600112080574036E-2</v>
      </c>
      <c r="L333" s="8">
        <v>11332973</v>
      </c>
      <c r="M333" t="s">
        <v>1052</v>
      </c>
    </row>
    <row r="334" spans="2:13">
      <c r="B334" t="s">
        <v>27</v>
      </c>
      <c r="C334" s="8">
        <v>2006</v>
      </c>
      <c r="D334" s="8">
        <v>3</v>
      </c>
      <c r="E334" s="8">
        <v>0.48410883545875549</v>
      </c>
      <c r="F334" s="8">
        <v>2.6922840625047684E-2</v>
      </c>
      <c r="G334" s="8"/>
      <c r="H334" s="8"/>
      <c r="I334" s="8"/>
      <c r="J334" s="8">
        <v>0.26391059160232544</v>
      </c>
      <c r="K334" s="8">
        <v>5.7271812111139297E-2</v>
      </c>
      <c r="L334" s="8">
        <v>11332973</v>
      </c>
      <c r="M334" t="s">
        <v>1052</v>
      </c>
    </row>
    <row r="335" spans="2:13">
      <c r="B335" t="s">
        <v>27</v>
      </c>
      <c r="C335" s="8">
        <v>2007</v>
      </c>
      <c r="D335" s="8">
        <v>1</v>
      </c>
      <c r="E335" s="8">
        <v>0.52500271797180176</v>
      </c>
      <c r="F335" s="8">
        <v>1.6865123063325882E-2</v>
      </c>
      <c r="G335" s="8"/>
      <c r="H335" s="8"/>
      <c r="I335" s="8"/>
      <c r="J335" s="8">
        <v>0.44319671392440796</v>
      </c>
      <c r="K335" s="8">
        <v>7.6842494308948517E-2</v>
      </c>
      <c r="L335" s="8">
        <v>11332973</v>
      </c>
      <c r="M335" t="s">
        <v>1052</v>
      </c>
    </row>
    <row r="336" spans="2:13">
      <c r="B336" t="s">
        <v>27</v>
      </c>
      <c r="C336" s="8">
        <v>2007</v>
      </c>
      <c r="D336" s="8">
        <v>2</v>
      </c>
      <c r="E336" s="8">
        <v>0.50180262327194214</v>
      </c>
      <c r="F336" s="8">
        <v>1.8334817141294479E-2</v>
      </c>
      <c r="G336" s="8"/>
      <c r="H336" s="8"/>
      <c r="I336" s="8"/>
      <c r="J336" s="8">
        <v>0.35208520293235779</v>
      </c>
      <c r="K336" s="8">
        <v>6.6238828003406525E-2</v>
      </c>
      <c r="L336" s="8">
        <v>11332973</v>
      </c>
      <c r="M336" t="s">
        <v>1052</v>
      </c>
    </row>
    <row r="337" spans="2:13">
      <c r="B337" t="s">
        <v>27</v>
      </c>
      <c r="C337" s="8">
        <v>2007</v>
      </c>
      <c r="D337" s="8">
        <v>3</v>
      </c>
      <c r="E337" s="8">
        <v>0.48374351859092712</v>
      </c>
      <c r="F337" s="8">
        <v>2.5707866996526718E-2</v>
      </c>
      <c r="G337" s="8"/>
      <c r="H337" s="8"/>
      <c r="I337" s="8"/>
      <c r="J337" s="8">
        <v>0.25319969654083252</v>
      </c>
      <c r="K337" s="8">
        <v>5.9465568512678146E-2</v>
      </c>
      <c r="L337" s="8">
        <v>11332973</v>
      </c>
      <c r="M337" t="s">
        <v>1052</v>
      </c>
    </row>
    <row r="338" spans="2:13">
      <c r="B338" t="s">
        <v>27</v>
      </c>
      <c r="C338" s="8">
        <v>2008</v>
      </c>
      <c r="D338" s="8">
        <v>1</v>
      </c>
      <c r="E338" s="8">
        <v>0.52039307355880737</v>
      </c>
      <c r="F338" s="8">
        <v>2.3122074082493782E-2</v>
      </c>
      <c r="G338" s="8"/>
      <c r="H338" s="8"/>
      <c r="I338" s="8"/>
      <c r="J338" s="8">
        <v>0.43862983584403992</v>
      </c>
      <c r="K338" s="8">
        <v>7.2607576847076416E-2</v>
      </c>
      <c r="L338" s="8">
        <v>11332973</v>
      </c>
      <c r="M338" t="s">
        <v>1052</v>
      </c>
    </row>
    <row r="339" spans="2:13">
      <c r="B339" t="s">
        <v>27</v>
      </c>
      <c r="C339" s="8">
        <v>2008</v>
      </c>
      <c r="D339" s="8">
        <v>2</v>
      </c>
      <c r="E339" s="8">
        <v>0.50835466384887695</v>
      </c>
      <c r="F339" s="8">
        <v>2.2636763751506805E-2</v>
      </c>
      <c r="G339" s="8"/>
      <c r="H339" s="8"/>
      <c r="I339" s="8"/>
      <c r="J339" s="8">
        <v>0.36166268587112427</v>
      </c>
      <c r="K339" s="8">
        <v>6.5649881958961487E-2</v>
      </c>
      <c r="L339" s="8">
        <v>11332973</v>
      </c>
      <c r="M339" t="s">
        <v>1052</v>
      </c>
    </row>
    <row r="340" spans="2:13">
      <c r="B340" t="s">
        <v>27</v>
      </c>
      <c r="C340" s="8">
        <v>2008</v>
      </c>
      <c r="D340" s="8">
        <v>3</v>
      </c>
      <c r="E340" s="8">
        <v>0.49176871776580811</v>
      </c>
      <c r="F340" s="8">
        <v>2.8608586639165878E-2</v>
      </c>
      <c r="G340" s="8"/>
      <c r="H340" s="8"/>
      <c r="I340" s="8"/>
      <c r="J340" s="8">
        <v>0.24172411859035492</v>
      </c>
      <c r="K340" s="8">
        <v>6.2829963862895966E-2</v>
      </c>
      <c r="L340" s="8">
        <v>11332973</v>
      </c>
      <c r="M340" t="s">
        <v>1052</v>
      </c>
    </row>
    <row r="341" spans="2:13">
      <c r="B341" t="s">
        <v>27</v>
      </c>
      <c r="C341" s="8">
        <v>2009</v>
      </c>
      <c r="D341" s="8">
        <v>1</v>
      </c>
      <c r="E341" s="8">
        <v>0.52491199970245361</v>
      </c>
      <c r="F341" s="8">
        <v>2.2992907091975212E-2</v>
      </c>
      <c r="G341" s="8"/>
      <c r="H341" s="8"/>
      <c r="I341" s="8"/>
      <c r="J341" s="8">
        <v>0.43354347348213196</v>
      </c>
      <c r="K341" s="8">
        <v>7.6263107359409332E-2</v>
      </c>
      <c r="L341" s="8">
        <v>11332973</v>
      </c>
      <c r="M341" t="s">
        <v>1052</v>
      </c>
    </row>
    <row r="342" spans="2:13">
      <c r="B342" t="s">
        <v>27</v>
      </c>
      <c r="C342" s="8">
        <v>2009</v>
      </c>
      <c r="D342" s="8">
        <v>2</v>
      </c>
      <c r="E342" s="8">
        <v>0.50260084867477417</v>
      </c>
      <c r="F342" s="8">
        <v>2.4658417329192162E-2</v>
      </c>
      <c r="G342" s="8"/>
      <c r="H342" s="8"/>
      <c r="I342" s="8"/>
      <c r="J342" s="8">
        <v>0.34226110577583313</v>
      </c>
      <c r="K342" s="8">
        <v>7.1009032428264618E-2</v>
      </c>
      <c r="L342" s="8">
        <v>11332973</v>
      </c>
      <c r="M342" t="s">
        <v>1052</v>
      </c>
    </row>
    <row r="343" spans="2:13">
      <c r="B343" t="s">
        <v>27</v>
      </c>
      <c r="C343" s="8">
        <v>2009</v>
      </c>
      <c r="D343" s="8">
        <v>3</v>
      </c>
      <c r="E343" s="8">
        <v>0.49056726694107056</v>
      </c>
      <c r="F343" s="8">
        <v>3.0141167342662811E-2</v>
      </c>
      <c r="G343" s="8"/>
      <c r="H343" s="8"/>
      <c r="I343" s="8"/>
      <c r="J343" s="8">
        <v>0.24553345143795013</v>
      </c>
      <c r="K343" s="8">
        <v>6.6733129322528839E-2</v>
      </c>
      <c r="L343" s="8">
        <v>11332973</v>
      </c>
      <c r="M343" t="s">
        <v>1052</v>
      </c>
    </row>
    <row r="344" spans="2:13">
      <c r="B344" t="s">
        <v>27</v>
      </c>
      <c r="C344" s="8">
        <v>2010</v>
      </c>
      <c r="D344" s="8">
        <v>1</v>
      </c>
      <c r="E344" s="8">
        <v>0.53175711631774902</v>
      </c>
      <c r="F344" s="8">
        <v>2.6018606498837471E-2</v>
      </c>
      <c r="G344" s="8"/>
      <c r="H344" s="8"/>
      <c r="I344" s="8"/>
      <c r="J344" s="8">
        <v>0.43103483319282532</v>
      </c>
      <c r="K344" s="8">
        <v>8.2268193364143372E-2</v>
      </c>
      <c r="L344" s="8">
        <v>11332973</v>
      </c>
      <c r="M344" t="s">
        <v>1052</v>
      </c>
    </row>
    <row r="345" spans="2:13">
      <c r="B345" t="s">
        <v>27</v>
      </c>
      <c r="C345" s="8">
        <v>2010</v>
      </c>
      <c r="D345" s="8">
        <v>2</v>
      </c>
      <c r="E345" s="8">
        <v>0.5030638575553894</v>
      </c>
      <c r="F345" s="8">
        <v>2.6116650551557541E-2</v>
      </c>
      <c r="G345" s="8"/>
      <c r="H345" s="8"/>
      <c r="I345" s="8"/>
      <c r="J345" s="8">
        <v>0.3524799644947052</v>
      </c>
      <c r="K345" s="8">
        <v>6.9529980421066284E-2</v>
      </c>
      <c r="L345" s="8">
        <v>11332973</v>
      </c>
      <c r="M345" t="s">
        <v>1052</v>
      </c>
    </row>
    <row r="346" spans="2:13">
      <c r="B346" t="s">
        <v>27</v>
      </c>
      <c r="C346" s="8">
        <v>2010</v>
      </c>
      <c r="D346" s="8">
        <v>3</v>
      </c>
      <c r="E346" s="8">
        <v>0.48878821730613708</v>
      </c>
      <c r="F346" s="8">
        <v>3.128863126039505E-2</v>
      </c>
      <c r="G346" s="8"/>
      <c r="H346" s="8"/>
      <c r="I346" s="8"/>
      <c r="J346" s="8">
        <v>0.23683623969554901</v>
      </c>
      <c r="K346" s="8">
        <v>7.0036172866821289E-2</v>
      </c>
      <c r="L346" s="8">
        <v>11332973</v>
      </c>
      <c r="M346" t="s">
        <v>1052</v>
      </c>
    </row>
    <row r="347" spans="2:13">
      <c r="B347" t="s">
        <v>27</v>
      </c>
      <c r="C347" s="8">
        <v>2011</v>
      </c>
      <c r="D347" s="8">
        <v>1</v>
      </c>
      <c r="E347" s="8">
        <v>0.52781426906585693</v>
      </c>
      <c r="F347" s="8">
        <v>2.4934286251664162E-2</v>
      </c>
      <c r="G347" s="8"/>
      <c r="H347" s="8"/>
      <c r="I347" s="8"/>
      <c r="J347" s="8">
        <v>0.43183857202529907</v>
      </c>
      <c r="K347" s="8">
        <v>7.7414609491825104E-2</v>
      </c>
      <c r="L347" s="8">
        <v>11332973</v>
      </c>
      <c r="M347" t="s">
        <v>1052</v>
      </c>
    </row>
    <row r="348" spans="2:13">
      <c r="B348" t="s">
        <v>27</v>
      </c>
      <c r="C348" s="8">
        <v>2011</v>
      </c>
      <c r="D348" s="8">
        <v>2</v>
      </c>
      <c r="E348" s="8">
        <v>0.50805008411407471</v>
      </c>
      <c r="F348" s="8">
        <v>2.6515481993556023E-2</v>
      </c>
      <c r="G348" s="8"/>
      <c r="H348" s="8"/>
      <c r="I348" s="8"/>
      <c r="J348" s="8">
        <v>0.33629950881004333</v>
      </c>
      <c r="K348" s="8">
        <v>7.5698800384998322E-2</v>
      </c>
      <c r="L348" s="8">
        <v>11332973</v>
      </c>
      <c r="M348" t="s">
        <v>1052</v>
      </c>
    </row>
    <row r="349" spans="2:13">
      <c r="B349" t="s">
        <v>27</v>
      </c>
      <c r="C349" s="8">
        <v>2011</v>
      </c>
      <c r="D349" s="8">
        <v>3</v>
      </c>
      <c r="E349" s="8">
        <v>0.47913831472396851</v>
      </c>
      <c r="F349" s="8">
        <v>3.3297423273324966E-2</v>
      </c>
      <c r="G349" s="8"/>
      <c r="H349" s="8"/>
      <c r="I349" s="8"/>
      <c r="J349" s="8">
        <v>0.22737924754619598</v>
      </c>
      <c r="K349" s="8">
        <v>7.4457556009292603E-2</v>
      </c>
      <c r="L349" s="8">
        <v>11332973</v>
      </c>
      <c r="M349" t="s">
        <v>1052</v>
      </c>
    </row>
    <row r="350" spans="2:13">
      <c r="B350" t="s">
        <v>27</v>
      </c>
      <c r="C350" s="8">
        <v>2012</v>
      </c>
      <c r="D350" s="8">
        <v>1</v>
      </c>
      <c r="E350" s="8">
        <v>0.52390575408935547</v>
      </c>
      <c r="F350" s="8">
        <v>2.9663329944014549E-2</v>
      </c>
      <c r="G350" s="8"/>
      <c r="H350" s="8"/>
      <c r="I350" s="8"/>
      <c r="J350" s="8">
        <v>0.42697647213935852</v>
      </c>
      <c r="K350" s="8">
        <v>7.3674149811267853E-2</v>
      </c>
      <c r="L350" s="8">
        <v>11332973</v>
      </c>
      <c r="M350" t="s">
        <v>1052</v>
      </c>
    </row>
    <row r="351" spans="2:13">
      <c r="B351" t="s">
        <v>27</v>
      </c>
      <c r="C351" s="8">
        <v>2012</v>
      </c>
      <c r="D351" s="8">
        <v>2</v>
      </c>
      <c r="E351" s="8">
        <v>0.50984758138656616</v>
      </c>
      <c r="F351" s="8">
        <v>1.7645882442593575E-2</v>
      </c>
      <c r="G351" s="8"/>
      <c r="H351" s="8"/>
      <c r="I351" s="8"/>
      <c r="J351" s="8">
        <v>0.33895912766456604</v>
      </c>
      <c r="K351" s="8">
        <v>6.880737841129303E-2</v>
      </c>
      <c r="L351" s="8">
        <v>11332973</v>
      </c>
      <c r="M351" t="s">
        <v>1052</v>
      </c>
    </row>
    <row r="352" spans="2:13">
      <c r="B352" t="s">
        <v>27</v>
      </c>
      <c r="C352" s="8">
        <v>2012</v>
      </c>
      <c r="D352" s="8">
        <v>3</v>
      </c>
      <c r="E352" s="8">
        <v>0.47833532094955444</v>
      </c>
      <c r="F352" s="8">
        <v>2.6729218661785126E-2</v>
      </c>
      <c r="G352" s="8"/>
      <c r="H352" s="8"/>
      <c r="I352" s="8"/>
      <c r="J352" s="8">
        <v>0.23423539102077484</v>
      </c>
      <c r="K352" s="8">
        <v>7.8029774129390717E-2</v>
      </c>
      <c r="L352" s="8">
        <v>11332973</v>
      </c>
      <c r="M352" t="s">
        <v>1052</v>
      </c>
    </row>
    <row r="353" spans="2:13">
      <c r="B353" t="s">
        <v>27</v>
      </c>
      <c r="C353" s="8">
        <v>2013</v>
      </c>
      <c r="D353" s="8">
        <v>1</v>
      </c>
      <c r="E353" s="8">
        <v>0.5297396183013916</v>
      </c>
      <c r="F353" s="8">
        <v>3.2210104167461395E-2</v>
      </c>
      <c r="G353" s="8"/>
      <c r="H353" s="8"/>
      <c r="I353" s="8"/>
      <c r="J353" s="8">
        <v>0.42424812912940979</v>
      </c>
      <c r="K353" s="8">
        <v>7.1468561887741089E-2</v>
      </c>
      <c r="L353" s="8">
        <v>11332973</v>
      </c>
      <c r="M353" t="s">
        <v>1052</v>
      </c>
    </row>
    <row r="354" spans="2:13">
      <c r="B354" t="s">
        <v>27</v>
      </c>
      <c r="C354" s="8">
        <v>2013</v>
      </c>
      <c r="D354" s="8">
        <v>2</v>
      </c>
      <c r="E354" s="8">
        <v>0.50818175077438354</v>
      </c>
      <c r="F354" s="8">
        <v>2.7071310207247734E-2</v>
      </c>
      <c r="G354" s="8"/>
      <c r="H354" s="8"/>
      <c r="I354" s="8"/>
      <c r="J354" s="8">
        <v>0.34138983488082886</v>
      </c>
      <c r="K354" s="8">
        <v>6.5833181142807007E-2</v>
      </c>
      <c r="L354" s="8">
        <v>11332973</v>
      </c>
      <c r="M354" t="s">
        <v>1052</v>
      </c>
    </row>
    <row r="355" spans="2:13">
      <c r="B355" t="s">
        <v>27</v>
      </c>
      <c r="C355" s="8">
        <v>2013</v>
      </c>
      <c r="D355" s="8">
        <v>3</v>
      </c>
      <c r="E355" s="8">
        <v>0.4828258752822876</v>
      </c>
      <c r="F355" s="8">
        <v>3.1299170106649399E-2</v>
      </c>
      <c r="G355" s="8"/>
      <c r="H355" s="8"/>
      <c r="I355" s="8"/>
      <c r="J355" s="8">
        <v>0.23414152860641479</v>
      </c>
      <c r="K355" s="8">
        <v>8.1222765147686005E-2</v>
      </c>
      <c r="L355" s="8">
        <v>11332973</v>
      </c>
      <c r="M355" t="s">
        <v>1052</v>
      </c>
    </row>
    <row r="356" spans="2:13">
      <c r="B356" t="s">
        <v>27</v>
      </c>
      <c r="C356" s="8">
        <v>2014</v>
      </c>
      <c r="D356" s="8">
        <v>1</v>
      </c>
      <c r="E356" s="8">
        <v>0.54451555013656616</v>
      </c>
      <c r="F356" s="8">
        <v>3.120996430516243E-2</v>
      </c>
      <c r="G356" s="8"/>
      <c r="H356" s="8"/>
      <c r="I356" s="8"/>
      <c r="J356" s="8">
        <v>0.39168128371238708</v>
      </c>
      <c r="K356" s="8">
        <v>8.8124915957450867E-2</v>
      </c>
      <c r="L356" s="8">
        <v>11332973</v>
      </c>
      <c r="M356" t="s">
        <v>1052</v>
      </c>
    </row>
    <row r="357" spans="2:13">
      <c r="B357" t="s">
        <v>27</v>
      </c>
      <c r="C357" s="8">
        <v>2014</v>
      </c>
      <c r="D357" s="8">
        <v>2</v>
      </c>
      <c r="E357" s="8">
        <v>0.50540930032730103</v>
      </c>
      <c r="F357" s="8">
        <v>1.7297983169555664E-2</v>
      </c>
      <c r="G357" s="8"/>
      <c r="H357" s="8"/>
      <c r="I357" s="8"/>
      <c r="J357" s="8">
        <v>0.33771052956581116</v>
      </c>
      <c r="K357" s="8">
        <v>7.0595234632492065E-2</v>
      </c>
      <c r="L357" s="8">
        <v>11332973</v>
      </c>
      <c r="M357" t="s">
        <v>1052</v>
      </c>
    </row>
    <row r="358" spans="2:13">
      <c r="B358" t="s">
        <v>27</v>
      </c>
      <c r="C358" s="8">
        <v>2014</v>
      </c>
      <c r="D358" s="8">
        <v>3</v>
      </c>
      <c r="E358" s="8">
        <v>0.48227524757385254</v>
      </c>
      <c r="F358" s="8">
        <v>2.717440202832222E-2</v>
      </c>
      <c r="G358" s="8"/>
      <c r="H358" s="8"/>
      <c r="I358" s="8"/>
      <c r="J358" s="8">
        <v>0.22837071120738983</v>
      </c>
      <c r="K358" s="8">
        <v>7.7600300312042236E-2</v>
      </c>
      <c r="L358" s="8">
        <v>11332973</v>
      </c>
      <c r="M358" t="s">
        <v>1052</v>
      </c>
    </row>
    <row r="359" spans="2:13">
      <c r="B359" t="s">
        <v>27</v>
      </c>
      <c r="C359" s="8">
        <v>2015</v>
      </c>
      <c r="D359" s="8">
        <v>1</v>
      </c>
      <c r="E359" s="8">
        <v>0.54217773675918579</v>
      </c>
      <c r="F359" s="8">
        <v>2.3312550038099289E-2</v>
      </c>
      <c r="G359" s="8"/>
      <c r="H359" s="8"/>
      <c r="I359" s="8"/>
      <c r="J359" s="8">
        <v>0.42820528149604797</v>
      </c>
      <c r="K359" s="8">
        <v>9.5194123685359955E-2</v>
      </c>
      <c r="L359" s="8">
        <v>11332973</v>
      </c>
      <c r="M359" t="s">
        <v>1052</v>
      </c>
    </row>
    <row r="360" spans="2:13">
      <c r="B360" t="s">
        <v>27</v>
      </c>
      <c r="C360" s="8">
        <v>2015</v>
      </c>
      <c r="D360" s="8">
        <v>2</v>
      </c>
      <c r="E360" s="8">
        <v>0.51304483413696289</v>
      </c>
      <c r="F360" s="8">
        <v>2.8937935829162598E-2</v>
      </c>
      <c r="G360" s="8"/>
      <c r="H360" s="8"/>
      <c r="I360" s="8"/>
      <c r="J360" s="8">
        <v>0.34703424572944641</v>
      </c>
      <c r="K360" s="8">
        <v>8.3553969860076904E-2</v>
      </c>
      <c r="L360" s="8">
        <v>11332973</v>
      </c>
      <c r="M360" t="s">
        <v>1052</v>
      </c>
    </row>
    <row r="361" spans="2:13">
      <c r="B361" t="s">
        <v>27</v>
      </c>
      <c r="C361" s="8">
        <v>2015</v>
      </c>
      <c r="D361" s="8">
        <v>3</v>
      </c>
      <c r="E361" s="8">
        <v>0.48180028796195984</v>
      </c>
      <c r="F361" s="8">
        <v>2.9948115348815918E-2</v>
      </c>
      <c r="G361" s="8"/>
      <c r="H361" s="8"/>
      <c r="I361" s="8"/>
      <c r="J361" s="8">
        <v>0.21598692238330841</v>
      </c>
      <c r="K361" s="8">
        <v>8.0532580614089966E-2</v>
      </c>
      <c r="L361" s="8">
        <v>11332973</v>
      </c>
      <c r="M361" t="s">
        <v>1052</v>
      </c>
    </row>
    <row r="362" spans="2:13">
      <c r="B362" t="s">
        <v>27</v>
      </c>
      <c r="C362" s="8">
        <v>2016</v>
      </c>
      <c r="D362" s="8">
        <v>1</v>
      </c>
      <c r="E362" s="8">
        <v>0.5278855562210083</v>
      </c>
      <c r="F362" s="8">
        <v>3.5779520869255066E-2</v>
      </c>
      <c r="G362" s="8"/>
      <c r="H362" s="8"/>
      <c r="I362" s="8"/>
      <c r="J362" s="8">
        <v>0.40863370895385742</v>
      </c>
      <c r="K362" s="8">
        <v>9.911791980266571E-2</v>
      </c>
      <c r="L362" s="8">
        <v>11332973</v>
      </c>
      <c r="M362" t="s">
        <v>1052</v>
      </c>
    </row>
    <row r="363" spans="2:13">
      <c r="B363" t="s">
        <v>27</v>
      </c>
      <c r="C363" s="8">
        <v>2016</v>
      </c>
      <c r="D363" s="8">
        <v>2</v>
      </c>
      <c r="E363" s="8">
        <v>0.52184712886810303</v>
      </c>
      <c r="F363" s="8">
        <v>3.6639697849750519E-2</v>
      </c>
      <c r="G363" s="8"/>
      <c r="H363" s="8"/>
      <c r="I363" s="8"/>
      <c r="J363" s="8">
        <v>0.35441449284553528</v>
      </c>
      <c r="K363" s="8">
        <v>8.0908827483654022E-2</v>
      </c>
      <c r="L363" s="8">
        <v>11332973</v>
      </c>
      <c r="M363" t="s">
        <v>1052</v>
      </c>
    </row>
    <row r="364" spans="2:13">
      <c r="B364" t="s">
        <v>27</v>
      </c>
      <c r="C364" s="8">
        <v>2016</v>
      </c>
      <c r="D364" s="8">
        <v>3</v>
      </c>
      <c r="E364" s="8">
        <v>0.48815837502479553</v>
      </c>
      <c r="F364" s="8">
        <v>2.973170205950737E-2</v>
      </c>
      <c r="G364" s="8"/>
      <c r="H364" s="8"/>
      <c r="I364" s="8"/>
      <c r="J364" s="8">
        <v>0.22137013077735901</v>
      </c>
      <c r="K364" s="8">
        <v>7.6393298804759979E-2</v>
      </c>
      <c r="L364" s="8">
        <v>11332973</v>
      </c>
      <c r="M364" t="s">
        <v>1052</v>
      </c>
    </row>
    <row r="365" spans="2:13">
      <c r="B365" t="s">
        <v>27</v>
      </c>
      <c r="C365" s="8">
        <v>2017</v>
      </c>
      <c r="D365" s="8">
        <v>1</v>
      </c>
      <c r="E365" s="8">
        <v>0.51104569435119629</v>
      </c>
      <c r="F365" s="8">
        <v>3.4967929124832153E-2</v>
      </c>
      <c r="G365" s="8"/>
      <c r="H365" s="8"/>
      <c r="I365" s="8"/>
      <c r="J365" s="8">
        <v>0.43579980731010437</v>
      </c>
      <c r="K365" s="8">
        <v>6.3977330923080444E-2</v>
      </c>
      <c r="L365" s="8">
        <v>11332973</v>
      </c>
      <c r="M365" t="s">
        <v>1052</v>
      </c>
    </row>
    <row r="366" spans="2:13">
      <c r="B366" t="s">
        <v>27</v>
      </c>
      <c r="C366" s="8">
        <v>2017</v>
      </c>
      <c r="D366" s="8">
        <v>2</v>
      </c>
      <c r="E366" s="8">
        <v>0.53270268440246582</v>
      </c>
      <c r="F366" s="8">
        <v>4.4568568468093872E-2</v>
      </c>
      <c r="G366" s="8"/>
      <c r="H366" s="8"/>
      <c r="I366" s="8"/>
      <c r="J366" s="8">
        <v>0.37000596523284912</v>
      </c>
      <c r="K366" s="8">
        <v>7.3095045983791351E-2</v>
      </c>
      <c r="L366" s="8">
        <v>11332973</v>
      </c>
      <c r="M366" t="s">
        <v>1052</v>
      </c>
    </row>
    <row r="367" spans="2:13">
      <c r="B367" t="s">
        <v>27</v>
      </c>
      <c r="C367" s="8">
        <v>2017</v>
      </c>
      <c r="D367" s="8">
        <v>3</v>
      </c>
      <c r="E367" s="8">
        <v>0.49957290291786194</v>
      </c>
      <c r="F367" s="8">
        <v>3.0309677124023438E-2</v>
      </c>
      <c r="G367" s="8"/>
      <c r="H367" s="8"/>
      <c r="I367" s="8"/>
      <c r="J367" s="8">
        <v>0.2306557297706604</v>
      </c>
      <c r="K367" s="8">
        <v>9.7514137625694275E-2</v>
      </c>
      <c r="L367" s="8">
        <v>11332973</v>
      </c>
      <c r="M367" t="s">
        <v>1052</v>
      </c>
    </row>
    <row r="368" spans="2:13">
      <c r="B368" t="s">
        <v>27</v>
      </c>
      <c r="C368" s="8">
        <v>2018</v>
      </c>
      <c r="D368" s="8">
        <v>1</v>
      </c>
      <c r="E368" s="8">
        <v>0.54426276683807373</v>
      </c>
      <c r="F368" s="8">
        <v>3.8805324584245682E-2</v>
      </c>
      <c r="G368" s="8"/>
      <c r="H368" s="8"/>
      <c r="I368" s="8"/>
      <c r="J368" s="8">
        <v>0.45001348853111267</v>
      </c>
      <c r="K368" s="8">
        <v>7.1274235844612122E-2</v>
      </c>
      <c r="L368" s="8">
        <v>11332973</v>
      </c>
      <c r="M368" t="s">
        <v>1052</v>
      </c>
    </row>
    <row r="369" spans="2:13">
      <c r="B369" t="s">
        <v>27</v>
      </c>
      <c r="C369" s="8">
        <v>2018</v>
      </c>
      <c r="D369" s="8">
        <v>2</v>
      </c>
      <c r="E369" s="8">
        <v>0.52275407314300537</v>
      </c>
      <c r="F369" s="8">
        <v>3.853275254368782E-2</v>
      </c>
      <c r="G369" s="8"/>
      <c r="H369" s="8"/>
      <c r="I369" s="8"/>
      <c r="J369" s="8">
        <v>0.38968124985694885</v>
      </c>
      <c r="K369" s="8">
        <v>7.9331614077091217E-2</v>
      </c>
      <c r="L369" s="8">
        <v>11332973</v>
      </c>
      <c r="M369" t="s">
        <v>1052</v>
      </c>
    </row>
    <row r="370" spans="2:13">
      <c r="B370" t="s">
        <v>27</v>
      </c>
      <c r="C370" s="8">
        <v>2018</v>
      </c>
      <c r="D370" s="8">
        <v>3</v>
      </c>
      <c r="E370" s="8">
        <v>0.50104022026062012</v>
      </c>
      <c r="F370" s="8">
        <v>3.7200458347797394E-2</v>
      </c>
      <c r="G370" s="8"/>
      <c r="H370" s="8"/>
      <c r="I370" s="8"/>
      <c r="J370" s="8">
        <v>0.23154741525650024</v>
      </c>
      <c r="K370" s="8">
        <v>9.5591455698013306E-2</v>
      </c>
      <c r="L370" s="8">
        <v>11332973</v>
      </c>
      <c r="M370" t="s">
        <v>1052</v>
      </c>
    </row>
    <row r="371" spans="2:13">
      <c r="B371" t="s">
        <v>27</v>
      </c>
      <c r="C371" s="8">
        <v>2019</v>
      </c>
      <c r="D371" s="8">
        <v>1</v>
      </c>
      <c r="E371" s="8">
        <v>0.52395564317703247</v>
      </c>
      <c r="F371" s="8">
        <v>4.3770447373390198E-2</v>
      </c>
      <c r="G371" s="8"/>
      <c r="H371" s="8"/>
      <c r="I371" s="8"/>
      <c r="J371" s="8">
        <v>0.46038869023323059</v>
      </c>
      <c r="K371" s="8">
        <v>7.6298981904983521E-2</v>
      </c>
      <c r="L371" s="8">
        <v>11332973</v>
      </c>
      <c r="M371" t="s">
        <v>1052</v>
      </c>
    </row>
    <row r="372" spans="2:13">
      <c r="B372" t="s">
        <v>27</v>
      </c>
      <c r="C372" s="8">
        <v>2019</v>
      </c>
      <c r="D372" s="8">
        <v>2</v>
      </c>
      <c r="E372" s="8">
        <v>0.53800535202026367</v>
      </c>
      <c r="F372" s="8">
        <v>5.0132971256971359E-2</v>
      </c>
      <c r="G372" s="8"/>
      <c r="H372" s="8"/>
      <c r="I372" s="8"/>
      <c r="J372" s="8">
        <v>0.40158841013908386</v>
      </c>
      <c r="K372" s="8">
        <v>7.4704423546791077E-2</v>
      </c>
      <c r="L372" s="8">
        <v>11332973</v>
      </c>
      <c r="M372" t="s">
        <v>1052</v>
      </c>
    </row>
    <row r="373" spans="2:13">
      <c r="B373" t="s">
        <v>27</v>
      </c>
      <c r="C373" s="8">
        <v>2019</v>
      </c>
      <c r="D373" s="8">
        <v>3</v>
      </c>
      <c r="E373" s="8">
        <v>0.50212949514389038</v>
      </c>
      <c r="F373" s="8">
        <v>4.0054123848676682E-2</v>
      </c>
      <c r="G373" s="8"/>
      <c r="H373" s="8"/>
      <c r="I373" s="8"/>
      <c r="J373" s="8">
        <v>0.22904488444328308</v>
      </c>
      <c r="K373" s="8">
        <v>9.8358914256095886E-2</v>
      </c>
      <c r="L373" s="8">
        <v>11332973</v>
      </c>
      <c r="M373" t="s">
        <v>1052</v>
      </c>
    </row>
    <row r="374" spans="2:13">
      <c r="B374" t="s">
        <v>27</v>
      </c>
      <c r="C374" s="8">
        <v>2020</v>
      </c>
      <c r="D374" s="8">
        <v>1</v>
      </c>
      <c r="E374" s="8">
        <v>0.56006240844726563</v>
      </c>
      <c r="F374" s="8">
        <v>2.9587859287858009E-2</v>
      </c>
      <c r="G374" s="8"/>
      <c r="H374" s="8"/>
      <c r="I374" s="8"/>
      <c r="J374" s="8">
        <v>0.39330744743347168</v>
      </c>
      <c r="K374" s="8">
        <v>9.6510343253612518E-2</v>
      </c>
      <c r="L374" s="8">
        <v>11332973</v>
      </c>
      <c r="M374" t="s">
        <v>1052</v>
      </c>
    </row>
    <row r="375" spans="2:13">
      <c r="B375" t="s">
        <v>27</v>
      </c>
      <c r="C375" s="8">
        <v>2020</v>
      </c>
      <c r="D375" s="8">
        <v>2</v>
      </c>
      <c r="E375" s="8">
        <v>0.531666100025177</v>
      </c>
      <c r="F375" s="8">
        <v>4.3279696255922318E-2</v>
      </c>
      <c r="G375" s="8"/>
      <c r="H375" s="8"/>
      <c r="I375" s="8"/>
      <c r="J375" s="8">
        <v>0.3637138307094574</v>
      </c>
      <c r="K375" s="8">
        <v>7.8245863318443298E-2</v>
      </c>
      <c r="L375" s="8">
        <v>11332973</v>
      </c>
      <c r="M375" t="s">
        <v>1052</v>
      </c>
    </row>
    <row r="376" spans="2:13">
      <c r="B376" t="s">
        <v>27</v>
      </c>
      <c r="C376" s="8">
        <v>2020</v>
      </c>
      <c r="D376" s="8">
        <v>3</v>
      </c>
      <c r="E376" s="8">
        <v>0.49796465039253235</v>
      </c>
      <c r="F376" s="8">
        <v>4.4417258352041245E-2</v>
      </c>
      <c r="G376" s="8"/>
      <c r="H376" s="8"/>
      <c r="I376" s="8"/>
      <c r="J376" s="8">
        <v>0.21098637580871582</v>
      </c>
      <c r="K376" s="8">
        <v>0.10768675804138184</v>
      </c>
      <c r="L376" s="8">
        <v>11332973</v>
      </c>
      <c r="M376" t="s">
        <v>1052</v>
      </c>
    </row>
    <row r="377" spans="2:13">
      <c r="B377" t="s">
        <v>27</v>
      </c>
      <c r="C377" s="8">
        <v>2021</v>
      </c>
      <c r="D377" s="8">
        <v>1</v>
      </c>
      <c r="E377" s="8">
        <v>0.55851191282272339</v>
      </c>
      <c r="F377" s="8">
        <v>5.8572374284267426E-2</v>
      </c>
      <c r="G377" s="8"/>
      <c r="H377" s="8"/>
      <c r="I377" s="8"/>
      <c r="J377" s="8">
        <v>0.40701252222061157</v>
      </c>
      <c r="K377" s="8">
        <v>9.5190770924091339E-2</v>
      </c>
      <c r="L377" s="8">
        <v>11332973</v>
      </c>
      <c r="M377" t="s">
        <v>1052</v>
      </c>
    </row>
    <row r="378" spans="2:13">
      <c r="B378" t="s">
        <v>27</v>
      </c>
      <c r="C378" s="8">
        <v>2021</v>
      </c>
      <c r="D378" s="8">
        <v>2</v>
      </c>
      <c r="E378" s="8">
        <v>0.5516592264175415</v>
      </c>
      <c r="F378" s="8">
        <v>4.5946754515171051E-2</v>
      </c>
      <c r="G378" s="8"/>
      <c r="H378" s="8"/>
      <c r="I378" s="8"/>
      <c r="J378" s="8">
        <v>0.37551656365394592</v>
      </c>
      <c r="K378" s="8">
        <v>8.366953581571579E-2</v>
      </c>
      <c r="L378" s="8">
        <v>11332973</v>
      </c>
      <c r="M378" t="s">
        <v>1052</v>
      </c>
    </row>
    <row r="379" spans="2:13">
      <c r="B379" t="s">
        <v>27</v>
      </c>
      <c r="C379" s="8">
        <v>2021</v>
      </c>
      <c r="D379" s="8">
        <v>3</v>
      </c>
      <c r="E379" s="8">
        <v>0.49874615669250488</v>
      </c>
      <c r="F379" s="8">
        <v>4.6060629189014435E-2</v>
      </c>
      <c r="G379" s="8"/>
      <c r="H379" s="8"/>
      <c r="I379" s="8"/>
      <c r="J379" s="8">
        <v>0.21637400984764099</v>
      </c>
      <c r="K379" s="8">
        <v>0.10954590141773224</v>
      </c>
      <c r="L379" s="8">
        <v>11332973</v>
      </c>
      <c r="M379" t="s">
        <v>1052</v>
      </c>
    </row>
    <row r="380" spans="2:13">
      <c r="B380" t="s">
        <v>27</v>
      </c>
      <c r="C380" s="8">
        <v>2022</v>
      </c>
      <c r="D380" s="8">
        <v>1</v>
      </c>
      <c r="E380" s="8">
        <v>0.52938896417617798</v>
      </c>
      <c r="F380" s="8">
        <v>6.0338146984577179E-2</v>
      </c>
      <c r="G380" s="8"/>
      <c r="H380" s="8"/>
      <c r="I380" s="8"/>
      <c r="J380" s="8">
        <v>0.42003875970840454</v>
      </c>
      <c r="K380" s="8">
        <v>8.943735808134079E-2</v>
      </c>
      <c r="L380" s="8">
        <v>11332973</v>
      </c>
      <c r="M380" t="s">
        <v>1052</v>
      </c>
    </row>
    <row r="381" spans="2:13">
      <c r="B381" t="s">
        <v>27</v>
      </c>
      <c r="C381" s="8">
        <v>2022</v>
      </c>
      <c r="D381" s="8">
        <v>2</v>
      </c>
      <c r="E381" s="8">
        <v>0.55226325988769531</v>
      </c>
      <c r="F381" s="8">
        <v>5.4990354925394058E-2</v>
      </c>
      <c r="G381" s="8"/>
      <c r="H381" s="8"/>
      <c r="I381" s="8"/>
      <c r="J381" s="8">
        <v>0.38147050142288208</v>
      </c>
      <c r="K381" s="8">
        <v>9.1766059398651123E-2</v>
      </c>
      <c r="L381" s="8">
        <v>11332973</v>
      </c>
      <c r="M381" t="s">
        <v>1052</v>
      </c>
    </row>
    <row r="382" spans="2:13">
      <c r="B382" t="s">
        <v>27</v>
      </c>
      <c r="C382" s="8">
        <v>2022</v>
      </c>
      <c r="D382" s="8">
        <v>3</v>
      </c>
      <c r="E382" s="8">
        <v>0.50716471672058105</v>
      </c>
      <c r="F382" s="8">
        <v>4.4058006256818771E-2</v>
      </c>
      <c r="G382" s="8"/>
      <c r="H382" s="8"/>
      <c r="I382" s="8"/>
      <c r="J382" s="8">
        <v>0.22992436587810516</v>
      </c>
      <c r="K382" s="8">
        <v>0.11142268776893616</v>
      </c>
      <c r="L382" s="8">
        <v>11332973</v>
      </c>
      <c r="M382" t="s">
        <v>1052</v>
      </c>
    </row>
    <row r="383" spans="2:13">
      <c r="B383" t="s">
        <v>29</v>
      </c>
      <c r="C383" s="8">
        <v>2003</v>
      </c>
      <c r="D383" s="8">
        <v>1</v>
      </c>
      <c r="E383" s="8">
        <v>0.50679224729537964</v>
      </c>
      <c r="F383" s="8"/>
      <c r="G383" s="8">
        <v>4.4747550040483475E-2</v>
      </c>
      <c r="H383" s="8">
        <v>0.12238322198390961</v>
      </c>
      <c r="I383" s="8"/>
      <c r="J383" s="8">
        <v>0.45207890868186951</v>
      </c>
      <c r="K383" s="8">
        <v>6.4689069986343384E-2</v>
      </c>
      <c r="L383" s="8">
        <v>18190484</v>
      </c>
      <c r="M383" t="s">
        <v>1052</v>
      </c>
    </row>
    <row r="384" spans="2:13">
      <c r="B384" t="s">
        <v>29</v>
      </c>
      <c r="C384" s="8">
        <v>2003</v>
      </c>
      <c r="D384" s="8">
        <v>2</v>
      </c>
      <c r="E384" s="8">
        <v>0.50551080703735352</v>
      </c>
      <c r="F384" s="8"/>
      <c r="G384" s="8">
        <v>4.6783506870269775E-2</v>
      </c>
      <c r="H384" s="8">
        <v>7.7296815812587738E-2</v>
      </c>
      <c r="I384" s="8"/>
      <c r="J384" s="8">
        <v>0.36892721056938171</v>
      </c>
      <c r="K384" s="8">
        <v>5.9746634215116501E-2</v>
      </c>
      <c r="L384" s="8">
        <v>18190484</v>
      </c>
      <c r="M384" t="s">
        <v>1052</v>
      </c>
    </row>
    <row r="385" spans="2:13">
      <c r="B385" t="s">
        <v>29</v>
      </c>
      <c r="C385" s="8">
        <v>2003</v>
      </c>
      <c r="D385" s="8">
        <v>3</v>
      </c>
      <c r="E385" s="8">
        <v>0.48989346623420715</v>
      </c>
      <c r="F385" s="8"/>
      <c r="G385" s="8">
        <v>3.1049458310008049E-2</v>
      </c>
      <c r="H385" s="8">
        <v>3.764999657869339E-2</v>
      </c>
      <c r="I385" s="8"/>
      <c r="J385" s="8">
        <v>0.25751873850822449</v>
      </c>
      <c r="K385" s="8">
        <v>6.5614044666290283E-2</v>
      </c>
      <c r="L385" s="8">
        <v>18190484</v>
      </c>
      <c r="M385" t="s">
        <v>1052</v>
      </c>
    </row>
    <row r="386" spans="2:13">
      <c r="B386" t="s">
        <v>29</v>
      </c>
      <c r="C386" s="8">
        <v>2004</v>
      </c>
      <c r="D386" s="8">
        <v>1</v>
      </c>
      <c r="E386" s="8">
        <v>0.51059550046920776</v>
      </c>
      <c r="F386" s="8"/>
      <c r="G386" s="8">
        <v>4.521576315164566E-2</v>
      </c>
      <c r="H386" s="8">
        <v>0.14003831148147583</v>
      </c>
      <c r="I386" s="8"/>
      <c r="J386" s="8">
        <v>0.45061168074607849</v>
      </c>
      <c r="K386" s="8">
        <v>7.1227259933948517E-2</v>
      </c>
      <c r="L386" s="8">
        <v>18190484</v>
      </c>
      <c r="M386" t="s">
        <v>1052</v>
      </c>
    </row>
    <row r="387" spans="2:13">
      <c r="B387" t="s">
        <v>29</v>
      </c>
      <c r="C387" s="8">
        <v>2004</v>
      </c>
      <c r="D387" s="8">
        <v>2</v>
      </c>
      <c r="E387" s="8">
        <v>0.50289547443389893</v>
      </c>
      <c r="F387" s="8"/>
      <c r="G387" s="8">
        <v>3.2044745981693268E-2</v>
      </c>
      <c r="H387" s="8">
        <v>6.4989089965820313E-2</v>
      </c>
      <c r="I387" s="8"/>
      <c r="J387" s="8">
        <v>0.37296748161315918</v>
      </c>
      <c r="K387" s="8">
        <v>6.3776247203350067E-2</v>
      </c>
      <c r="L387" s="8">
        <v>18190484</v>
      </c>
      <c r="M387" t="s">
        <v>1052</v>
      </c>
    </row>
    <row r="388" spans="2:13">
      <c r="B388" t="s">
        <v>29</v>
      </c>
      <c r="C388" s="8">
        <v>2004</v>
      </c>
      <c r="D388" s="8">
        <v>3</v>
      </c>
      <c r="E388" s="8">
        <v>0.49708861112594604</v>
      </c>
      <c r="F388" s="8"/>
      <c r="G388" s="8">
        <v>2.3603398352861404E-2</v>
      </c>
      <c r="H388" s="8">
        <v>3.0643545091152191E-2</v>
      </c>
      <c r="I388" s="8"/>
      <c r="J388" s="8">
        <v>0.25592848658561707</v>
      </c>
      <c r="K388" s="8">
        <v>7.4545502662658691E-2</v>
      </c>
      <c r="L388" s="8">
        <v>18190484</v>
      </c>
      <c r="M388" t="s">
        <v>1052</v>
      </c>
    </row>
    <row r="389" spans="2:13">
      <c r="B389" t="s">
        <v>29</v>
      </c>
      <c r="C389" s="8">
        <v>2005</v>
      </c>
      <c r="D389" s="8">
        <v>1</v>
      </c>
      <c r="E389" s="8">
        <v>0.50955897569656372</v>
      </c>
      <c r="F389" s="8"/>
      <c r="G389" s="8">
        <v>4.2727947235107422E-2</v>
      </c>
      <c r="H389" s="8">
        <v>0.12630707025527954</v>
      </c>
      <c r="I389" s="8"/>
      <c r="J389" s="8">
        <v>0.44262832403182983</v>
      </c>
      <c r="K389" s="8">
        <v>6.7617014050483704E-2</v>
      </c>
      <c r="L389" s="8">
        <v>18190484</v>
      </c>
      <c r="M389" t="s">
        <v>1052</v>
      </c>
    </row>
    <row r="390" spans="2:13">
      <c r="B390" t="s">
        <v>29</v>
      </c>
      <c r="C390" s="8">
        <v>2005</v>
      </c>
      <c r="D390" s="8">
        <v>2</v>
      </c>
      <c r="E390" s="8">
        <v>0.49465873837471008</v>
      </c>
      <c r="F390" s="8"/>
      <c r="G390" s="8">
        <v>4.6341460198163986E-2</v>
      </c>
      <c r="H390" s="8">
        <v>6.407582014799118E-2</v>
      </c>
      <c r="I390" s="8"/>
      <c r="J390" s="8">
        <v>0.37105342745780945</v>
      </c>
      <c r="K390" s="8">
        <v>6.601763516664505E-2</v>
      </c>
      <c r="L390" s="8">
        <v>18190484</v>
      </c>
      <c r="M390" t="s">
        <v>1052</v>
      </c>
    </row>
    <row r="391" spans="2:13">
      <c r="B391" t="s">
        <v>29</v>
      </c>
      <c r="C391" s="8">
        <v>2005</v>
      </c>
      <c r="D391" s="8">
        <v>3</v>
      </c>
      <c r="E391" s="8">
        <v>0.49758487939834595</v>
      </c>
      <c r="F391" s="8"/>
      <c r="G391" s="8">
        <v>2.3258687928318977E-2</v>
      </c>
      <c r="H391" s="8">
        <v>3.1659848988056183E-2</v>
      </c>
      <c r="I391" s="8"/>
      <c r="J391" s="8">
        <v>0.24942328035831451</v>
      </c>
      <c r="K391" s="8">
        <v>7.4895806610584259E-2</v>
      </c>
      <c r="L391" s="8">
        <v>18190484</v>
      </c>
      <c r="M391" t="s">
        <v>1052</v>
      </c>
    </row>
    <row r="392" spans="2:13">
      <c r="B392" t="s">
        <v>29</v>
      </c>
      <c r="C392" s="8">
        <v>2006</v>
      </c>
      <c r="D392" s="8">
        <v>1</v>
      </c>
      <c r="E392" s="8">
        <v>0.51520651578903198</v>
      </c>
      <c r="F392" s="8"/>
      <c r="G392" s="8">
        <v>5.0134662538766861E-2</v>
      </c>
      <c r="H392" s="8">
        <v>0.14370439946651459</v>
      </c>
      <c r="I392" s="8"/>
      <c r="J392" s="8">
        <v>0.4513276219367981</v>
      </c>
      <c r="K392" s="8">
        <v>7.6443687081336975E-2</v>
      </c>
      <c r="L392" s="8">
        <v>18190484</v>
      </c>
      <c r="M392" t="s">
        <v>1052</v>
      </c>
    </row>
    <row r="393" spans="2:13">
      <c r="B393" t="s">
        <v>29</v>
      </c>
      <c r="C393" s="8">
        <v>2006</v>
      </c>
      <c r="D393" s="8">
        <v>2</v>
      </c>
      <c r="E393" s="8">
        <v>0.49636885523796082</v>
      </c>
      <c r="F393" s="8"/>
      <c r="G393" s="8">
        <v>4.2077753692865372E-2</v>
      </c>
      <c r="H393" s="8">
        <v>7.7186733484268188E-2</v>
      </c>
      <c r="I393" s="8"/>
      <c r="J393" s="8">
        <v>0.37897101044654846</v>
      </c>
      <c r="K393" s="8">
        <v>6.2984004616737366E-2</v>
      </c>
      <c r="L393" s="8">
        <v>18190484</v>
      </c>
      <c r="M393" t="s">
        <v>1052</v>
      </c>
    </row>
    <row r="394" spans="2:13">
      <c r="B394" t="s">
        <v>29</v>
      </c>
      <c r="C394" s="8">
        <v>2006</v>
      </c>
      <c r="D394" s="8">
        <v>3</v>
      </c>
      <c r="E394" s="8">
        <v>0.4989284873008728</v>
      </c>
      <c r="F394" s="8"/>
      <c r="G394" s="8">
        <v>2.5929868221282959E-2</v>
      </c>
      <c r="H394" s="8">
        <v>2.8882728889584541E-2</v>
      </c>
      <c r="I394" s="8"/>
      <c r="J394" s="8">
        <v>0.25254130363464355</v>
      </c>
      <c r="K394" s="8">
        <v>8.0244146287441254E-2</v>
      </c>
      <c r="L394" s="8">
        <v>18190484</v>
      </c>
      <c r="M394" t="s">
        <v>1052</v>
      </c>
    </row>
    <row r="395" spans="2:13">
      <c r="B395" t="s">
        <v>29</v>
      </c>
      <c r="C395" s="8">
        <v>2007</v>
      </c>
      <c r="D395" s="8">
        <v>1</v>
      </c>
      <c r="E395" s="8">
        <v>0.51427489519119263</v>
      </c>
      <c r="F395" s="8"/>
      <c r="G395" s="8">
        <v>5.4897673428058624E-2</v>
      </c>
      <c r="H395" s="8">
        <v>0.14275620877742767</v>
      </c>
      <c r="I395" s="8"/>
      <c r="J395" s="8">
        <v>0.45512586832046509</v>
      </c>
      <c r="K395" s="8">
        <v>7.0845030248165131E-2</v>
      </c>
      <c r="L395" s="8">
        <v>18190484</v>
      </c>
      <c r="M395" t="s">
        <v>1052</v>
      </c>
    </row>
    <row r="396" spans="2:13">
      <c r="B396" t="s">
        <v>29</v>
      </c>
      <c r="C396" s="8">
        <v>2007</v>
      </c>
      <c r="D396" s="8">
        <v>2</v>
      </c>
      <c r="E396" s="8">
        <v>0.50590944290161133</v>
      </c>
      <c r="F396" s="8"/>
      <c r="G396" s="8">
        <v>4.1106294840574265E-2</v>
      </c>
      <c r="H396" s="8">
        <v>7.0850275456905365E-2</v>
      </c>
      <c r="I396" s="8"/>
      <c r="J396" s="8">
        <v>0.388795405626297</v>
      </c>
      <c r="K396" s="8">
        <v>6.1804518103599548E-2</v>
      </c>
      <c r="L396" s="8">
        <v>18190484</v>
      </c>
      <c r="M396" t="s">
        <v>1052</v>
      </c>
    </row>
    <row r="397" spans="2:13">
      <c r="B397" t="s">
        <v>29</v>
      </c>
      <c r="C397" s="8">
        <v>2007</v>
      </c>
      <c r="D397" s="8">
        <v>3</v>
      </c>
      <c r="E397" s="8">
        <v>0.50093472003936768</v>
      </c>
      <c r="F397" s="8"/>
      <c r="G397" s="8">
        <v>2.7143869549036026E-2</v>
      </c>
      <c r="H397" s="8">
        <v>3.1837642192840576E-2</v>
      </c>
      <c r="I397" s="8"/>
      <c r="J397" s="8">
        <v>0.25790238380432129</v>
      </c>
      <c r="K397" s="8">
        <v>7.9219192266464233E-2</v>
      </c>
      <c r="L397" s="8">
        <v>18190484</v>
      </c>
      <c r="M397" t="s">
        <v>1052</v>
      </c>
    </row>
    <row r="398" spans="2:13">
      <c r="B398" t="s">
        <v>29</v>
      </c>
      <c r="C398" s="8">
        <v>2008</v>
      </c>
      <c r="D398" s="8">
        <v>1</v>
      </c>
      <c r="E398" s="8">
        <v>0.51587098836898804</v>
      </c>
      <c r="F398" s="8"/>
      <c r="G398" s="8">
        <v>6.535666435956955E-2</v>
      </c>
      <c r="H398" s="8">
        <v>0.15898364782333374</v>
      </c>
      <c r="I398" s="8"/>
      <c r="J398" s="8">
        <v>0.44978609681129456</v>
      </c>
      <c r="K398" s="8">
        <v>7.4209995567798615E-2</v>
      </c>
      <c r="L398" s="8">
        <v>18190484</v>
      </c>
      <c r="M398" t="s">
        <v>1052</v>
      </c>
    </row>
    <row r="399" spans="2:13">
      <c r="B399" t="s">
        <v>29</v>
      </c>
      <c r="C399" s="8">
        <v>2008</v>
      </c>
      <c r="D399" s="8">
        <v>2</v>
      </c>
      <c r="E399" s="8">
        <v>0.51036316156387329</v>
      </c>
      <c r="F399" s="8"/>
      <c r="G399" s="8">
        <v>6.0258869081735611E-2</v>
      </c>
      <c r="H399" s="8">
        <v>6.5877094864845276E-2</v>
      </c>
      <c r="I399" s="8"/>
      <c r="J399" s="8">
        <v>0.37017449736595154</v>
      </c>
      <c r="K399" s="8">
        <v>7.4834629893302917E-2</v>
      </c>
      <c r="L399" s="8">
        <v>18190484</v>
      </c>
      <c r="M399" t="s">
        <v>1052</v>
      </c>
    </row>
    <row r="400" spans="2:13">
      <c r="B400" t="s">
        <v>29</v>
      </c>
      <c r="C400" s="8">
        <v>2008</v>
      </c>
      <c r="D400" s="8">
        <v>3</v>
      </c>
      <c r="E400" s="8">
        <v>0.50334358215332031</v>
      </c>
      <c r="F400" s="8"/>
      <c r="G400" s="8">
        <v>3.6763127893209457E-2</v>
      </c>
      <c r="H400" s="8">
        <v>3.0396392568945885E-2</v>
      </c>
      <c r="I400" s="8"/>
      <c r="J400" s="8">
        <v>0.24890045821666718</v>
      </c>
      <c r="K400" s="8">
        <v>8.3466112613677979E-2</v>
      </c>
      <c r="L400" s="8">
        <v>18190484</v>
      </c>
      <c r="M400" t="s">
        <v>1052</v>
      </c>
    </row>
    <row r="401" spans="2:13">
      <c r="B401" t="s">
        <v>29</v>
      </c>
      <c r="C401" s="8">
        <v>2009</v>
      </c>
      <c r="D401" s="8">
        <v>1</v>
      </c>
      <c r="E401" s="8">
        <v>0.51523000001907349</v>
      </c>
      <c r="F401" s="8"/>
      <c r="G401" s="8">
        <v>5.406637117266655E-2</v>
      </c>
      <c r="H401" s="8">
        <v>0.16020211577415466</v>
      </c>
      <c r="I401" s="8"/>
      <c r="J401" s="8">
        <v>0.43011093139648438</v>
      </c>
      <c r="K401" s="8">
        <v>7.7293872833251953E-2</v>
      </c>
      <c r="L401" s="8">
        <v>18190484</v>
      </c>
      <c r="M401" t="s">
        <v>1052</v>
      </c>
    </row>
    <row r="402" spans="2:13">
      <c r="B402" t="s">
        <v>29</v>
      </c>
      <c r="C402" s="8">
        <v>2009</v>
      </c>
      <c r="D402" s="8">
        <v>2</v>
      </c>
      <c r="E402" s="8">
        <v>0.5115622878074646</v>
      </c>
      <c r="F402" s="8"/>
      <c r="G402" s="8">
        <v>3.9479847997426987E-2</v>
      </c>
      <c r="H402" s="8">
        <v>5.9554200619459152E-2</v>
      </c>
      <c r="I402" s="8"/>
      <c r="J402" s="8">
        <v>0.35526654124259949</v>
      </c>
      <c r="K402" s="8">
        <v>8.0999433994293213E-2</v>
      </c>
      <c r="L402" s="8">
        <v>18190484</v>
      </c>
      <c r="M402" t="s">
        <v>1052</v>
      </c>
    </row>
    <row r="403" spans="2:13">
      <c r="B403" t="s">
        <v>29</v>
      </c>
      <c r="C403" s="8">
        <v>2009</v>
      </c>
      <c r="D403" s="8">
        <v>3</v>
      </c>
      <c r="E403" s="8">
        <v>0.50132304430007935</v>
      </c>
      <c r="F403" s="8"/>
      <c r="G403" s="8">
        <v>3.4663572907447815E-2</v>
      </c>
      <c r="H403" s="8">
        <v>2.8088511899113655E-2</v>
      </c>
      <c r="I403" s="8"/>
      <c r="J403" s="8">
        <v>0.22708401083946228</v>
      </c>
      <c r="K403" s="8">
        <v>9.9418245255947113E-2</v>
      </c>
      <c r="L403" s="8">
        <v>18190484</v>
      </c>
      <c r="M403" t="s">
        <v>1052</v>
      </c>
    </row>
    <row r="404" spans="2:13">
      <c r="B404" t="s">
        <v>29</v>
      </c>
      <c r="C404" s="8">
        <v>2010</v>
      </c>
      <c r="D404" s="8">
        <v>1</v>
      </c>
      <c r="E404" s="8">
        <v>0.51266753673553467</v>
      </c>
      <c r="F404" s="8"/>
      <c r="G404" s="8">
        <v>5.924442782998085E-2</v>
      </c>
      <c r="H404" s="8">
        <v>0.16691030561923981</v>
      </c>
      <c r="I404" s="8"/>
      <c r="J404" s="8">
        <v>0.4239020049571991</v>
      </c>
      <c r="K404" s="8">
        <v>8.5160993039608002E-2</v>
      </c>
      <c r="L404" s="8">
        <v>18190484</v>
      </c>
      <c r="M404" t="s">
        <v>1052</v>
      </c>
    </row>
    <row r="405" spans="2:13">
      <c r="B405" t="s">
        <v>29</v>
      </c>
      <c r="C405" s="8">
        <v>2010</v>
      </c>
      <c r="D405" s="8">
        <v>2</v>
      </c>
      <c r="E405" s="8">
        <v>0.50951921939849854</v>
      </c>
      <c r="F405" s="8"/>
      <c r="G405" s="8">
        <v>4.5627087354660034E-2</v>
      </c>
      <c r="H405" s="8">
        <v>6.2936075031757355E-2</v>
      </c>
      <c r="I405" s="8"/>
      <c r="J405" s="8">
        <v>0.35690158605575562</v>
      </c>
      <c r="K405" s="8">
        <v>8.9468225836753845E-2</v>
      </c>
      <c r="L405" s="8">
        <v>18190484</v>
      </c>
      <c r="M405" t="s">
        <v>1052</v>
      </c>
    </row>
    <row r="406" spans="2:13">
      <c r="B406" t="s">
        <v>29</v>
      </c>
      <c r="C406" s="8">
        <v>2010</v>
      </c>
      <c r="D406" s="8">
        <v>3</v>
      </c>
      <c r="E406" s="8">
        <v>0.50160676240921021</v>
      </c>
      <c r="F406" s="8"/>
      <c r="G406" s="8">
        <v>3.8494467735290527E-2</v>
      </c>
      <c r="H406" s="8">
        <v>2.7600046247243881E-2</v>
      </c>
      <c r="I406" s="8"/>
      <c r="J406" s="8">
        <v>0.22495734691619873</v>
      </c>
      <c r="K406" s="8">
        <v>0.10363964736461639</v>
      </c>
      <c r="L406" s="8">
        <v>18190484</v>
      </c>
      <c r="M406" t="s">
        <v>1052</v>
      </c>
    </row>
    <row r="407" spans="2:13">
      <c r="B407" t="s">
        <v>29</v>
      </c>
      <c r="C407" s="8">
        <v>2011</v>
      </c>
      <c r="D407" s="8">
        <v>1</v>
      </c>
      <c r="E407" s="8">
        <v>0.53075891733169556</v>
      </c>
      <c r="F407" s="8"/>
      <c r="G407" s="8">
        <v>7.2495795786380768E-2</v>
      </c>
      <c r="H407" s="8">
        <v>0.18410696089267731</v>
      </c>
      <c r="I407" s="8"/>
      <c r="J407" s="8">
        <v>0.4069100022315979</v>
      </c>
      <c r="K407" s="8">
        <v>0.11095067113637924</v>
      </c>
      <c r="L407" s="8">
        <v>18190484</v>
      </c>
      <c r="M407" t="s">
        <v>1052</v>
      </c>
    </row>
    <row r="408" spans="2:13">
      <c r="B408" t="s">
        <v>29</v>
      </c>
      <c r="C408" s="8">
        <v>2011</v>
      </c>
      <c r="D408" s="8">
        <v>2</v>
      </c>
      <c r="E408" s="8">
        <v>0.5063818097114563</v>
      </c>
      <c r="F408" s="8"/>
      <c r="G408" s="8">
        <v>5.1019132137298584E-2</v>
      </c>
      <c r="H408" s="8">
        <v>8.3978630602359772E-2</v>
      </c>
      <c r="I408" s="8"/>
      <c r="J408" s="8">
        <v>0.35677257180213928</v>
      </c>
      <c r="K408" s="8">
        <v>9.2866823077201843E-2</v>
      </c>
      <c r="L408" s="8">
        <v>18190484</v>
      </c>
      <c r="M408" t="s">
        <v>1052</v>
      </c>
    </row>
    <row r="409" spans="2:13">
      <c r="B409" t="s">
        <v>29</v>
      </c>
      <c r="C409" s="8">
        <v>2011</v>
      </c>
      <c r="D409" s="8">
        <v>3</v>
      </c>
      <c r="E409" s="8">
        <v>0.50712352991104126</v>
      </c>
      <c r="F409" s="8"/>
      <c r="G409" s="8">
        <v>4.2631365358829498E-2</v>
      </c>
      <c r="H409" s="8">
        <v>2.9847705736756325E-2</v>
      </c>
      <c r="I409" s="8"/>
      <c r="J409" s="8">
        <v>0.22968216240406036</v>
      </c>
      <c r="K409" s="8">
        <v>0.10104545205831528</v>
      </c>
      <c r="L409" s="8">
        <v>18190484</v>
      </c>
      <c r="M409" t="s">
        <v>1052</v>
      </c>
    </row>
    <row r="410" spans="2:13">
      <c r="B410" t="s">
        <v>29</v>
      </c>
      <c r="C410" s="8">
        <v>2012</v>
      </c>
      <c r="D410" s="8">
        <v>1</v>
      </c>
      <c r="E410" s="8">
        <v>0.52237647771835327</v>
      </c>
      <c r="F410" s="8">
        <v>5.2793012000620365E-3</v>
      </c>
      <c r="G410" s="8">
        <v>5.9212833642959595E-2</v>
      </c>
      <c r="H410" s="8">
        <v>0.18636000156402588</v>
      </c>
      <c r="I410" s="8"/>
      <c r="J410" s="8">
        <v>0.39257767796516418</v>
      </c>
      <c r="K410" s="8">
        <v>0.11765891313552856</v>
      </c>
      <c r="L410" s="8">
        <v>18190484</v>
      </c>
      <c r="M410" t="s">
        <v>1052</v>
      </c>
    </row>
    <row r="411" spans="2:13">
      <c r="B411" t="s">
        <v>29</v>
      </c>
      <c r="C411" s="8">
        <v>2012</v>
      </c>
      <c r="D411" s="8">
        <v>2</v>
      </c>
      <c r="E411" s="8">
        <v>0.51531434059143066</v>
      </c>
      <c r="F411" s="8">
        <v>4.6725459396839142E-3</v>
      </c>
      <c r="G411" s="8">
        <v>5.0032228231430054E-2</v>
      </c>
      <c r="H411" s="8">
        <v>6.7964822053909302E-2</v>
      </c>
      <c r="I411" s="8"/>
      <c r="J411" s="8">
        <v>0.34536254405975342</v>
      </c>
      <c r="K411" s="8">
        <v>0.1029788926243782</v>
      </c>
      <c r="L411" s="8">
        <v>18190484</v>
      </c>
      <c r="M411" t="s">
        <v>1052</v>
      </c>
    </row>
    <row r="412" spans="2:13">
      <c r="B412" t="s">
        <v>29</v>
      </c>
      <c r="C412" s="8">
        <v>2012</v>
      </c>
      <c r="D412" s="8">
        <v>3</v>
      </c>
      <c r="E412" s="8">
        <v>0.50295877456665039</v>
      </c>
      <c r="F412" s="8">
        <v>8.6412187665700912E-3</v>
      </c>
      <c r="G412" s="8">
        <v>3.2570920884609222E-2</v>
      </c>
      <c r="H412" s="8">
        <v>2.9766369611024857E-2</v>
      </c>
      <c r="I412" s="8"/>
      <c r="J412" s="8">
        <v>0.22461521625518799</v>
      </c>
      <c r="K412" s="8">
        <v>0.11027953028678894</v>
      </c>
      <c r="L412" s="8">
        <v>18190484</v>
      </c>
      <c r="M412" t="s">
        <v>1052</v>
      </c>
    </row>
    <row r="413" spans="2:13">
      <c r="B413" t="s">
        <v>29</v>
      </c>
      <c r="C413" s="8">
        <v>2013</v>
      </c>
      <c r="D413" s="8">
        <v>1</v>
      </c>
      <c r="E413" s="8">
        <v>0.52049779891967773</v>
      </c>
      <c r="F413" s="8">
        <v>3.9017894305288792E-3</v>
      </c>
      <c r="G413" s="8">
        <v>7.2929434478282928E-2</v>
      </c>
      <c r="H413" s="8">
        <v>0.14783130586147308</v>
      </c>
      <c r="I413" s="8"/>
      <c r="J413" s="8">
        <v>0.46278265118598938</v>
      </c>
      <c r="K413" s="8">
        <v>6.7325294017791748E-2</v>
      </c>
      <c r="L413" s="8">
        <v>18190484</v>
      </c>
      <c r="M413" t="s">
        <v>1052</v>
      </c>
    </row>
    <row r="414" spans="2:13">
      <c r="B414" t="s">
        <v>29</v>
      </c>
      <c r="C414" s="8">
        <v>2013</v>
      </c>
      <c r="D414" s="8">
        <v>2</v>
      </c>
      <c r="E414" s="8">
        <v>0.51479285955429077</v>
      </c>
      <c r="F414" s="8">
        <v>4.9571762792766094E-3</v>
      </c>
      <c r="G414" s="8">
        <v>6.4457967877388E-2</v>
      </c>
      <c r="H414" s="8">
        <v>7.5863957405090332E-2</v>
      </c>
      <c r="I414" s="8"/>
      <c r="J414" s="8">
        <v>0.3908766508102417</v>
      </c>
      <c r="K414" s="8">
        <v>7.022383064031601E-2</v>
      </c>
      <c r="L414" s="8">
        <v>18190484</v>
      </c>
      <c r="M414" t="s">
        <v>1052</v>
      </c>
    </row>
    <row r="415" spans="2:13">
      <c r="B415" t="s">
        <v>29</v>
      </c>
      <c r="C415" s="8">
        <v>2013</v>
      </c>
      <c r="D415" s="8">
        <v>3</v>
      </c>
      <c r="E415" s="8">
        <v>0.49350160360336304</v>
      </c>
      <c r="F415" s="8">
        <v>1.1252608150243759E-2</v>
      </c>
      <c r="G415" s="8">
        <v>4.3273240327835083E-2</v>
      </c>
      <c r="H415" s="8">
        <v>3.705298900604248E-2</v>
      </c>
      <c r="I415" s="8"/>
      <c r="J415" s="8">
        <v>0.24422381818294525</v>
      </c>
      <c r="K415" s="8">
        <v>9.2634372413158417E-2</v>
      </c>
      <c r="L415" s="8">
        <v>18190484</v>
      </c>
      <c r="M415" t="s">
        <v>1052</v>
      </c>
    </row>
    <row r="416" spans="2:13">
      <c r="B416" t="s">
        <v>29</v>
      </c>
      <c r="C416" s="8">
        <v>2014</v>
      </c>
      <c r="D416" s="8">
        <v>1</v>
      </c>
      <c r="E416" s="8">
        <v>0.51695090532302856</v>
      </c>
      <c r="F416" s="8">
        <v>5.1686032675206661E-3</v>
      </c>
      <c r="G416" s="8">
        <v>5.231592059135437E-2</v>
      </c>
      <c r="H416" s="8">
        <v>0.17900045216083527</v>
      </c>
      <c r="I416" s="8"/>
      <c r="J416" s="8">
        <v>0.4735376238822937</v>
      </c>
      <c r="K416" s="8">
        <v>4.7319676727056503E-2</v>
      </c>
      <c r="L416" s="8">
        <v>18190484</v>
      </c>
      <c r="M416" t="s">
        <v>1052</v>
      </c>
    </row>
    <row r="417" spans="2:13">
      <c r="B417" t="s">
        <v>29</v>
      </c>
      <c r="C417" s="8">
        <v>2014</v>
      </c>
      <c r="D417" s="8">
        <v>2</v>
      </c>
      <c r="E417" s="8">
        <v>0.51470786333084106</v>
      </c>
      <c r="F417" s="8">
        <v>8.3714015781879425E-3</v>
      </c>
      <c r="G417" s="8">
        <v>4.7632217407226563E-2</v>
      </c>
      <c r="H417" s="8">
        <v>7.6885834336280823E-2</v>
      </c>
      <c r="I417" s="8"/>
      <c r="J417" s="8">
        <v>0.41597431898117065</v>
      </c>
      <c r="K417" s="8">
        <v>6.3537433743476868E-2</v>
      </c>
      <c r="L417" s="8">
        <v>18190484</v>
      </c>
      <c r="M417" t="s">
        <v>1052</v>
      </c>
    </row>
    <row r="418" spans="2:13">
      <c r="B418" t="s">
        <v>29</v>
      </c>
      <c r="C418" s="8">
        <v>2014</v>
      </c>
      <c r="D418" s="8">
        <v>3</v>
      </c>
      <c r="E418" s="8">
        <v>0.49860382080078125</v>
      </c>
      <c r="F418" s="8">
        <v>9.2310402542352676E-3</v>
      </c>
      <c r="G418" s="8">
        <v>2.9493458569049835E-2</v>
      </c>
      <c r="H418" s="8">
        <v>3.7629846483469009E-2</v>
      </c>
      <c r="I418" s="8"/>
      <c r="J418" s="8">
        <v>0.2714812159538269</v>
      </c>
      <c r="K418" s="8">
        <v>7.3403410613536835E-2</v>
      </c>
      <c r="L418" s="8">
        <v>18190484</v>
      </c>
      <c r="M418" t="s">
        <v>1052</v>
      </c>
    </row>
    <row r="419" spans="2:13">
      <c r="B419" t="s">
        <v>29</v>
      </c>
      <c r="C419" s="8">
        <v>2015</v>
      </c>
      <c r="D419" s="8">
        <v>1</v>
      </c>
      <c r="E419" s="8">
        <v>0.52148729562759399</v>
      </c>
      <c r="F419" s="8">
        <v>8.0435741692781448E-3</v>
      </c>
      <c r="G419" s="8">
        <v>7.1306891739368439E-2</v>
      </c>
      <c r="H419" s="8">
        <v>0.22555194795131683</v>
      </c>
      <c r="I419" s="8"/>
      <c r="J419" s="8">
        <v>0.46132934093475342</v>
      </c>
      <c r="K419" s="8">
        <v>5.4532088339328766E-2</v>
      </c>
      <c r="L419" s="8">
        <v>18190484</v>
      </c>
      <c r="M419" t="s">
        <v>1052</v>
      </c>
    </row>
    <row r="420" spans="2:13">
      <c r="B420" t="s">
        <v>29</v>
      </c>
      <c r="C420" s="8">
        <v>2015</v>
      </c>
      <c r="D420" s="8">
        <v>2</v>
      </c>
      <c r="E420" s="8">
        <v>0.51254826784133911</v>
      </c>
      <c r="F420" s="8">
        <v>7.6597933657467365E-3</v>
      </c>
      <c r="G420" s="8">
        <v>4.3128684163093567E-2</v>
      </c>
      <c r="H420" s="8">
        <v>9.9432744085788727E-2</v>
      </c>
      <c r="I420" s="8"/>
      <c r="J420" s="8">
        <v>0.40269148349761963</v>
      </c>
      <c r="K420" s="8">
        <v>6.1416883021593094E-2</v>
      </c>
      <c r="L420" s="8">
        <v>18190484</v>
      </c>
      <c r="M420" t="s">
        <v>1052</v>
      </c>
    </row>
    <row r="421" spans="2:13">
      <c r="B421" t="s">
        <v>29</v>
      </c>
      <c r="C421" s="8">
        <v>2015</v>
      </c>
      <c r="D421" s="8">
        <v>3</v>
      </c>
      <c r="E421" s="8">
        <v>0.50079697370529175</v>
      </c>
      <c r="F421" s="8">
        <v>1.3547904789447784E-2</v>
      </c>
      <c r="G421" s="8">
        <v>3.9945416152477264E-2</v>
      </c>
      <c r="H421" s="8">
        <v>3.9569016546010971E-2</v>
      </c>
      <c r="I421" s="8"/>
      <c r="J421" s="8">
        <v>0.26994696259498596</v>
      </c>
      <c r="K421" s="8">
        <v>7.4326179921627045E-2</v>
      </c>
      <c r="L421" s="8">
        <v>18190484</v>
      </c>
      <c r="M421" t="s">
        <v>1052</v>
      </c>
    </row>
    <row r="422" spans="2:13">
      <c r="B422" t="s">
        <v>29</v>
      </c>
      <c r="C422" s="8">
        <v>2016</v>
      </c>
      <c r="D422" s="8">
        <v>1</v>
      </c>
      <c r="E422" s="8">
        <v>0.52097684144973755</v>
      </c>
      <c r="F422" s="8">
        <v>6.7389039322733879E-3</v>
      </c>
      <c r="G422" s="8">
        <v>6.2144603580236435E-2</v>
      </c>
      <c r="H422" s="8">
        <v>0.24290671944618225</v>
      </c>
      <c r="I422" s="8"/>
      <c r="J422" s="8">
        <v>0.44478362798690796</v>
      </c>
      <c r="K422" s="8">
        <v>5.7979464530944824E-2</v>
      </c>
      <c r="L422" s="8">
        <v>18190484</v>
      </c>
      <c r="M422" t="s">
        <v>1052</v>
      </c>
    </row>
    <row r="423" spans="2:13">
      <c r="B423" t="s">
        <v>29</v>
      </c>
      <c r="C423" s="8">
        <v>2016</v>
      </c>
      <c r="D423" s="8">
        <v>2</v>
      </c>
      <c r="E423" s="8">
        <v>0.51344597339630127</v>
      </c>
      <c r="F423" s="8">
        <v>6.7392764613032341E-3</v>
      </c>
      <c r="G423" s="8">
        <v>5.221247673034668E-2</v>
      </c>
      <c r="H423" s="8">
        <v>9.1708071529865265E-2</v>
      </c>
      <c r="I423" s="8"/>
      <c r="J423" s="8">
        <v>0.38930514454841614</v>
      </c>
      <c r="K423" s="8">
        <v>6.0440383851528168E-2</v>
      </c>
      <c r="L423" s="8">
        <v>18190484</v>
      </c>
      <c r="M423" t="s">
        <v>1052</v>
      </c>
    </row>
    <row r="424" spans="2:13">
      <c r="B424" t="s">
        <v>29</v>
      </c>
      <c r="C424" s="8">
        <v>2016</v>
      </c>
      <c r="D424" s="8">
        <v>3</v>
      </c>
      <c r="E424" s="8">
        <v>0.50103378295898438</v>
      </c>
      <c r="F424" s="8">
        <v>1.1093822307884693E-2</v>
      </c>
      <c r="G424" s="8">
        <v>3.5034142434597015E-2</v>
      </c>
      <c r="H424" s="8">
        <v>4.0391940623521805E-2</v>
      </c>
      <c r="I424" s="8"/>
      <c r="J424" s="8">
        <v>0.26969760656356812</v>
      </c>
      <c r="K424" s="8">
        <v>7.6494120061397552E-2</v>
      </c>
      <c r="L424" s="8">
        <v>18190484</v>
      </c>
      <c r="M424" t="s">
        <v>1052</v>
      </c>
    </row>
    <row r="425" spans="2:13">
      <c r="B425" t="s">
        <v>29</v>
      </c>
      <c r="C425" s="8">
        <v>2017</v>
      </c>
      <c r="D425" s="8">
        <v>1</v>
      </c>
      <c r="E425" s="8">
        <v>0.51294052600860596</v>
      </c>
      <c r="F425" s="8">
        <v>9.3067372217774391E-3</v>
      </c>
      <c r="G425" s="8">
        <v>6.3368350267410278E-2</v>
      </c>
      <c r="H425" s="8">
        <v>0.28055843710899353</v>
      </c>
      <c r="I425" s="8"/>
      <c r="J425" s="8">
        <v>0.44983094930648804</v>
      </c>
      <c r="K425" s="8">
        <v>5.3560398519039154E-2</v>
      </c>
      <c r="L425" s="8">
        <v>18190484</v>
      </c>
      <c r="M425" t="s">
        <v>1052</v>
      </c>
    </row>
    <row r="426" spans="2:13">
      <c r="B426" t="s">
        <v>29</v>
      </c>
      <c r="C426" s="8">
        <v>2017</v>
      </c>
      <c r="D426" s="8">
        <v>2</v>
      </c>
      <c r="E426" s="8">
        <v>0.51537913084030151</v>
      </c>
      <c r="F426" s="8">
        <v>9.6774492412805557E-3</v>
      </c>
      <c r="G426" s="8">
        <v>5.746711790561676E-2</v>
      </c>
      <c r="H426" s="8">
        <v>9.8969273269176483E-2</v>
      </c>
      <c r="I426" s="8"/>
      <c r="J426" s="8">
        <v>0.39361774921417236</v>
      </c>
      <c r="K426" s="8">
        <v>6.47101029753685E-2</v>
      </c>
      <c r="L426" s="8">
        <v>18190484</v>
      </c>
      <c r="M426" t="s">
        <v>1052</v>
      </c>
    </row>
    <row r="427" spans="2:13">
      <c r="B427" t="s">
        <v>29</v>
      </c>
      <c r="C427" s="8">
        <v>2017</v>
      </c>
      <c r="D427" s="8">
        <v>3</v>
      </c>
      <c r="E427" s="8">
        <v>0.50011801719665527</v>
      </c>
      <c r="F427" s="8">
        <v>1.3066921383142471E-2</v>
      </c>
      <c r="G427" s="8">
        <v>4.0433619171380997E-2</v>
      </c>
      <c r="H427" s="8">
        <v>4.1421141475439072E-2</v>
      </c>
      <c r="I427" s="8"/>
      <c r="J427" s="8">
        <v>0.26181355118751526</v>
      </c>
      <c r="K427" s="8">
        <v>7.7786855399608612E-2</v>
      </c>
      <c r="L427" s="8">
        <v>18190484</v>
      </c>
      <c r="M427" t="s">
        <v>1052</v>
      </c>
    </row>
    <row r="428" spans="2:13">
      <c r="B428" t="s">
        <v>29</v>
      </c>
      <c r="C428" s="8">
        <v>2018</v>
      </c>
      <c r="D428" s="8">
        <v>1</v>
      </c>
      <c r="E428" s="8">
        <v>0.52761763334274292</v>
      </c>
      <c r="F428" s="8">
        <v>7.2326664812862873E-3</v>
      </c>
      <c r="G428" s="8">
        <v>5.7552695274353027E-2</v>
      </c>
      <c r="H428" s="8">
        <v>0.24789875745773315</v>
      </c>
      <c r="I428" s="8"/>
      <c r="J428" s="8">
        <v>0.46095266938209534</v>
      </c>
      <c r="K428" s="8">
        <v>5.1110576838254929E-2</v>
      </c>
      <c r="L428" s="8">
        <v>18190484</v>
      </c>
      <c r="M428" t="s">
        <v>1052</v>
      </c>
    </row>
    <row r="429" spans="2:13">
      <c r="B429" t="s">
        <v>29</v>
      </c>
      <c r="C429" s="8">
        <v>2018</v>
      </c>
      <c r="D429" s="8">
        <v>2</v>
      </c>
      <c r="E429" s="8">
        <v>0.50857585668563843</v>
      </c>
      <c r="F429" s="8">
        <v>1.2531187385320663E-2</v>
      </c>
      <c r="G429" s="8">
        <v>4.2777176946401596E-2</v>
      </c>
      <c r="H429" s="8">
        <v>9.376208484172821E-2</v>
      </c>
      <c r="I429" s="8"/>
      <c r="J429" s="8">
        <v>0.37622013688087463</v>
      </c>
      <c r="K429" s="8">
        <v>7.7838465571403503E-2</v>
      </c>
      <c r="L429" s="8">
        <v>18190484</v>
      </c>
      <c r="M429" t="s">
        <v>1052</v>
      </c>
    </row>
    <row r="430" spans="2:13">
      <c r="B430" t="s">
        <v>29</v>
      </c>
      <c r="C430" s="8">
        <v>2018</v>
      </c>
      <c r="D430" s="8">
        <v>3</v>
      </c>
      <c r="E430" s="8">
        <v>0.50711679458618164</v>
      </c>
      <c r="F430" s="8">
        <v>1.7715044319629669E-2</v>
      </c>
      <c r="G430" s="8">
        <v>2.7855481952428818E-2</v>
      </c>
      <c r="H430" s="8">
        <v>3.9855726063251495E-2</v>
      </c>
      <c r="I430" s="8"/>
      <c r="J430" s="8">
        <v>0.2506367564201355</v>
      </c>
      <c r="K430" s="8">
        <v>0.1025724858045578</v>
      </c>
      <c r="L430" s="8">
        <v>18190484</v>
      </c>
      <c r="M430" t="s">
        <v>1052</v>
      </c>
    </row>
    <row r="431" spans="2:13">
      <c r="B431" t="s">
        <v>29</v>
      </c>
      <c r="C431" s="8">
        <v>2019</v>
      </c>
      <c r="D431" s="8">
        <v>1</v>
      </c>
      <c r="E431" s="8">
        <v>0.51156312227249146</v>
      </c>
      <c r="F431" s="8">
        <v>1.9457923248410225E-2</v>
      </c>
      <c r="G431" s="8">
        <v>0.10363827645778656</v>
      </c>
      <c r="H431" s="8">
        <v>0.27428433299064636</v>
      </c>
      <c r="I431" s="8"/>
      <c r="J431" s="8">
        <v>0.45488911867141724</v>
      </c>
      <c r="K431" s="8">
        <v>4.630713164806366E-2</v>
      </c>
      <c r="L431" s="8">
        <v>18190484</v>
      </c>
      <c r="M431" t="s">
        <v>1052</v>
      </c>
    </row>
    <row r="432" spans="2:13">
      <c r="B432" t="s">
        <v>29</v>
      </c>
      <c r="C432" s="8">
        <v>2019</v>
      </c>
      <c r="D432" s="8">
        <v>2</v>
      </c>
      <c r="E432" s="8">
        <v>0.52199214696884155</v>
      </c>
      <c r="F432" s="8">
        <v>9.5219733193516731E-3</v>
      </c>
      <c r="G432" s="8">
        <v>4.8993967473506927E-2</v>
      </c>
      <c r="H432" s="8">
        <v>0.1077282577753067</v>
      </c>
      <c r="I432" s="8"/>
      <c r="J432" s="8">
        <v>0.38257190585136414</v>
      </c>
      <c r="K432" s="8">
        <v>7.4233457446098328E-2</v>
      </c>
      <c r="L432" s="8">
        <v>18190484</v>
      </c>
      <c r="M432" t="s">
        <v>1052</v>
      </c>
    </row>
    <row r="433" spans="2:13">
      <c r="B433" t="s">
        <v>29</v>
      </c>
      <c r="C433" s="8">
        <v>2019</v>
      </c>
      <c r="D433" s="8">
        <v>3</v>
      </c>
      <c r="E433" s="8">
        <v>0.50617134571075439</v>
      </c>
      <c r="F433" s="8">
        <v>1.7849568277597427E-2</v>
      </c>
      <c r="G433" s="8">
        <v>4.519939050078392E-2</v>
      </c>
      <c r="H433" s="8">
        <v>4.6274051070213318E-2</v>
      </c>
      <c r="I433" s="8"/>
      <c r="J433" s="8">
        <v>0.24631115794181824</v>
      </c>
      <c r="K433" s="8">
        <v>0.10961059480905533</v>
      </c>
      <c r="L433" s="8">
        <v>18190484</v>
      </c>
      <c r="M433" t="s">
        <v>1052</v>
      </c>
    </row>
    <row r="434" spans="2:13">
      <c r="B434" t="s">
        <v>29</v>
      </c>
      <c r="C434" s="8">
        <v>2020</v>
      </c>
      <c r="D434" s="8">
        <v>1</v>
      </c>
      <c r="E434" s="8">
        <v>0.52614480257034302</v>
      </c>
      <c r="F434" s="8">
        <v>1.4374512247741222E-2</v>
      </c>
      <c r="G434" s="8">
        <v>6.9748826324939728E-2</v>
      </c>
      <c r="H434" s="8">
        <v>0.30450347065925598</v>
      </c>
      <c r="I434" s="8"/>
      <c r="J434" s="8">
        <v>0.45820429921150208</v>
      </c>
      <c r="K434" s="8">
        <v>4.0674310177564621E-2</v>
      </c>
      <c r="L434" s="8">
        <v>18190484</v>
      </c>
      <c r="M434" t="s">
        <v>1052</v>
      </c>
    </row>
    <row r="435" spans="2:13">
      <c r="B435" t="s">
        <v>29</v>
      </c>
      <c r="C435" s="8">
        <v>2020</v>
      </c>
      <c r="D435" s="8">
        <v>2</v>
      </c>
      <c r="E435" s="8">
        <v>0.50596135854721069</v>
      </c>
      <c r="F435" s="8">
        <v>1.8330521881580353E-2</v>
      </c>
      <c r="G435" s="8">
        <v>4.2480599135160446E-2</v>
      </c>
      <c r="H435" s="8">
        <v>0.14269982278347015</v>
      </c>
      <c r="I435" s="8"/>
      <c r="J435" s="8">
        <v>0.34582513570785522</v>
      </c>
      <c r="K435" s="8">
        <v>7.8253522515296936E-2</v>
      </c>
      <c r="L435" s="8">
        <v>18190484</v>
      </c>
      <c r="M435" t="s">
        <v>1052</v>
      </c>
    </row>
    <row r="436" spans="2:13">
      <c r="B436" t="s">
        <v>29</v>
      </c>
      <c r="C436" s="8">
        <v>2020</v>
      </c>
      <c r="D436" s="8">
        <v>3</v>
      </c>
      <c r="E436" s="8">
        <v>0.50636965036392212</v>
      </c>
      <c r="F436" s="8">
        <v>2.2826939821243286E-2</v>
      </c>
      <c r="G436" s="8">
        <v>3.6360789090394974E-2</v>
      </c>
      <c r="H436" s="8">
        <v>4.3791349977254868E-2</v>
      </c>
      <c r="I436" s="8"/>
      <c r="J436" s="8">
        <v>0.22476722300052643</v>
      </c>
      <c r="K436" s="8">
        <v>0.11792744696140289</v>
      </c>
      <c r="L436" s="8">
        <v>18190484</v>
      </c>
      <c r="M436" t="s">
        <v>1052</v>
      </c>
    </row>
    <row r="437" spans="2:13">
      <c r="B437" t="s">
        <v>29</v>
      </c>
      <c r="C437" s="8">
        <v>2021</v>
      </c>
      <c r="D437" s="8">
        <v>1</v>
      </c>
      <c r="E437" s="8">
        <v>0.5372498631477356</v>
      </c>
      <c r="F437" s="8">
        <v>1.2200899422168732E-2</v>
      </c>
      <c r="G437" s="8">
        <v>5.4315555840730667E-2</v>
      </c>
      <c r="H437" s="8">
        <v>0.36707818508148193</v>
      </c>
      <c r="I437" s="8"/>
      <c r="J437" s="8">
        <v>0.46988141536712646</v>
      </c>
      <c r="K437" s="8">
        <v>2.9464535415172577E-2</v>
      </c>
      <c r="L437" s="8">
        <v>18190484</v>
      </c>
      <c r="M437" t="s">
        <v>1052</v>
      </c>
    </row>
    <row r="438" spans="2:13">
      <c r="B438" t="s">
        <v>29</v>
      </c>
      <c r="C438" s="8">
        <v>2021</v>
      </c>
      <c r="D438" s="8">
        <v>2</v>
      </c>
      <c r="E438" s="8">
        <v>0.51222580671310425</v>
      </c>
      <c r="F438" s="8">
        <v>3.2280072569847107E-2</v>
      </c>
      <c r="G438" s="8">
        <v>4.1549868881702423E-2</v>
      </c>
      <c r="H438" s="8">
        <v>8.2110248506069183E-2</v>
      </c>
      <c r="I438" s="8"/>
      <c r="J438" s="8">
        <v>0.36664679646492004</v>
      </c>
      <c r="K438" s="8">
        <v>7.2074398398399353E-2</v>
      </c>
      <c r="L438" s="8">
        <v>18190484</v>
      </c>
      <c r="M438" t="s">
        <v>1052</v>
      </c>
    </row>
    <row r="439" spans="2:13">
      <c r="B439" t="s">
        <v>29</v>
      </c>
      <c r="C439" s="8">
        <v>2021</v>
      </c>
      <c r="D439" s="8">
        <v>3</v>
      </c>
      <c r="E439" s="8">
        <v>0.50266498327255249</v>
      </c>
      <c r="F439" s="8">
        <v>2.5836043059825897E-2</v>
      </c>
      <c r="G439" s="8">
        <v>3.0971759930253029E-2</v>
      </c>
      <c r="H439" s="8">
        <v>5.7359099388122559E-2</v>
      </c>
      <c r="I439" s="8"/>
      <c r="J439" s="8">
        <v>0.24187353253364563</v>
      </c>
      <c r="K439" s="8">
        <v>0.10848416388034821</v>
      </c>
      <c r="L439" s="8">
        <v>18190484</v>
      </c>
      <c r="M439" t="s">
        <v>1052</v>
      </c>
    </row>
    <row r="440" spans="2:13">
      <c r="B440" t="s">
        <v>29</v>
      </c>
      <c r="C440" s="8">
        <v>2022</v>
      </c>
      <c r="D440" s="8">
        <v>1</v>
      </c>
      <c r="E440" s="8">
        <v>0.5225641131401062</v>
      </c>
      <c r="F440" s="8">
        <v>7.1950112469494343E-3</v>
      </c>
      <c r="G440" s="8">
        <v>5.1237642765045166E-2</v>
      </c>
      <c r="H440" s="8">
        <v>0.37271597981452942</v>
      </c>
      <c r="I440" s="8"/>
      <c r="J440" s="8">
        <v>0.46711140871047974</v>
      </c>
      <c r="K440" s="8">
        <v>4.6081554144620895E-2</v>
      </c>
      <c r="L440" s="8">
        <v>18190484</v>
      </c>
      <c r="M440" t="s">
        <v>1052</v>
      </c>
    </row>
    <row r="441" spans="2:13">
      <c r="B441" t="s">
        <v>29</v>
      </c>
      <c r="C441" s="8">
        <v>2022</v>
      </c>
      <c r="D441" s="8">
        <v>2</v>
      </c>
      <c r="E441" s="8">
        <v>0.53240692615509033</v>
      </c>
      <c r="F441" s="8">
        <v>1.9463313743472099E-2</v>
      </c>
      <c r="G441" s="8">
        <v>1.9758731126785278E-2</v>
      </c>
      <c r="H441" s="8">
        <v>0.12694461643695831</v>
      </c>
      <c r="I441" s="8"/>
      <c r="J441" s="8">
        <v>0.39672279357910156</v>
      </c>
      <c r="K441" s="8">
        <v>6.8076916038990021E-2</v>
      </c>
      <c r="L441" s="8">
        <v>18190484</v>
      </c>
      <c r="M441" t="s">
        <v>1052</v>
      </c>
    </row>
    <row r="442" spans="2:13">
      <c r="B442" t="s">
        <v>29</v>
      </c>
      <c r="C442" s="8">
        <v>2022</v>
      </c>
      <c r="D442" s="8">
        <v>3</v>
      </c>
      <c r="E442" s="8">
        <v>0.49789327383041382</v>
      </c>
      <c r="F442" s="8">
        <v>2.3483810946345329E-2</v>
      </c>
      <c r="G442" s="8">
        <v>1.993008516728878E-2</v>
      </c>
      <c r="H442" s="8">
        <v>4.2779315263032913E-2</v>
      </c>
      <c r="I442" s="8"/>
      <c r="J442" s="8">
        <v>0.23216989636421204</v>
      </c>
      <c r="K442" s="8">
        <v>0.11698926240205765</v>
      </c>
      <c r="L442" s="8">
        <v>18190484</v>
      </c>
      <c r="M442" t="s">
        <v>1052</v>
      </c>
    </row>
    <row r="443" spans="2:13">
      <c r="B443" t="s">
        <v>29</v>
      </c>
      <c r="C443" s="8">
        <v>2023</v>
      </c>
      <c r="D443" s="8">
        <v>1</v>
      </c>
      <c r="E443" s="8">
        <v>0.50495344400405884</v>
      </c>
      <c r="F443" s="8">
        <v>6.446316372603178E-3</v>
      </c>
      <c r="G443" s="8">
        <v>5.1416877657175064E-2</v>
      </c>
      <c r="H443" s="8">
        <v>0.41700741648674011</v>
      </c>
      <c r="I443" s="8"/>
      <c r="J443" s="8">
        <v>0.48799037933349609</v>
      </c>
      <c r="K443" s="8">
        <v>5.1341824233531952E-2</v>
      </c>
      <c r="L443" s="8">
        <v>18190484</v>
      </c>
      <c r="M443" t="s">
        <v>1052</v>
      </c>
    </row>
    <row r="444" spans="2:13">
      <c r="B444" t="s">
        <v>29</v>
      </c>
      <c r="C444" s="8">
        <v>2023</v>
      </c>
      <c r="D444" s="8">
        <v>2</v>
      </c>
      <c r="E444" s="8">
        <v>0.52192789316177368</v>
      </c>
      <c r="F444" s="8">
        <v>1.818784698843956E-2</v>
      </c>
      <c r="G444" s="8">
        <v>4.5376770198345184E-2</v>
      </c>
      <c r="H444" s="8">
        <v>0.10078374296426773</v>
      </c>
      <c r="I444" s="8"/>
      <c r="J444" s="8">
        <v>0.36921152472496033</v>
      </c>
      <c r="K444" s="8">
        <v>7.720591127872467E-2</v>
      </c>
      <c r="L444" s="8">
        <v>18190484</v>
      </c>
      <c r="M444" t="s">
        <v>1052</v>
      </c>
    </row>
    <row r="445" spans="2:13">
      <c r="B445" t="s">
        <v>29</v>
      </c>
      <c r="C445" s="8">
        <v>2023</v>
      </c>
      <c r="D445" s="8">
        <v>3</v>
      </c>
      <c r="E445" s="8">
        <v>0.50730574131011963</v>
      </c>
      <c r="F445" s="8">
        <v>1.7951769754290581E-2</v>
      </c>
      <c r="G445" s="8">
        <v>2.1280225366353989E-2</v>
      </c>
      <c r="H445" s="8">
        <v>6.6988326609134674E-2</v>
      </c>
      <c r="I445" s="8"/>
      <c r="J445" s="8">
        <v>0.2328319251537323</v>
      </c>
      <c r="K445" s="8">
        <v>0.11506635695695877</v>
      </c>
      <c r="L445" s="8">
        <v>18190484</v>
      </c>
      <c r="M445" t="s">
        <v>1052</v>
      </c>
    </row>
    <row r="446" spans="2:13">
      <c r="B446" t="s">
        <v>31</v>
      </c>
      <c r="C446" s="8">
        <v>2003</v>
      </c>
      <c r="D446" s="8">
        <v>1</v>
      </c>
      <c r="E446" s="8">
        <v>0.54098802804946899</v>
      </c>
      <c r="F446" s="8"/>
      <c r="G446" s="8">
        <v>0</v>
      </c>
      <c r="H446" s="8">
        <v>0.55814462900161743</v>
      </c>
      <c r="I446" s="8"/>
      <c r="J446" s="8">
        <v>0.37509551644325256</v>
      </c>
      <c r="K446" s="8">
        <v>6.6459625959396362E-2</v>
      </c>
      <c r="L446" s="8">
        <v>18092026</v>
      </c>
      <c r="M446" t="s">
        <v>1052</v>
      </c>
    </row>
    <row r="447" spans="2:13">
      <c r="B447" t="s">
        <v>31</v>
      </c>
      <c r="C447" s="8">
        <v>2003</v>
      </c>
      <c r="D447" s="8">
        <v>2</v>
      </c>
      <c r="E447" s="8">
        <v>0.50480151176452637</v>
      </c>
      <c r="F447" s="8"/>
      <c r="G447" s="8">
        <v>0</v>
      </c>
      <c r="H447" s="8">
        <v>0.37410205602645874</v>
      </c>
      <c r="I447" s="8"/>
      <c r="J447" s="8">
        <v>0.34545746445655823</v>
      </c>
      <c r="K447" s="8">
        <v>4.0708515793085098E-2</v>
      </c>
      <c r="L447" s="8">
        <v>18092026</v>
      </c>
      <c r="M447" t="s">
        <v>1052</v>
      </c>
    </row>
    <row r="448" spans="2:13">
      <c r="B448" t="s">
        <v>31</v>
      </c>
      <c r="C448" s="8">
        <v>2003</v>
      </c>
      <c r="D448" s="8">
        <v>3</v>
      </c>
      <c r="E448" s="8">
        <v>0.50621455907821655</v>
      </c>
      <c r="F448" s="8"/>
      <c r="G448" s="8">
        <v>0</v>
      </c>
      <c r="H448" s="8">
        <v>0.17802107334136963</v>
      </c>
      <c r="I448" s="8"/>
      <c r="J448" s="8">
        <v>0.22684116661548615</v>
      </c>
      <c r="K448" s="8">
        <v>4.2555529624223709E-2</v>
      </c>
      <c r="L448" s="8">
        <v>18092026</v>
      </c>
      <c r="M448" t="s">
        <v>1052</v>
      </c>
    </row>
    <row r="449" spans="2:13">
      <c r="B449" t="s">
        <v>31</v>
      </c>
      <c r="C449" s="8">
        <v>2004</v>
      </c>
      <c r="D449" s="8">
        <v>1</v>
      </c>
      <c r="E449" s="8">
        <v>0.51174432039260864</v>
      </c>
      <c r="F449" s="8"/>
      <c r="G449" s="8">
        <v>0</v>
      </c>
      <c r="H449" s="8">
        <v>0.52980351448059082</v>
      </c>
      <c r="I449" s="8"/>
      <c r="J449" s="8">
        <v>0.52780473232269287</v>
      </c>
      <c r="K449" s="8">
        <v>3.767792135477066E-2</v>
      </c>
      <c r="L449" s="8">
        <v>18092026</v>
      </c>
      <c r="M449" t="s">
        <v>1052</v>
      </c>
    </row>
    <row r="450" spans="2:13">
      <c r="B450" t="s">
        <v>31</v>
      </c>
      <c r="C450" s="8">
        <v>2004</v>
      </c>
      <c r="D450" s="8">
        <v>2</v>
      </c>
      <c r="E450" s="8">
        <v>0.51550745964050293</v>
      </c>
      <c r="F450" s="8"/>
      <c r="G450" s="8">
        <v>0</v>
      </c>
      <c r="H450" s="8">
        <v>0.36753880977630615</v>
      </c>
      <c r="I450" s="8"/>
      <c r="J450" s="8">
        <v>0.44885456562042236</v>
      </c>
      <c r="K450" s="8">
        <v>3.7082143127918243E-2</v>
      </c>
      <c r="L450" s="8">
        <v>18092026</v>
      </c>
      <c r="M450" t="s">
        <v>1052</v>
      </c>
    </row>
    <row r="451" spans="2:13">
      <c r="B451" t="s">
        <v>31</v>
      </c>
      <c r="C451" s="8">
        <v>2004</v>
      </c>
      <c r="D451" s="8">
        <v>3</v>
      </c>
      <c r="E451" s="8">
        <v>0.52113842964172363</v>
      </c>
      <c r="F451" s="8"/>
      <c r="G451" s="8">
        <v>0</v>
      </c>
      <c r="H451" s="8">
        <v>0.16436499357223511</v>
      </c>
      <c r="I451" s="8"/>
      <c r="J451" s="8">
        <v>0.31821656227111816</v>
      </c>
      <c r="K451" s="8">
        <v>5.1971748471260071E-2</v>
      </c>
      <c r="L451" s="8">
        <v>18092026</v>
      </c>
      <c r="M451" t="s">
        <v>1052</v>
      </c>
    </row>
    <row r="452" spans="2:13">
      <c r="B452" t="s">
        <v>31</v>
      </c>
      <c r="C452" s="8">
        <v>2006</v>
      </c>
      <c r="D452" s="8">
        <v>1</v>
      </c>
      <c r="E452" s="8">
        <v>0.51335573196411133</v>
      </c>
      <c r="F452" s="8"/>
      <c r="G452" s="8"/>
      <c r="H452" s="8"/>
      <c r="I452" s="8"/>
      <c r="J452" s="8">
        <v>0.5477522611618042</v>
      </c>
      <c r="K452" s="8">
        <v>4.386366531252861E-2</v>
      </c>
      <c r="L452" s="8">
        <v>18092026</v>
      </c>
      <c r="M452" t="s">
        <v>1052</v>
      </c>
    </row>
    <row r="453" spans="2:13">
      <c r="B453" t="s">
        <v>31</v>
      </c>
      <c r="C453" s="8">
        <v>2006</v>
      </c>
      <c r="D453" s="8">
        <v>2</v>
      </c>
      <c r="E453" s="8">
        <v>0.53573006391525269</v>
      </c>
      <c r="F453" s="8"/>
      <c r="G453" s="8"/>
      <c r="H453" s="8"/>
      <c r="I453" s="8"/>
      <c r="J453" s="8">
        <v>0.49742871522903442</v>
      </c>
      <c r="K453" s="8">
        <v>4.2942918837070465E-2</v>
      </c>
      <c r="L453" s="8">
        <v>18092026</v>
      </c>
      <c r="M453" t="s">
        <v>1052</v>
      </c>
    </row>
    <row r="454" spans="2:13">
      <c r="B454" t="s">
        <v>31</v>
      </c>
      <c r="C454" s="8">
        <v>2006</v>
      </c>
      <c r="D454" s="8">
        <v>3</v>
      </c>
      <c r="E454" s="8">
        <v>0.51962119340896606</v>
      </c>
      <c r="F454" s="8"/>
      <c r="G454" s="8"/>
      <c r="H454" s="8"/>
      <c r="I454" s="8"/>
      <c r="J454" s="8">
        <v>0.34775921702384949</v>
      </c>
      <c r="K454" s="8">
        <v>5.0958316773176193E-2</v>
      </c>
      <c r="L454" s="8">
        <v>18092026</v>
      </c>
      <c r="M454" t="s">
        <v>1052</v>
      </c>
    </row>
    <row r="455" spans="2:13">
      <c r="B455" t="s">
        <v>31</v>
      </c>
      <c r="C455" s="8">
        <v>2010</v>
      </c>
      <c r="D455" s="8">
        <v>1</v>
      </c>
      <c r="E455" s="8">
        <v>0.51171773672103882</v>
      </c>
      <c r="F455" s="8"/>
      <c r="G455" s="8">
        <v>0</v>
      </c>
      <c r="H455" s="8">
        <v>0.55076700448989868</v>
      </c>
      <c r="I455" s="8"/>
      <c r="J455" s="8">
        <v>0.47402375936508179</v>
      </c>
      <c r="K455" s="8">
        <v>4.4318433851003647E-2</v>
      </c>
      <c r="L455" s="8">
        <v>18092026</v>
      </c>
      <c r="M455" t="s">
        <v>1052</v>
      </c>
    </row>
    <row r="456" spans="2:13">
      <c r="B456" t="s">
        <v>31</v>
      </c>
      <c r="C456" s="8">
        <v>2010</v>
      </c>
      <c r="D456" s="8">
        <v>2</v>
      </c>
      <c r="E456" s="8">
        <v>0.50063562393188477</v>
      </c>
      <c r="F456" s="8"/>
      <c r="G456" s="8">
        <v>0</v>
      </c>
      <c r="H456" s="8">
        <v>0.32619574666023254</v>
      </c>
      <c r="I456" s="8"/>
      <c r="J456" s="8">
        <v>0.41228082776069641</v>
      </c>
      <c r="K456" s="8">
        <v>5.0093259662389755E-2</v>
      </c>
      <c r="L456" s="8">
        <v>18092026</v>
      </c>
      <c r="M456" t="s">
        <v>1052</v>
      </c>
    </row>
    <row r="457" spans="2:13">
      <c r="B457" t="s">
        <v>31</v>
      </c>
      <c r="C457" s="8">
        <v>2010</v>
      </c>
      <c r="D457" s="8">
        <v>3</v>
      </c>
      <c r="E457" s="8">
        <v>0.5128522515296936</v>
      </c>
      <c r="F457" s="8"/>
      <c r="G457" s="8">
        <v>0</v>
      </c>
      <c r="H457" s="8">
        <v>0.17498274147510529</v>
      </c>
      <c r="I457" s="8"/>
      <c r="J457" s="8">
        <v>0.30199277400970459</v>
      </c>
      <c r="K457" s="8">
        <v>5.1215864717960358E-2</v>
      </c>
      <c r="L457" s="8">
        <v>18092026</v>
      </c>
      <c r="M457" t="s">
        <v>1052</v>
      </c>
    </row>
    <row r="458" spans="2:13">
      <c r="B458" t="s">
        <v>31</v>
      </c>
      <c r="C458" s="8">
        <v>2011</v>
      </c>
      <c r="D458" s="8">
        <v>1</v>
      </c>
      <c r="E458" s="8">
        <v>0.50709652900695801</v>
      </c>
      <c r="F458" s="8"/>
      <c r="G458" s="8">
        <v>0</v>
      </c>
      <c r="H458" s="8">
        <v>0.55355119705200195</v>
      </c>
      <c r="I458" s="8"/>
      <c r="J458" s="8">
        <v>0.47820448875427246</v>
      </c>
      <c r="K458" s="8">
        <v>4.1500229388475418E-2</v>
      </c>
      <c r="L458" s="8">
        <v>18092026</v>
      </c>
      <c r="M458" t="s">
        <v>1052</v>
      </c>
    </row>
    <row r="459" spans="2:13">
      <c r="B459" t="s">
        <v>31</v>
      </c>
      <c r="C459" s="8">
        <v>2011</v>
      </c>
      <c r="D459" s="8">
        <v>2</v>
      </c>
      <c r="E459" s="8">
        <v>0.50545227527618408</v>
      </c>
      <c r="F459" s="8"/>
      <c r="G459" s="8">
        <v>0</v>
      </c>
      <c r="H459" s="8">
        <v>0.38299313187599182</v>
      </c>
      <c r="I459" s="8"/>
      <c r="J459" s="8">
        <v>0.39740023016929626</v>
      </c>
      <c r="K459" s="8">
        <v>4.2342253029346466E-2</v>
      </c>
      <c r="L459" s="8">
        <v>18092026</v>
      </c>
      <c r="M459" t="s">
        <v>1052</v>
      </c>
    </row>
    <row r="460" spans="2:13">
      <c r="B460" t="s">
        <v>31</v>
      </c>
      <c r="C460" s="8">
        <v>2011</v>
      </c>
      <c r="D460" s="8">
        <v>3</v>
      </c>
      <c r="E460" s="8">
        <v>0.51847141981124878</v>
      </c>
      <c r="F460" s="8"/>
      <c r="G460" s="8">
        <v>0</v>
      </c>
      <c r="H460" s="8">
        <v>0.17264600098133087</v>
      </c>
      <c r="I460" s="8"/>
      <c r="J460" s="8">
        <v>0.28546670079231262</v>
      </c>
      <c r="K460" s="8">
        <v>4.8822425305843353E-2</v>
      </c>
      <c r="L460" s="8">
        <v>18092026</v>
      </c>
      <c r="M460" t="s">
        <v>1052</v>
      </c>
    </row>
    <row r="461" spans="2:13">
      <c r="B461" t="s">
        <v>31</v>
      </c>
      <c r="C461" s="8">
        <v>2012</v>
      </c>
      <c r="D461" s="8">
        <v>1</v>
      </c>
      <c r="E461" s="8">
        <v>0.52095872163772583</v>
      </c>
      <c r="F461" s="8"/>
      <c r="G461" s="8">
        <v>0</v>
      </c>
      <c r="H461" s="8">
        <v>0.623496413230896</v>
      </c>
      <c r="I461" s="8"/>
      <c r="J461" s="8">
        <v>0.4850909411907196</v>
      </c>
      <c r="K461" s="8">
        <v>5.0512839108705521E-2</v>
      </c>
      <c r="L461" s="8">
        <v>18092026</v>
      </c>
      <c r="M461" t="s">
        <v>1052</v>
      </c>
    </row>
    <row r="462" spans="2:13">
      <c r="B462" t="s">
        <v>31</v>
      </c>
      <c r="C462" s="8">
        <v>2012</v>
      </c>
      <c r="D462" s="8">
        <v>2</v>
      </c>
      <c r="E462" s="8">
        <v>0.51862531900405884</v>
      </c>
      <c r="F462" s="8"/>
      <c r="G462" s="8">
        <v>0</v>
      </c>
      <c r="H462" s="8">
        <v>0.40130028128623962</v>
      </c>
      <c r="I462" s="8"/>
      <c r="J462" s="8">
        <v>0.40631547570228577</v>
      </c>
      <c r="K462" s="8">
        <v>5.6256093084812164E-2</v>
      </c>
      <c r="L462" s="8">
        <v>18092026</v>
      </c>
      <c r="M462" t="s">
        <v>1052</v>
      </c>
    </row>
    <row r="463" spans="2:13">
      <c r="B463" t="s">
        <v>31</v>
      </c>
      <c r="C463" s="8">
        <v>2012</v>
      </c>
      <c r="D463" s="8">
        <v>3</v>
      </c>
      <c r="E463" s="8">
        <v>0.50826513767242432</v>
      </c>
      <c r="F463" s="8"/>
      <c r="G463" s="8">
        <v>0</v>
      </c>
      <c r="H463" s="8">
        <v>0.21695095300674438</v>
      </c>
      <c r="I463" s="8"/>
      <c r="J463" s="8">
        <v>0.30576115846633911</v>
      </c>
      <c r="K463" s="8">
        <v>5.3866606205701828E-2</v>
      </c>
      <c r="L463" s="8">
        <v>18092026</v>
      </c>
      <c r="M463" t="s">
        <v>1052</v>
      </c>
    </row>
    <row r="464" spans="2:13">
      <c r="B464" t="s">
        <v>31</v>
      </c>
      <c r="C464" s="8">
        <v>2013</v>
      </c>
      <c r="D464" s="8">
        <v>1</v>
      </c>
      <c r="E464" s="8">
        <v>0.51514983177185059</v>
      </c>
      <c r="F464" s="8"/>
      <c r="G464" s="8">
        <v>0</v>
      </c>
      <c r="H464" s="8">
        <v>0.59611678123474121</v>
      </c>
      <c r="I464" s="8"/>
      <c r="J464" s="8">
        <v>0.48326724767684937</v>
      </c>
      <c r="K464" s="8">
        <v>4.7365583479404449E-2</v>
      </c>
      <c r="L464" s="8">
        <v>18092026</v>
      </c>
      <c r="M464" t="s">
        <v>1052</v>
      </c>
    </row>
    <row r="465" spans="2:13">
      <c r="B465" t="s">
        <v>31</v>
      </c>
      <c r="C465" s="8">
        <v>2013</v>
      </c>
      <c r="D465" s="8">
        <v>2</v>
      </c>
      <c r="E465" s="8">
        <v>0.50761520862579346</v>
      </c>
      <c r="F465" s="8"/>
      <c r="G465" s="8">
        <v>0</v>
      </c>
      <c r="H465" s="8">
        <v>0.49288496375083923</v>
      </c>
      <c r="I465" s="8"/>
      <c r="J465" s="8">
        <v>0.41481953859329224</v>
      </c>
      <c r="K465" s="8">
        <v>5.2272774279117584E-2</v>
      </c>
      <c r="L465" s="8">
        <v>18092026</v>
      </c>
      <c r="M465" t="s">
        <v>1052</v>
      </c>
    </row>
    <row r="466" spans="2:13">
      <c r="B466" t="s">
        <v>31</v>
      </c>
      <c r="C466" s="8">
        <v>2013</v>
      </c>
      <c r="D466" s="8">
        <v>3</v>
      </c>
      <c r="E466" s="8">
        <v>0.51504838466644287</v>
      </c>
      <c r="F466" s="8"/>
      <c r="G466" s="8">
        <v>0</v>
      </c>
      <c r="H466" s="8">
        <v>0.25359129905700684</v>
      </c>
      <c r="I466" s="8"/>
      <c r="J466" s="8">
        <v>0.29865702986717224</v>
      </c>
      <c r="K466" s="8">
        <v>5.4783150553703308E-2</v>
      </c>
      <c r="L466" s="8">
        <v>18092026</v>
      </c>
      <c r="M466" t="s">
        <v>1052</v>
      </c>
    </row>
    <row r="467" spans="2:13">
      <c r="B467" t="s">
        <v>31</v>
      </c>
      <c r="C467" s="8">
        <v>2014</v>
      </c>
      <c r="D467" s="8">
        <v>1</v>
      </c>
      <c r="E467" s="8">
        <v>0.52017736434936523</v>
      </c>
      <c r="F467" s="8"/>
      <c r="G467" s="8">
        <v>0</v>
      </c>
      <c r="H467" s="8">
        <v>0.56853985786437988</v>
      </c>
      <c r="I467" s="8"/>
      <c r="J467" s="8">
        <v>0.48442935943603516</v>
      </c>
      <c r="K467" s="8">
        <v>4.3697942048311234E-2</v>
      </c>
      <c r="L467" s="8">
        <v>18092026</v>
      </c>
      <c r="M467" t="s">
        <v>1052</v>
      </c>
    </row>
    <row r="468" spans="2:13">
      <c r="B468" t="s">
        <v>31</v>
      </c>
      <c r="C468" s="8">
        <v>2014</v>
      </c>
      <c r="D468" s="8">
        <v>2</v>
      </c>
      <c r="E468" s="8">
        <v>0.51394224166870117</v>
      </c>
      <c r="F468" s="8"/>
      <c r="G468" s="8">
        <v>0</v>
      </c>
      <c r="H468" s="8">
        <v>0.35438111424446106</v>
      </c>
      <c r="I468" s="8"/>
      <c r="J468" s="8">
        <v>0.39762377738952637</v>
      </c>
      <c r="K468" s="8">
        <v>4.8506468534469604E-2</v>
      </c>
      <c r="L468" s="8">
        <v>18092026</v>
      </c>
      <c r="M468" t="s">
        <v>1052</v>
      </c>
    </row>
    <row r="469" spans="2:13">
      <c r="B469" t="s">
        <v>31</v>
      </c>
      <c r="C469" s="8">
        <v>2014</v>
      </c>
      <c r="D469" s="8">
        <v>3</v>
      </c>
      <c r="E469" s="8">
        <v>0.50744938850402832</v>
      </c>
      <c r="F469" s="8"/>
      <c r="G469" s="8">
        <v>0</v>
      </c>
      <c r="H469" s="8">
        <v>0.2218107134103775</v>
      </c>
      <c r="I469" s="8"/>
      <c r="J469" s="8">
        <v>0.27047660946846008</v>
      </c>
      <c r="K469" s="8">
        <v>6.2550351023674011E-2</v>
      </c>
      <c r="L469" s="8">
        <v>18092026</v>
      </c>
      <c r="M469" t="s">
        <v>1052</v>
      </c>
    </row>
    <row r="470" spans="2:13">
      <c r="B470" t="s">
        <v>31</v>
      </c>
      <c r="C470" s="8">
        <v>2015</v>
      </c>
      <c r="D470" s="8">
        <v>1</v>
      </c>
      <c r="E470" s="8">
        <v>0.52889436483383179</v>
      </c>
      <c r="F470" s="8"/>
      <c r="G470" s="8">
        <v>0</v>
      </c>
      <c r="H470" s="8">
        <v>0.60385811328887939</v>
      </c>
      <c r="I470" s="8"/>
      <c r="J470" s="8">
        <v>0.47548440098762512</v>
      </c>
      <c r="K470" s="8">
        <v>5.0133280456066132E-2</v>
      </c>
      <c r="L470" s="8">
        <v>18092026</v>
      </c>
      <c r="M470" t="s">
        <v>1052</v>
      </c>
    </row>
    <row r="471" spans="2:13">
      <c r="B471" t="s">
        <v>31</v>
      </c>
      <c r="C471" s="8">
        <v>2015</v>
      </c>
      <c r="D471" s="8">
        <v>2</v>
      </c>
      <c r="E471" s="8">
        <v>0.50596660375595093</v>
      </c>
      <c r="F471" s="8"/>
      <c r="G471" s="8">
        <v>0</v>
      </c>
      <c r="H471" s="8">
        <v>0.38325092196464539</v>
      </c>
      <c r="I471" s="8"/>
      <c r="J471" s="8">
        <v>0.38716688752174377</v>
      </c>
      <c r="K471" s="8">
        <v>5.2100770175457001E-2</v>
      </c>
      <c r="L471" s="8">
        <v>18092026</v>
      </c>
      <c r="M471" t="s">
        <v>1052</v>
      </c>
    </row>
    <row r="472" spans="2:13">
      <c r="B472" t="s">
        <v>31</v>
      </c>
      <c r="C472" s="8">
        <v>2015</v>
      </c>
      <c r="D472" s="8">
        <v>3</v>
      </c>
      <c r="E472" s="8">
        <v>0.50055646896362305</v>
      </c>
      <c r="F472" s="8"/>
      <c r="G472" s="8">
        <v>0</v>
      </c>
      <c r="H472" s="8">
        <v>0.17044779658317566</v>
      </c>
      <c r="I472" s="8"/>
      <c r="J472" s="8">
        <v>0.28776520490646362</v>
      </c>
      <c r="K472" s="8">
        <v>5.8763515204191208E-2</v>
      </c>
      <c r="L472" s="8">
        <v>18092026</v>
      </c>
      <c r="M472" t="s">
        <v>1052</v>
      </c>
    </row>
    <row r="473" spans="2:13">
      <c r="B473" t="s">
        <v>31</v>
      </c>
      <c r="C473" s="8">
        <v>2016</v>
      </c>
      <c r="D473" s="8">
        <v>1</v>
      </c>
      <c r="E473" s="8">
        <v>0.53433394432067871</v>
      </c>
      <c r="F473" s="8"/>
      <c r="G473" s="8">
        <v>0</v>
      </c>
      <c r="H473" s="8">
        <v>0.62187212705612183</v>
      </c>
      <c r="I473" s="8"/>
      <c r="J473" s="8">
        <v>0.48002347350120544</v>
      </c>
      <c r="K473" s="8">
        <v>5.2782215178012848E-2</v>
      </c>
      <c r="L473" s="8">
        <v>18092026</v>
      </c>
      <c r="M473" t="s">
        <v>1052</v>
      </c>
    </row>
    <row r="474" spans="2:13">
      <c r="B474" t="s">
        <v>31</v>
      </c>
      <c r="C474" s="8">
        <v>2016</v>
      </c>
      <c r="D474" s="8">
        <v>2</v>
      </c>
      <c r="E474" s="8">
        <v>0.51669913530349731</v>
      </c>
      <c r="F474" s="8"/>
      <c r="G474" s="8">
        <v>0</v>
      </c>
      <c r="H474" s="8">
        <v>0.35102871060371399</v>
      </c>
      <c r="I474" s="8"/>
      <c r="J474" s="8">
        <v>0.3952045738697052</v>
      </c>
      <c r="K474" s="8">
        <v>5.3436558693647385E-2</v>
      </c>
      <c r="L474" s="8">
        <v>18092026</v>
      </c>
      <c r="M474" t="s">
        <v>1052</v>
      </c>
    </row>
    <row r="475" spans="2:13">
      <c r="B475" t="s">
        <v>31</v>
      </c>
      <c r="C475" s="8">
        <v>2016</v>
      </c>
      <c r="D475" s="8">
        <v>3</v>
      </c>
      <c r="E475" s="8">
        <v>0.51248347759246826</v>
      </c>
      <c r="F475" s="8"/>
      <c r="G475" s="8">
        <v>0</v>
      </c>
      <c r="H475" s="8">
        <v>0.16655272245407104</v>
      </c>
      <c r="I475" s="8"/>
      <c r="J475" s="8">
        <v>0.28001362085342407</v>
      </c>
      <c r="K475" s="8">
        <v>5.9124745428562164E-2</v>
      </c>
      <c r="L475" s="8">
        <v>18092026</v>
      </c>
      <c r="M475" t="s">
        <v>1052</v>
      </c>
    </row>
    <row r="476" spans="2:13">
      <c r="B476" t="s">
        <v>31</v>
      </c>
      <c r="C476" s="8">
        <v>2017</v>
      </c>
      <c r="D476" s="8">
        <v>1</v>
      </c>
      <c r="E476" s="8">
        <v>0.52217775583267212</v>
      </c>
      <c r="F476" s="8"/>
      <c r="G476" s="8">
        <v>0</v>
      </c>
      <c r="H476" s="8">
        <v>0.63179153203964233</v>
      </c>
      <c r="I476" s="8"/>
      <c r="J476" s="8">
        <v>0.4592338502407074</v>
      </c>
      <c r="K476" s="8">
        <v>4.9742348492145538E-2</v>
      </c>
      <c r="L476" s="8">
        <v>18092026</v>
      </c>
      <c r="M476" t="s">
        <v>1052</v>
      </c>
    </row>
    <row r="477" spans="2:13">
      <c r="B477" t="s">
        <v>31</v>
      </c>
      <c r="C477" s="8">
        <v>2017</v>
      </c>
      <c r="D477" s="8">
        <v>2</v>
      </c>
      <c r="E477" s="8">
        <v>0.50706690549850464</v>
      </c>
      <c r="F477" s="8"/>
      <c r="G477" s="8">
        <v>0</v>
      </c>
      <c r="H477" s="8">
        <v>0.42781537771224976</v>
      </c>
      <c r="I477" s="8"/>
      <c r="J477" s="8">
        <v>0.37285017967224121</v>
      </c>
      <c r="K477" s="8">
        <v>5.5460937321186066E-2</v>
      </c>
      <c r="L477" s="8">
        <v>18092026</v>
      </c>
      <c r="M477" t="s">
        <v>1052</v>
      </c>
    </row>
    <row r="478" spans="2:13">
      <c r="B478" t="s">
        <v>31</v>
      </c>
      <c r="C478" s="8">
        <v>2017</v>
      </c>
      <c r="D478" s="8">
        <v>3</v>
      </c>
      <c r="E478" s="8">
        <v>0.51963227987289429</v>
      </c>
      <c r="F478" s="8"/>
      <c r="G478" s="8">
        <v>0</v>
      </c>
      <c r="H478" s="8">
        <v>0.21970702707767487</v>
      </c>
      <c r="I478" s="8"/>
      <c r="J478" s="8">
        <v>0.27203145623207092</v>
      </c>
      <c r="K478" s="8">
        <v>6.5731942653656006E-2</v>
      </c>
      <c r="L478" s="8">
        <v>18092026</v>
      </c>
      <c r="M478" t="s">
        <v>1052</v>
      </c>
    </row>
    <row r="479" spans="2:13">
      <c r="B479" t="s">
        <v>31</v>
      </c>
      <c r="C479" s="8">
        <v>2018</v>
      </c>
      <c r="D479" s="8">
        <v>1</v>
      </c>
      <c r="E479" s="8">
        <v>0.52990078926086426</v>
      </c>
      <c r="F479" s="8"/>
      <c r="G479" s="8">
        <v>0</v>
      </c>
      <c r="H479" s="8">
        <v>0.56288427114486694</v>
      </c>
      <c r="I479" s="8"/>
      <c r="J479" s="8">
        <v>0.43957951664924622</v>
      </c>
      <c r="K479" s="8">
        <v>6.007670983672142E-2</v>
      </c>
      <c r="L479" s="8">
        <v>18092026</v>
      </c>
      <c r="M479" t="s">
        <v>1052</v>
      </c>
    </row>
    <row r="480" spans="2:13">
      <c r="B480" t="s">
        <v>31</v>
      </c>
      <c r="C480" s="8">
        <v>2018</v>
      </c>
      <c r="D480" s="8">
        <v>2</v>
      </c>
      <c r="E480" s="8">
        <v>0.53151488304138184</v>
      </c>
      <c r="F480" s="8"/>
      <c r="G480" s="8">
        <v>0</v>
      </c>
      <c r="H480" s="8">
        <v>0.39547348022460938</v>
      </c>
      <c r="I480" s="8"/>
      <c r="J480" s="8">
        <v>0.3722812831401825</v>
      </c>
      <c r="K480" s="8">
        <v>5.403219535946846E-2</v>
      </c>
      <c r="L480" s="8">
        <v>18092026</v>
      </c>
      <c r="M480" t="s">
        <v>1052</v>
      </c>
    </row>
    <row r="481" spans="2:13">
      <c r="B481" t="s">
        <v>31</v>
      </c>
      <c r="C481" s="8">
        <v>2018</v>
      </c>
      <c r="D481" s="8">
        <v>3</v>
      </c>
      <c r="E481" s="8">
        <v>0.51161980628967285</v>
      </c>
      <c r="F481" s="8"/>
      <c r="G481" s="8">
        <v>0</v>
      </c>
      <c r="H481" s="8">
        <v>0.1910221129655838</v>
      </c>
      <c r="I481" s="8"/>
      <c r="J481" s="8">
        <v>0.24750609695911407</v>
      </c>
      <c r="K481" s="8">
        <v>7.2761468589305878E-2</v>
      </c>
      <c r="L481" s="8">
        <v>18092026</v>
      </c>
      <c r="M481" t="s">
        <v>1052</v>
      </c>
    </row>
    <row r="482" spans="2:13">
      <c r="B482" t="s">
        <v>31</v>
      </c>
      <c r="C482" s="8">
        <v>2019</v>
      </c>
      <c r="D482" s="8">
        <v>1</v>
      </c>
      <c r="E482" s="8">
        <v>0.5221487283706665</v>
      </c>
      <c r="F482" s="8"/>
      <c r="G482" s="8">
        <v>0</v>
      </c>
      <c r="H482" s="8">
        <v>0.59705126285552979</v>
      </c>
      <c r="I482" s="8"/>
      <c r="J482" s="8">
        <v>0.44199928641319275</v>
      </c>
      <c r="K482" s="8">
        <v>6.2116064131259918E-2</v>
      </c>
      <c r="L482" s="8">
        <v>18092026</v>
      </c>
      <c r="M482" t="s">
        <v>1052</v>
      </c>
    </row>
    <row r="483" spans="2:13">
      <c r="B483" t="s">
        <v>31</v>
      </c>
      <c r="C483" s="8">
        <v>2019</v>
      </c>
      <c r="D483" s="8">
        <v>2</v>
      </c>
      <c r="E483" s="8">
        <v>0.51992666721343994</v>
      </c>
      <c r="F483" s="8"/>
      <c r="G483" s="8">
        <v>0</v>
      </c>
      <c r="H483" s="8">
        <v>0.42210683226585388</v>
      </c>
      <c r="I483" s="8"/>
      <c r="J483" s="8">
        <v>0.36774826049804688</v>
      </c>
      <c r="K483" s="8">
        <v>5.6642837822437286E-2</v>
      </c>
      <c r="L483" s="8">
        <v>18092026</v>
      </c>
      <c r="M483" t="s">
        <v>1052</v>
      </c>
    </row>
    <row r="484" spans="2:13">
      <c r="B484" t="s">
        <v>31</v>
      </c>
      <c r="C484" s="8">
        <v>2019</v>
      </c>
      <c r="D484" s="8">
        <v>3</v>
      </c>
      <c r="E484" s="8">
        <v>0.50592970848083496</v>
      </c>
      <c r="F484" s="8"/>
      <c r="G484" s="8">
        <v>0</v>
      </c>
      <c r="H484" s="8">
        <v>0.20495966076850891</v>
      </c>
      <c r="I484" s="8"/>
      <c r="J484" s="8">
        <v>0.24923995137214661</v>
      </c>
      <c r="K484" s="8">
        <v>6.6703520715236664E-2</v>
      </c>
      <c r="L484" s="8">
        <v>18092026</v>
      </c>
      <c r="M484" t="s">
        <v>1052</v>
      </c>
    </row>
    <row r="485" spans="2:13">
      <c r="B485" t="s">
        <v>31</v>
      </c>
      <c r="C485" s="8">
        <v>2021</v>
      </c>
      <c r="D485" s="8">
        <v>1</v>
      </c>
      <c r="E485" s="8">
        <v>0.53280359506607056</v>
      </c>
      <c r="F485" s="8"/>
      <c r="G485" s="8">
        <v>0</v>
      </c>
      <c r="H485" s="8">
        <v>0.53562217950820923</v>
      </c>
      <c r="I485" s="8"/>
      <c r="J485" s="8">
        <v>0.43326810002326965</v>
      </c>
      <c r="K485" s="8">
        <v>6.958538293838501E-2</v>
      </c>
      <c r="L485" s="8">
        <v>18092026</v>
      </c>
      <c r="M485" t="s">
        <v>1052</v>
      </c>
    </row>
    <row r="486" spans="2:13">
      <c r="B486" t="s">
        <v>31</v>
      </c>
      <c r="C486" s="8">
        <v>2021</v>
      </c>
      <c r="D486" s="8">
        <v>2</v>
      </c>
      <c r="E486" s="8">
        <v>0.51367092132568359</v>
      </c>
      <c r="F486" s="8"/>
      <c r="G486" s="8">
        <v>0</v>
      </c>
      <c r="H486" s="8">
        <v>0.37683156132698059</v>
      </c>
      <c r="I486" s="8"/>
      <c r="J486" s="8">
        <v>0.3640865683555603</v>
      </c>
      <c r="K486" s="8">
        <v>4.7330833971500397E-2</v>
      </c>
      <c r="L486" s="8">
        <v>18092026</v>
      </c>
      <c r="M486" t="s">
        <v>1052</v>
      </c>
    </row>
    <row r="487" spans="2:13">
      <c r="B487" t="s">
        <v>31</v>
      </c>
      <c r="C487" s="8">
        <v>2021</v>
      </c>
      <c r="D487" s="8">
        <v>3</v>
      </c>
      <c r="E487" s="8">
        <v>0.51540845632553101</v>
      </c>
      <c r="F487" s="8"/>
      <c r="G487" s="8">
        <v>0</v>
      </c>
      <c r="H487" s="8">
        <v>0.24144250154495239</v>
      </c>
      <c r="I487" s="8"/>
      <c r="J487" s="8">
        <v>0.24267707765102386</v>
      </c>
      <c r="K487" s="8">
        <v>6.5951742231845856E-2</v>
      </c>
      <c r="L487" s="8">
        <v>18092026</v>
      </c>
      <c r="M487" t="s">
        <v>1052</v>
      </c>
    </row>
    <row r="488" spans="2:13">
      <c r="B488" t="s">
        <v>31</v>
      </c>
      <c r="C488" s="8">
        <v>2022</v>
      </c>
      <c r="D488" s="8">
        <v>1</v>
      </c>
      <c r="E488" s="8">
        <v>0.54637390375137329</v>
      </c>
      <c r="F488" s="8"/>
      <c r="G488" s="8">
        <v>3.2853201031684875E-2</v>
      </c>
      <c r="H488" s="8">
        <v>0.5265575647354126</v>
      </c>
      <c r="I488" s="8"/>
      <c r="J488" s="8">
        <v>0.43624040484428406</v>
      </c>
      <c r="K488" s="8">
        <v>7.1945607662200928E-2</v>
      </c>
      <c r="L488" s="8">
        <v>18092026</v>
      </c>
      <c r="M488" t="s">
        <v>1052</v>
      </c>
    </row>
    <row r="489" spans="2:13">
      <c r="B489" t="s">
        <v>31</v>
      </c>
      <c r="C489" s="8">
        <v>2022</v>
      </c>
      <c r="D489" s="8">
        <v>2</v>
      </c>
      <c r="E489" s="8">
        <v>0.52946847677230835</v>
      </c>
      <c r="F489" s="8"/>
      <c r="G489" s="8">
        <v>2.6878224685788155E-2</v>
      </c>
      <c r="H489" s="8">
        <v>0.36262112855911255</v>
      </c>
      <c r="I489" s="8"/>
      <c r="J489" s="8">
        <v>0.37694433331489563</v>
      </c>
      <c r="K489" s="8">
        <v>5.0519894808530807E-2</v>
      </c>
      <c r="L489" s="8">
        <v>18092026</v>
      </c>
      <c r="M489" t="s">
        <v>1052</v>
      </c>
    </row>
    <row r="490" spans="2:13">
      <c r="B490" t="s">
        <v>31</v>
      </c>
      <c r="C490" s="8">
        <v>2022</v>
      </c>
      <c r="D490" s="8">
        <v>3</v>
      </c>
      <c r="E490" s="8">
        <v>0.51302963495254517</v>
      </c>
      <c r="F490" s="8"/>
      <c r="G490" s="8">
        <v>2.2114640101790428E-2</v>
      </c>
      <c r="H490" s="8">
        <v>0.27876907587051392</v>
      </c>
      <c r="I490" s="8"/>
      <c r="J490" s="8">
        <v>0.24996882677078247</v>
      </c>
      <c r="K490" s="8">
        <v>6.9008752703666687E-2</v>
      </c>
      <c r="L490" s="8">
        <v>18092026</v>
      </c>
      <c r="M490" t="s">
        <v>1052</v>
      </c>
    </row>
    <row r="491" spans="2:13">
      <c r="B491" t="s">
        <v>33</v>
      </c>
      <c r="C491" s="8">
        <v>2017</v>
      </c>
      <c r="D491" s="8">
        <v>1</v>
      </c>
      <c r="E491" s="8">
        <v>0.51420938968658447</v>
      </c>
      <c r="F491" s="8">
        <v>9.8490035161375999E-3</v>
      </c>
      <c r="G491" s="8"/>
      <c r="H491" s="8"/>
      <c r="I491" s="8"/>
      <c r="J491" s="8">
        <v>0.38521748781204224</v>
      </c>
      <c r="K491" s="8">
        <v>4.7262083739042282E-2</v>
      </c>
      <c r="L491" s="8">
        <v>813834</v>
      </c>
      <c r="M491" t="s">
        <v>1052</v>
      </c>
    </row>
    <row r="492" spans="2:13">
      <c r="B492" t="s">
        <v>33</v>
      </c>
      <c r="C492" s="8">
        <v>2017</v>
      </c>
      <c r="D492" s="8">
        <v>2</v>
      </c>
      <c r="E492" s="8">
        <v>0.51249736547470093</v>
      </c>
      <c r="F492" s="8">
        <v>9.1123860329389572E-3</v>
      </c>
      <c r="G492" s="8"/>
      <c r="H492" s="8"/>
      <c r="I492" s="8"/>
      <c r="J492" s="8">
        <v>0.3240012526512146</v>
      </c>
      <c r="K492" s="8">
        <v>7.9582743346691132E-2</v>
      </c>
      <c r="L492" s="8">
        <v>813834</v>
      </c>
      <c r="M492" t="s">
        <v>1052</v>
      </c>
    </row>
    <row r="493" spans="2:13">
      <c r="B493" t="s">
        <v>33</v>
      </c>
      <c r="C493" s="8">
        <v>2017</v>
      </c>
      <c r="D493" s="8">
        <v>3</v>
      </c>
      <c r="E493" s="8">
        <v>0.50421452522277832</v>
      </c>
      <c r="F493" s="8">
        <v>1.0272613726556301E-2</v>
      </c>
      <c r="G493" s="8"/>
      <c r="H493" s="8"/>
      <c r="I493" s="8"/>
      <c r="J493" s="8">
        <v>0.21500223875045776</v>
      </c>
      <c r="K493" s="8">
        <v>9.2709392309188843E-2</v>
      </c>
      <c r="L493" s="8">
        <v>813834</v>
      </c>
      <c r="M493" t="s">
        <v>1052</v>
      </c>
    </row>
    <row r="494" spans="2:13">
      <c r="B494" t="s">
        <v>33</v>
      </c>
      <c r="C494" s="8">
        <v>2018</v>
      </c>
      <c r="D494" s="8">
        <v>1</v>
      </c>
      <c r="E494" s="8">
        <v>0.52054238319396973</v>
      </c>
      <c r="F494" s="8">
        <v>8.9071467518806458E-3</v>
      </c>
      <c r="G494" s="8"/>
      <c r="H494" s="8"/>
      <c r="I494" s="8"/>
      <c r="J494" s="8">
        <v>0.37855550646781921</v>
      </c>
      <c r="K494" s="8">
        <v>4.4721145182847977E-2</v>
      </c>
      <c r="L494" s="8">
        <v>813834</v>
      </c>
      <c r="M494" t="s">
        <v>1052</v>
      </c>
    </row>
    <row r="495" spans="2:13">
      <c r="B495" t="s">
        <v>33</v>
      </c>
      <c r="C495" s="8">
        <v>2018</v>
      </c>
      <c r="D495" s="8">
        <v>2</v>
      </c>
      <c r="E495" s="8">
        <v>0.51670068502426147</v>
      </c>
      <c r="F495" s="8">
        <v>1.4425445348024368E-2</v>
      </c>
      <c r="G495" s="8"/>
      <c r="H495" s="8"/>
      <c r="I495" s="8"/>
      <c r="J495" s="8">
        <v>0.30545023083686829</v>
      </c>
      <c r="K495" s="8">
        <v>9.5033906400203705E-2</v>
      </c>
      <c r="L495" s="8">
        <v>813834</v>
      </c>
      <c r="M495" t="s">
        <v>1052</v>
      </c>
    </row>
    <row r="496" spans="2:13">
      <c r="B496" t="s">
        <v>33</v>
      </c>
      <c r="C496" s="8">
        <v>2018</v>
      </c>
      <c r="D496" s="8">
        <v>3</v>
      </c>
      <c r="E496" s="8">
        <v>0.49810102581977844</v>
      </c>
      <c r="F496" s="8">
        <v>1.3691936619579792E-2</v>
      </c>
      <c r="G496" s="8"/>
      <c r="H496" s="8"/>
      <c r="I496" s="8"/>
      <c r="J496" s="8">
        <v>0.20823317766189575</v>
      </c>
      <c r="K496" s="8">
        <v>0.10014402121305466</v>
      </c>
      <c r="L496" s="8">
        <v>813834</v>
      </c>
      <c r="M496" t="s">
        <v>1052</v>
      </c>
    </row>
    <row r="497" spans="2:13">
      <c r="B497" t="s">
        <v>33</v>
      </c>
      <c r="C497" s="8">
        <v>2019</v>
      </c>
      <c r="D497" s="8">
        <v>1</v>
      </c>
      <c r="E497" s="8">
        <v>0.52684128284454346</v>
      </c>
      <c r="F497" s="8">
        <v>6.3564442098140717E-3</v>
      </c>
      <c r="G497" s="8"/>
      <c r="H497" s="8"/>
      <c r="I497" s="8"/>
      <c r="J497" s="8">
        <v>0.32582727074623108</v>
      </c>
      <c r="K497" s="8">
        <v>5.8204833418130875E-2</v>
      </c>
      <c r="L497" s="8">
        <v>813834</v>
      </c>
      <c r="M497" t="s">
        <v>1052</v>
      </c>
    </row>
    <row r="498" spans="2:13">
      <c r="B498" t="s">
        <v>33</v>
      </c>
      <c r="C498" s="8">
        <v>2019</v>
      </c>
      <c r="D498" s="8">
        <v>2</v>
      </c>
      <c r="E498" s="8">
        <v>0.53002279996871948</v>
      </c>
      <c r="F498" s="8">
        <v>1.5612615272402763E-2</v>
      </c>
      <c r="G498" s="8"/>
      <c r="H498" s="8"/>
      <c r="I498" s="8"/>
      <c r="J498" s="8">
        <v>0.26711812615394592</v>
      </c>
      <c r="K498" s="8">
        <v>0.11111922562122345</v>
      </c>
      <c r="L498" s="8">
        <v>813834</v>
      </c>
      <c r="M498" t="s">
        <v>1052</v>
      </c>
    </row>
    <row r="499" spans="2:13">
      <c r="B499" t="s">
        <v>33</v>
      </c>
      <c r="C499" s="8">
        <v>2019</v>
      </c>
      <c r="D499" s="8">
        <v>3</v>
      </c>
      <c r="E499" s="8">
        <v>0.51556086540222168</v>
      </c>
      <c r="F499" s="8">
        <v>8.4261093288660049E-3</v>
      </c>
      <c r="G499" s="8"/>
      <c r="H499" s="8"/>
      <c r="I499" s="8"/>
      <c r="J499" s="8">
        <v>0.18452021479606628</v>
      </c>
      <c r="K499" s="8">
        <v>0.10793726146221161</v>
      </c>
      <c r="L499" s="8">
        <v>813834</v>
      </c>
      <c r="M499" t="s">
        <v>1052</v>
      </c>
    </row>
    <row r="500" spans="2:13">
      <c r="B500" t="s">
        <v>33</v>
      </c>
      <c r="C500" s="8">
        <v>2021</v>
      </c>
      <c r="D500" s="8">
        <v>1</v>
      </c>
      <c r="E500" s="8">
        <v>0.52565956115722656</v>
      </c>
      <c r="F500" s="8">
        <v>1.0357660241425037E-2</v>
      </c>
      <c r="G500" s="8"/>
      <c r="H500" s="8"/>
      <c r="I500" s="8"/>
      <c r="J500" s="8">
        <v>0.3479250967502594</v>
      </c>
      <c r="K500" s="8">
        <v>5.8112628757953644E-2</v>
      </c>
      <c r="L500" s="8">
        <v>813834</v>
      </c>
      <c r="M500" t="s">
        <v>1052</v>
      </c>
    </row>
    <row r="501" spans="2:13">
      <c r="B501" t="s">
        <v>33</v>
      </c>
      <c r="C501" s="8">
        <v>2021</v>
      </c>
      <c r="D501" s="8">
        <v>2</v>
      </c>
      <c r="E501" s="8">
        <v>0.52609348297119141</v>
      </c>
      <c r="F501" s="8">
        <v>1.0918033309280872E-2</v>
      </c>
      <c r="G501" s="8"/>
      <c r="H501" s="8"/>
      <c r="I501" s="8"/>
      <c r="J501" s="8">
        <v>0.2788580060005188</v>
      </c>
      <c r="K501" s="8">
        <v>0.12528707087039948</v>
      </c>
      <c r="L501" s="8">
        <v>813834</v>
      </c>
      <c r="M501" t="s">
        <v>1052</v>
      </c>
    </row>
    <row r="502" spans="2:13">
      <c r="B502" t="s">
        <v>33</v>
      </c>
      <c r="C502" s="8">
        <v>2021</v>
      </c>
      <c r="D502" s="8">
        <v>3</v>
      </c>
      <c r="E502" s="8">
        <v>0.50604605674743652</v>
      </c>
      <c r="F502" s="8">
        <v>1.3623245991766453E-2</v>
      </c>
      <c r="G502" s="8"/>
      <c r="H502" s="8"/>
      <c r="I502" s="8"/>
      <c r="J502" s="8">
        <v>0.18587486445903778</v>
      </c>
      <c r="K502" s="8">
        <v>0.13563194870948792</v>
      </c>
      <c r="L502" s="8">
        <v>813834</v>
      </c>
      <c r="M502" t="s">
        <v>1052</v>
      </c>
    </row>
    <row r="503" spans="2:13">
      <c r="B503" t="s">
        <v>34</v>
      </c>
      <c r="C503" s="8">
        <v>2003</v>
      </c>
      <c r="D503" s="8">
        <v>1</v>
      </c>
      <c r="E503" s="8">
        <v>0.50311046838760376</v>
      </c>
      <c r="F503" s="8"/>
      <c r="G503" s="8"/>
      <c r="H503" s="8"/>
      <c r="I503" s="8"/>
      <c r="J503" s="8">
        <v>0.50870823860168457</v>
      </c>
      <c r="K503" s="8">
        <v>4.2212214320898056E-2</v>
      </c>
      <c r="L503" s="8">
        <v>10593798</v>
      </c>
      <c r="M503" t="s">
        <v>1052</v>
      </c>
    </row>
    <row r="504" spans="2:13">
      <c r="B504" t="s">
        <v>34</v>
      </c>
      <c r="C504" s="8">
        <v>2003</v>
      </c>
      <c r="D504" s="8">
        <v>2</v>
      </c>
      <c r="E504" s="8">
        <v>0.51026499271392822</v>
      </c>
      <c r="F504" s="8"/>
      <c r="G504" s="8"/>
      <c r="H504" s="8"/>
      <c r="I504" s="8"/>
      <c r="J504" s="8">
        <v>0.44745966792106628</v>
      </c>
      <c r="K504" s="8">
        <v>4.8343826085329056E-2</v>
      </c>
      <c r="L504" s="8">
        <v>10593798</v>
      </c>
      <c r="M504" t="s">
        <v>1052</v>
      </c>
    </row>
    <row r="505" spans="2:13">
      <c r="B505" t="s">
        <v>34</v>
      </c>
      <c r="C505" s="8">
        <v>2003</v>
      </c>
      <c r="D505" s="8">
        <v>3</v>
      </c>
      <c r="E505" s="8">
        <v>0.52182716131210327</v>
      </c>
      <c r="F505" s="8"/>
      <c r="G505" s="8"/>
      <c r="H505" s="8"/>
      <c r="I505" s="8"/>
      <c r="J505" s="8">
        <v>0.32677146792411804</v>
      </c>
      <c r="K505" s="8">
        <v>6.1613384634256363E-2</v>
      </c>
      <c r="L505" s="8">
        <v>10593798</v>
      </c>
      <c r="M505" t="s">
        <v>1052</v>
      </c>
    </row>
    <row r="506" spans="2:13">
      <c r="B506" t="s">
        <v>34</v>
      </c>
      <c r="C506" s="8">
        <v>2004</v>
      </c>
      <c r="D506" s="8">
        <v>1</v>
      </c>
      <c r="E506" s="8">
        <v>0.50205087661743164</v>
      </c>
      <c r="F506" s="8"/>
      <c r="G506" s="8"/>
      <c r="H506" s="8"/>
      <c r="I506" s="8"/>
      <c r="J506" s="8">
        <v>0.49855300784111023</v>
      </c>
      <c r="K506" s="8">
        <v>4.8901636153459549E-2</v>
      </c>
      <c r="L506" s="8">
        <v>10593798</v>
      </c>
      <c r="M506" t="s">
        <v>1052</v>
      </c>
    </row>
    <row r="507" spans="2:13">
      <c r="B507" t="s">
        <v>34</v>
      </c>
      <c r="C507" s="8">
        <v>2004</v>
      </c>
      <c r="D507" s="8">
        <v>2</v>
      </c>
      <c r="E507" s="8">
        <v>0.51419222354888916</v>
      </c>
      <c r="F507" s="8"/>
      <c r="G507" s="8"/>
      <c r="H507" s="8"/>
      <c r="I507" s="8"/>
      <c r="J507" s="8">
        <v>0.43565636873245239</v>
      </c>
      <c r="K507" s="8">
        <v>4.7261141240596771E-2</v>
      </c>
      <c r="L507" s="8">
        <v>10593798</v>
      </c>
      <c r="M507" t="s">
        <v>1052</v>
      </c>
    </row>
    <row r="508" spans="2:13">
      <c r="B508" t="s">
        <v>34</v>
      </c>
      <c r="C508" s="8">
        <v>2004</v>
      </c>
      <c r="D508" s="8">
        <v>3</v>
      </c>
      <c r="E508" s="8">
        <v>0.53154152631759644</v>
      </c>
      <c r="F508" s="8"/>
      <c r="G508" s="8"/>
      <c r="H508" s="8"/>
      <c r="I508" s="8"/>
      <c r="J508" s="8">
        <v>0.32766720652580261</v>
      </c>
      <c r="K508" s="8">
        <v>5.3136680275201797E-2</v>
      </c>
      <c r="L508" s="8">
        <v>10593798</v>
      </c>
      <c r="M508" t="s">
        <v>1052</v>
      </c>
    </row>
    <row r="509" spans="2:13">
      <c r="B509" t="s">
        <v>34</v>
      </c>
      <c r="C509" s="8">
        <v>2005</v>
      </c>
      <c r="D509" s="8">
        <v>1</v>
      </c>
      <c r="E509" s="8">
        <v>0.50179356336593628</v>
      </c>
      <c r="F509" s="8"/>
      <c r="G509" s="8"/>
      <c r="H509" s="8"/>
      <c r="I509" s="8"/>
      <c r="J509" s="8">
        <v>0.4940076470375061</v>
      </c>
      <c r="K509" s="8">
        <v>4.5356471091508865E-2</v>
      </c>
      <c r="L509" s="8">
        <v>10593798</v>
      </c>
      <c r="M509" t="s">
        <v>1052</v>
      </c>
    </row>
    <row r="510" spans="2:13">
      <c r="B510" t="s">
        <v>34</v>
      </c>
      <c r="C510" s="8">
        <v>2005</v>
      </c>
      <c r="D510" s="8">
        <v>2</v>
      </c>
      <c r="E510" s="8">
        <v>0.50965756177902222</v>
      </c>
      <c r="F510" s="8"/>
      <c r="G510" s="8"/>
      <c r="H510" s="8"/>
      <c r="I510" s="8"/>
      <c r="J510" s="8">
        <v>0.43987280130386353</v>
      </c>
      <c r="K510" s="8">
        <v>4.6768862754106522E-2</v>
      </c>
      <c r="L510" s="8">
        <v>10593798</v>
      </c>
      <c r="M510" t="s">
        <v>1052</v>
      </c>
    </row>
    <row r="511" spans="2:13">
      <c r="B511" t="s">
        <v>34</v>
      </c>
      <c r="C511" s="8">
        <v>2005</v>
      </c>
      <c r="D511" s="8">
        <v>3</v>
      </c>
      <c r="E511" s="8">
        <v>0.52969890832901001</v>
      </c>
      <c r="F511" s="8"/>
      <c r="G511" s="8"/>
      <c r="H511" s="8"/>
      <c r="I511" s="8"/>
      <c r="J511" s="8">
        <v>0.32090145349502563</v>
      </c>
      <c r="K511" s="8">
        <v>5.297822505235672E-2</v>
      </c>
      <c r="L511" s="8">
        <v>10593798</v>
      </c>
      <c r="M511" t="s">
        <v>1052</v>
      </c>
    </row>
    <row r="512" spans="2:13">
      <c r="B512" t="s">
        <v>34</v>
      </c>
      <c r="C512" s="8">
        <v>2006</v>
      </c>
      <c r="D512" s="8">
        <v>1</v>
      </c>
      <c r="E512" s="8">
        <v>0.50435048341751099</v>
      </c>
      <c r="F512" s="8"/>
      <c r="G512" s="8"/>
      <c r="H512" s="8"/>
      <c r="I512" s="8"/>
      <c r="J512" s="8">
        <v>0.50650185346603394</v>
      </c>
      <c r="K512" s="8">
        <v>4.9495026469230652E-2</v>
      </c>
      <c r="L512" s="8">
        <v>10593798</v>
      </c>
      <c r="M512" t="s">
        <v>1052</v>
      </c>
    </row>
    <row r="513" spans="2:13">
      <c r="B513" t="s">
        <v>34</v>
      </c>
      <c r="C513" s="8">
        <v>2006</v>
      </c>
      <c r="D513" s="8">
        <v>2</v>
      </c>
      <c r="E513" s="8">
        <v>0.52580100297927856</v>
      </c>
      <c r="F513" s="8"/>
      <c r="G513" s="8"/>
      <c r="H513" s="8"/>
      <c r="I513" s="8"/>
      <c r="J513" s="8">
        <v>0.4397432804107666</v>
      </c>
      <c r="K513" s="8">
        <v>5.1407042890787125E-2</v>
      </c>
      <c r="L513" s="8">
        <v>10593798</v>
      </c>
      <c r="M513" t="s">
        <v>1052</v>
      </c>
    </row>
    <row r="514" spans="2:13">
      <c r="B514" t="s">
        <v>34</v>
      </c>
      <c r="C514" s="8">
        <v>2006</v>
      </c>
      <c r="D514" s="8">
        <v>3</v>
      </c>
      <c r="E514" s="8">
        <v>0.52123486995697021</v>
      </c>
      <c r="F514" s="8"/>
      <c r="G514" s="8"/>
      <c r="H514" s="8"/>
      <c r="I514" s="8"/>
      <c r="J514" s="8">
        <v>0.32336747646331787</v>
      </c>
      <c r="K514" s="8">
        <v>5.2919510751962662E-2</v>
      </c>
      <c r="L514" s="8">
        <v>10593798</v>
      </c>
      <c r="M514" t="s">
        <v>1052</v>
      </c>
    </row>
    <row r="515" spans="2:13">
      <c r="B515" t="s">
        <v>34</v>
      </c>
      <c r="C515" s="8">
        <v>2007</v>
      </c>
      <c r="D515" s="8">
        <v>1</v>
      </c>
      <c r="E515" s="8">
        <v>0.50830686092376709</v>
      </c>
      <c r="F515" s="8"/>
      <c r="G515" s="8"/>
      <c r="H515" s="8"/>
      <c r="I515" s="8"/>
      <c r="J515" s="8">
        <v>0.50537025928497314</v>
      </c>
      <c r="K515" s="8">
        <v>5.1585681736469269E-2</v>
      </c>
      <c r="L515" s="8">
        <v>10593798</v>
      </c>
      <c r="M515" t="s">
        <v>1052</v>
      </c>
    </row>
    <row r="516" spans="2:13">
      <c r="B516" t="s">
        <v>34</v>
      </c>
      <c r="C516" s="8">
        <v>2007</v>
      </c>
      <c r="D516" s="8">
        <v>2</v>
      </c>
      <c r="E516" s="8">
        <v>0.5192415714263916</v>
      </c>
      <c r="F516" s="8"/>
      <c r="G516" s="8"/>
      <c r="H516" s="8"/>
      <c r="I516" s="8"/>
      <c r="J516" s="8">
        <v>0.43434825539588928</v>
      </c>
      <c r="K516" s="8">
        <v>5.5179979652166367E-2</v>
      </c>
      <c r="L516" s="8">
        <v>10593798</v>
      </c>
      <c r="M516" t="s">
        <v>1052</v>
      </c>
    </row>
    <row r="517" spans="2:13">
      <c r="B517" t="s">
        <v>34</v>
      </c>
      <c r="C517" s="8">
        <v>2007</v>
      </c>
      <c r="D517" s="8">
        <v>3</v>
      </c>
      <c r="E517" s="8">
        <v>0.52226006984710693</v>
      </c>
      <c r="F517" s="8"/>
      <c r="G517" s="8"/>
      <c r="H517" s="8"/>
      <c r="I517" s="8"/>
      <c r="J517" s="8">
        <v>0.32934603095054626</v>
      </c>
      <c r="K517" s="8">
        <v>5.4676130414009094E-2</v>
      </c>
      <c r="L517" s="8">
        <v>10593798</v>
      </c>
      <c r="M517" t="s">
        <v>1052</v>
      </c>
    </row>
    <row r="518" spans="2:13">
      <c r="B518" t="s">
        <v>34</v>
      </c>
      <c r="C518" s="8">
        <v>2008</v>
      </c>
      <c r="D518" s="8">
        <v>1</v>
      </c>
      <c r="E518" s="8">
        <v>0.50744962692260742</v>
      </c>
      <c r="F518" s="8"/>
      <c r="G518" s="8"/>
      <c r="H518" s="8"/>
      <c r="I518" s="8"/>
      <c r="J518" s="8">
        <v>0.49324250221252441</v>
      </c>
      <c r="K518" s="8">
        <v>4.4520415365695953E-2</v>
      </c>
      <c r="L518" s="8">
        <v>10593798</v>
      </c>
      <c r="M518" t="s">
        <v>1052</v>
      </c>
    </row>
    <row r="519" spans="2:13">
      <c r="B519" t="s">
        <v>34</v>
      </c>
      <c r="C519" s="8">
        <v>2008</v>
      </c>
      <c r="D519" s="8">
        <v>2</v>
      </c>
      <c r="E519" s="8">
        <v>0.51100724935531616</v>
      </c>
      <c r="F519" s="8"/>
      <c r="G519" s="8"/>
      <c r="H519" s="8"/>
      <c r="I519" s="8"/>
      <c r="J519" s="8">
        <v>0.42615535855293274</v>
      </c>
      <c r="K519" s="8">
        <v>5.9818845242261887E-2</v>
      </c>
      <c r="L519" s="8">
        <v>10593798</v>
      </c>
      <c r="M519" t="s">
        <v>1052</v>
      </c>
    </row>
    <row r="520" spans="2:13">
      <c r="B520" t="s">
        <v>34</v>
      </c>
      <c r="C520" s="8">
        <v>2008</v>
      </c>
      <c r="D520" s="8">
        <v>3</v>
      </c>
      <c r="E520" s="8">
        <v>0.52087891101837158</v>
      </c>
      <c r="F520" s="8"/>
      <c r="G520" s="8"/>
      <c r="H520" s="8"/>
      <c r="I520" s="8"/>
      <c r="J520" s="8">
        <v>0.30704346299171448</v>
      </c>
      <c r="K520" s="8">
        <v>6.0092367231845856E-2</v>
      </c>
      <c r="L520" s="8">
        <v>10593798</v>
      </c>
      <c r="M520" t="s">
        <v>1052</v>
      </c>
    </row>
    <row r="521" spans="2:13">
      <c r="B521" t="s">
        <v>34</v>
      </c>
      <c r="C521" s="8">
        <v>2009</v>
      </c>
      <c r="D521" s="8">
        <v>1</v>
      </c>
      <c r="E521" s="8">
        <v>0.50567668676376343</v>
      </c>
      <c r="F521" s="8"/>
      <c r="G521" s="8"/>
      <c r="H521" s="8"/>
      <c r="I521" s="8"/>
      <c r="J521" s="8">
        <v>0.48404383659362793</v>
      </c>
      <c r="K521" s="8">
        <v>5.1253426820039749E-2</v>
      </c>
      <c r="L521" s="8">
        <v>10593798</v>
      </c>
      <c r="M521" t="s">
        <v>1052</v>
      </c>
    </row>
    <row r="522" spans="2:13">
      <c r="B522" t="s">
        <v>34</v>
      </c>
      <c r="C522" s="8">
        <v>2009</v>
      </c>
      <c r="D522" s="8">
        <v>2</v>
      </c>
      <c r="E522" s="8">
        <v>0.50857222080230713</v>
      </c>
      <c r="F522" s="8"/>
      <c r="G522" s="8"/>
      <c r="H522" s="8"/>
      <c r="I522" s="8"/>
      <c r="J522" s="8">
        <v>0.41761577129364014</v>
      </c>
      <c r="K522" s="8">
        <v>5.6379236280918121E-2</v>
      </c>
      <c r="L522" s="8">
        <v>10593798</v>
      </c>
      <c r="M522" t="s">
        <v>1052</v>
      </c>
    </row>
    <row r="523" spans="2:13">
      <c r="B523" t="s">
        <v>34</v>
      </c>
      <c r="C523" s="8">
        <v>2009</v>
      </c>
      <c r="D523" s="8">
        <v>3</v>
      </c>
      <c r="E523" s="8">
        <v>0.52390044927597046</v>
      </c>
      <c r="F523" s="8"/>
      <c r="G523" s="8"/>
      <c r="H523" s="8"/>
      <c r="I523" s="8"/>
      <c r="J523" s="8">
        <v>0.30385389924049377</v>
      </c>
      <c r="K523" s="8">
        <v>6.1445638537406921E-2</v>
      </c>
      <c r="L523" s="8">
        <v>10593798</v>
      </c>
      <c r="M523" t="s">
        <v>1052</v>
      </c>
    </row>
    <row r="524" spans="2:13">
      <c r="B524" t="s">
        <v>34</v>
      </c>
      <c r="C524" s="8">
        <v>2010</v>
      </c>
      <c r="D524" s="8">
        <v>1</v>
      </c>
      <c r="E524" s="8">
        <v>0.49738499522209167</v>
      </c>
      <c r="F524" s="8"/>
      <c r="G524" s="8"/>
      <c r="H524" s="8"/>
      <c r="I524" s="8"/>
      <c r="J524" s="8">
        <v>0.46079331636428833</v>
      </c>
      <c r="K524" s="8">
        <v>5.4784920066595078E-2</v>
      </c>
      <c r="L524" s="8">
        <v>10593798</v>
      </c>
      <c r="M524" t="s">
        <v>1052</v>
      </c>
    </row>
    <row r="525" spans="2:13">
      <c r="B525" t="s">
        <v>34</v>
      </c>
      <c r="C525" s="8">
        <v>2010</v>
      </c>
      <c r="D525" s="8">
        <v>2</v>
      </c>
      <c r="E525" s="8">
        <v>0.51140272617340088</v>
      </c>
      <c r="F525" s="8"/>
      <c r="G525" s="8"/>
      <c r="H525" s="8"/>
      <c r="I525" s="8"/>
      <c r="J525" s="8">
        <v>0.41206899285316467</v>
      </c>
      <c r="K525" s="8">
        <v>6.2763363122940063E-2</v>
      </c>
      <c r="L525" s="8">
        <v>10593798</v>
      </c>
      <c r="M525" t="s">
        <v>1052</v>
      </c>
    </row>
    <row r="526" spans="2:13">
      <c r="B526" t="s">
        <v>34</v>
      </c>
      <c r="C526" s="8">
        <v>2010</v>
      </c>
      <c r="D526" s="8">
        <v>3</v>
      </c>
      <c r="E526" s="8">
        <v>0.51710838079452515</v>
      </c>
      <c r="F526" s="8"/>
      <c r="G526" s="8"/>
      <c r="H526" s="8"/>
      <c r="I526" s="8"/>
      <c r="J526" s="8">
        <v>0.28753402829170227</v>
      </c>
      <c r="K526" s="8">
        <v>6.4795531332492828E-2</v>
      </c>
      <c r="L526" s="8">
        <v>10593798</v>
      </c>
      <c r="M526" t="s">
        <v>1052</v>
      </c>
    </row>
    <row r="527" spans="2:13">
      <c r="B527" t="s">
        <v>34</v>
      </c>
      <c r="C527" s="8">
        <v>2011</v>
      </c>
      <c r="D527" s="8">
        <v>1</v>
      </c>
      <c r="E527" s="8">
        <v>0.50817775726318359</v>
      </c>
      <c r="F527" s="8"/>
      <c r="G527" s="8"/>
      <c r="H527" s="8"/>
      <c r="I527" s="8"/>
      <c r="J527" s="8">
        <v>0.44951915740966797</v>
      </c>
      <c r="K527" s="8">
        <v>5.8414824306964874E-2</v>
      </c>
      <c r="L527" s="8">
        <v>10593798</v>
      </c>
      <c r="M527" t="s">
        <v>1052</v>
      </c>
    </row>
    <row r="528" spans="2:13">
      <c r="B528" t="s">
        <v>34</v>
      </c>
      <c r="C528" s="8">
        <v>2011</v>
      </c>
      <c r="D528" s="8">
        <v>2</v>
      </c>
      <c r="E528" s="8">
        <v>0.51879507303237915</v>
      </c>
      <c r="F528" s="8"/>
      <c r="G528" s="8"/>
      <c r="H528" s="8"/>
      <c r="I528" s="8"/>
      <c r="J528" s="8">
        <v>0.38468191027641296</v>
      </c>
      <c r="K528" s="8">
        <v>5.2270520478487015E-2</v>
      </c>
      <c r="L528" s="8">
        <v>10593798</v>
      </c>
      <c r="M528" t="s">
        <v>1052</v>
      </c>
    </row>
    <row r="529" spans="2:13">
      <c r="B529" t="s">
        <v>34</v>
      </c>
      <c r="C529" s="8">
        <v>2011</v>
      </c>
      <c r="D529" s="8">
        <v>3</v>
      </c>
      <c r="E529" s="8">
        <v>0.51270908117294312</v>
      </c>
      <c r="F529" s="8"/>
      <c r="G529" s="8"/>
      <c r="H529" s="8"/>
      <c r="I529" s="8"/>
      <c r="J529" s="8">
        <v>0.281546950340271</v>
      </c>
      <c r="K529" s="8">
        <v>6.5474987030029297E-2</v>
      </c>
      <c r="L529" s="8">
        <v>10593798</v>
      </c>
      <c r="M529" t="s">
        <v>1052</v>
      </c>
    </row>
    <row r="530" spans="2:13">
      <c r="B530" t="s">
        <v>34</v>
      </c>
      <c r="C530" s="8">
        <v>2012</v>
      </c>
      <c r="D530" s="8">
        <v>1</v>
      </c>
      <c r="E530" s="8">
        <v>0.50806337594985962</v>
      </c>
      <c r="F530" s="8"/>
      <c r="G530" s="8"/>
      <c r="H530" s="8"/>
      <c r="I530" s="8"/>
      <c r="J530" s="8">
        <v>0.43877425789833069</v>
      </c>
      <c r="K530" s="8">
        <v>6.6684752702713013E-2</v>
      </c>
      <c r="L530" s="8">
        <v>10593798</v>
      </c>
      <c r="M530" t="s">
        <v>1052</v>
      </c>
    </row>
    <row r="531" spans="2:13">
      <c r="B531" t="s">
        <v>34</v>
      </c>
      <c r="C531" s="8">
        <v>2012</v>
      </c>
      <c r="D531" s="8">
        <v>2</v>
      </c>
      <c r="E531" s="8">
        <v>0.50979799032211304</v>
      </c>
      <c r="F531" s="8"/>
      <c r="G531" s="8"/>
      <c r="H531" s="8"/>
      <c r="I531" s="8"/>
      <c r="J531" s="8">
        <v>0.36781215667724609</v>
      </c>
      <c r="K531" s="8">
        <v>6.1470773071050644E-2</v>
      </c>
      <c r="L531" s="8">
        <v>10593798</v>
      </c>
      <c r="M531" t="s">
        <v>1052</v>
      </c>
    </row>
    <row r="532" spans="2:13">
      <c r="B532" t="s">
        <v>34</v>
      </c>
      <c r="C532" s="8">
        <v>2012</v>
      </c>
      <c r="D532" s="8">
        <v>3</v>
      </c>
      <c r="E532" s="8">
        <v>0.51951062679290771</v>
      </c>
      <c r="F532" s="8"/>
      <c r="G532" s="8"/>
      <c r="H532" s="8"/>
      <c r="I532" s="8"/>
      <c r="J532" s="8">
        <v>0.25587162375450134</v>
      </c>
      <c r="K532" s="8">
        <v>7.4689321219921112E-2</v>
      </c>
      <c r="L532" s="8">
        <v>10593798</v>
      </c>
      <c r="M532" t="s">
        <v>1052</v>
      </c>
    </row>
    <row r="533" spans="2:13">
      <c r="B533" t="s">
        <v>34</v>
      </c>
      <c r="C533" s="8">
        <v>2013</v>
      </c>
      <c r="D533" s="8">
        <v>1</v>
      </c>
      <c r="E533" s="8">
        <v>0.51170426607131958</v>
      </c>
      <c r="F533" s="8"/>
      <c r="G533" s="8"/>
      <c r="H533" s="8"/>
      <c r="I533" s="8"/>
      <c r="J533" s="8">
        <v>0.45598012208938599</v>
      </c>
      <c r="K533" s="8">
        <v>6.0981381684541702E-2</v>
      </c>
      <c r="L533" s="8">
        <v>10593798</v>
      </c>
      <c r="M533" t="s">
        <v>1052</v>
      </c>
    </row>
    <row r="534" spans="2:13">
      <c r="B534" t="s">
        <v>34</v>
      </c>
      <c r="C534" s="8">
        <v>2013</v>
      </c>
      <c r="D534" s="8">
        <v>2</v>
      </c>
      <c r="E534" s="8">
        <v>0.52539569139480591</v>
      </c>
      <c r="F534" s="8"/>
      <c r="G534" s="8"/>
      <c r="H534" s="8"/>
      <c r="I534" s="8"/>
      <c r="J534" s="8">
        <v>0.38436633348464966</v>
      </c>
      <c r="K534" s="8">
        <v>6.6140040755271912E-2</v>
      </c>
      <c r="L534" s="8">
        <v>10593798</v>
      </c>
      <c r="M534" t="s">
        <v>1052</v>
      </c>
    </row>
    <row r="535" spans="2:13">
      <c r="B535" t="s">
        <v>34</v>
      </c>
      <c r="C535" s="8">
        <v>2013</v>
      </c>
      <c r="D535" s="8">
        <v>3</v>
      </c>
      <c r="E535" s="8">
        <v>0.52409708499908447</v>
      </c>
      <c r="F535" s="8"/>
      <c r="G535" s="8"/>
      <c r="H535" s="8"/>
      <c r="I535" s="8"/>
      <c r="J535" s="8">
        <v>0.26007995009422302</v>
      </c>
      <c r="K535" s="8">
        <v>7.293102890253067E-2</v>
      </c>
      <c r="L535" s="8">
        <v>10593798</v>
      </c>
      <c r="M535" t="s">
        <v>1052</v>
      </c>
    </row>
    <row r="536" spans="2:13">
      <c r="B536" t="s">
        <v>34</v>
      </c>
      <c r="C536" s="8">
        <v>2014</v>
      </c>
      <c r="D536" s="8">
        <v>1</v>
      </c>
      <c r="E536" s="8">
        <v>0.52171540260314941</v>
      </c>
      <c r="F536" s="8">
        <v>6.7595732398331165E-3</v>
      </c>
      <c r="G536" s="8"/>
      <c r="H536" s="8"/>
      <c r="I536" s="8"/>
      <c r="J536" s="8">
        <v>0.4319579005241394</v>
      </c>
      <c r="K536" s="8">
        <v>5.7238515466451645E-2</v>
      </c>
      <c r="L536" s="8">
        <v>10593798</v>
      </c>
      <c r="M536" t="s">
        <v>1052</v>
      </c>
    </row>
    <row r="537" spans="2:13">
      <c r="B537" t="s">
        <v>34</v>
      </c>
      <c r="C537" s="8">
        <v>2014</v>
      </c>
      <c r="D537" s="8">
        <v>2</v>
      </c>
      <c r="E537" s="8">
        <v>0.51778626441955566</v>
      </c>
      <c r="F537" s="8">
        <v>5.0232810899615288E-3</v>
      </c>
      <c r="G537" s="8"/>
      <c r="H537" s="8"/>
      <c r="I537" s="8"/>
      <c r="J537" s="8">
        <v>0.38740363717079163</v>
      </c>
      <c r="K537" s="8">
        <v>5.6755274534225464E-2</v>
      </c>
      <c r="L537" s="8">
        <v>10593798</v>
      </c>
      <c r="M537" t="s">
        <v>1052</v>
      </c>
    </row>
    <row r="538" spans="2:13">
      <c r="B538" t="s">
        <v>34</v>
      </c>
      <c r="C538" s="8">
        <v>2014</v>
      </c>
      <c r="D538" s="8">
        <v>3</v>
      </c>
      <c r="E538" s="8">
        <v>0.52472519874572754</v>
      </c>
      <c r="F538" s="8">
        <v>9.5394067466259003E-3</v>
      </c>
      <c r="G538" s="8"/>
      <c r="H538" s="8"/>
      <c r="I538" s="8"/>
      <c r="J538" s="8">
        <v>0.271068274974823</v>
      </c>
      <c r="K538" s="8">
        <v>6.5081872045993805E-2</v>
      </c>
      <c r="L538" s="8">
        <v>10593798</v>
      </c>
      <c r="M538" t="s">
        <v>1052</v>
      </c>
    </row>
    <row r="539" spans="2:13">
      <c r="B539" t="s">
        <v>34</v>
      </c>
      <c r="C539" s="8">
        <v>2015</v>
      </c>
      <c r="D539" s="8">
        <v>1</v>
      </c>
      <c r="E539" s="8">
        <v>0.51298367977142334</v>
      </c>
      <c r="F539" s="8">
        <v>5.284307524561882E-3</v>
      </c>
      <c r="G539" s="8"/>
      <c r="H539" s="8"/>
      <c r="I539" s="8"/>
      <c r="J539" s="8">
        <v>0.43446406722068787</v>
      </c>
      <c r="K539" s="8">
        <v>5.8428611606359482E-2</v>
      </c>
      <c r="L539" s="8">
        <v>10593798</v>
      </c>
      <c r="M539" t="s">
        <v>1052</v>
      </c>
    </row>
    <row r="540" spans="2:13">
      <c r="B540" t="s">
        <v>34</v>
      </c>
      <c r="C540" s="8">
        <v>2015</v>
      </c>
      <c r="D540" s="8">
        <v>2</v>
      </c>
      <c r="E540" s="8">
        <v>0.52162325382232666</v>
      </c>
      <c r="F540" s="8">
        <v>4.153925459831953E-3</v>
      </c>
      <c r="G540" s="8"/>
      <c r="H540" s="8"/>
      <c r="I540" s="8"/>
      <c r="J540" s="8">
        <v>0.37631216645240784</v>
      </c>
      <c r="K540" s="8">
        <v>5.7745940983295441E-2</v>
      </c>
      <c r="L540" s="8">
        <v>10593798</v>
      </c>
      <c r="M540" t="s">
        <v>1052</v>
      </c>
    </row>
    <row r="541" spans="2:13">
      <c r="B541" t="s">
        <v>34</v>
      </c>
      <c r="C541" s="8">
        <v>2015</v>
      </c>
      <c r="D541" s="8">
        <v>3</v>
      </c>
      <c r="E541" s="8">
        <v>0.52792972326278687</v>
      </c>
      <c r="F541" s="8">
        <v>8.0650327727198601E-3</v>
      </c>
      <c r="G541" s="8"/>
      <c r="H541" s="8"/>
      <c r="I541" s="8"/>
      <c r="J541" s="8">
        <v>0.26905754208564758</v>
      </c>
      <c r="K541" s="8">
        <v>6.415344774723053E-2</v>
      </c>
      <c r="L541" s="8">
        <v>10593798</v>
      </c>
      <c r="M541" t="s">
        <v>1052</v>
      </c>
    </row>
    <row r="542" spans="2:13">
      <c r="B542" t="s">
        <v>34</v>
      </c>
      <c r="C542" s="8">
        <v>2016</v>
      </c>
      <c r="D542" s="8">
        <v>1</v>
      </c>
      <c r="E542" s="8">
        <v>0.51676309108734131</v>
      </c>
      <c r="F542" s="8">
        <v>6.563256960362196E-3</v>
      </c>
      <c r="G542" s="8"/>
      <c r="H542" s="8"/>
      <c r="I542" s="8"/>
      <c r="J542" s="8">
        <v>0.42668443918228149</v>
      </c>
      <c r="K542" s="8">
        <v>5.9860602021217346E-2</v>
      </c>
      <c r="L542" s="8">
        <v>10593798</v>
      </c>
      <c r="M542" t="s">
        <v>1052</v>
      </c>
    </row>
    <row r="543" spans="2:13">
      <c r="B543" t="s">
        <v>34</v>
      </c>
      <c r="C543" s="8">
        <v>2016</v>
      </c>
      <c r="D543" s="8">
        <v>2</v>
      </c>
      <c r="E543" s="8">
        <v>0.5303957462310791</v>
      </c>
      <c r="F543" s="8">
        <v>6.20987918227911E-3</v>
      </c>
      <c r="G543" s="8"/>
      <c r="H543" s="8"/>
      <c r="I543" s="8"/>
      <c r="J543" s="8">
        <v>0.36970412731170654</v>
      </c>
      <c r="K543" s="8">
        <v>5.9845790266990662E-2</v>
      </c>
      <c r="L543" s="8">
        <v>10593798</v>
      </c>
      <c r="M543" t="s">
        <v>1052</v>
      </c>
    </row>
    <row r="544" spans="2:13">
      <c r="B544" t="s">
        <v>34</v>
      </c>
      <c r="C544" s="8">
        <v>2016</v>
      </c>
      <c r="D544" s="8">
        <v>3</v>
      </c>
      <c r="E544" s="8">
        <v>0.53043568134307861</v>
      </c>
      <c r="F544" s="8">
        <v>7.8866593539714813E-3</v>
      </c>
      <c r="G544" s="8"/>
      <c r="H544" s="8"/>
      <c r="I544" s="8"/>
      <c r="J544" s="8">
        <v>0.25636747479438782</v>
      </c>
      <c r="K544" s="8">
        <v>7.3338672518730164E-2</v>
      </c>
      <c r="L544" s="8">
        <v>10593798</v>
      </c>
      <c r="M544" t="s">
        <v>1052</v>
      </c>
    </row>
    <row r="545" spans="2:13">
      <c r="B545" t="s">
        <v>34</v>
      </c>
      <c r="C545" s="8">
        <v>2017</v>
      </c>
      <c r="D545" s="8">
        <v>1</v>
      </c>
      <c r="E545" s="8">
        <v>0.51957643032073975</v>
      </c>
      <c r="F545" s="8">
        <v>6.6672884859144688E-3</v>
      </c>
      <c r="G545" s="8"/>
      <c r="H545" s="8"/>
      <c r="I545" s="8"/>
      <c r="J545" s="8">
        <v>0.4136410653591156</v>
      </c>
      <c r="K545" s="8">
        <v>6.172432005405426E-2</v>
      </c>
      <c r="L545" s="8">
        <v>10593798</v>
      </c>
      <c r="M545" t="s">
        <v>1052</v>
      </c>
    </row>
    <row r="546" spans="2:13">
      <c r="B546" t="s">
        <v>34</v>
      </c>
      <c r="C546" s="8">
        <v>2017</v>
      </c>
      <c r="D546" s="8">
        <v>2</v>
      </c>
      <c r="E546" s="8">
        <v>0.51745784282684326</v>
      </c>
      <c r="F546" s="8">
        <v>7.4979616329073906E-3</v>
      </c>
      <c r="G546" s="8"/>
      <c r="H546" s="8"/>
      <c r="I546" s="8"/>
      <c r="J546" s="8">
        <v>0.36982694268226624</v>
      </c>
      <c r="K546" s="8">
        <v>5.9314541518688202E-2</v>
      </c>
      <c r="L546" s="8">
        <v>10593798</v>
      </c>
      <c r="M546" t="s">
        <v>1052</v>
      </c>
    </row>
    <row r="547" spans="2:13">
      <c r="B547" t="s">
        <v>34</v>
      </c>
      <c r="C547" s="8">
        <v>2017</v>
      </c>
      <c r="D547" s="8">
        <v>3</v>
      </c>
      <c r="E547" s="8">
        <v>0.52887821197509766</v>
      </c>
      <c r="F547" s="8">
        <v>9.9185258150100708E-3</v>
      </c>
      <c r="G547" s="8"/>
      <c r="H547" s="8"/>
      <c r="I547" s="8"/>
      <c r="J547" s="8">
        <v>0.25561252236366272</v>
      </c>
      <c r="K547" s="8">
        <v>7.6870381832122803E-2</v>
      </c>
      <c r="L547" s="8">
        <v>10593798</v>
      </c>
      <c r="M547" t="s">
        <v>1052</v>
      </c>
    </row>
    <row r="548" spans="2:13">
      <c r="B548" t="s">
        <v>34</v>
      </c>
      <c r="C548" s="8">
        <v>2018</v>
      </c>
      <c r="D548" s="8">
        <v>1</v>
      </c>
      <c r="E548" s="8">
        <v>0.50664323568344116</v>
      </c>
      <c r="F548" s="8">
        <v>6.0990112833678722E-3</v>
      </c>
      <c r="G548" s="8"/>
      <c r="H548" s="8"/>
      <c r="I548" s="8"/>
      <c r="J548" s="8">
        <v>0.41241240501403809</v>
      </c>
      <c r="K548" s="8">
        <v>6.5637685358524323E-2</v>
      </c>
      <c r="L548" s="8">
        <v>10593798</v>
      </c>
      <c r="M548" t="s">
        <v>1052</v>
      </c>
    </row>
    <row r="549" spans="2:13">
      <c r="B549" t="s">
        <v>34</v>
      </c>
      <c r="C549" s="8">
        <v>2018</v>
      </c>
      <c r="D549" s="8">
        <v>2</v>
      </c>
      <c r="E549" s="8">
        <v>0.50792586803436279</v>
      </c>
      <c r="F549" s="8">
        <v>7.6312357559800148E-3</v>
      </c>
      <c r="G549" s="8"/>
      <c r="H549" s="8"/>
      <c r="I549" s="8"/>
      <c r="J549" s="8">
        <v>0.34729310870170593</v>
      </c>
      <c r="K549" s="8">
        <v>6.7090213298797607E-2</v>
      </c>
      <c r="L549" s="8">
        <v>10593798</v>
      </c>
      <c r="M549" t="s">
        <v>1052</v>
      </c>
    </row>
    <row r="550" spans="2:13">
      <c r="B550" t="s">
        <v>34</v>
      </c>
      <c r="C550" s="8">
        <v>2018</v>
      </c>
      <c r="D550" s="8">
        <v>3</v>
      </c>
      <c r="E550" s="8">
        <v>0.52641451358795166</v>
      </c>
      <c r="F550" s="8">
        <v>7.3580732569098473E-3</v>
      </c>
      <c r="G550" s="8"/>
      <c r="H550" s="8"/>
      <c r="I550" s="8"/>
      <c r="J550" s="8">
        <v>0.24707713723182678</v>
      </c>
      <c r="K550" s="8">
        <v>8.3836287260055542E-2</v>
      </c>
      <c r="L550" s="8">
        <v>10593798</v>
      </c>
      <c r="M550" t="s">
        <v>1052</v>
      </c>
    </row>
    <row r="551" spans="2:13">
      <c r="B551" t="s">
        <v>34</v>
      </c>
      <c r="C551" s="8">
        <v>2019</v>
      </c>
      <c r="D551" s="8">
        <v>1</v>
      </c>
      <c r="E551" s="8">
        <v>0.5179142951965332</v>
      </c>
      <c r="F551" s="8"/>
      <c r="G551" s="8"/>
      <c r="H551" s="8"/>
      <c r="I551" s="8"/>
      <c r="J551" s="8">
        <v>0.35336369276046753</v>
      </c>
      <c r="K551" s="8">
        <v>7.9585246741771698E-2</v>
      </c>
      <c r="L551" s="8">
        <v>10593798</v>
      </c>
      <c r="M551" t="s">
        <v>1052</v>
      </c>
    </row>
    <row r="552" spans="2:13">
      <c r="B552" t="s">
        <v>34</v>
      </c>
      <c r="C552" s="8">
        <v>2019</v>
      </c>
      <c r="D552" s="8">
        <v>2</v>
      </c>
      <c r="E552" s="8">
        <v>0.51881879568099976</v>
      </c>
      <c r="F552" s="8"/>
      <c r="G552" s="8"/>
      <c r="H552" s="8"/>
      <c r="I552" s="8"/>
      <c r="J552" s="8">
        <v>0.31690624356269836</v>
      </c>
      <c r="K552" s="8">
        <v>7.157539576292038E-2</v>
      </c>
      <c r="L552" s="8">
        <v>10593798</v>
      </c>
      <c r="M552" t="s">
        <v>1052</v>
      </c>
    </row>
    <row r="553" spans="2:13">
      <c r="B553" t="s">
        <v>34</v>
      </c>
      <c r="C553" s="8">
        <v>2019</v>
      </c>
      <c r="D553" s="8">
        <v>3</v>
      </c>
      <c r="E553" s="8">
        <v>0.51984614133834839</v>
      </c>
      <c r="F553" s="8"/>
      <c r="G553" s="8"/>
      <c r="H553" s="8"/>
      <c r="I553" s="8"/>
      <c r="J553" s="8">
        <v>0.21761737763881683</v>
      </c>
      <c r="K553" s="8">
        <v>8.0704882740974426E-2</v>
      </c>
      <c r="L553" s="8">
        <v>10593798</v>
      </c>
      <c r="M553" t="s">
        <v>1052</v>
      </c>
    </row>
    <row r="554" spans="2:13">
      <c r="B554" t="s">
        <v>34</v>
      </c>
      <c r="C554" s="8">
        <v>2022</v>
      </c>
      <c r="D554" s="8">
        <v>1</v>
      </c>
      <c r="E554" s="8">
        <v>0.5273895263671875</v>
      </c>
      <c r="F554" s="8"/>
      <c r="G554" s="8"/>
      <c r="H554" s="8"/>
      <c r="I554" s="8"/>
      <c r="J554" s="8">
        <v>0.38615569472312927</v>
      </c>
      <c r="K554" s="8">
        <v>7.129969447851181E-2</v>
      </c>
      <c r="L554" s="8">
        <v>10593798</v>
      </c>
      <c r="M554" t="s">
        <v>1052</v>
      </c>
    </row>
    <row r="555" spans="2:13">
      <c r="B555" t="s">
        <v>34</v>
      </c>
      <c r="C555" s="8">
        <v>2022</v>
      </c>
      <c r="D555" s="8">
        <v>2</v>
      </c>
      <c r="E555" s="8">
        <v>0.52988690137863159</v>
      </c>
      <c r="F555" s="8"/>
      <c r="G555" s="8"/>
      <c r="H555" s="8"/>
      <c r="I555" s="8"/>
      <c r="J555" s="8">
        <v>0.33482947945594788</v>
      </c>
      <c r="K555" s="8">
        <v>5.8579795062541962E-2</v>
      </c>
      <c r="L555" s="8">
        <v>10593798</v>
      </c>
      <c r="M555" t="s">
        <v>1052</v>
      </c>
    </row>
    <row r="556" spans="2:13">
      <c r="B556" t="s">
        <v>34</v>
      </c>
      <c r="C556" s="8">
        <v>2022</v>
      </c>
      <c r="D556" s="8">
        <v>3</v>
      </c>
      <c r="E556" s="8">
        <v>0.51944643259048462</v>
      </c>
      <c r="F556" s="8"/>
      <c r="G556" s="8"/>
      <c r="H556" s="8"/>
      <c r="I556" s="8"/>
      <c r="J556" s="8">
        <v>0.22597000002861023</v>
      </c>
      <c r="K556" s="8">
        <v>6.6144689917564392E-2</v>
      </c>
      <c r="L556" s="8">
        <v>10593798</v>
      </c>
      <c r="M556" t="s">
        <v>1052</v>
      </c>
    </row>
    <row r="557" spans="2:13">
      <c r="B557" t="s">
        <v>34</v>
      </c>
      <c r="C557" s="8">
        <v>2023</v>
      </c>
      <c r="D557" s="8">
        <v>1</v>
      </c>
      <c r="E557" s="8">
        <v>0.54266345500946045</v>
      </c>
      <c r="F557" s="8"/>
      <c r="G557" s="8">
        <v>0.13580778241157532</v>
      </c>
      <c r="H557" s="8">
        <v>1.8791974289342761E-3</v>
      </c>
      <c r="I557" s="8"/>
      <c r="J557" s="8">
        <v>0.37555921077728271</v>
      </c>
      <c r="K557" s="8">
        <v>9.3627505004405975E-2</v>
      </c>
      <c r="L557" s="8">
        <v>10593798</v>
      </c>
      <c r="M557" t="s">
        <v>1052</v>
      </c>
    </row>
    <row r="558" spans="2:13">
      <c r="B558" t="s">
        <v>34</v>
      </c>
      <c r="C558" s="8">
        <v>2023</v>
      </c>
      <c r="D558" s="8">
        <v>2</v>
      </c>
      <c r="E558" s="8">
        <v>0.5143476128578186</v>
      </c>
      <c r="F558" s="8"/>
      <c r="G558" s="8">
        <v>7.4291698634624481E-2</v>
      </c>
      <c r="H558" s="8">
        <v>8.4580760449171066E-3</v>
      </c>
      <c r="I558" s="8"/>
      <c r="J558" s="8">
        <v>0.33957305550575256</v>
      </c>
      <c r="K558" s="8">
        <v>8.7887033820152283E-2</v>
      </c>
      <c r="L558" s="8">
        <v>10593798</v>
      </c>
      <c r="M558" t="s">
        <v>1052</v>
      </c>
    </row>
    <row r="559" spans="2:13">
      <c r="B559" t="s">
        <v>34</v>
      </c>
      <c r="C559" s="8">
        <v>2023</v>
      </c>
      <c r="D559" s="8">
        <v>3</v>
      </c>
      <c r="E559" s="8">
        <v>0.51866292953491211</v>
      </c>
      <c r="F559" s="8"/>
      <c r="G559" s="8">
        <v>6.8470112979412079E-2</v>
      </c>
      <c r="H559" s="8">
        <v>4.1250567883253098E-3</v>
      </c>
      <c r="I559" s="8"/>
      <c r="J559" s="8">
        <v>0.22867032885551453</v>
      </c>
      <c r="K559" s="8">
        <v>0.10042203962802887</v>
      </c>
      <c r="L559" s="8">
        <v>10593798</v>
      </c>
      <c r="M559" t="s">
        <v>1052</v>
      </c>
    </row>
    <row r="560" spans="2:13">
      <c r="B560" t="s">
        <v>38</v>
      </c>
      <c r="C560" s="8">
        <v>2004</v>
      </c>
      <c r="D560" s="8">
        <v>1</v>
      </c>
      <c r="E560" s="8">
        <v>0.5203661322593689</v>
      </c>
      <c r="F560" s="8"/>
      <c r="G560" s="8"/>
      <c r="H560" s="8"/>
      <c r="I560" s="8"/>
      <c r="J560" s="8">
        <v>0.44818010926246643</v>
      </c>
      <c r="K560" s="8">
        <v>6.0123790055513382E-2</v>
      </c>
      <c r="L560" s="8">
        <v>128455567</v>
      </c>
      <c r="M560" t="s">
        <v>1052</v>
      </c>
    </row>
    <row r="561" spans="2:13">
      <c r="B561" t="s">
        <v>38</v>
      </c>
      <c r="C561" s="8">
        <v>2004</v>
      </c>
      <c r="D561" s="8">
        <v>2</v>
      </c>
      <c r="E561" s="8">
        <v>0.52384316921234131</v>
      </c>
      <c r="F561" s="8"/>
      <c r="G561" s="8"/>
      <c r="H561" s="8"/>
      <c r="I561" s="8"/>
      <c r="J561" s="8">
        <v>0.36764001846313477</v>
      </c>
      <c r="K561" s="8">
        <v>6.2379457056522369E-2</v>
      </c>
      <c r="L561" s="8">
        <v>128455567</v>
      </c>
      <c r="M561" t="s">
        <v>1052</v>
      </c>
    </row>
    <row r="562" spans="2:13">
      <c r="B562" t="s">
        <v>38</v>
      </c>
      <c r="C562" s="8">
        <v>2004</v>
      </c>
      <c r="D562" s="8">
        <v>3</v>
      </c>
      <c r="E562" s="8">
        <v>0.51654040813446045</v>
      </c>
      <c r="F562" s="8"/>
      <c r="G562" s="8"/>
      <c r="H562" s="8"/>
      <c r="I562" s="8"/>
      <c r="J562" s="8">
        <v>0.26727470755577087</v>
      </c>
      <c r="K562" s="8">
        <v>5.9946533292531967E-2</v>
      </c>
      <c r="L562" s="8">
        <v>128455567</v>
      </c>
      <c r="M562" t="s">
        <v>1052</v>
      </c>
    </row>
    <row r="563" spans="2:13">
      <c r="B563" t="s">
        <v>38</v>
      </c>
      <c r="C563" s="8">
        <v>2005</v>
      </c>
      <c r="D563" s="8">
        <v>1</v>
      </c>
      <c r="E563" s="8">
        <v>0.51748865842819214</v>
      </c>
      <c r="F563" s="8"/>
      <c r="G563" s="8"/>
      <c r="H563" s="8"/>
      <c r="I563" s="8"/>
      <c r="J563" s="8">
        <v>0.44544145464897156</v>
      </c>
      <c r="K563" s="8">
        <v>6.6480271518230438E-2</v>
      </c>
      <c r="L563" s="8">
        <v>128455567</v>
      </c>
      <c r="M563" t="s">
        <v>1052</v>
      </c>
    </row>
    <row r="564" spans="2:13">
      <c r="B564" t="s">
        <v>38</v>
      </c>
      <c r="C564" s="8">
        <v>2005</v>
      </c>
      <c r="D564" s="8">
        <v>2</v>
      </c>
      <c r="E564" s="8">
        <v>0.51750171184539795</v>
      </c>
      <c r="F564" s="8"/>
      <c r="G564" s="8"/>
      <c r="H564" s="8"/>
      <c r="I564" s="8"/>
      <c r="J564" s="8">
        <v>0.37568897008895874</v>
      </c>
      <c r="K564" s="8">
        <v>5.7286355644464493E-2</v>
      </c>
      <c r="L564" s="8">
        <v>128455567</v>
      </c>
      <c r="M564" t="s">
        <v>1052</v>
      </c>
    </row>
    <row r="565" spans="2:13">
      <c r="B565" t="s">
        <v>38</v>
      </c>
      <c r="C565" s="8">
        <v>2005</v>
      </c>
      <c r="D565" s="8">
        <v>3</v>
      </c>
      <c r="E565" s="8">
        <v>0.51446205377578735</v>
      </c>
      <c r="F565" s="8"/>
      <c r="G565" s="8"/>
      <c r="H565" s="8"/>
      <c r="I565" s="8"/>
      <c r="J565" s="8">
        <v>0.25468623638153076</v>
      </c>
      <c r="K565" s="8">
        <v>6.4102336764335632E-2</v>
      </c>
      <c r="L565" s="8">
        <v>128455567</v>
      </c>
      <c r="M565" t="s">
        <v>1052</v>
      </c>
    </row>
    <row r="566" spans="2:13">
      <c r="B566" t="s">
        <v>38</v>
      </c>
      <c r="C566" s="8">
        <v>2006</v>
      </c>
      <c r="D566" s="8">
        <v>1</v>
      </c>
      <c r="E566" s="8">
        <v>0.52670842409133911</v>
      </c>
      <c r="F566" s="8"/>
      <c r="G566" s="8"/>
      <c r="H566" s="8"/>
      <c r="I566" s="8"/>
      <c r="J566" s="8">
        <v>0.45473095774650574</v>
      </c>
      <c r="K566" s="8">
        <v>7.6216809451580048E-2</v>
      </c>
      <c r="L566" s="8">
        <v>128455567</v>
      </c>
      <c r="M566" t="s">
        <v>1052</v>
      </c>
    </row>
    <row r="567" spans="2:13">
      <c r="B567" t="s">
        <v>38</v>
      </c>
      <c r="C567" s="8">
        <v>2006</v>
      </c>
      <c r="D567" s="8">
        <v>2</v>
      </c>
      <c r="E567" s="8">
        <v>0.51791369915008545</v>
      </c>
      <c r="F567" s="8"/>
      <c r="G567" s="8"/>
      <c r="H567" s="8"/>
      <c r="I567" s="8"/>
      <c r="J567" s="8">
        <v>0.38717719912528992</v>
      </c>
      <c r="K567" s="8">
        <v>6.0104586184024811E-2</v>
      </c>
      <c r="L567" s="8">
        <v>128455567</v>
      </c>
      <c r="M567" t="s">
        <v>1052</v>
      </c>
    </row>
    <row r="568" spans="2:13">
      <c r="B568" t="s">
        <v>38</v>
      </c>
      <c r="C568" s="8">
        <v>2006</v>
      </c>
      <c r="D568" s="8">
        <v>3</v>
      </c>
      <c r="E568" s="8">
        <v>0.51431399583816528</v>
      </c>
      <c r="F568" s="8"/>
      <c r="G568" s="8"/>
      <c r="H568" s="8"/>
      <c r="I568" s="8"/>
      <c r="J568" s="8">
        <v>0.26180592179298401</v>
      </c>
      <c r="K568" s="8">
        <v>6.4361393451690674E-2</v>
      </c>
      <c r="L568" s="8">
        <v>128455567</v>
      </c>
      <c r="M568" t="s">
        <v>1052</v>
      </c>
    </row>
    <row r="569" spans="2:13">
      <c r="B569" t="s">
        <v>38</v>
      </c>
      <c r="C569" s="8">
        <v>2008</v>
      </c>
      <c r="D569" s="8">
        <v>1</v>
      </c>
      <c r="E569" s="8">
        <v>0.52393853664398193</v>
      </c>
      <c r="F569" s="8"/>
      <c r="G569" s="8"/>
      <c r="H569" s="8"/>
      <c r="I569" s="8"/>
      <c r="J569" s="8">
        <v>0.40248978137969971</v>
      </c>
      <c r="K569" s="8">
        <v>7.9414337873458862E-2</v>
      </c>
      <c r="L569" s="8">
        <v>128455567</v>
      </c>
      <c r="M569" t="s">
        <v>1052</v>
      </c>
    </row>
    <row r="570" spans="2:13">
      <c r="B570" t="s">
        <v>38</v>
      </c>
      <c r="C570" s="8">
        <v>2008</v>
      </c>
      <c r="D570" s="8">
        <v>2</v>
      </c>
      <c r="E570" s="8">
        <v>0.51735842227935791</v>
      </c>
      <c r="F570" s="8"/>
      <c r="G570" s="8"/>
      <c r="H570" s="8"/>
      <c r="I570" s="8"/>
      <c r="J570" s="8">
        <v>0.32193022966384888</v>
      </c>
      <c r="K570" s="8">
        <v>6.1812661588191986E-2</v>
      </c>
      <c r="L570" s="8">
        <v>128455567</v>
      </c>
      <c r="M570" t="s">
        <v>1052</v>
      </c>
    </row>
    <row r="571" spans="2:13">
      <c r="B571" t="s">
        <v>38</v>
      </c>
      <c r="C571" s="8">
        <v>2008</v>
      </c>
      <c r="D571" s="8">
        <v>3</v>
      </c>
      <c r="E571" s="8">
        <v>0.50401324033737183</v>
      </c>
      <c r="F571" s="8"/>
      <c r="G571" s="8"/>
      <c r="H571" s="8"/>
      <c r="I571" s="8"/>
      <c r="J571" s="8">
        <v>0.23592866957187653</v>
      </c>
      <c r="K571" s="8">
        <v>5.9180192649364471E-2</v>
      </c>
      <c r="L571" s="8">
        <v>128455567</v>
      </c>
      <c r="M571" t="s">
        <v>1052</v>
      </c>
    </row>
    <row r="572" spans="2:13">
      <c r="B572" t="s">
        <v>38</v>
      </c>
      <c r="C572" s="8">
        <v>2010</v>
      </c>
      <c r="D572" s="8">
        <v>1</v>
      </c>
      <c r="E572" s="8">
        <v>0.51737058162689209</v>
      </c>
      <c r="F572" s="8"/>
      <c r="G572" s="8">
        <v>0</v>
      </c>
      <c r="H572" s="8">
        <v>0.30291509628295898</v>
      </c>
      <c r="I572" s="8">
        <v>5.8791320770978928E-2</v>
      </c>
      <c r="J572" s="8">
        <v>0.38464188575744629</v>
      </c>
      <c r="K572" s="8">
        <v>8.2076609134674072E-2</v>
      </c>
      <c r="L572" s="8">
        <v>128455567</v>
      </c>
      <c r="M572" t="s">
        <v>1052</v>
      </c>
    </row>
    <row r="573" spans="2:13">
      <c r="B573" t="s">
        <v>38</v>
      </c>
      <c r="C573" s="8">
        <v>2010</v>
      </c>
      <c r="D573" s="8">
        <v>2</v>
      </c>
      <c r="E573" s="8">
        <v>0.51185613870620728</v>
      </c>
      <c r="F573" s="8"/>
      <c r="G573" s="8">
        <v>0</v>
      </c>
      <c r="H573" s="8">
        <v>0.21091105043888092</v>
      </c>
      <c r="I573" s="8">
        <v>4.5019242912530899E-2</v>
      </c>
      <c r="J573" s="8">
        <v>0.30387219786643982</v>
      </c>
      <c r="K573" s="8">
        <v>6.1388250440359116E-2</v>
      </c>
      <c r="L573" s="8">
        <v>128455567</v>
      </c>
      <c r="M573" t="s">
        <v>1052</v>
      </c>
    </row>
    <row r="574" spans="2:13">
      <c r="B574" t="s">
        <v>38</v>
      </c>
      <c r="C574" s="8">
        <v>2010</v>
      </c>
      <c r="D574" s="8">
        <v>3</v>
      </c>
      <c r="E574" s="8">
        <v>0.50724035501480103</v>
      </c>
      <c r="F574" s="8"/>
      <c r="G574" s="8">
        <v>0</v>
      </c>
      <c r="H574" s="8">
        <v>0.15478593111038208</v>
      </c>
      <c r="I574" s="8">
        <v>3.6138508468866348E-2</v>
      </c>
      <c r="J574" s="8">
        <v>0.22268657386302948</v>
      </c>
      <c r="K574" s="8">
        <v>6.430373340845108E-2</v>
      </c>
      <c r="L574" s="8">
        <v>128455567</v>
      </c>
      <c r="M574" t="s">
        <v>1052</v>
      </c>
    </row>
    <row r="575" spans="2:13">
      <c r="B575" t="s">
        <v>38</v>
      </c>
      <c r="C575" s="8">
        <v>2012</v>
      </c>
      <c r="D575" s="8">
        <v>1</v>
      </c>
      <c r="E575" s="8">
        <v>0.52000892162322998</v>
      </c>
      <c r="F575" s="8"/>
      <c r="G575" s="8">
        <v>0</v>
      </c>
      <c r="H575" s="8">
        <v>0.43687659502029419</v>
      </c>
      <c r="I575" s="8">
        <v>8.2469969987869263E-2</v>
      </c>
      <c r="J575" s="8">
        <v>0.39004480838775635</v>
      </c>
      <c r="K575" s="8">
        <v>8.6120657622814178E-2</v>
      </c>
      <c r="L575" s="8">
        <v>128455567</v>
      </c>
      <c r="M575" t="s">
        <v>1052</v>
      </c>
    </row>
    <row r="576" spans="2:13">
      <c r="B576" t="s">
        <v>38</v>
      </c>
      <c r="C576" s="8">
        <v>2012</v>
      </c>
      <c r="D576" s="8">
        <v>2</v>
      </c>
      <c r="E576" s="8">
        <v>0.51259249448776245</v>
      </c>
      <c r="F576" s="8"/>
      <c r="G576" s="8">
        <v>0</v>
      </c>
      <c r="H576" s="8">
        <v>0.25046399235725403</v>
      </c>
      <c r="I576" s="8">
        <v>6.3764147460460663E-2</v>
      </c>
      <c r="J576" s="8">
        <v>0.32020500302314758</v>
      </c>
      <c r="K576" s="8">
        <v>6.7990787327289581E-2</v>
      </c>
      <c r="L576" s="8">
        <v>128455567</v>
      </c>
      <c r="M576" t="s">
        <v>1052</v>
      </c>
    </row>
    <row r="577" spans="2:13">
      <c r="B577" t="s">
        <v>38</v>
      </c>
      <c r="C577" s="8">
        <v>2012</v>
      </c>
      <c r="D577" s="8">
        <v>3</v>
      </c>
      <c r="E577" s="8">
        <v>0.50860953330993652</v>
      </c>
      <c r="F577" s="8"/>
      <c r="G577" s="8">
        <v>0</v>
      </c>
      <c r="H577" s="8">
        <v>0.18629562854766846</v>
      </c>
      <c r="I577" s="8">
        <v>4.8554353415966034E-2</v>
      </c>
      <c r="J577" s="8">
        <v>0.2175767570734024</v>
      </c>
      <c r="K577" s="8">
        <v>6.5935313701629639E-2</v>
      </c>
      <c r="L577" s="8">
        <v>128455567</v>
      </c>
      <c r="M577" t="s">
        <v>1052</v>
      </c>
    </row>
    <row r="578" spans="2:13">
      <c r="B578" t="s">
        <v>38</v>
      </c>
      <c r="C578" s="8">
        <v>2014</v>
      </c>
      <c r="D578" s="8">
        <v>1</v>
      </c>
      <c r="E578" s="8">
        <v>0.51860404014587402</v>
      </c>
      <c r="F578" s="8"/>
      <c r="G578" s="8">
        <v>0</v>
      </c>
      <c r="H578" s="8">
        <v>0.42124885320663452</v>
      </c>
      <c r="I578" s="8">
        <v>6.3375011086463928E-2</v>
      </c>
      <c r="J578" s="8">
        <v>0.41744264960289001</v>
      </c>
      <c r="K578" s="8">
        <v>6.1124850064516068E-2</v>
      </c>
      <c r="L578" s="8">
        <v>128455567</v>
      </c>
      <c r="M578" t="s">
        <v>1052</v>
      </c>
    </row>
    <row r="579" spans="2:13">
      <c r="B579" t="s">
        <v>38</v>
      </c>
      <c r="C579" s="8">
        <v>2014</v>
      </c>
      <c r="D579" s="8">
        <v>2</v>
      </c>
      <c r="E579" s="8">
        <v>0.52351915836334229</v>
      </c>
      <c r="F579" s="8"/>
      <c r="G579" s="8">
        <v>0</v>
      </c>
      <c r="H579" s="8">
        <v>0.28139248490333557</v>
      </c>
      <c r="I579" s="8">
        <v>6.7571245133876801E-2</v>
      </c>
      <c r="J579" s="8">
        <v>0.34943127632141113</v>
      </c>
      <c r="K579" s="8">
        <v>7.3130808770656586E-2</v>
      </c>
      <c r="L579" s="8">
        <v>128455567</v>
      </c>
      <c r="M579" t="s">
        <v>1052</v>
      </c>
    </row>
    <row r="580" spans="2:13">
      <c r="B580" t="s">
        <v>38</v>
      </c>
      <c r="C580" s="8">
        <v>2014</v>
      </c>
      <c r="D580" s="8">
        <v>3</v>
      </c>
      <c r="E580" s="8">
        <v>0.5086936354637146</v>
      </c>
      <c r="F580" s="8"/>
      <c r="G580" s="8">
        <v>0</v>
      </c>
      <c r="H580" s="8">
        <v>0.19337192177772522</v>
      </c>
      <c r="I580" s="8">
        <v>5.9649359434843063E-2</v>
      </c>
      <c r="J580" s="8">
        <v>0.22909049689769745</v>
      </c>
      <c r="K580" s="8">
        <v>7.8523337841033936E-2</v>
      </c>
      <c r="L580" s="8">
        <v>128455567</v>
      </c>
      <c r="M580" t="s">
        <v>1052</v>
      </c>
    </row>
    <row r="581" spans="2:13">
      <c r="B581" t="s">
        <v>38</v>
      </c>
      <c r="C581" s="8">
        <v>2016</v>
      </c>
      <c r="D581" s="8">
        <v>1</v>
      </c>
      <c r="E581" s="8">
        <v>0.52385693788528442</v>
      </c>
      <c r="F581" s="8"/>
      <c r="G581" s="8">
        <v>0</v>
      </c>
      <c r="H581" s="8">
        <v>0.49380093812942505</v>
      </c>
      <c r="I581" s="8">
        <v>6.7834824323654175E-2</v>
      </c>
      <c r="J581" s="8">
        <v>0.41303205490112305</v>
      </c>
      <c r="K581" s="8">
        <v>6.5728470683097839E-2</v>
      </c>
      <c r="L581" s="8">
        <v>128455567</v>
      </c>
      <c r="M581" t="s">
        <v>1052</v>
      </c>
    </row>
    <row r="582" spans="2:13">
      <c r="B582" t="s">
        <v>38</v>
      </c>
      <c r="C582" s="8">
        <v>2016</v>
      </c>
      <c r="D582" s="8">
        <v>2</v>
      </c>
      <c r="E582" s="8">
        <v>0.5265728235244751</v>
      </c>
      <c r="F582" s="8"/>
      <c r="G582" s="8">
        <v>0</v>
      </c>
      <c r="H582" s="8">
        <v>0.35022071003913879</v>
      </c>
      <c r="I582" s="8">
        <v>6.8473204970359802E-2</v>
      </c>
      <c r="J582" s="8">
        <v>0.3618844747543335</v>
      </c>
      <c r="K582" s="8">
        <v>6.7898422479629517E-2</v>
      </c>
      <c r="L582" s="8">
        <v>128455567</v>
      </c>
      <c r="M582" t="s">
        <v>1052</v>
      </c>
    </row>
    <row r="583" spans="2:13">
      <c r="B583" t="s">
        <v>38</v>
      </c>
      <c r="C583" s="8">
        <v>2016</v>
      </c>
      <c r="D583" s="8">
        <v>3</v>
      </c>
      <c r="E583" s="8">
        <v>0.51041704416275024</v>
      </c>
      <c r="F583" s="8"/>
      <c r="G583" s="8">
        <v>0</v>
      </c>
      <c r="H583" s="8">
        <v>0.24508079886436462</v>
      </c>
      <c r="I583" s="8">
        <v>6.5477035939693451E-2</v>
      </c>
      <c r="J583" s="8">
        <v>0.23429922759532928</v>
      </c>
      <c r="K583" s="8">
        <v>8.5304513573646545E-2</v>
      </c>
      <c r="L583" s="8">
        <v>128455567</v>
      </c>
      <c r="M583" t="s">
        <v>1052</v>
      </c>
    </row>
    <row r="584" spans="2:13">
      <c r="B584" t="s">
        <v>38</v>
      </c>
      <c r="C584" s="8">
        <v>2018</v>
      </c>
      <c r="D584" s="8">
        <v>1</v>
      </c>
      <c r="E584" s="8">
        <v>0.52231425046920776</v>
      </c>
      <c r="F584" s="8"/>
      <c r="G584" s="8">
        <v>0</v>
      </c>
      <c r="H584" s="8">
        <v>0.51531851291656494</v>
      </c>
      <c r="I584" s="8">
        <v>7.6731570065021515E-2</v>
      </c>
      <c r="J584" s="8">
        <v>0.40568360686302185</v>
      </c>
      <c r="K584" s="8">
        <v>7.9815007746219635E-2</v>
      </c>
      <c r="L584" s="8">
        <v>128455567</v>
      </c>
      <c r="M584" t="s">
        <v>1052</v>
      </c>
    </row>
    <row r="585" spans="2:13">
      <c r="B585" t="s">
        <v>38</v>
      </c>
      <c r="C585" s="8">
        <v>2018</v>
      </c>
      <c r="D585" s="8">
        <v>2</v>
      </c>
      <c r="E585" s="8">
        <v>0.52426481246948242</v>
      </c>
      <c r="F585" s="8"/>
      <c r="G585" s="8">
        <v>0</v>
      </c>
      <c r="H585" s="8">
        <v>0.34969693422317505</v>
      </c>
      <c r="I585" s="8">
        <v>7.4212975800037384E-2</v>
      </c>
      <c r="J585" s="8">
        <v>0.34785613417625427</v>
      </c>
      <c r="K585" s="8">
        <v>7.9824082553386688E-2</v>
      </c>
      <c r="L585" s="8">
        <v>128455567</v>
      </c>
      <c r="M585" t="s">
        <v>1052</v>
      </c>
    </row>
    <row r="586" spans="2:13">
      <c r="B586" t="s">
        <v>38</v>
      </c>
      <c r="C586" s="8">
        <v>2018</v>
      </c>
      <c r="D586" s="8">
        <v>3</v>
      </c>
      <c r="E586" s="8">
        <v>0.50935876369476318</v>
      </c>
      <c r="F586" s="8"/>
      <c r="G586" s="8">
        <v>0</v>
      </c>
      <c r="H586" s="8">
        <v>0.24767917394638062</v>
      </c>
      <c r="I586" s="8">
        <v>6.5698035061359406E-2</v>
      </c>
      <c r="J586" s="8">
        <v>0.22388061881065369</v>
      </c>
      <c r="K586" s="8">
        <v>8.5174962878227234E-2</v>
      </c>
      <c r="L586" s="8">
        <v>128455567</v>
      </c>
      <c r="M586" t="s">
        <v>1052</v>
      </c>
    </row>
    <row r="587" spans="2:13">
      <c r="B587" t="s">
        <v>38</v>
      </c>
      <c r="C587" s="8">
        <v>2020</v>
      </c>
      <c r="D587" s="8">
        <v>1</v>
      </c>
      <c r="E587" s="8">
        <v>0.53016304969787598</v>
      </c>
      <c r="F587" s="8"/>
      <c r="G587" s="8">
        <v>0</v>
      </c>
      <c r="H587" s="8">
        <v>0.48653098940849304</v>
      </c>
      <c r="I587" s="8">
        <v>0.17002834379673004</v>
      </c>
      <c r="J587" s="8">
        <v>0.36273279786109924</v>
      </c>
      <c r="K587" s="8">
        <v>9.4752177596092224E-2</v>
      </c>
      <c r="L587" s="8">
        <v>128455567</v>
      </c>
      <c r="M587" t="s">
        <v>1052</v>
      </c>
    </row>
    <row r="588" spans="2:13">
      <c r="B588" t="s">
        <v>38</v>
      </c>
      <c r="C588" s="8">
        <v>2020</v>
      </c>
      <c r="D588" s="8">
        <v>2</v>
      </c>
      <c r="E588" s="8">
        <v>0.52334111928939819</v>
      </c>
      <c r="F588" s="8"/>
      <c r="G588" s="8">
        <v>0</v>
      </c>
      <c r="H588" s="8">
        <v>0.33069398999214172</v>
      </c>
      <c r="I588" s="8">
        <v>0.15775646269321442</v>
      </c>
      <c r="J588" s="8">
        <v>0.3181837797164917</v>
      </c>
      <c r="K588" s="8">
        <v>8.0280996859073639E-2</v>
      </c>
      <c r="L588" s="8">
        <v>128455567</v>
      </c>
      <c r="M588" t="s">
        <v>1052</v>
      </c>
    </row>
    <row r="589" spans="2:13">
      <c r="B589" t="s">
        <v>38</v>
      </c>
      <c r="C589" s="8">
        <v>2020</v>
      </c>
      <c r="D589" s="8">
        <v>3</v>
      </c>
      <c r="E589" s="8">
        <v>0.51050680875778198</v>
      </c>
      <c r="F589" s="8"/>
      <c r="G589" s="8">
        <v>0</v>
      </c>
      <c r="H589" s="8">
        <v>0.24148270487785339</v>
      </c>
      <c r="I589" s="8">
        <v>0.15483492612838745</v>
      </c>
      <c r="J589" s="8">
        <v>0.20333731174468994</v>
      </c>
      <c r="K589" s="8">
        <v>9.8672784864902496E-2</v>
      </c>
      <c r="L589" s="8">
        <v>128455567</v>
      </c>
      <c r="M589" t="s">
        <v>1052</v>
      </c>
    </row>
    <row r="590" spans="2:13">
      <c r="B590" t="s">
        <v>38</v>
      </c>
      <c r="C590" s="8">
        <v>2022</v>
      </c>
      <c r="D590" s="8">
        <v>1</v>
      </c>
      <c r="E590" s="8">
        <v>0.53223800659179688</v>
      </c>
      <c r="F590" s="8"/>
      <c r="G590" s="8">
        <v>0</v>
      </c>
      <c r="H590" s="8">
        <v>0.49713003635406494</v>
      </c>
      <c r="I590" s="8">
        <v>0.19489412009716034</v>
      </c>
      <c r="J590" s="8">
        <v>0.36903032660484314</v>
      </c>
      <c r="K590" s="8">
        <v>0.12529794871807098</v>
      </c>
      <c r="L590" s="8">
        <v>128455567</v>
      </c>
      <c r="M590" t="s">
        <v>1052</v>
      </c>
    </row>
    <row r="591" spans="2:13">
      <c r="B591" t="s">
        <v>38</v>
      </c>
      <c r="C591" s="8">
        <v>2022</v>
      </c>
      <c r="D591" s="8">
        <v>2</v>
      </c>
      <c r="E591" s="8">
        <v>0.53284949064254761</v>
      </c>
      <c r="F591" s="8"/>
      <c r="G591" s="8">
        <v>0</v>
      </c>
      <c r="H591" s="8">
        <v>0.34815067052841187</v>
      </c>
      <c r="I591" s="8">
        <v>0.16445900499820709</v>
      </c>
      <c r="J591" s="8">
        <v>0.33552142977714539</v>
      </c>
      <c r="K591" s="8">
        <v>8.9945569634437561E-2</v>
      </c>
      <c r="L591" s="8">
        <v>128455567</v>
      </c>
      <c r="M591" t="s">
        <v>1052</v>
      </c>
    </row>
    <row r="592" spans="2:13">
      <c r="B592" t="s">
        <v>38</v>
      </c>
      <c r="C592" s="8">
        <v>2022</v>
      </c>
      <c r="D592" s="8">
        <v>3</v>
      </c>
      <c r="E592" s="8">
        <v>0.51526480913162231</v>
      </c>
      <c r="F592" s="8"/>
      <c r="G592" s="8">
        <v>0</v>
      </c>
      <c r="H592" s="8">
        <v>0.22154688835144043</v>
      </c>
      <c r="I592" s="8">
        <v>0.15892347693443298</v>
      </c>
      <c r="J592" s="8">
        <v>0.21027444303035736</v>
      </c>
      <c r="K592" s="8">
        <v>9.4901308417320251E-2</v>
      </c>
      <c r="L592" s="8">
        <v>128455567</v>
      </c>
      <c r="M592" t="s">
        <v>1052</v>
      </c>
    </row>
    <row r="593" spans="2:13">
      <c r="B593" t="s">
        <v>42</v>
      </c>
      <c r="C593" s="8">
        <v>2003</v>
      </c>
      <c r="D593" s="8">
        <v>1</v>
      </c>
      <c r="E593" s="8">
        <v>0.49747657775878906</v>
      </c>
      <c r="F593" s="8"/>
      <c r="G593" s="8"/>
      <c r="H593" s="8"/>
      <c r="I593" s="8"/>
      <c r="J593" s="8">
        <v>0.48354423046112061</v>
      </c>
      <c r="K593" s="8">
        <v>4.7127000987529755E-2</v>
      </c>
      <c r="L593" s="8">
        <v>4468087</v>
      </c>
      <c r="M593" t="s">
        <v>1052</v>
      </c>
    </row>
    <row r="594" spans="2:13">
      <c r="B594" t="s">
        <v>42</v>
      </c>
      <c r="C594" s="8">
        <v>2003</v>
      </c>
      <c r="D594" s="8">
        <v>2</v>
      </c>
      <c r="E594" s="8">
        <v>0.49477925896644592</v>
      </c>
      <c r="F594" s="8"/>
      <c r="G594" s="8"/>
      <c r="H594" s="8"/>
      <c r="I594" s="8"/>
      <c r="J594" s="8">
        <v>0.42295897006988525</v>
      </c>
      <c r="K594" s="8">
        <v>5.8722663670778275E-2</v>
      </c>
      <c r="L594" s="8">
        <v>4468087</v>
      </c>
      <c r="M594" t="s">
        <v>1052</v>
      </c>
    </row>
    <row r="595" spans="2:13">
      <c r="B595" t="s">
        <v>42</v>
      </c>
      <c r="C595" s="8">
        <v>2003</v>
      </c>
      <c r="D595" s="8">
        <v>3</v>
      </c>
      <c r="E595" s="8">
        <v>0.49809941649436951</v>
      </c>
      <c r="F595" s="8"/>
      <c r="G595" s="8"/>
      <c r="H595" s="8"/>
      <c r="I595" s="8"/>
      <c r="J595" s="8">
        <v>0.2597140371799469</v>
      </c>
      <c r="K595" s="8">
        <v>7.1866929531097412E-2</v>
      </c>
      <c r="L595" s="8">
        <v>4468087</v>
      </c>
      <c r="M595" t="s">
        <v>1052</v>
      </c>
    </row>
    <row r="596" spans="2:13">
      <c r="B596" t="s">
        <v>42</v>
      </c>
      <c r="C596" s="8">
        <v>2004</v>
      </c>
      <c r="D596" s="8">
        <v>1</v>
      </c>
      <c r="E596" s="8">
        <v>0.50007164478302002</v>
      </c>
      <c r="F596" s="8"/>
      <c r="G596" s="8"/>
      <c r="H596" s="8"/>
      <c r="I596" s="8"/>
      <c r="J596" s="8">
        <v>0.48319134116172791</v>
      </c>
      <c r="K596" s="8">
        <v>5.6862317025661469E-2</v>
      </c>
      <c r="L596" s="8">
        <v>4468087</v>
      </c>
      <c r="M596" t="s">
        <v>1052</v>
      </c>
    </row>
    <row r="597" spans="2:13">
      <c r="B597" t="s">
        <v>42</v>
      </c>
      <c r="C597" s="8">
        <v>2004</v>
      </c>
      <c r="D597" s="8">
        <v>2</v>
      </c>
      <c r="E597" s="8">
        <v>0.48734420537948608</v>
      </c>
      <c r="F597" s="8"/>
      <c r="G597" s="8"/>
      <c r="H597" s="8"/>
      <c r="I597" s="8"/>
      <c r="J597" s="8">
        <v>0.41653084754943848</v>
      </c>
      <c r="K597" s="8">
        <v>5.2803955972194672E-2</v>
      </c>
      <c r="L597" s="8">
        <v>4468087</v>
      </c>
      <c r="M597" t="s">
        <v>1052</v>
      </c>
    </row>
    <row r="598" spans="2:13">
      <c r="B598" t="s">
        <v>42</v>
      </c>
      <c r="C598" s="8">
        <v>2004</v>
      </c>
      <c r="D598" s="8">
        <v>3</v>
      </c>
      <c r="E598" s="8">
        <v>0.50171017646789551</v>
      </c>
      <c r="F598" s="8"/>
      <c r="G598" s="8"/>
      <c r="H598" s="8"/>
      <c r="I598" s="8"/>
      <c r="J598" s="8">
        <v>0.25845411419868469</v>
      </c>
      <c r="K598" s="8">
        <v>7.2661034762859344E-2</v>
      </c>
      <c r="L598" s="8">
        <v>4468087</v>
      </c>
      <c r="M598" t="s">
        <v>1052</v>
      </c>
    </row>
    <row r="599" spans="2:13">
      <c r="B599" t="s">
        <v>42</v>
      </c>
      <c r="C599" s="8">
        <v>2005</v>
      </c>
      <c r="D599" s="8">
        <v>1</v>
      </c>
      <c r="E599" s="8">
        <v>0.50039339065551758</v>
      </c>
      <c r="F599" s="8"/>
      <c r="G599" s="8">
        <v>0</v>
      </c>
      <c r="H599" s="8">
        <v>0.25938162207603455</v>
      </c>
      <c r="I599" s="8"/>
      <c r="J599" s="8">
        <v>0.48261910676956177</v>
      </c>
      <c r="K599" s="8">
        <v>5.80638088285923E-2</v>
      </c>
      <c r="L599" s="8">
        <v>4468087</v>
      </c>
      <c r="M599" t="s">
        <v>1052</v>
      </c>
    </row>
    <row r="600" spans="2:13">
      <c r="B600" t="s">
        <v>42</v>
      </c>
      <c r="C600" s="8">
        <v>2005</v>
      </c>
      <c r="D600" s="8">
        <v>2</v>
      </c>
      <c r="E600" s="8">
        <v>0.48826855421066284</v>
      </c>
      <c r="F600" s="8"/>
      <c r="G600" s="8">
        <v>0</v>
      </c>
      <c r="H600" s="8">
        <v>7.6423034071922302E-2</v>
      </c>
      <c r="I600" s="8"/>
      <c r="J600" s="8">
        <v>0.40518423914909363</v>
      </c>
      <c r="K600" s="8">
        <v>5.5598527193069458E-2</v>
      </c>
      <c r="L600" s="8">
        <v>4468087</v>
      </c>
      <c r="M600" t="s">
        <v>1052</v>
      </c>
    </row>
    <row r="601" spans="2:13">
      <c r="B601" t="s">
        <v>42</v>
      </c>
      <c r="C601" s="8">
        <v>2005</v>
      </c>
      <c r="D601" s="8">
        <v>3</v>
      </c>
      <c r="E601" s="8">
        <v>0.50186038017272949</v>
      </c>
      <c r="F601" s="8"/>
      <c r="G601" s="8">
        <v>0</v>
      </c>
      <c r="H601" s="8">
        <v>1.1894501745700836E-2</v>
      </c>
      <c r="I601" s="8"/>
      <c r="J601" s="8">
        <v>0.25293013453483582</v>
      </c>
      <c r="K601" s="8">
        <v>7.532414048910141E-2</v>
      </c>
      <c r="L601" s="8">
        <v>4468087</v>
      </c>
      <c r="M601" t="s">
        <v>1052</v>
      </c>
    </row>
    <row r="602" spans="2:13">
      <c r="B602" t="s">
        <v>42</v>
      </c>
      <c r="C602" s="8">
        <v>2006</v>
      </c>
      <c r="D602" s="8">
        <v>1</v>
      </c>
      <c r="E602" s="8">
        <v>0.50007385015487671</v>
      </c>
      <c r="F602" s="8"/>
      <c r="G602" s="8">
        <v>0</v>
      </c>
      <c r="H602" s="8">
        <v>0.30648002028465271</v>
      </c>
      <c r="I602" s="8"/>
      <c r="J602" s="8">
        <v>0.467439204454422</v>
      </c>
      <c r="K602" s="8">
        <v>6.527092307806015E-2</v>
      </c>
      <c r="L602" s="8">
        <v>4468087</v>
      </c>
      <c r="M602" t="s">
        <v>1052</v>
      </c>
    </row>
    <row r="603" spans="2:13">
      <c r="B603" t="s">
        <v>42</v>
      </c>
      <c r="C603" s="8">
        <v>2006</v>
      </c>
      <c r="D603" s="8">
        <v>2</v>
      </c>
      <c r="E603" s="8">
        <v>0.50345981121063232</v>
      </c>
      <c r="F603" s="8"/>
      <c r="G603" s="8">
        <v>0</v>
      </c>
      <c r="H603" s="8">
        <v>3.5305175930261612E-2</v>
      </c>
      <c r="I603" s="8"/>
      <c r="J603" s="8">
        <v>0.40915259718894958</v>
      </c>
      <c r="K603" s="8">
        <v>6.7075774073600769E-2</v>
      </c>
      <c r="L603" s="8">
        <v>4468087</v>
      </c>
      <c r="M603" t="s">
        <v>1052</v>
      </c>
    </row>
    <row r="604" spans="2:13">
      <c r="B604" t="s">
        <v>42</v>
      </c>
      <c r="C604" s="8">
        <v>2006</v>
      </c>
      <c r="D604" s="8">
        <v>3</v>
      </c>
      <c r="E604" s="8">
        <v>0.50112307071685791</v>
      </c>
      <c r="F604" s="8"/>
      <c r="G604" s="8">
        <v>0</v>
      </c>
      <c r="H604" s="8">
        <v>1.0277174413204193E-2</v>
      </c>
      <c r="I604" s="8"/>
      <c r="J604" s="8">
        <v>0.25567704439163208</v>
      </c>
      <c r="K604" s="8">
        <v>7.4690781533718109E-2</v>
      </c>
      <c r="L604" s="8">
        <v>4468087</v>
      </c>
      <c r="M604" t="s">
        <v>1052</v>
      </c>
    </row>
    <row r="605" spans="2:13">
      <c r="B605" t="s">
        <v>42</v>
      </c>
      <c r="C605" s="8">
        <v>2007</v>
      </c>
      <c r="D605" s="8">
        <v>1</v>
      </c>
      <c r="E605" s="8">
        <v>0.50231730937957764</v>
      </c>
      <c r="F605" s="8"/>
      <c r="G605" s="8">
        <v>0</v>
      </c>
      <c r="H605" s="8">
        <v>0.31366482377052307</v>
      </c>
      <c r="I605" s="8"/>
      <c r="J605" s="8">
        <v>0.4763978123664856</v>
      </c>
      <c r="K605" s="8">
        <v>6.366758793592453E-2</v>
      </c>
      <c r="L605" s="8">
        <v>4468087</v>
      </c>
      <c r="M605" t="s">
        <v>1052</v>
      </c>
    </row>
    <row r="606" spans="2:13">
      <c r="B606" t="s">
        <v>42</v>
      </c>
      <c r="C606" s="8">
        <v>2007</v>
      </c>
      <c r="D606" s="8">
        <v>2</v>
      </c>
      <c r="E606" s="8">
        <v>0.50989508628845215</v>
      </c>
      <c r="F606" s="8"/>
      <c r="G606" s="8">
        <v>0</v>
      </c>
      <c r="H606" s="8">
        <v>8.1572338938713074E-2</v>
      </c>
      <c r="I606" s="8"/>
      <c r="J606" s="8">
        <v>0.40739518404006958</v>
      </c>
      <c r="K606" s="8">
        <v>6.8750940263271332E-2</v>
      </c>
      <c r="L606" s="8">
        <v>4468087</v>
      </c>
      <c r="M606" t="s">
        <v>1052</v>
      </c>
    </row>
    <row r="607" spans="2:13">
      <c r="B607" t="s">
        <v>42</v>
      </c>
      <c r="C607" s="8">
        <v>2007</v>
      </c>
      <c r="D607" s="8">
        <v>3</v>
      </c>
      <c r="E607" s="8">
        <v>0.502463698387146</v>
      </c>
      <c r="F607" s="8"/>
      <c r="G607" s="8">
        <v>0</v>
      </c>
      <c r="H607" s="8">
        <v>8.9250067248940468E-3</v>
      </c>
      <c r="I607" s="8"/>
      <c r="J607" s="8">
        <v>0.25985163450241089</v>
      </c>
      <c r="K607" s="8">
        <v>8.0037474632263184E-2</v>
      </c>
      <c r="L607" s="8">
        <v>4468087</v>
      </c>
      <c r="M607" t="s">
        <v>1052</v>
      </c>
    </row>
    <row r="608" spans="2:13">
      <c r="B608" t="s">
        <v>42</v>
      </c>
      <c r="C608" s="8">
        <v>2008</v>
      </c>
      <c r="D608" s="8">
        <v>1</v>
      </c>
      <c r="E608" s="8">
        <v>0.50600165128707886</v>
      </c>
      <c r="F608" s="8"/>
      <c r="G608" s="8">
        <v>0</v>
      </c>
      <c r="H608" s="8">
        <v>0.32472866773605347</v>
      </c>
      <c r="I608" s="8"/>
      <c r="J608" s="8">
        <v>0.46831941604614258</v>
      </c>
      <c r="K608" s="8">
        <v>7.4861407279968262E-2</v>
      </c>
      <c r="L608" s="8">
        <v>4468087</v>
      </c>
      <c r="M608" t="s">
        <v>1052</v>
      </c>
    </row>
    <row r="609" spans="2:13">
      <c r="B609" t="s">
        <v>42</v>
      </c>
      <c r="C609" s="8">
        <v>2008</v>
      </c>
      <c r="D609" s="8">
        <v>2</v>
      </c>
      <c r="E609" s="8">
        <v>0.51656371355056763</v>
      </c>
      <c r="F609" s="8"/>
      <c r="G609" s="8">
        <v>0</v>
      </c>
      <c r="H609" s="8">
        <v>8.236965537071228E-2</v>
      </c>
      <c r="I609" s="8"/>
      <c r="J609" s="8">
        <v>0.4193575382232666</v>
      </c>
      <c r="K609" s="8">
        <v>6.9941394031047821E-2</v>
      </c>
      <c r="L609" s="8">
        <v>4468087</v>
      </c>
      <c r="M609" t="s">
        <v>1052</v>
      </c>
    </row>
    <row r="610" spans="2:13">
      <c r="B610" t="s">
        <v>42</v>
      </c>
      <c r="C610" s="8">
        <v>2008</v>
      </c>
      <c r="D610" s="8">
        <v>3</v>
      </c>
      <c r="E610" s="8">
        <v>0.50450456142425537</v>
      </c>
      <c r="F610" s="8"/>
      <c r="G610" s="8">
        <v>0</v>
      </c>
      <c r="H610" s="8">
        <v>8.9970296248793602E-3</v>
      </c>
      <c r="I610" s="8"/>
      <c r="J610" s="8">
        <v>0.26010847091674805</v>
      </c>
      <c r="K610" s="8">
        <v>7.9853028059005737E-2</v>
      </c>
      <c r="L610" s="8">
        <v>4468087</v>
      </c>
      <c r="M610" t="s">
        <v>1052</v>
      </c>
    </row>
    <row r="611" spans="2:13">
      <c r="B611" t="s">
        <v>42</v>
      </c>
      <c r="C611" s="8">
        <v>2009</v>
      </c>
      <c r="D611" s="8">
        <v>1</v>
      </c>
      <c r="E611" s="8">
        <v>0.50589126348495483</v>
      </c>
      <c r="F611" s="8"/>
      <c r="G611" s="8">
        <v>0</v>
      </c>
      <c r="H611" s="8">
        <v>0.32804438471794128</v>
      </c>
      <c r="I611" s="8"/>
      <c r="J611" s="8">
        <v>0.46779891848564148</v>
      </c>
      <c r="K611" s="8">
        <v>7.4188604950904846E-2</v>
      </c>
      <c r="L611" s="8">
        <v>4468087</v>
      </c>
      <c r="M611" t="s">
        <v>1052</v>
      </c>
    </row>
    <row r="612" spans="2:13">
      <c r="B612" t="s">
        <v>42</v>
      </c>
      <c r="C612" s="8">
        <v>2009</v>
      </c>
      <c r="D612" s="8">
        <v>2</v>
      </c>
      <c r="E612" s="8">
        <v>0.50876867771148682</v>
      </c>
      <c r="F612" s="8"/>
      <c r="G612" s="8">
        <v>0</v>
      </c>
      <c r="H612" s="8">
        <v>0.10202145576477051</v>
      </c>
      <c r="I612" s="8"/>
      <c r="J612" s="8">
        <v>0.42056018114089966</v>
      </c>
      <c r="K612" s="8">
        <v>7.1885682642459869E-2</v>
      </c>
      <c r="L612" s="8">
        <v>4468087</v>
      </c>
      <c r="M612" t="s">
        <v>1052</v>
      </c>
    </row>
    <row r="613" spans="2:13">
      <c r="B613" t="s">
        <v>42</v>
      </c>
      <c r="C613" s="8">
        <v>2009</v>
      </c>
      <c r="D613" s="8">
        <v>3</v>
      </c>
      <c r="E613" s="8">
        <v>0.50437790155410767</v>
      </c>
      <c r="F613" s="8"/>
      <c r="G613" s="8">
        <v>0</v>
      </c>
      <c r="H613" s="8">
        <v>1.124256756156683E-2</v>
      </c>
      <c r="I613" s="8"/>
      <c r="J613" s="8">
        <v>0.25681552290916443</v>
      </c>
      <c r="K613" s="8">
        <v>8.6788676679134369E-2</v>
      </c>
      <c r="L613" s="8">
        <v>4468087</v>
      </c>
      <c r="M613" t="s">
        <v>1052</v>
      </c>
    </row>
    <row r="614" spans="2:13">
      <c r="B614" t="s">
        <v>42</v>
      </c>
      <c r="C614" s="8">
        <v>2010</v>
      </c>
      <c r="D614" s="8">
        <v>1</v>
      </c>
      <c r="E614" s="8">
        <v>0.50471997261047363</v>
      </c>
      <c r="F614" s="8"/>
      <c r="G614" s="8">
        <v>0</v>
      </c>
      <c r="H614" s="8">
        <v>0.37226113677024841</v>
      </c>
      <c r="I614" s="8"/>
      <c r="J614" s="8">
        <v>0.47578418254852295</v>
      </c>
      <c r="K614" s="8">
        <v>4.9592256546020508E-2</v>
      </c>
      <c r="L614" s="8">
        <v>4468087</v>
      </c>
      <c r="M614" t="s">
        <v>1052</v>
      </c>
    </row>
    <row r="615" spans="2:13">
      <c r="B615" t="s">
        <v>42</v>
      </c>
      <c r="C615" s="8">
        <v>2010</v>
      </c>
      <c r="D615" s="8">
        <v>2</v>
      </c>
      <c r="E615" s="8">
        <v>0.51276701688766479</v>
      </c>
      <c r="F615" s="8"/>
      <c r="G615" s="8">
        <v>0</v>
      </c>
      <c r="H615" s="8">
        <v>9.2746086418628693E-2</v>
      </c>
      <c r="I615" s="8"/>
      <c r="J615" s="8">
        <v>0.41379091143608093</v>
      </c>
      <c r="K615" s="8">
        <v>7.5412623584270477E-2</v>
      </c>
      <c r="L615" s="8">
        <v>4468087</v>
      </c>
      <c r="M615" t="s">
        <v>1052</v>
      </c>
    </row>
    <row r="616" spans="2:13">
      <c r="B616" t="s">
        <v>42</v>
      </c>
      <c r="C616" s="8">
        <v>2010</v>
      </c>
      <c r="D616" s="8">
        <v>3</v>
      </c>
      <c r="E616" s="8">
        <v>0.5041462779045105</v>
      </c>
      <c r="F616" s="8"/>
      <c r="G616" s="8">
        <v>0</v>
      </c>
      <c r="H616" s="8">
        <v>8.6400061845779419E-3</v>
      </c>
      <c r="I616" s="8"/>
      <c r="J616" s="8">
        <v>0.25541007518768311</v>
      </c>
      <c r="K616" s="8">
        <v>9.1601476073265076E-2</v>
      </c>
      <c r="L616" s="8">
        <v>4468087</v>
      </c>
      <c r="M616" t="s">
        <v>1052</v>
      </c>
    </row>
    <row r="617" spans="2:13">
      <c r="B617" t="s">
        <v>42</v>
      </c>
      <c r="C617" s="8">
        <v>2011</v>
      </c>
      <c r="D617" s="8">
        <v>1</v>
      </c>
      <c r="E617" s="8">
        <v>0.51523828506469727</v>
      </c>
      <c r="F617" s="8"/>
      <c r="G617" s="8">
        <v>0</v>
      </c>
      <c r="H617" s="8">
        <v>0.38758909702301025</v>
      </c>
      <c r="I617" s="8"/>
      <c r="J617" s="8">
        <v>0.48322167992591858</v>
      </c>
      <c r="K617" s="8">
        <v>4.0353301912546158E-2</v>
      </c>
      <c r="L617" s="8">
        <v>4468087</v>
      </c>
      <c r="M617" t="s">
        <v>1052</v>
      </c>
    </row>
    <row r="618" spans="2:13">
      <c r="B618" t="s">
        <v>42</v>
      </c>
      <c r="C618" s="8">
        <v>2011</v>
      </c>
      <c r="D618" s="8">
        <v>2</v>
      </c>
      <c r="E618" s="8">
        <v>0.50862765312194824</v>
      </c>
      <c r="F618" s="8"/>
      <c r="G618" s="8">
        <v>0</v>
      </c>
      <c r="H618" s="8">
        <v>0.10728307813405991</v>
      </c>
      <c r="I618" s="8"/>
      <c r="J618" s="8">
        <v>0.42504096031188965</v>
      </c>
      <c r="K618" s="8">
        <v>6.5262213349342346E-2</v>
      </c>
      <c r="L618" s="8">
        <v>4468087</v>
      </c>
      <c r="M618" t="s">
        <v>1052</v>
      </c>
    </row>
    <row r="619" spans="2:13">
      <c r="B619" t="s">
        <v>42</v>
      </c>
      <c r="C619" s="8">
        <v>2011</v>
      </c>
      <c r="D619" s="8">
        <v>3</v>
      </c>
      <c r="E619" s="8">
        <v>0.50152093172073364</v>
      </c>
      <c r="F619" s="8">
        <v>0</v>
      </c>
      <c r="G619" s="8">
        <v>0</v>
      </c>
      <c r="H619" s="8">
        <v>1.4025285840034485E-2</v>
      </c>
      <c r="I619" s="8"/>
      <c r="J619" s="8">
        <v>0.25904223322868347</v>
      </c>
      <c r="K619" s="8">
        <v>9.3131542205810547E-2</v>
      </c>
      <c r="L619" s="8">
        <v>4468087</v>
      </c>
      <c r="M619" t="s">
        <v>1052</v>
      </c>
    </row>
    <row r="620" spans="2:13">
      <c r="B620" t="s">
        <v>42</v>
      </c>
      <c r="C620" s="8">
        <v>2012</v>
      </c>
      <c r="D620" s="8">
        <v>1</v>
      </c>
      <c r="E620" s="8">
        <v>0.51135170459747314</v>
      </c>
      <c r="F620" s="8"/>
      <c r="G620" s="8">
        <v>0</v>
      </c>
      <c r="H620" s="8">
        <v>0.47778767347335815</v>
      </c>
      <c r="I620" s="8"/>
      <c r="J620" s="8">
        <v>0.47655501961708069</v>
      </c>
      <c r="K620" s="8">
        <v>4.5421164482831955E-2</v>
      </c>
      <c r="L620" s="8">
        <v>4468087</v>
      </c>
      <c r="M620" t="s">
        <v>1052</v>
      </c>
    </row>
    <row r="621" spans="2:13">
      <c r="B621" t="s">
        <v>42</v>
      </c>
      <c r="C621" s="8">
        <v>2012</v>
      </c>
      <c r="D621" s="8">
        <v>2</v>
      </c>
      <c r="E621" s="8">
        <v>0.51149404048919678</v>
      </c>
      <c r="F621" s="8"/>
      <c r="G621" s="8">
        <v>0</v>
      </c>
      <c r="H621" s="8">
        <v>0.1295466274023056</v>
      </c>
      <c r="I621" s="8"/>
      <c r="J621" s="8">
        <v>0.44413909316062927</v>
      </c>
      <c r="K621" s="8">
        <v>7.092372328042984E-2</v>
      </c>
      <c r="L621" s="8">
        <v>4468087</v>
      </c>
      <c r="M621" t="s">
        <v>1052</v>
      </c>
    </row>
    <row r="622" spans="2:13">
      <c r="B622" t="s">
        <v>42</v>
      </c>
      <c r="C622" s="8">
        <v>2012</v>
      </c>
      <c r="D622" s="8">
        <v>3</v>
      </c>
      <c r="E622" s="8">
        <v>0.50666415691375732</v>
      </c>
      <c r="F622" s="8"/>
      <c r="G622" s="8">
        <v>0</v>
      </c>
      <c r="H622" s="8">
        <v>7.9744234681129456E-3</v>
      </c>
      <c r="I622" s="8"/>
      <c r="J622" s="8">
        <v>0.26790040731430054</v>
      </c>
      <c r="K622" s="8">
        <v>9.0641647577285767E-2</v>
      </c>
      <c r="L622" s="8">
        <v>4468087</v>
      </c>
      <c r="M622" t="s">
        <v>1052</v>
      </c>
    </row>
    <row r="623" spans="2:13">
      <c r="B623" t="s">
        <v>42</v>
      </c>
      <c r="C623" s="8">
        <v>2013</v>
      </c>
      <c r="D623" s="8">
        <v>1</v>
      </c>
      <c r="E623" s="8">
        <v>0.51099073886871338</v>
      </c>
      <c r="F623" s="8"/>
      <c r="G623" s="8">
        <v>0</v>
      </c>
      <c r="H623" s="8">
        <v>0.39961463212966919</v>
      </c>
      <c r="I623" s="8"/>
      <c r="J623" s="8">
        <v>0.47579547762870789</v>
      </c>
      <c r="K623" s="8">
        <v>4.6193446964025497E-2</v>
      </c>
      <c r="L623" s="8">
        <v>4468087</v>
      </c>
      <c r="M623" t="s">
        <v>1052</v>
      </c>
    </row>
    <row r="624" spans="2:13">
      <c r="B624" t="s">
        <v>42</v>
      </c>
      <c r="C624" s="8">
        <v>2013</v>
      </c>
      <c r="D624" s="8">
        <v>2</v>
      </c>
      <c r="E624" s="8">
        <v>0.51396918296813965</v>
      </c>
      <c r="F624" s="8"/>
      <c r="G624" s="8">
        <v>0</v>
      </c>
      <c r="H624" s="8">
        <v>0.1022176519036293</v>
      </c>
      <c r="I624" s="8"/>
      <c r="J624" s="8">
        <v>0.44890463352203369</v>
      </c>
      <c r="K624" s="8">
        <v>7.091156393289566E-2</v>
      </c>
      <c r="L624" s="8">
        <v>4468087</v>
      </c>
      <c r="M624" t="s">
        <v>1052</v>
      </c>
    </row>
    <row r="625" spans="2:13">
      <c r="B625" t="s">
        <v>42</v>
      </c>
      <c r="C625" s="8">
        <v>2013</v>
      </c>
      <c r="D625" s="8">
        <v>3</v>
      </c>
      <c r="E625" s="8">
        <v>0.507129967212677</v>
      </c>
      <c r="F625" s="8"/>
      <c r="G625" s="8">
        <v>0</v>
      </c>
      <c r="H625" s="8">
        <v>9.797247126698494E-3</v>
      </c>
      <c r="I625" s="8"/>
      <c r="J625" s="8">
        <v>0.26196664571762085</v>
      </c>
      <c r="K625" s="8">
        <v>9.3223802745342255E-2</v>
      </c>
      <c r="L625" s="8">
        <v>4468087</v>
      </c>
      <c r="M625" t="s">
        <v>1052</v>
      </c>
    </row>
    <row r="626" spans="2:13">
      <c r="B626" t="s">
        <v>42</v>
      </c>
      <c r="C626" s="8">
        <v>2014</v>
      </c>
      <c r="D626" s="8">
        <v>1</v>
      </c>
      <c r="E626" s="8">
        <v>0.51542395353317261</v>
      </c>
      <c r="F626" s="8"/>
      <c r="G626" s="8">
        <v>0</v>
      </c>
      <c r="H626" s="8">
        <v>0.42667320370674133</v>
      </c>
      <c r="I626" s="8"/>
      <c r="J626" s="8">
        <v>0.48927798867225647</v>
      </c>
      <c r="K626" s="8">
        <v>4.6006668359041214E-2</v>
      </c>
      <c r="L626" s="8">
        <v>4468087</v>
      </c>
      <c r="M626" t="s">
        <v>1052</v>
      </c>
    </row>
    <row r="627" spans="2:13">
      <c r="B627" t="s">
        <v>42</v>
      </c>
      <c r="C627" s="8">
        <v>2014</v>
      </c>
      <c r="D627" s="8">
        <v>2</v>
      </c>
      <c r="E627" s="8">
        <v>0.51247686147689819</v>
      </c>
      <c r="F627" s="8"/>
      <c r="G627" s="8">
        <v>0</v>
      </c>
      <c r="H627" s="8">
        <v>0.11997991800308228</v>
      </c>
      <c r="I627" s="8"/>
      <c r="J627" s="8">
        <v>0.43842417001724243</v>
      </c>
      <c r="K627" s="8">
        <v>7.6420634984970093E-2</v>
      </c>
      <c r="L627" s="8">
        <v>4468087</v>
      </c>
      <c r="M627" t="s">
        <v>1052</v>
      </c>
    </row>
    <row r="628" spans="2:13">
      <c r="B628" t="s">
        <v>42</v>
      </c>
      <c r="C628" s="8">
        <v>2014</v>
      </c>
      <c r="D628" s="8">
        <v>3</v>
      </c>
      <c r="E628" s="8">
        <v>0.50854504108428955</v>
      </c>
      <c r="F628" s="8"/>
      <c r="G628" s="8">
        <v>0</v>
      </c>
      <c r="H628" s="8">
        <v>8.9348657056689262E-3</v>
      </c>
      <c r="I628" s="8"/>
      <c r="J628" s="8">
        <v>0.26145803928375244</v>
      </c>
      <c r="K628" s="8">
        <v>9.3623682856559753E-2</v>
      </c>
      <c r="L628" s="8">
        <v>4468087</v>
      </c>
      <c r="M628" t="s">
        <v>1052</v>
      </c>
    </row>
    <row r="629" spans="2:13">
      <c r="B629" t="s">
        <v>42</v>
      </c>
      <c r="C629" s="8">
        <v>2015</v>
      </c>
      <c r="D629" s="8">
        <v>1</v>
      </c>
      <c r="E629" s="8">
        <v>0.50752878189086914</v>
      </c>
      <c r="F629" s="8">
        <v>5.3764134645462036E-3</v>
      </c>
      <c r="G629" s="8">
        <v>6.677623838186264E-2</v>
      </c>
      <c r="H629" s="8">
        <v>0.5477449893951416</v>
      </c>
      <c r="I629" s="8"/>
      <c r="J629" s="8">
        <v>0.49000069499015808</v>
      </c>
      <c r="K629" s="8">
        <v>4.7658670693635941E-2</v>
      </c>
      <c r="L629" s="8">
        <v>4468087</v>
      </c>
      <c r="M629" t="s">
        <v>1052</v>
      </c>
    </row>
    <row r="630" spans="2:13">
      <c r="B630" t="s">
        <v>42</v>
      </c>
      <c r="C630" s="8">
        <v>2015</v>
      </c>
      <c r="D630" s="8">
        <v>2</v>
      </c>
      <c r="E630" s="8">
        <v>0.52203357219696045</v>
      </c>
      <c r="F630" s="8">
        <v>7.8881196677684784E-3</v>
      </c>
      <c r="G630" s="8">
        <v>9.785914421081543E-2</v>
      </c>
      <c r="H630" s="8">
        <v>0.29528963565826416</v>
      </c>
      <c r="I630" s="8"/>
      <c r="J630" s="8">
        <v>0.44336551427841187</v>
      </c>
      <c r="K630" s="8">
        <v>8.0308437347412109E-2</v>
      </c>
      <c r="L630" s="8">
        <v>4468087</v>
      </c>
      <c r="M630" t="s">
        <v>1052</v>
      </c>
    </row>
    <row r="631" spans="2:13">
      <c r="B631" t="s">
        <v>42</v>
      </c>
      <c r="C631" s="8">
        <v>2015</v>
      </c>
      <c r="D631" s="8">
        <v>3</v>
      </c>
      <c r="E631" s="8">
        <v>0.50451964139938354</v>
      </c>
      <c r="F631" s="8">
        <v>4.7488883137702942E-2</v>
      </c>
      <c r="G631" s="8">
        <v>0.16620765626430511</v>
      </c>
      <c r="H631" s="8">
        <v>6.7606277763843536E-2</v>
      </c>
      <c r="I631" s="8"/>
      <c r="J631" s="8">
        <v>0.25677606463432312</v>
      </c>
      <c r="K631" s="8">
        <v>9.5934823155403137E-2</v>
      </c>
      <c r="L631" s="8">
        <v>4468087</v>
      </c>
      <c r="M631" t="s">
        <v>1052</v>
      </c>
    </row>
    <row r="632" spans="2:13">
      <c r="B632" t="s">
        <v>42</v>
      </c>
      <c r="C632" s="8">
        <v>2016</v>
      </c>
      <c r="D632" s="8">
        <v>1</v>
      </c>
      <c r="E632" s="8">
        <v>0.51946729421615601</v>
      </c>
      <c r="F632" s="8"/>
      <c r="G632" s="8">
        <v>6.217554584145546E-2</v>
      </c>
      <c r="H632" s="8">
        <v>0.59145897626876831</v>
      </c>
      <c r="I632" s="8"/>
      <c r="J632" s="8">
        <v>0.5060005784034729</v>
      </c>
      <c r="K632" s="8">
        <v>3.7720751017332077E-2</v>
      </c>
      <c r="L632" s="8">
        <v>4468087</v>
      </c>
      <c r="M632" t="s">
        <v>1052</v>
      </c>
    </row>
    <row r="633" spans="2:13">
      <c r="B633" t="s">
        <v>42</v>
      </c>
      <c r="C633" s="8">
        <v>2016</v>
      </c>
      <c r="D633" s="8">
        <v>2</v>
      </c>
      <c r="E633" s="8">
        <v>0.53126984834671021</v>
      </c>
      <c r="F633" s="8"/>
      <c r="G633" s="8">
        <v>0.12442170828580856</v>
      </c>
      <c r="H633" s="8">
        <v>0.31772845983505249</v>
      </c>
      <c r="I633" s="8"/>
      <c r="J633" s="8">
        <v>0.46025189757347107</v>
      </c>
      <c r="K633" s="8">
        <v>7.1779705584049225E-2</v>
      </c>
      <c r="L633" s="8">
        <v>4468087</v>
      </c>
      <c r="M633" t="s">
        <v>1052</v>
      </c>
    </row>
    <row r="634" spans="2:13">
      <c r="B634" t="s">
        <v>42</v>
      </c>
      <c r="C634" s="8">
        <v>2016</v>
      </c>
      <c r="D634" s="8">
        <v>3</v>
      </c>
      <c r="E634" s="8">
        <v>0.50377833843231201</v>
      </c>
      <c r="F634" s="8"/>
      <c r="G634" s="8">
        <v>0.19044581055641174</v>
      </c>
      <c r="H634" s="8">
        <v>6.9471783936023712E-2</v>
      </c>
      <c r="I634" s="8"/>
      <c r="J634" s="8">
        <v>0.25796088576316833</v>
      </c>
      <c r="K634" s="8">
        <v>0.1020447164773941</v>
      </c>
      <c r="L634" s="8">
        <v>4468087</v>
      </c>
      <c r="M634" t="s">
        <v>1052</v>
      </c>
    </row>
    <row r="635" spans="2:13">
      <c r="B635" t="s">
        <v>42</v>
      </c>
      <c r="C635" s="8">
        <v>2017</v>
      </c>
      <c r="D635" s="8">
        <v>1</v>
      </c>
      <c r="E635" s="8">
        <v>0.52315270900726318</v>
      </c>
      <c r="F635" s="8">
        <v>5.9273303486406803E-3</v>
      </c>
      <c r="G635" s="8">
        <v>6.290677934885025E-2</v>
      </c>
      <c r="H635" s="8">
        <v>0.57523548603057861</v>
      </c>
      <c r="I635" s="8"/>
      <c r="J635" s="8">
        <v>0.50983911752700806</v>
      </c>
      <c r="K635" s="8">
        <v>3.1808171421289444E-2</v>
      </c>
      <c r="L635" s="8">
        <v>4468087</v>
      </c>
      <c r="M635" t="s">
        <v>1052</v>
      </c>
    </row>
    <row r="636" spans="2:13">
      <c r="B636" t="s">
        <v>42</v>
      </c>
      <c r="C636" s="8">
        <v>2017</v>
      </c>
      <c r="D636" s="8">
        <v>2</v>
      </c>
      <c r="E636" s="8">
        <v>0.50908815860748291</v>
      </c>
      <c r="F636" s="8">
        <v>1.5261179767549038E-2</v>
      </c>
      <c r="G636" s="8">
        <v>0.11347086727619171</v>
      </c>
      <c r="H636" s="8">
        <v>0.33796095848083496</v>
      </c>
      <c r="I636" s="8"/>
      <c r="J636" s="8">
        <v>0.43122100830078125</v>
      </c>
      <c r="K636" s="8">
        <v>8.0843269824981689E-2</v>
      </c>
      <c r="L636" s="8">
        <v>4468087</v>
      </c>
      <c r="M636" t="s">
        <v>1052</v>
      </c>
    </row>
    <row r="637" spans="2:13">
      <c r="B637" t="s">
        <v>42</v>
      </c>
      <c r="C637" s="8">
        <v>2017</v>
      </c>
      <c r="D637" s="8">
        <v>3</v>
      </c>
      <c r="E637" s="8">
        <v>0.50560015439987183</v>
      </c>
      <c r="F637" s="8">
        <v>5.1071431487798691E-2</v>
      </c>
      <c r="G637" s="8">
        <v>0.18302819132804871</v>
      </c>
      <c r="H637" s="8">
        <v>6.6552996635437012E-2</v>
      </c>
      <c r="I637" s="8"/>
      <c r="J637" s="8">
        <v>0.25906893610954285</v>
      </c>
      <c r="K637" s="8">
        <v>0.10744842886924744</v>
      </c>
      <c r="L637" s="8">
        <v>4468087</v>
      </c>
      <c r="M637" t="s">
        <v>1052</v>
      </c>
    </row>
    <row r="638" spans="2:13">
      <c r="B638" t="s">
        <v>42</v>
      </c>
      <c r="C638" s="8">
        <v>2018</v>
      </c>
      <c r="D638" s="8">
        <v>1</v>
      </c>
      <c r="E638" s="8">
        <v>0.51589822769165039</v>
      </c>
      <c r="F638" s="8">
        <v>9.0884100645780563E-3</v>
      </c>
      <c r="G638" s="8">
        <v>5.7036213576793671E-2</v>
      </c>
      <c r="H638" s="8">
        <v>0.58664083480834961</v>
      </c>
      <c r="I638" s="8"/>
      <c r="J638" s="8">
        <v>0.50588679313659668</v>
      </c>
      <c r="K638" s="8">
        <v>3.8245975971221924E-2</v>
      </c>
      <c r="L638" s="8">
        <v>4468087</v>
      </c>
      <c r="M638" t="s">
        <v>1052</v>
      </c>
    </row>
    <row r="639" spans="2:13">
      <c r="B639" t="s">
        <v>42</v>
      </c>
      <c r="C639" s="8">
        <v>2018</v>
      </c>
      <c r="D639" s="8">
        <v>2</v>
      </c>
      <c r="E639" s="8">
        <v>0.51798790693283081</v>
      </c>
      <c r="F639" s="8">
        <v>1.3856182806193829E-2</v>
      </c>
      <c r="G639" s="8">
        <v>0.10949922353029251</v>
      </c>
      <c r="H639" s="8">
        <v>0.31601333618164063</v>
      </c>
      <c r="I639" s="8"/>
      <c r="J639" s="8">
        <v>0.42744609713554382</v>
      </c>
      <c r="K639" s="8">
        <v>9.3982242047786713E-2</v>
      </c>
      <c r="L639" s="8">
        <v>4468087</v>
      </c>
      <c r="M639" t="s">
        <v>1052</v>
      </c>
    </row>
    <row r="640" spans="2:13">
      <c r="B640" t="s">
        <v>42</v>
      </c>
      <c r="C640" s="8">
        <v>2018</v>
      </c>
      <c r="D640" s="8">
        <v>3</v>
      </c>
      <c r="E640" s="8">
        <v>0.5053371787071228</v>
      </c>
      <c r="F640" s="8">
        <v>4.9474678933620453E-2</v>
      </c>
      <c r="G640" s="8">
        <v>0.17714248597621918</v>
      </c>
      <c r="H640" s="8">
        <v>6.4884483814239502E-2</v>
      </c>
      <c r="I640" s="8"/>
      <c r="J640" s="8">
        <v>0.25784268975257874</v>
      </c>
      <c r="K640" s="8">
        <v>0.10719317942857742</v>
      </c>
      <c r="L640" s="8">
        <v>4468087</v>
      </c>
      <c r="M640" t="s">
        <v>1052</v>
      </c>
    </row>
    <row r="641" spans="2:13">
      <c r="B641" t="s">
        <v>42</v>
      </c>
      <c r="C641" s="8">
        <v>2019</v>
      </c>
      <c r="D641" s="8">
        <v>1</v>
      </c>
      <c r="E641" s="8">
        <v>0.51908707618713379</v>
      </c>
      <c r="F641" s="8">
        <v>1.1705578304827213E-2</v>
      </c>
      <c r="G641" s="8">
        <v>0.12433537095785141</v>
      </c>
      <c r="H641" s="8">
        <v>0.53212630748748779</v>
      </c>
      <c r="I641" s="8"/>
      <c r="J641" s="8">
        <v>0.50596636533737183</v>
      </c>
      <c r="K641" s="8">
        <v>3.5917490720748901E-2</v>
      </c>
      <c r="L641" s="8">
        <v>4468087</v>
      </c>
      <c r="M641" t="s">
        <v>1052</v>
      </c>
    </row>
    <row r="642" spans="2:13">
      <c r="B642" t="s">
        <v>42</v>
      </c>
      <c r="C642" s="8">
        <v>2019</v>
      </c>
      <c r="D642" s="8">
        <v>2</v>
      </c>
      <c r="E642" s="8">
        <v>0.53426516056060791</v>
      </c>
      <c r="F642" s="8">
        <v>2.6623085141181946E-2</v>
      </c>
      <c r="G642" s="8">
        <v>0.20892484486103058</v>
      </c>
      <c r="H642" s="8">
        <v>0.30810689926147461</v>
      </c>
      <c r="I642" s="8"/>
      <c r="J642" s="8">
        <v>0.44958660006523132</v>
      </c>
      <c r="K642" s="8">
        <v>8.3117112517356873E-2</v>
      </c>
      <c r="L642" s="8">
        <v>4468087</v>
      </c>
      <c r="M642" t="s">
        <v>1052</v>
      </c>
    </row>
    <row r="643" spans="2:13">
      <c r="B643" t="s">
        <v>42</v>
      </c>
      <c r="C643" s="8">
        <v>2019</v>
      </c>
      <c r="D643" s="8">
        <v>3</v>
      </c>
      <c r="E643" s="8">
        <v>0.50589632987976074</v>
      </c>
      <c r="F643" s="8">
        <v>5.0771996378898621E-2</v>
      </c>
      <c r="G643" s="8">
        <v>0.25959378480911255</v>
      </c>
      <c r="H643" s="8">
        <v>7.4724107980728149E-2</v>
      </c>
      <c r="I643" s="8"/>
      <c r="J643" s="8">
        <v>0.25164893269538879</v>
      </c>
      <c r="K643" s="8">
        <v>0.11266307532787323</v>
      </c>
      <c r="L643" s="8">
        <v>4468087</v>
      </c>
      <c r="M643" t="s">
        <v>1052</v>
      </c>
    </row>
    <row r="644" spans="2:13">
      <c r="B644" t="s">
        <v>42</v>
      </c>
      <c r="C644" s="8">
        <v>2022</v>
      </c>
      <c r="D644" s="8">
        <v>1</v>
      </c>
      <c r="E644" s="8">
        <v>0.51724570989608765</v>
      </c>
      <c r="F644" s="8">
        <v>1.102028600871563E-2</v>
      </c>
      <c r="G644" s="8">
        <v>0.1110319122672081</v>
      </c>
      <c r="H644" s="8">
        <v>0.56480228900909424</v>
      </c>
      <c r="I644" s="8">
        <v>7.3287434875965118E-2</v>
      </c>
      <c r="J644" s="8">
        <v>0.49971184134483337</v>
      </c>
      <c r="K644" s="8">
        <v>4.372728243470192E-2</v>
      </c>
      <c r="L644" s="8">
        <v>4468087</v>
      </c>
      <c r="M644" t="s">
        <v>1052</v>
      </c>
    </row>
    <row r="645" spans="2:13">
      <c r="B645" t="s">
        <v>42</v>
      </c>
      <c r="C645" s="8">
        <v>2022</v>
      </c>
      <c r="D645" s="8">
        <v>2</v>
      </c>
      <c r="E645" s="8">
        <v>0.52302122116088867</v>
      </c>
      <c r="F645" s="8">
        <v>1.2306432239711285E-2</v>
      </c>
      <c r="G645" s="8">
        <v>0.23937627673149109</v>
      </c>
      <c r="H645" s="8">
        <v>0.28694462776184082</v>
      </c>
      <c r="I645" s="8">
        <v>0.12870243191719055</v>
      </c>
      <c r="J645" s="8">
        <v>0.40946581959724426</v>
      </c>
      <c r="K645" s="8">
        <v>9.8324298858642578E-2</v>
      </c>
      <c r="L645" s="8">
        <v>4468087</v>
      </c>
      <c r="M645" t="s">
        <v>1052</v>
      </c>
    </row>
    <row r="646" spans="2:13">
      <c r="B646" t="s">
        <v>42</v>
      </c>
      <c r="C646" s="8">
        <v>2022</v>
      </c>
      <c r="D646" s="8">
        <v>3</v>
      </c>
      <c r="E646" s="8">
        <v>0.50935107469558716</v>
      </c>
      <c r="F646" s="8">
        <v>4.5528821647167206E-2</v>
      </c>
      <c r="G646" s="8">
        <v>0.31410297751426697</v>
      </c>
      <c r="H646" s="8">
        <v>7.1846365928649902E-2</v>
      </c>
      <c r="I646" s="8">
        <v>0.12400993704795837</v>
      </c>
      <c r="J646" s="8">
        <v>0.23956218361854553</v>
      </c>
      <c r="K646" s="8">
        <v>0.13191331923007965</v>
      </c>
      <c r="L646" s="8">
        <v>4468087</v>
      </c>
      <c r="M646" t="s">
        <v>1052</v>
      </c>
    </row>
    <row r="647" spans="2:13">
      <c r="B647" t="s">
        <v>44</v>
      </c>
      <c r="C647" s="8">
        <v>2003</v>
      </c>
      <c r="D647" s="8">
        <v>1</v>
      </c>
      <c r="E647" s="8">
        <v>0.50753772258758545</v>
      </c>
      <c r="F647" s="8">
        <v>9.273746982216835E-4</v>
      </c>
      <c r="G647" s="8"/>
      <c r="H647" s="8"/>
      <c r="I647" s="8"/>
      <c r="J647" s="8">
        <v>0.456827312707901</v>
      </c>
      <c r="K647" s="8">
        <v>4.8174601048231125E-2</v>
      </c>
      <c r="L647" s="8">
        <v>34352719</v>
      </c>
      <c r="M647" t="s">
        <v>1052</v>
      </c>
    </row>
    <row r="648" spans="2:13">
      <c r="B648" t="s">
        <v>44</v>
      </c>
      <c r="C648" s="8">
        <v>2003</v>
      </c>
      <c r="D648" s="8">
        <v>2</v>
      </c>
      <c r="E648" s="8">
        <v>0.50958675146102905</v>
      </c>
      <c r="F648" s="8">
        <v>1.1141722789034247E-3</v>
      </c>
      <c r="G648" s="8"/>
      <c r="H648" s="8"/>
      <c r="I648" s="8"/>
      <c r="J648" s="8">
        <v>0.34326326847076416</v>
      </c>
      <c r="K648" s="8">
        <v>5.930139496922493E-2</v>
      </c>
      <c r="L648" s="8">
        <v>34352719</v>
      </c>
      <c r="M648" t="s">
        <v>1052</v>
      </c>
    </row>
    <row r="649" spans="2:13">
      <c r="B649" t="s">
        <v>44</v>
      </c>
      <c r="C649" s="8">
        <v>2003</v>
      </c>
      <c r="D649" s="8">
        <v>3</v>
      </c>
      <c r="E649" s="8">
        <v>0.51162952184677124</v>
      </c>
      <c r="F649" s="8">
        <v>7.5151682831346989E-3</v>
      </c>
      <c r="G649" s="8"/>
      <c r="H649" s="8"/>
      <c r="I649" s="8"/>
      <c r="J649" s="8">
        <v>0.23171086609363556</v>
      </c>
      <c r="K649" s="8">
        <v>8.5480600595474243E-2</v>
      </c>
      <c r="L649" s="8">
        <v>34352719</v>
      </c>
      <c r="M649" t="s">
        <v>1052</v>
      </c>
    </row>
    <row r="650" spans="2:13">
      <c r="B650" t="s">
        <v>44</v>
      </c>
      <c r="C650" s="8">
        <v>2004</v>
      </c>
      <c r="D650" s="8">
        <v>1</v>
      </c>
      <c r="E650" s="8">
        <v>0.50515276193618774</v>
      </c>
      <c r="F650" s="8">
        <v>1.0817997390404344E-3</v>
      </c>
      <c r="G650" s="8">
        <v>1.7610661685466766E-2</v>
      </c>
      <c r="H650" s="8">
        <v>0.52111470699310303</v>
      </c>
      <c r="I650" s="8"/>
      <c r="J650" s="8">
        <v>0.4360804557800293</v>
      </c>
      <c r="K650" s="8">
        <v>5.8663412928581238E-2</v>
      </c>
      <c r="L650" s="8">
        <v>34352719</v>
      </c>
      <c r="M650" t="s">
        <v>1052</v>
      </c>
    </row>
    <row r="651" spans="2:13">
      <c r="B651" t="s">
        <v>44</v>
      </c>
      <c r="C651" s="8">
        <v>2004</v>
      </c>
      <c r="D651" s="8">
        <v>2</v>
      </c>
      <c r="E651" s="8">
        <v>0.50671476125717163</v>
      </c>
      <c r="F651" s="8">
        <v>1.238881959579885E-3</v>
      </c>
      <c r="G651" s="8">
        <v>1.7989318817853928E-2</v>
      </c>
      <c r="H651" s="8">
        <v>0.3842511773109436</v>
      </c>
      <c r="I651" s="8"/>
      <c r="J651" s="8">
        <v>0.33373075723648071</v>
      </c>
      <c r="K651" s="8">
        <v>5.6899569928646088E-2</v>
      </c>
      <c r="L651" s="8">
        <v>34352719</v>
      </c>
      <c r="M651" t="s">
        <v>1052</v>
      </c>
    </row>
    <row r="652" spans="2:13">
      <c r="B652" t="s">
        <v>44</v>
      </c>
      <c r="C652" s="8">
        <v>2004</v>
      </c>
      <c r="D652" s="8">
        <v>3</v>
      </c>
      <c r="E652" s="8">
        <v>0.50520038604736328</v>
      </c>
      <c r="F652" s="8">
        <v>4.9838582053780556E-3</v>
      </c>
      <c r="G652" s="8">
        <v>1.2860209681093693E-2</v>
      </c>
      <c r="H652" s="8">
        <v>0.25432950258255005</v>
      </c>
      <c r="I652" s="8"/>
      <c r="J652" s="8">
        <v>0.23048669099807739</v>
      </c>
      <c r="K652" s="8">
        <v>8.544236421585083E-2</v>
      </c>
      <c r="L652" s="8">
        <v>34352719</v>
      </c>
      <c r="M652" t="s">
        <v>1052</v>
      </c>
    </row>
    <row r="653" spans="2:13">
      <c r="B653" t="s">
        <v>44</v>
      </c>
      <c r="C653" s="8">
        <v>2005</v>
      </c>
      <c r="D653" s="8">
        <v>1</v>
      </c>
      <c r="E653" s="8">
        <v>0.51055371761322021</v>
      </c>
      <c r="F653" s="8">
        <v>1.0021401103585958E-3</v>
      </c>
      <c r="G653" s="8"/>
      <c r="H653" s="8"/>
      <c r="I653" s="8"/>
      <c r="J653" s="8">
        <v>0.42463603615760803</v>
      </c>
      <c r="K653" s="8">
        <v>6.35862797498703E-2</v>
      </c>
      <c r="L653" s="8">
        <v>34352719</v>
      </c>
      <c r="M653" t="s">
        <v>1052</v>
      </c>
    </row>
    <row r="654" spans="2:13">
      <c r="B654" t="s">
        <v>44</v>
      </c>
      <c r="C654" s="8">
        <v>2005</v>
      </c>
      <c r="D654" s="8">
        <v>2</v>
      </c>
      <c r="E654" s="8">
        <v>0.50838011503219604</v>
      </c>
      <c r="F654" s="8">
        <v>2.5248073507100344E-3</v>
      </c>
      <c r="G654" s="8"/>
      <c r="H654" s="8"/>
      <c r="I654" s="8"/>
      <c r="J654" s="8">
        <v>0.33011537790298462</v>
      </c>
      <c r="K654" s="8">
        <v>6.209394708275795E-2</v>
      </c>
      <c r="L654" s="8">
        <v>34352719</v>
      </c>
      <c r="M654" t="s">
        <v>1052</v>
      </c>
    </row>
    <row r="655" spans="2:13">
      <c r="B655" t="s">
        <v>44</v>
      </c>
      <c r="C655" s="8">
        <v>2005</v>
      </c>
      <c r="D655" s="8">
        <v>3</v>
      </c>
      <c r="E655" s="8">
        <v>0.50556403398513794</v>
      </c>
      <c r="F655" s="8">
        <v>4.5713051222264767E-3</v>
      </c>
      <c r="G655" s="8"/>
      <c r="H655" s="8"/>
      <c r="I655" s="8"/>
      <c r="J655" s="8">
        <v>0.21894736588001251</v>
      </c>
      <c r="K655" s="8">
        <v>9.6990123391151428E-2</v>
      </c>
      <c r="L655" s="8">
        <v>34352719</v>
      </c>
      <c r="M655" t="s">
        <v>1052</v>
      </c>
    </row>
    <row r="656" spans="2:13">
      <c r="B656" t="s">
        <v>44</v>
      </c>
      <c r="C656" s="8">
        <v>2006</v>
      </c>
      <c r="D656" s="8">
        <v>1</v>
      </c>
      <c r="E656" s="8">
        <v>0.50984764099121094</v>
      </c>
      <c r="F656" s="8">
        <v>1.0831315303221345E-3</v>
      </c>
      <c r="G656" s="8"/>
      <c r="H656" s="8"/>
      <c r="I656" s="8"/>
      <c r="J656" s="8">
        <v>0.43213793635368347</v>
      </c>
      <c r="K656" s="8">
        <v>6.8729832768440247E-2</v>
      </c>
      <c r="L656" s="8">
        <v>34352719</v>
      </c>
      <c r="M656" t="s">
        <v>1052</v>
      </c>
    </row>
    <row r="657" spans="2:13">
      <c r="B657" t="s">
        <v>44</v>
      </c>
      <c r="C657" s="8">
        <v>2006</v>
      </c>
      <c r="D657" s="8">
        <v>2</v>
      </c>
      <c r="E657" s="8">
        <v>0.49516668915748596</v>
      </c>
      <c r="F657" s="8">
        <v>1.9407866057008505E-3</v>
      </c>
      <c r="G657" s="8"/>
      <c r="H657" s="8"/>
      <c r="I657" s="8"/>
      <c r="J657" s="8">
        <v>0.33977830410003662</v>
      </c>
      <c r="K657" s="8">
        <v>6.2210232019424438E-2</v>
      </c>
      <c r="L657" s="8">
        <v>34352719</v>
      </c>
      <c r="M657" t="s">
        <v>1052</v>
      </c>
    </row>
    <row r="658" spans="2:13">
      <c r="B658" t="s">
        <v>44</v>
      </c>
      <c r="C658" s="8">
        <v>2006</v>
      </c>
      <c r="D658" s="8">
        <v>3</v>
      </c>
      <c r="E658" s="8">
        <v>0.50508099794387817</v>
      </c>
      <c r="F658" s="8">
        <v>3.2590446062386036E-3</v>
      </c>
      <c r="G658" s="8"/>
      <c r="H658" s="8"/>
      <c r="I658" s="8"/>
      <c r="J658" s="8">
        <v>0.22172568738460541</v>
      </c>
      <c r="K658" s="8">
        <v>9.2521399259567261E-2</v>
      </c>
      <c r="L658" s="8">
        <v>34352719</v>
      </c>
      <c r="M658" t="s">
        <v>1052</v>
      </c>
    </row>
    <row r="659" spans="2:13">
      <c r="B659" t="s">
        <v>44</v>
      </c>
      <c r="C659" s="8">
        <v>2007</v>
      </c>
      <c r="D659" s="8">
        <v>1</v>
      </c>
      <c r="E659" s="8">
        <v>0.51429212093353271</v>
      </c>
      <c r="F659" s="8">
        <v>8.25007155071944E-4</v>
      </c>
      <c r="G659" s="8"/>
      <c r="H659" s="8"/>
      <c r="I659" s="8"/>
      <c r="J659" s="8">
        <v>0.44195353984832764</v>
      </c>
      <c r="K659" s="8">
        <v>6.510702520608902E-2</v>
      </c>
      <c r="L659" s="8">
        <v>34352719</v>
      </c>
      <c r="M659" t="s">
        <v>1052</v>
      </c>
    </row>
    <row r="660" spans="2:13">
      <c r="B660" t="s">
        <v>44</v>
      </c>
      <c r="C660" s="8">
        <v>2007</v>
      </c>
      <c r="D660" s="8">
        <v>2</v>
      </c>
      <c r="E660" s="8">
        <v>0.5047680139541626</v>
      </c>
      <c r="F660" s="8">
        <v>1.4929063618183136E-3</v>
      </c>
      <c r="G660" s="8"/>
      <c r="H660" s="8"/>
      <c r="I660" s="8"/>
      <c r="J660" s="8">
        <v>0.3508097231388092</v>
      </c>
      <c r="K660" s="8">
        <v>6.2251430004835129E-2</v>
      </c>
      <c r="L660" s="8">
        <v>34352719</v>
      </c>
      <c r="M660" t="s">
        <v>1052</v>
      </c>
    </row>
    <row r="661" spans="2:13">
      <c r="B661" t="s">
        <v>44</v>
      </c>
      <c r="C661" s="8">
        <v>2007</v>
      </c>
      <c r="D661" s="8">
        <v>3</v>
      </c>
      <c r="E661" s="8">
        <v>0.50867444276809692</v>
      </c>
      <c r="F661" s="8">
        <v>4.6140975318849087E-3</v>
      </c>
      <c r="G661" s="8"/>
      <c r="H661" s="8"/>
      <c r="I661" s="8"/>
      <c r="J661" s="8">
        <v>0.23466765880584717</v>
      </c>
      <c r="K661" s="8">
        <v>8.7887369096279144E-2</v>
      </c>
      <c r="L661" s="8">
        <v>34352719</v>
      </c>
      <c r="M661" t="s">
        <v>1052</v>
      </c>
    </row>
    <row r="662" spans="2:13">
      <c r="B662" t="s">
        <v>44</v>
      </c>
      <c r="C662" s="8">
        <v>2008</v>
      </c>
      <c r="D662" s="8">
        <v>1</v>
      </c>
      <c r="E662" s="8">
        <v>0.51176738739013672</v>
      </c>
      <c r="F662" s="8">
        <v>1.2881865259259939E-3</v>
      </c>
      <c r="G662" s="8"/>
      <c r="H662" s="8"/>
      <c r="I662" s="8"/>
      <c r="J662" s="8">
        <v>0.43313473463058472</v>
      </c>
      <c r="K662" s="8">
        <v>7.158476859331131E-2</v>
      </c>
      <c r="L662" s="8">
        <v>34352719</v>
      </c>
      <c r="M662" t="s">
        <v>1052</v>
      </c>
    </row>
    <row r="663" spans="2:13">
      <c r="B663" t="s">
        <v>44</v>
      </c>
      <c r="C663" s="8">
        <v>2008</v>
      </c>
      <c r="D663" s="8">
        <v>2</v>
      </c>
      <c r="E663" s="8">
        <v>0.51471376419067383</v>
      </c>
      <c r="F663" s="8">
        <v>1.9774127285927534E-3</v>
      </c>
      <c r="G663" s="8"/>
      <c r="H663" s="8"/>
      <c r="I663" s="8"/>
      <c r="J663" s="8">
        <v>0.35204911231994629</v>
      </c>
      <c r="K663" s="8">
        <v>6.3292130827903748E-2</v>
      </c>
      <c r="L663" s="8">
        <v>34352719</v>
      </c>
      <c r="M663" t="s">
        <v>1052</v>
      </c>
    </row>
    <row r="664" spans="2:13">
      <c r="B664" t="s">
        <v>44</v>
      </c>
      <c r="C664" s="8">
        <v>2008</v>
      </c>
      <c r="D664" s="8">
        <v>3</v>
      </c>
      <c r="E664" s="8">
        <v>0.50819319486618042</v>
      </c>
      <c r="F664" s="8">
        <v>4.991128109395504E-3</v>
      </c>
      <c r="G664" s="8"/>
      <c r="H664" s="8"/>
      <c r="I664" s="8"/>
      <c r="J664" s="8">
        <v>0.23614414036273956</v>
      </c>
      <c r="K664" s="8">
        <v>8.4281697869300842E-2</v>
      </c>
      <c r="L664" s="8">
        <v>34352719</v>
      </c>
      <c r="M664" t="s">
        <v>1052</v>
      </c>
    </row>
    <row r="665" spans="2:13">
      <c r="B665" t="s">
        <v>44</v>
      </c>
      <c r="C665" s="8">
        <v>2009</v>
      </c>
      <c r="D665" s="8">
        <v>1</v>
      </c>
      <c r="E665" s="8">
        <v>0.50728857517242432</v>
      </c>
      <c r="F665" s="8">
        <v>1.0126460110768676E-3</v>
      </c>
      <c r="G665" s="8"/>
      <c r="H665" s="8"/>
      <c r="I665" s="8"/>
      <c r="J665" s="8">
        <v>0.40518113970756531</v>
      </c>
      <c r="K665" s="8">
        <v>9.3287773430347443E-2</v>
      </c>
      <c r="L665" s="8">
        <v>34352719</v>
      </c>
      <c r="M665" t="s">
        <v>1052</v>
      </c>
    </row>
    <row r="666" spans="2:13">
      <c r="B666" t="s">
        <v>44</v>
      </c>
      <c r="C666" s="8">
        <v>2009</v>
      </c>
      <c r="D666" s="8">
        <v>2</v>
      </c>
      <c r="E666" s="8">
        <v>0.51099646091461182</v>
      </c>
      <c r="F666" s="8">
        <v>1.1173059465363622E-3</v>
      </c>
      <c r="G666" s="8"/>
      <c r="H666" s="8"/>
      <c r="I666" s="8"/>
      <c r="J666" s="8">
        <v>0.35574710369110107</v>
      </c>
      <c r="K666" s="8">
        <v>7.0322148501873016E-2</v>
      </c>
      <c r="L666" s="8">
        <v>34352719</v>
      </c>
      <c r="M666" t="s">
        <v>1052</v>
      </c>
    </row>
    <row r="667" spans="2:13">
      <c r="B667" t="s">
        <v>44</v>
      </c>
      <c r="C667" s="8">
        <v>2009</v>
      </c>
      <c r="D667" s="8">
        <v>3</v>
      </c>
      <c r="E667" s="8">
        <v>0.50910419225692749</v>
      </c>
      <c r="F667" s="8">
        <v>4.7981934621930122E-3</v>
      </c>
      <c r="G667" s="8"/>
      <c r="H667" s="8"/>
      <c r="I667" s="8"/>
      <c r="J667" s="8">
        <v>0.26174148917198181</v>
      </c>
      <c r="K667" s="8">
        <v>7.8539185225963593E-2</v>
      </c>
      <c r="L667" s="8">
        <v>34352719</v>
      </c>
      <c r="M667" t="s">
        <v>1052</v>
      </c>
    </row>
    <row r="668" spans="2:13">
      <c r="B668" t="s">
        <v>44</v>
      </c>
      <c r="C668" s="8">
        <v>2010</v>
      </c>
      <c r="D668" s="8">
        <v>1</v>
      </c>
      <c r="E668" s="8">
        <v>0.51323455572128296</v>
      </c>
      <c r="F668" s="8">
        <v>9.4805617118254304E-4</v>
      </c>
      <c r="G668" s="8"/>
      <c r="H668" s="8"/>
      <c r="I668" s="8"/>
      <c r="J668" s="8">
        <v>0.3965621292591095</v>
      </c>
      <c r="K668" s="8">
        <v>9.4062186777591705E-2</v>
      </c>
      <c r="L668" s="8">
        <v>34352719</v>
      </c>
      <c r="M668" t="s">
        <v>1052</v>
      </c>
    </row>
    <row r="669" spans="2:13">
      <c r="B669" t="s">
        <v>44</v>
      </c>
      <c r="C669" s="8">
        <v>2010</v>
      </c>
      <c r="D669" s="8">
        <v>2</v>
      </c>
      <c r="E669" s="8">
        <v>0.51175880432128906</v>
      </c>
      <c r="F669" s="8">
        <v>1.2861390132457018E-3</v>
      </c>
      <c r="G669" s="8"/>
      <c r="H669" s="8"/>
      <c r="I669" s="8"/>
      <c r="J669" s="8">
        <v>0.34496110677719116</v>
      </c>
      <c r="K669" s="8">
        <v>8.4485426545143127E-2</v>
      </c>
      <c r="L669" s="8">
        <v>34352719</v>
      </c>
      <c r="M669" t="s">
        <v>1052</v>
      </c>
    </row>
    <row r="670" spans="2:13">
      <c r="B670" t="s">
        <v>44</v>
      </c>
      <c r="C670" s="8">
        <v>2010</v>
      </c>
      <c r="D670" s="8">
        <v>3</v>
      </c>
      <c r="E670" s="8">
        <v>0.50931107997894287</v>
      </c>
      <c r="F670" s="8">
        <v>4.1800737380981445E-3</v>
      </c>
      <c r="G670" s="8"/>
      <c r="H670" s="8"/>
      <c r="I670" s="8"/>
      <c r="J670" s="8">
        <v>0.26346459984779358</v>
      </c>
      <c r="K670" s="8">
        <v>8.1942647695541382E-2</v>
      </c>
      <c r="L670" s="8">
        <v>34352719</v>
      </c>
      <c r="M670" t="s">
        <v>1052</v>
      </c>
    </row>
    <row r="671" spans="2:13">
      <c r="B671" t="s">
        <v>44</v>
      </c>
      <c r="C671" s="8">
        <v>2011</v>
      </c>
      <c r="D671" s="8">
        <v>1</v>
      </c>
      <c r="E671" s="8">
        <v>0.51969712972640991</v>
      </c>
      <c r="F671" s="8">
        <v>4.5973347732797265E-4</v>
      </c>
      <c r="G671" s="8"/>
      <c r="H671" s="8"/>
      <c r="I671" s="8"/>
      <c r="J671" s="8">
        <v>0.4103124737739563</v>
      </c>
      <c r="K671" s="8">
        <v>9.7042694687843323E-2</v>
      </c>
      <c r="L671" s="8">
        <v>34352719</v>
      </c>
      <c r="M671" t="s">
        <v>1052</v>
      </c>
    </row>
    <row r="672" spans="2:13">
      <c r="B672" t="s">
        <v>44</v>
      </c>
      <c r="C672" s="8">
        <v>2011</v>
      </c>
      <c r="D672" s="8">
        <v>2</v>
      </c>
      <c r="E672" s="8">
        <v>0.51524901390075684</v>
      </c>
      <c r="F672" s="8">
        <v>1.487534842453897E-3</v>
      </c>
      <c r="G672" s="8"/>
      <c r="H672" s="8"/>
      <c r="I672" s="8"/>
      <c r="J672" s="8">
        <v>0.35249832272529602</v>
      </c>
      <c r="K672" s="8">
        <v>8.0926015973091125E-2</v>
      </c>
      <c r="L672" s="8">
        <v>34352719</v>
      </c>
      <c r="M672" t="s">
        <v>1052</v>
      </c>
    </row>
    <row r="673" spans="2:13">
      <c r="B673" t="s">
        <v>44</v>
      </c>
      <c r="C673" s="8">
        <v>2011</v>
      </c>
      <c r="D673" s="8">
        <v>3</v>
      </c>
      <c r="E673" s="8">
        <v>0.5027201771736145</v>
      </c>
      <c r="F673" s="8">
        <v>3.710845485329628E-3</v>
      </c>
      <c r="G673" s="8"/>
      <c r="H673" s="8"/>
      <c r="I673" s="8"/>
      <c r="J673" s="8">
        <v>0.23186019062995911</v>
      </c>
      <c r="K673" s="8">
        <v>9.3996904790401459E-2</v>
      </c>
      <c r="L673" s="8">
        <v>34352719</v>
      </c>
      <c r="M673" t="s">
        <v>1052</v>
      </c>
    </row>
    <row r="674" spans="2:13">
      <c r="B674" t="s">
        <v>44</v>
      </c>
      <c r="C674" s="8">
        <v>2012</v>
      </c>
      <c r="D674" s="8">
        <v>1</v>
      </c>
      <c r="E674" s="8">
        <v>0.51437056064605713</v>
      </c>
      <c r="F674" s="8">
        <v>6.0425832634791732E-4</v>
      </c>
      <c r="G674" s="8">
        <v>1.7072644084692001E-2</v>
      </c>
      <c r="H674" s="8">
        <v>0.47602599859237671</v>
      </c>
      <c r="I674" s="8"/>
      <c r="J674" s="8">
        <v>0.40307357907295227</v>
      </c>
      <c r="K674" s="8">
        <v>9.8309598863124847E-2</v>
      </c>
      <c r="L674" s="8">
        <v>34352719</v>
      </c>
      <c r="M674" t="s">
        <v>1052</v>
      </c>
    </row>
    <row r="675" spans="2:13">
      <c r="B675" t="s">
        <v>44</v>
      </c>
      <c r="C675" s="8">
        <v>2012</v>
      </c>
      <c r="D675" s="8">
        <v>2</v>
      </c>
      <c r="E675" s="8">
        <v>0.51582890748977661</v>
      </c>
      <c r="F675" s="8">
        <v>2.1898034028708935E-3</v>
      </c>
      <c r="G675" s="8">
        <v>1.8914410844445229E-2</v>
      </c>
      <c r="H675" s="8">
        <v>0.36500614881515503</v>
      </c>
      <c r="I675" s="8"/>
      <c r="J675" s="8">
        <v>0.34650260210037231</v>
      </c>
      <c r="K675" s="8">
        <v>8.4836862981319427E-2</v>
      </c>
      <c r="L675" s="8">
        <v>34352719</v>
      </c>
      <c r="M675" t="s">
        <v>1052</v>
      </c>
    </row>
    <row r="676" spans="2:13">
      <c r="B676" t="s">
        <v>44</v>
      </c>
      <c r="C676" s="8">
        <v>2012</v>
      </c>
      <c r="D676" s="8">
        <v>3</v>
      </c>
      <c r="E676" s="8">
        <v>0.50752031803131104</v>
      </c>
      <c r="F676" s="8">
        <v>3.452888922765851E-3</v>
      </c>
      <c r="G676" s="8">
        <v>2.119932509958744E-2</v>
      </c>
      <c r="H676" s="8">
        <v>0.23285171389579773</v>
      </c>
      <c r="I676" s="8"/>
      <c r="J676" s="8">
        <v>0.22566984593868256</v>
      </c>
      <c r="K676" s="8">
        <v>9.7584232687950134E-2</v>
      </c>
      <c r="L676" s="8">
        <v>34352719</v>
      </c>
      <c r="M676" t="s">
        <v>1052</v>
      </c>
    </row>
    <row r="677" spans="2:13">
      <c r="B677" t="s">
        <v>44</v>
      </c>
      <c r="C677" s="8">
        <v>2013</v>
      </c>
      <c r="D677" s="8">
        <v>1</v>
      </c>
      <c r="E677" s="8">
        <v>0.51886796951293945</v>
      </c>
      <c r="F677" s="8">
        <v>9.3031721189618111E-4</v>
      </c>
      <c r="G677" s="8">
        <v>1.8210992217063904E-2</v>
      </c>
      <c r="H677" s="8">
        <v>0.43688452243804932</v>
      </c>
      <c r="I677" s="8"/>
      <c r="J677" s="8">
        <v>0.39753592014312744</v>
      </c>
      <c r="K677" s="8">
        <v>9.9347889423370361E-2</v>
      </c>
      <c r="L677" s="8">
        <v>34352719</v>
      </c>
      <c r="M677" t="s">
        <v>1052</v>
      </c>
    </row>
    <row r="678" spans="2:13">
      <c r="B678" t="s">
        <v>44</v>
      </c>
      <c r="C678" s="8">
        <v>2013</v>
      </c>
      <c r="D678" s="8">
        <v>2</v>
      </c>
      <c r="E678" s="8">
        <v>0.51155710220336914</v>
      </c>
      <c r="F678" s="8">
        <v>2.3938431404531002E-3</v>
      </c>
      <c r="G678" s="8">
        <v>1.7046647146344185E-2</v>
      </c>
      <c r="H678" s="8">
        <v>0.33853739500045776</v>
      </c>
      <c r="I678" s="8"/>
      <c r="J678" s="8">
        <v>0.34367546439170837</v>
      </c>
      <c r="K678" s="8">
        <v>9.5185995101928711E-2</v>
      </c>
      <c r="L678" s="8">
        <v>34352719</v>
      </c>
      <c r="M678" t="s">
        <v>1052</v>
      </c>
    </row>
    <row r="679" spans="2:13">
      <c r="B679" t="s">
        <v>44</v>
      </c>
      <c r="C679" s="8">
        <v>2013</v>
      </c>
      <c r="D679" s="8">
        <v>3</v>
      </c>
      <c r="E679" s="8">
        <v>0.50290375947952271</v>
      </c>
      <c r="F679" s="8">
        <v>3.3894265070557594E-3</v>
      </c>
      <c r="G679" s="8">
        <v>1.577390544116497E-2</v>
      </c>
      <c r="H679" s="8">
        <v>0.2187039852142334</v>
      </c>
      <c r="I679" s="8"/>
      <c r="J679" s="8">
        <v>0.22355128824710846</v>
      </c>
      <c r="K679" s="8">
        <v>9.7189672291278839E-2</v>
      </c>
      <c r="L679" s="8">
        <v>34352719</v>
      </c>
      <c r="M679" t="s">
        <v>1052</v>
      </c>
    </row>
    <row r="680" spans="2:13">
      <c r="B680" t="s">
        <v>44</v>
      </c>
      <c r="C680" s="8">
        <v>2014</v>
      </c>
      <c r="D680" s="8">
        <v>1</v>
      </c>
      <c r="E680" s="8">
        <v>0.51765984296798706</v>
      </c>
      <c r="F680" s="8">
        <v>6.1821157578378916E-4</v>
      </c>
      <c r="G680" s="8">
        <v>2.1985257044434547E-2</v>
      </c>
      <c r="H680" s="8">
        <v>0.44385001063346863</v>
      </c>
      <c r="I680" s="8">
        <v>4.906776174902916E-2</v>
      </c>
      <c r="J680" s="8">
        <v>0.40006950497627258</v>
      </c>
      <c r="K680" s="8">
        <v>9.341122955083847E-2</v>
      </c>
      <c r="L680" s="8">
        <v>34352719</v>
      </c>
      <c r="M680" t="s">
        <v>1052</v>
      </c>
    </row>
    <row r="681" spans="2:13">
      <c r="B681" t="s">
        <v>44</v>
      </c>
      <c r="C681" s="8">
        <v>2014</v>
      </c>
      <c r="D681" s="8">
        <v>2</v>
      </c>
      <c r="E681" s="8">
        <v>0.518798828125</v>
      </c>
      <c r="F681" s="8">
        <v>2.220809692516923E-3</v>
      </c>
      <c r="G681" s="8">
        <v>2.0736878737807274E-2</v>
      </c>
      <c r="H681" s="8">
        <v>0.35793063044548035</v>
      </c>
      <c r="I681" s="8">
        <v>4.9740727990865707E-2</v>
      </c>
      <c r="J681" s="8">
        <v>0.33930599689483643</v>
      </c>
      <c r="K681" s="8">
        <v>9.8118133842945099E-2</v>
      </c>
      <c r="L681" s="8">
        <v>34352719</v>
      </c>
      <c r="M681" t="s">
        <v>1052</v>
      </c>
    </row>
    <row r="682" spans="2:13">
      <c r="B682" t="s">
        <v>44</v>
      </c>
      <c r="C682" s="8">
        <v>2014</v>
      </c>
      <c r="D682" s="8">
        <v>3</v>
      </c>
      <c r="E682" s="8">
        <v>0.50806808471679688</v>
      </c>
      <c r="F682" s="8">
        <v>3.9582066237926483E-3</v>
      </c>
      <c r="G682" s="8">
        <v>2.0428938791155815E-2</v>
      </c>
      <c r="H682" s="8">
        <v>0.20696955919265747</v>
      </c>
      <c r="I682" s="8">
        <v>3.9384592324495316E-2</v>
      </c>
      <c r="J682" s="8">
        <v>0.22113913297653198</v>
      </c>
      <c r="K682" s="8">
        <v>0.10212301462888718</v>
      </c>
      <c r="L682" s="8">
        <v>34352719</v>
      </c>
      <c r="M682" t="s">
        <v>1052</v>
      </c>
    </row>
    <row r="683" spans="2:13">
      <c r="B683" t="s">
        <v>44</v>
      </c>
      <c r="C683" s="8">
        <v>2015</v>
      </c>
      <c r="D683" s="8">
        <v>1</v>
      </c>
      <c r="E683" s="8">
        <v>0.51563447713851929</v>
      </c>
      <c r="F683" s="8">
        <v>1.3646319275721908E-3</v>
      </c>
      <c r="G683" s="8">
        <v>2.4852147325873375E-2</v>
      </c>
      <c r="H683" s="8">
        <v>0.44918650388717651</v>
      </c>
      <c r="I683" s="8">
        <v>4.2750030755996704E-2</v>
      </c>
      <c r="J683" s="8">
        <v>0.40845242142677307</v>
      </c>
      <c r="K683" s="8">
        <v>8.9670293033123016E-2</v>
      </c>
      <c r="L683" s="8">
        <v>34352719</v>
      </c>
      <c r="M683" t="s">
        <v>1052</v>
      </c>
    </row>
    <row r="684" spans="2:13">
      <c r="B684" t="s">
        <v>44</v>
      </c>
      <c r="C684" s="8">
        <v>2015</v>
      </c>
      <c r="D684" s="8">
        <v>2</v>
      </c>
      <c r="E684" s="8">
        <v>0.52182769775390625</v>
      </c>
      <c r="F684" s="8">
        <v>9.3530648155137897E-4</v>
      </c>
      <c r="G684" s="8">
        <v>2.6560463011264801E-2</v>
      </c>
      <c r="H684" s="8">
        <v>0.36413311958312988</v>
      </c>
      <c r="I684" s="8">
        <v>4.0616936981678009E-2</v>
      </c>
      <c r="J684" s="8">
        <v>0.34917375445365906</v>
      </c>
      <c r="K684" s="8">
        <v>9.933529794216156E-2</v>
      </c>
      <c r="L684" s="8">
        <v>34352719</v>
      </c>
      <c r="M684" t="s">
        <v>1052</v>
      </c>
    </row>
    <row r="685" spans="2:13">
      <c r="B685" t="s">
        <v>44</v>
      </c>
      <c r="C685" s="8">
        <v>2015</v>
      </c>
      <c r="D685" s="8">
        <v>3</v>
      </c>
      <c r="E685" s="8">
        <v>0.50793576240539551</v>
      </c>
      <c r="F685" s="8">
        <v>3.8792483974248171E-3</v>
      </c>
      <c r="G685" s="8">
        <v>2.0743060857057571E-2</v>
      </c>
      <c r="H685" s="8">
        <v>0.20702777802944183</v>
      </c>
      <c r="I685" s="8">
        <v>3.3237647265195847E-2</v>
      </c>
      <c r="J685" s="8">
        <v>0.22918765246868134</v>
      </c>
      <c r="K685" s="8">
        <v>0.10200817883014679</v>
      </c>
      <c r="L685" s="8">
        <v>34352719</v>
      </c>
      <c r="M685" t="s">
        <v>1052</v>
      </c>
    </row>
    <row r="686" spans="2:13">
      <c r="B686" t="s">
        <v>44</v>
      </c>
      <c r="C686" s="8">
        <v>2016</v>
      </c>
      <c r="D686" s="8">
        <v>1</v>
      </c>
      <c r="E686" s="8">
        <v>0.51790624856948853</v>
      </c>
      <c r="F686" s="8">
        <v>1.4164525782689452E-3</v>
      </c>
      <c r="G686" s="8">
        <v>2.7806242927908897E-2</v>
      </c>
      <c r="H686" s="8">
        <v>0.46256524324417114</v>
      </c>
      <c r="I686" s="8">
        <v>4.4651884585618973E-2</v>
      </c>
      <c r="J686" s="8">
        <v>0.39945438504219055</v>
      </c>
      <c r="K686" s="8">
        <v>8.9963629841804504E-2</v>
      </c>
      <c r="L686" s="8">
        <v>34352719</v>
      </c>
      <c r="M686" t="s">
        <v>1052</v>
      </c>
    </row>
    <row r="687" spans="2:13">
      <c r="B687" t="s">
        <v>44</v>
      </c>
      <c r="C687" s="8">
        <v>2016</v>
      </c>
      <c r="D687" s="8">
        <v>2</v>
      </c>
      <c r="E687" s="8">
        <v>0.51855820417404175</v>
      </c>
      <c r="F687" s="8">
        <v>1.813625218346715E-3</v>
      </c>
      <c r="G687" s="8">
        <v>2.8301281854510307E-2</v>
      </c>
      <c r="H687" s="8">
        <v>0.37559178471565247</v>
      </c>
      <c r="I687" s="8">
        <v>4.6117968857288361E-2</v>
      </c>
      <c r="J687" s="8">
        <v>0.34250527620315552</v>
      </c>
      <c r="K687" s="8">
        <v>0.10561040043830872</v>
      </c>
      <c r="L687" s="8">
        <v>34352719</v>
      </c>
      <c r="M687" t="s">
        <v>1052</v>
      </c>
    </row>
    <row r="688" spans="2:13">
      <c r="B688" t="s">
        <v>44</v>
      </c>
      <c r="C688" s="8">
        <v>2016</v>
      </c>
      <c r="D688" s="8">
        <v>3</v>
      </c>
      <c r="E688" s="8">
        <v>0.50716322660446167</v>
      </c>
      <c r="F688" s="8">
        <v>4.2847511358559132E-3</v>
      </c>
      <c r="G688" s="8">
        <v>2.1686840802431107E-2</v>
      </c>
      <c r="H688" s="8">
        <v>0.21168610453605652</v>
      </c>
      <c r="I688" s="8">
        <v>3.5064697265625E-2</v>
      </c>
      <c r="J688" s="8">
        <v>0.23250168561935425</v>
      </c>
      <c r="K688" s="8">
        <v>9.8498031497001648E-2</v>
      </c>
      <c r="L688" s="8">
        <v>34352719</v>
      </c>
      <c r="M688" t="s">
        <v>1052</v>
      </c>
    </row>
    <row r="689" spans="2:13">
      <c r="B689" t="s">
        <v>44</v>
      </c>
      <c r="C689" s="8">
        <v>2017</v>
      </c>
      <c r="D689" s="8">
        <v>1</v>
      </c>
      <c r="E689" s="8">
        <v>0.51876449584960938</v>
      </c>
      <c r="F689" s="8">
        <v>1.0294114472344518E-3</v>
      </c>
      <c r="G689" s="8">
        <v>0.11422491818666458</v>
      </c>
      <c r="H689" s="8">
        <v>0.49358981847763062</v>
      </c>
      <c r="I689" s="8">
        <v>5.2314449101686478E-2</v>
      </c>
      <c r="J689" s="8">
        <v>0.39318108558654785</v>
      </c>
      <c r="K689" s="8">
        <v>9.8085172474384308E-2</v>
      </c>
      <c r="L689" s="8">
        <v>34352719</v>
      </c>
      <c r="M689" t="s">
        <v>1052</v>
      </c>
    </row>
    <row r="690" spans="2:13">
      <c r="B690" t="s">
        <v>44</v>
      </c>
      <c r="C690" s="8">
        <v>2017</v>
      </c>
      <c r="D690" s="8">
        <v>2</v>
      </c>
      <c r="E690" s="8">
        <v>0.52054524421691895</v>
      </c>
      <c r="F690" s="8">
        <v>1.3885243097320199E-3</v>
      </c>
      <c r="G690" s="8">
        <v>8.2912042737007141E-2</v>
      </c>
      <c r="H690" s="8">
        <v>0.37212029099464417</v>
      </c>
      <c r="I690" s="8">
        <v>4.9908239394426346E-2</v>
      </c>
      <c r="J690" s="8">
        <v>0.34406444430351257</v>
      </c>
      <c r="K690" s="8">
        <v>0.1013614609837532</v>
      </c>
      <c r="L690" s="8">
        <v>34352719</v>
      </c>
      <c r="M690" t="s">
        <v>1052</v>
      </c>
    </row>
    <row r="691" spans="2:13">
      <c r="B691" t="s">
        <v>44</v>
      </c>
      <c r="C691" s="8">
        <v>2017</v>
      </c>
      <c r="D691" s="8">
        <v>3</v>
      </c>
      <c r="E691" s="8">
        <v>0.50867682695388794</v>
      </c>
      <c r="F691" s="8">
        <v>4.6360455453395844E-3</v>
      </c>
      <c r="G691" s="8">
        <v>5.3659737110137939E-2</v>
      </c>
      <c r="H691" s="8">
        <v>0.21910880506038666</v>
      </c>
      <c r="I691" s="8">
        <v>3.7096310406923294E-2</v>
      </c>
      <c r="J691" s="8">
        <v>0.22619257867336273</v>
      </c>
      <c r="K691" s="8">
        <v>0.10392075777053833</v>
      </c>
      <c r="L691" s="8">
        <v>34352719</v>
      </c>
      <c r="M691" t="s">
        <v>1052</v>
      </c>
    </row>
    <row r="692" spans="2:13">
      <c r="B692" t="s">
        <v>44</v>
      </c>
      <c r="C692" s="8">
        <v>2018</v>
      </c>
      <c r="D692" s="8">
        <v>1</v>
      </c>
      <c r="E692" s="8">
        <v>0.51928621530532837</v>
      </c>
      <c r="F692" s="8">
        <v>7.6069205533713102E-4</v>
      </c>
      <c r="G692" s="8">
        <v>8.7900623679161072E-2</v>
      </c>
      <c r="H692" s="8">
        <v>0.48712867498397827</v>
      </c>
      <c r="I692" s="8">
        <v>5.3302120417356491E-2</v>
      </c>
      <c r="J692" s="8">
        <v>0.39720168709754944</v>
      </c>
      <c r="K692" s="8">
        <v>9.2202439904212952E-2</v>
      </c>
      <c r="L692" s="8">
        <v>34352719</v>
      </c>
      <c r="M692" t="s">
        <v>1052</v>
      </c>
    </row>
    <row r="693" spans="2:13">
      <c r="B693" t="s">
        <v>44</v>
      </c>
      <c r="C693" s="8">
        <v>2018</v>
      </c>
      <c r="D693" s="8">
        <v>2</v>
      </c>
      <c r="E693" s="8">
        <v>0.52221953868865967</v>
      </c>
      <c r="F693" s="8">
        <v>1.8501622835174203E-3</v>
      </c>
      <c r="G693" s="8">
        <v>7.86123126745224E-2</v>
      </c>
      <c r="H693" s="8">
        <v>0.3684980571269989</v>
      </c>
      <c r="I693" s="8">
        <v>5.1088441163301468E-2</v>
      </c>
      <c r="J693" s="8">
        <v>0.34291818737983704</v>
      </c>
      <c r="K693" s="8">
        <v>0.10662402957677841</v>
      </c>
      <c r="L693" s="8">
        <v>34352719</v>
      </c>
      <c r="M693" t="s">
        <v>1052</v>
      </c>
    </row>
    <row r="694" spans="2:13">
      <c r="B694" t="s">
        <v>44</v>
      </c>
      <c r="C694" s="8">
        <v>2018</v>
      </c>
      <c r="D694" s="8">
        <v>3</v>
      </c>
      <c r="E694" s="8">
        <v>0.51204508543014526</v>
      </c>
      <c r="F694" s="8">
        <v>4.4579589739441872E-3</v>
      </c>
      <c r="G694" s="8">
        <v>5.3149659186601639E-2</v>
      </c>
      <c r="H694" s="8">
        <v>0.22528138756752014</v>
      </c>
      <c r="I694" s="8">
        <v>4.0228456258773804E-2</v>
      </c>
      <c r="J694" s="8">
        <v>0.2260134369134903</v>
      </c>
      <c r="K694" s="8">
        <v>0.11349760740995407</v>
      </c>
      <c r="L694" s="8">
        <v>34352719</v>
      </c>
      <c r="M694" t="s">
        <v>1052</v>
      </c>
    </row>
    <row r="695" spans="2:13">
      <c r="B695" t="s">
        <v>44</v>
      </c>
      <c r="C695" s="8">
        <v>2019</v>
      </c>
      <c r="D695" s="8">
        <v>1</v>
      </c>
      <c r="E695" s="8">
        <v>0.52208864688873291</v>
      </c>
      <c r="F695" s="8">
        <v>7.0079276338219643E-4</v>
      </c>
      <c r="G695" s="8">
        <v>9.3435652554035187E-2</v>
      </c>
      <c r="H695" s="8">
        <v>0.48411700129508972</v>
      </c>
      <c r="I695" s="8">
        <v>5.2571278065443039E-2</v>
      </c>
      <c r="J695" s="8">
        <v>0.38457733392715454</v>
      </c>
      <c r="K695" s="8">
        <v>0.1004054993391037</v>
      </c>
      <c r="L695" s="8">
        <v>34352719</v>
      </c>
      <c r="M695" t="s">
        <v>1052</v>
      </c>
    </row>
    <row r="696" spans="2:13">
      <c r="B696" t="s">
        <v>44</v>
      </c>
      <c r="C696" s="8">
        <v>2019</v>
      </c>
      <c r="D696" s="8">
        <v>2</v>
      </c>
      <c r="E696" s="8">
        <v>0.51951396465301514</v>
      </c>
      <c r="F696" s="8">
        <v>7.6916962862014771E-3</v>
      </c>
      <c r="G696" s="8">
        <v>8.7039321660995483E-2</v>
      </c>
      <c r="H696" s="8">
        <v>0.37335669994354248</v>
      </c>
      <c r="I696" s="8">
        <v>5.2896026521921158E-2</v>
      </c>
      <c r="J696" s="8">
        <v>0.35139167308807373</v>
      </c>
      <c r="K696" s="8">
        <v>0.10570023208856583</v>
      </c>
      <c r="L696" s="8">
        <v>34352719</v>
      </c>
      <c r="M696" t="s">
        <v>1052</v>
      </c>
    </row>
    <row r="697" spans="2:13">
      <c r="B697" t="s">
        <v>44</v>
      </c>
      <c r="C697" s="8">
        <v>2019</v>
      </c>
      <c r="D697" s="8">
        <v>3</v>
      </c>
      <c r="E697" s="8">
        <v>0.51356297731399536</v>
      </c>
      <c r="F697" s="8">
        <v>9.6088200807571411E-3</v>
      </c>
      <c r="G697" s="8">
        <v>5.9887472540140152E-2</v>
      </c>
      <c r="H697" s="8">
        <v>0.22143904864788055</v>
      </c>
      <c r="I697" s="8">
        <v>4.3643239885568619E-2</v>
      </c>
      <c r="J697" s="8">
        <v>0.22409097850322723</v>
      </c>
      <c r="K697" s="8">
        <v>0.11678584665060043</v>
      </c>
      <c r="L697" s="8">
        <v>34352719</v>
      </c>
      <c r="M697" t="s">
        <v>1052</v>
      </c>
    </row>
    <row r="698" spans="2:13">
      <c r="B698" t="s">
        <v>44</v>
      </c>
      <c r="C698" s="8">
        <v>2020</v>
      </c>
      <c r="D698" s="8">
        <v>1</v>
      </c>
      <c r="E698" s="8">
        <v>0.51464235782623291</v>
      </c>
      <c r="F698" s="8">
        <v>1.4170132344588637E-3</v>
      </c>
      <c r="G698" s="8">
        <v>7.5857415795326233E-2</v>
      </c>
      <c r="H698" s="8">
        <v>0.3752371072769165</v>
      </c>
      <c r="I698" s="8">
        <v>3.4982234239578247E-2</v>
      </c>
      <c r="J698" s="8">
        <v>0.36818802356719971</v>
      </c>
      <c r="K698" s="8">
        <v>5.9358414262533188E-2</v>
      </c>
      <c r="L698" s="8">
        <v>34352719</v>
      </c>
      <c r="M698" t="s">
        <v>1052</v>
      </c>
    </row>
    <row r="699" spans="2:13">
      <c r="B699" t="s">
        <v>44</v>
      </c>
      <c r="C699" s="8">
        <v>2020</v>
      </c>
      <c r="D699" s="8">
        <v>2</v>
      </c>
      <c r="E699" s="8">
        <v>0.5231589674949646</v>
      </c>
      <c r="F699" s="8">
        <v>5.3560729138553143E-3</v>
      </c>
      <c r="G699" s="8">
        <v>7.8568793833255768E-2</v>
      </c>
      <c r="H699" s="8">
        <v>0.30322176218032837</v>
      </c>
      <c r="I699" s="8">
        <v>4.911402240395546E-2</v>
      </c>
      <c r="J699" s="8">
        <v>0.3071780800819397</v>
      </c>
      <c r="K699" s="8">
        <v>0.10295501351356506</v>
      </c>
      <c r="L699" s="8">
        <v>34352719</v>
      </c>
      <c r="M699" t="s">
        <v>1052</v>
      </c>
    </row>
    <row r="700" spans="2:13">
      <c r="B700" t="s">
        <v>44</v>
      </c>
      <c r="C700" s="8">
        <v>2020</v>
      </c>
      <c r="D700" s="8">
        <v>3</v>
      </c>
      <c r="E700" s="8">
        <v>0.50343149900436401</v>
      </c>
      <c r="F700" s="8">
        <v>1.0268837213516235E-2</v>
      </c>
      <c r="G700" s="8">
        <v>5.9092652052640915E-2</v>
      </c>
      <c r="H700" s="8">
        <v>0.21915245056152344</v>
      </c>
      <c r="I700" s="8">
        <v>4.3558366596698761E-2</v>
      </c>
      <c r="J700" s="8">
        <v>0.21172890067100525</v>
      </c>
      <c r="K700" s="8">
        <v>0.12688733637332916</v>
      </c>
      <c r="L700" s="8">
        <v>34352719</v>
      </c>
      <c r="M700" t="s">
        <v>1052</v>
      </c>
    </row>
    <row r="701" spans="2:13">
      <c r="B701" t="s">
        <v>44</v>
      </c>
      <c r="C701" s="8">
        <v>2021</v>
      </c>
      <c r="D701" s="8">
        <v>1</v>
      </c>
      <c r="E701" s="8">
        <v>0.52656984329223633</v>
      </c>
      <c r="F701" s="8">
        <v>3.766336478292942E-3</v>
      </c>
      <c r="G701" s="8">
        <v>8.9688755571842194E-2</v>
      </c>
      <c r="H701" s="8">
        <v>0.43065324425697327</v>
      </c>
      <c r="I701" s="8">
        <v>5.2996359765529633E-2</v>
      </c>
      <c r="J701" s="8">
        <v>0.37271589040756226</v>
      </c>
      <c r="K701" s="8">
        <v>9.0210139751434326E-2</v>
      </c>
      <c r="L701" s="8">
        <v>34352719</v>
      </c>
      <c r="M701" t="s">
        <v>1052</v>
      </c>
    </row>
    <row r="702" spans="2:13">
      <c r="B702" t="s">
        <v>44</v>
      </c>
      <c r="C702" s="8">
        <v>2021</v>
      </c>
      <c r="D702" s="8">
        <v>2</v>
      </c>
      <c r="E702" s="8">
        <v>0.53306776285171509</v>
      </c>
      <c r="F702" s="8">
        <v>3.5117468796670437E-3</v>
      </c>
      <c r="G702" s="8">
        <v>8.7108500301837921E-2</v>
      </c>
      <c r="H702" s="8">
        <v>0.34117311239242554</v>
      </c>
      <c r="I702" s="8">
        <v>5.211508646607399E-2</v>
      </c>
      <c r="J702" s="8">
        <v>0.33629116415977478</v>
      </c>
      <c r="K702" s="8">
        <v>0.10289789736270905</v>
      </c>
      <c r="L702" s="8">
        <v>34352719</v>
      </c>
      <c r="M702" t="s">
        <v>1052</v>
      </c>
    </row>
    <row r="703" spans="2:13">
      <c r="B703" t="s">
        <v>44</v>
      </c>
      <c r="C703" s="8">
        <v>2021</v>
      </c>
      <c r="D703" s="8">
        <v>3</v>
      </c>
      <c r="E703" s="8">
        <v>0.5065423846244812</v>
      </c>
      <c r="F703" s="8">
        <v>9.0871891006827354E-3</v>
      </c>
      <c r="G703" s="8">
        <v>6.5383777022361755E-2</v>
      </c>
      <c r="H703" s="8">
        <v>0.22856821119785309</v>
      </c>
      <c r="I703" s="8">
        <v>4.2809132486581802E-2</v>
      </c>
      <c r="J703" s="8">
        <v>0.21566519141197205</v>
      </c>
      <c r="K703" s="8">
        <v>0.11622345447540283</v>
      </c>
      <c r="L703" s="8">
        <v>34352719</v>
      </c>
      <c r="M703" t="s">
        <v>1052</v>
      </c>
    </row>
    <row r="704" spans="2:13">
      <c r="B704" t="s">
        <v>44</v>
      </c>
      <c r="C704" s="8">
        <v>2022</v>
      </c>
      <c r="D704" s="8">
        <v>1</v>
      </c>
      <c r="E704" s="8">
        <v>0.52340537309646606</v>
      </c>
      <c r="F704" s="8">
        <v>2.2573028691112995E-3</v>
      </c>
      <c r="G704" s="8">
        <v>9.653385728597641E-2</v>
      </c>
      <c r="H704" s="8">
        <v>0.43688663840293884</v>
      </c>
      <c r="I704" s="8">
        <v>5.7565264403820038E-2</v>
      </c>
      <c r="J704" s="8">
        <v>0.37630364298820496</v>
      </c>
      <c r="K704" s="8">
        <v>9.7761541604995728E-2</v>
      </c>
      <c r="L704" s="8">
        <v>34352719</v>
      </c>
      <c r="M704" t="s">
        <v>1052</v>
      </c>
    </row>
    <row r="705" spans="2:13">
      <c r="B705" t="s">
        <v>44</v>
      </c>
      <c r="C705" s="8">
        <v>2022</v>
      </c>
      <c r="D705" s="8">
        <v>2</v>
      </c>
      <c r="E705" s="8">
        <v>0.53147822618484497</v>
      </c>
      <c r="F705" s="8">
        <v>6.3370708376169205E-3</v>
      </c>
      <c r="G705" s="8">
        <v>9.0989328920841217E-2</v>
      </c>
      <c r="H705" s="8">
        <v>0.34405100345611572</v>
      </c>
      <c r="I705" s="8">
        <v>5.1284212619066238E-2</v>
      </c>
      <c r="J705" s="8">
        <v>0.33479559421539307</v>
      </c>
      <c r="K705" s="8">
        <v>0.1110813319683075</v>
      </c>
      <c r="L705" s="8">
        <v>34352719</v>
      </c>
      <c r="M705" t="s">
        <v>1052</v>
      </c>
    </row>
    <row r="706" spans="2:13">
      <c r="B706" t="s">
        <v>44</v>
      </c>
      <c r="C706" s="8">
        <v>2022</v>
      </c>
      <c r="D706" s="8">
        <v>3</v>
      </c>
      <c r="E706" s="8">
        <v>0.50731468200683594</v>
      </c>
      <c r="F706" s="8">
        <v>1.0494443587958813E-2</v>
      </c>
      <c r="G706" s="8">
        <v>6.4317010343074799E-2</v>
      </c>
      <c r="H706" s="8">
        <v>0.23734679818153381</v>
      </c>
      <c r="I706" s="8">
        <v>4.1705269366502762E-2</v>
      </c>
      <c r="J706" s="8">
        <v>0.21670052409172058</v>
      </c>
      <c r="K706" s="8">
        <v>0.11386725306510925</v>
      </c>
      <c r="L706" s="8">
        <v>34352719</v>
      </c>
      <c r="M706" t="s">
        <v>1052</v>
      </c>
    </row>
    <row r="707" spans="2:13">
      <c r="B707" t="s">
        <v>45</v>
      </c>
      <c r="C707" s="8">
        <v>2003</v>
      </c>
      <c r="D707" s="8">
        <v>1</v>
      </c>
      <c r="E707" s="8">
        <v>0.50239783525466919</v>
      </c>
      <c r="F707" s="8">
        <v>1.3810383155941963E-2</v>
      </c>
      <c r="G707" s="8"/>
      <c r="H707" s="8"/>
      <c r="I707" s="8"/>
      <c r="J707" s="8">
        <v>0.51548933982849121</v>
      </c>
      <c r="K707" s="8">
        <v>4.1325174272060394E-2</v>
      </c>
      <c r="L707" s="8">
        <v>6861524</v>
      </c>
      <c r="M707" t="s">
        <v>1052</v>
      </c>
    </row>
    <row r="708" spans="2:13">
      <c r="B708" t="s">
        <v>45</v>
      </c>
      <c r="C708" s="8">
        <v>2003</v>
      </c>
      <c r="D708" s="8">
        <v>2</v>
      </c>
      <c r="E708" s="8">
        <v>0.49622967839241028</v>
      </c>
      <c r="F708" s="8">
        <v>3.244391456246376E-2</v>
      </c>
      <c r="G708" s="8"/>
      <c r="H708" s="8"/>
      <c r="I708" s="8"/>
      <c r="J708" s="8">
        <v>0.43055638670921326</v>
      </c>
      <c r="K708" s="8">
        <v>4.7951690852642059E-2</v>
      </c>
      <c r="L708" s="8">
        <v>6861524</v>
      </c>
      <c r="M708" t="s">
        <v>1052</v>
      </c>
    </row>
    <row r="709" spans="2:13">
      <c r="B709" t="s">
        <v>45</v>
      </c>
      <c r="C709" s="8">
        <v>2003</v>
      </c>
      <c r="D709" s="8">
        <v>3</v>
      </c>
      <c r="E709" s="8">
        <v>0.50926071405410767</v>
      </c>
      <c r="F709" s="8">
        <v>5.2773740142583847E-2</v>
      </c>
      <c r="G709" s="8"/>
      <c r="H709" s="8"/>
      <c r="I709" s="8"/>
      <c r="J709" s="8">
        <v>0.29713281989097595</v>
      </c>
      <c r="K709" s="8">
        <v>6.7842528223991394E-2</v>
      </c>
      <c r="L709" s="8">
        <v>6861524</v>
      </c>
      <c r="M709" t="s">
        <v>1052</v>
      </c>
    </row>
    <row r="710" spans="2:13">
      <c r="B710" t="s">
        <v>45</v>
      </c>
      <c r="C710" s="8">
        <v>2004</v>
      </c>
      <c r="D710" s="8">
        <v>1</v>
      </c>
      <c r="E710" s="8">
        <v>0.50238388776779175</v>
      </c>
      <c r="F710" s="8">
        <v>1.7508026212453842E-2</v>
      </c>
      <c r="G710" s="8"/>
      <c r="H710" s="8"/>
      <c r="I710" s="8"/>
      <c r="J710" s="8">
        <v>0.51209396123886108</v>
      </c>
      <c r="K710" s="8">
        <v>4.7253552824258804E-2</v>
      </c>
      <c r="L710" s="8">
        <v>6861524</v>
      </c>
      <c r="M710" t="s">
        <v>1052</v>
      </c>
    </row>
    <row r="711" spans="2:13">
      <c r="B711" t="s">
        <v>45</v>
      </c>
      <c r="C711" s="8">
        <v>2004</v>
      </c>
      <c r="D711" s="8">
        <v>2</v>
      </c>
      <c r="E711" s="8">
        <v>0.49814686179161072</v>
      </c>
      <c r="F711" s="8">
        <v>2.6667654514312744E-2</v>
      </c>
      <c r="G711" s="8"/>
      <c r="H711" s="8"/>
      <c r="I711" s="8"/>
      <c r="J711" s="8">
        <v>0.42590084671974182</v>
      </c>
      <c r="K711" s="8">
        <v>4.8173490911722183E-2</v>
      </c>
      <c r="L711" s="8">
        <v>6861524</v>
      </c>
      <c r="M711" t="s">
        <v>1052</v>
      </c>
    </row>
    <row r="712" spans="2:13">
      <c r="B712" t="s">
        <v>45</v>
      </c>
      <c r="C712" s="8">
        <v>2004</v>
      </c>
      <c r="D712" s="8">
        <v>3</v>
      </c>
      <c r="E712" s="8">
        <v>0.49605283141136169</v>
      </c>
      <c r="F712" s="8">
        <v>4.7671839594841003E-2</v>
      </c>
      <c r="G712" s="8"/>
      <c r="H712" s="8"/>
      <c r="I712" s="8"/>
      <c r="J712" s="8">
        <v>0.29652774333953857</v>
      </c>
      <c r="K712" s="8">
        <v>5.1664199680089951E-2</v>
      </c>
      <c r="L712" s="8">
        <v>6861524</v>
      </c>
      <c r="M712" t="s">
        <v>1052</v>
      </c>
    </row>
    <row r="713" spans="2:13">
      <c r="B713" t="s">
        <v>45</v>
      </c>
      <c r="C713" s="8">
        <v>2005</v>
      </c>
      <c r="D713" s="8">
        <v>1</v>
      </c>
      <c r="E713" s="8">
        <v>0.49455583095550537</v>
      </c>
      <c r="F713" s="8">
        <v>1.5286856330931187E-2</v>
      </c>
      <c r="G713" s="8"/>
      <c r="H713" s="8"/>
      <c r="I713" s="8"/>
      <c r="J713" s="8">
        <v>0.50319510698318481</v>
      </c>
      <c r="K713" s="8">
        <v>3.8682177662849426E-2</v>
      </c>
      <c r="L713" s="8">
        <v>6861524</v>
      </c>
      <c r="M713" t="s">
        <v>1052</v>
      </c>
    </row>
    <row r="714" spans="2:13">
      <c r="B714" t="s">
        <v>45</v>
      </c>
      <c r="C714" s="8">
        <v>2005</v>
      </c>
      <c r="D714" s="8">
        <v>2</v>
      </c>
      <c r="E714" s="8">
        <v>0.50026828050613403</v>
      </c>
      <c r="F714" s="8">
        <v>2.2115143015980721E-2</v>
      </c>
      <c r="G714" s="8"/>
      <c r="H714" s="8"/>
      <c r="I714" s="8"/>
      <c r="J714" s="8">
        <v>0.4379851222038269</v>
      </c>
      <c r="K714" s="8">
        <v>4.3688587844371796E-2</v>
      </c>
      <c r="L714" s="8">
        <v>6861524</v>
      </c>
      <c r="M714" t="s">
        <v>1052</v>
      </c>
    </row>
    <row r="715" spans="2:13">
      <c r="B715" t="s">
        <v>45</v>
      </c>
      <c r="C715" s="8">
        <v>2005</v>
      </c>
      <c r="D715" s="8">
        <v>3</v>
      </c>
      <c r="E715" s="8">
        <v>0.50291633605957031</v>
      </c>
      <c r="F715" s="8">
        <v>4.3714769184589386E-2</v>
      </c>
      <c r="G715" s="8"/>
      <c r="H715" s="8"/>
      <c r="I715" s="8"/>
      <c r="J715" s="8">
        <v>0.30236363410949707</v>
      </c>
      <c r="K715" s="8">
        <v>6.6567428410053253E-2</v>
      </c>
      <c r="L715" s="8">
        <v>6861524</v>
      </c>
      <c r="M715" t="s">
        <v>1052</v>
      </c>
    </row>
    <row r="716" spans="2:13">
      <c r="B716" t="s">
        <v>45</v>
      </c>
      <c r="C716" s="8">
        <v>2006</v>
      </c>
      <c r="D716" s="8">
        <v>1</v>
      </c>
      <c r="E716" s="8">
        <v>0.50674289464950562</v>
      </c>
      <c r="F716" s="8">
        <v>1.494466420263052E-2</v>
      </c>
      <c r="G716" s="8"/>
      <c r="H716" s="8"/>
      <c r="I716" s="8"/>
      <c r="J716" s="8">
        <v>0.49690830707550049</v>
      </c>
      <c r="K716" s="8">
        <v>4.4597718864679337E-2</v>
      </c>
      <c r="L716" s="8">
        <v>6861524</v>
      </c>
      <c r="M716" t="s">
        <v>1052</v>
      </c>
    </row>
    <row r="717" spans="2:13">
      <c r="B717" t="s">
        <v>45</v>
      </c>
      <c r="C717" s="8">
        <v>2006</v>
      </c>
      <c r="D717" s="8">
        <v>2</v>
      </c>
      <c r="E717" s="8">
        <v>0.50523835420608521</v>
      </c>
      <c r="F717" s="8">
        <v>1.7142228782176971E-2</v>
      </c>
      <c r="G717" s="8"/>
      <c r="H717" s="8"/>
      <c r="I717" s="8"/>
      <c r="J717" s="8">
        <v>0.42067250609397888</v>
      </c>
      <c r="K717" s="8">
        <v>5.4531466215848923E-2</v>
      </c>
      <c r="L717" s="8">
        <v>6861524</v>
      </c>
      <c r="M717" t="s">
        <v>1052</v>
      </c>
    </row>
    <row r="718" spans="2:13">
      <c r="B718" t="s">
        <v>45</v>
      </c>
      <c r="C718" s="8">
        <v>2006</v>
      </c>
      <c r="D718" s="8">
        <v>3</v>
      </c>
      <c r="E718" s="8">
        <v>0.50134003162384033</v>
      </c>
      <c r="F718" s="8">
        <v>3.4043215215206146E-2</v>
      </c>
      <c r="G718" s="8"/>
      <c r="H718" s="8"/>
      <c r="I718" s="8"/>
      <c r="J718" s="8">
        <v>0.28662997484207153</v>
      </c>
      <c r="K718" s="8">
        <v>6.8493358790874481E-2</v>
      </c>
      <c r="L718" s="8">
        <v>6861524</v>
      </c>
      <c r="M718" t="s">
        <v>1052</v>
      </c>
    </row>
    <row r="719" spans="2:13">
      <c r="B719" t="s">
        <v>45</v>
      </c>
      <c r="C719" s="8">
        <v>2007</v>
      </c>
      <c r="D719" s="8">
        <v>1</v>
      </c>
      <c r="E719" s="8">
        <v>0.49789434671401978</v>
      </c>
      <c r="F719" s="8">
        <v>7.8812716528773308E-3</v>
      </c>
      <c r="G719" s="8"/>
      <c r="H719" s="8"/>
      <c r="I719" s="8"/>
      <c r="J719" s="8">
        <v>0.50083893537521362</v>
      </c>
      <c r="K719" s="8">
        <v>4.8661872744560242E-2</v>
      </c>
      <c r="L719" s="8">
        <v>6861524</v>
      </c>
      <c r="M719" t="s">
        <v>1052</v>
      </c>
    </row>
    <row r="720" spans="2:13">
      <c r="B720" t="s">
        <v>45</v>
      </c>
      <c r="C720" s="8">
        <v>2007</v>
      </c>
      <c r="D720" s="8">
        <v>2</v>
      </c>
      <c r="E720" s="8">
        <v>0.50324279069900513</v>
      </c>
      <c r="F720" s="8">
        <v>1.4700028114020824E-2</v>
      </c>
      <c r="G720" s="8"/>
      <c r="H720" s="8"/>
      <c r="I720" s="8"/>
      <c r="J720" s="8">
        <v>0.42148283123970032</v>
      </c>
      <c r="K720" s="8">
        <v>5.5695563554763794E-2</v>
      </c>
      <c r="L720" s="8">
        <v>6861524</v>
      </c>
      <c r="M720" t="s">
        <v>1052</v>
      </c>
    </row>
    <row r="721" spans="2:13">
      <c r="B721" t="s">
        <v>45</v>
      </c>
      <c r="C721" s="8">
        <v>2007</v>
      </c>
      <c r="D721" s="8">
        <v>3</v>
      </c>
      <c r="E721" s="8">
        <v>0.5005839467048645</v>
      </c>
      <c r="F721" s="8">
        <v>3.7860702723264694E-2</v>
      </c>
      <c r="G721" s="8"/>
      <c r="H721" s="8"/>
      <c r="I721" s="8"/>
      <c r="J721" s="8">
        <v>0.28495657444000244</v>
      </c>
      <c r="K721" s="8">
        <v>6.2337331473827362E-2</v>
      </c>
      <c r="L721" s="8">
        <v>6861524</v>
      </c>
      <c r="M721" t="s">
        <v>1052</v>
      </c>
    </row>
    <row r="722" spans="2:13">
      <c r="B722" t="s">
        <v>45</v>
      </c>
      <c r="C722" s="8">
        <v>2008</v>
      </c>
      <c r="D722" s="8">
        <v>1</v>
      </c>
      <c r="E722" s="8">
        <v>0.50530272722244263</v>
      </c>
      <c r="F722" s="8">
        <v>1.0083881206810474E-2</v>
      </c>
      <c r="G722" s="8"/>
      <c r="H722" s="8"/>
      <c r="I722" s="8"/>
      <c r="J722" s="8">
        <v>0.49298030138015747</v>
      </c>
      <c r="K722" s="8">
        <v>4.7155138105154037E-2</v>
      </c>
      <c r="L722" s="8">
        <v>6861524</v>
      </c>
      <c r="M722" t="s">
        <v>1052</v>
      </c>
    </row>
    <row r="723" spans="2:13">
      <c r="B723" t="s">
        <v>45</v>
      </c>
      <c r="C723" s="8">
        <v>2008</v>
      </c>
      <c r="D723" s="8">
        <v>2</v>
      </c>
      <c r="E723" s="8">
        <v>0.49797552824020386</v>
      </c>
      <c r="F723" s="8">
        <v>1.7396394163370132E-2</v>
      </c>
      <c r="G723" s="8"/>
      <c r="H723" s="8"/>
      <c r="I723" s="8"/>
      <c r="J723" s="8">
        <v>0.42902576923370361</v>
      </c>
      <c r="K723" s="8">
        <v>5.5376417934894562E-2</v>
      </c>
      <c r="L723" s="8">
        <v>6861524</v>
      </c>
      <c r="M723" t="s">
        <v>1052</v>
      </c>
    </row>
    <row r="724" spans="2:13">
      <c r="B724" t="s">
        <v>45</v>
      </c>
      <c r="C724" s="8">
        <v>2008</v>
      </c>
      <c r="D724" s="8">
        <v>3</v>
      </c>
      <c r="E724" s="8">
        <v>0.50172734260559082</v>
      </c>
      <c r="F724" s="8">
        <v>3.7735562771558762E-2</v>
      </c>
      <c r="G724" s="8"/>
      <c r="H724" s="8"/>
      <c r="I724" s="8"/>
      <c r="J724" s="8">
        <v>0.27882406115531921</v>
      </c>
      <c r="K724" s="8">
        <v>6.584148108959198E-2</v>
      </c>
      <c r="L724" s="8">
        <v>6861524</v>
      </c>
      <c r="M724" t="s">
        <v>1052</v>
      </c>
    </row>
    <row r="725" spans="2:13">
      <c r="B725" t="s">
        <v>45</v>
      </c>
      <c r="C725" s="8">
        <v>2009</v>
      </c>
      <c r="D725" s="8">
        <v>1</v>
      </c>
      <c r="E725" s="8">
        <v>0.49601292610168457</v>
      </c>
      <c r="F725" s="8">
        <v>9.1361803933978081E-3</v>
      </c>
      <c r="G725" s="8"/>
      <c r="H725" s="8"/>
      <c r="I725" s="8"/>
      <c r="J725" s="8">
        <v>0.45870292186737061</v>
      </c>
      <c r="K725" s="8">
        <v>6.6443465650081635E-2</v>
      </c>
      <c r="L725" s="8">
        <v>6861524</v>
      </c>
      <c r="M725" t="s">
        <v>1052</v>
      </c>
    </row>
    <row r="726" spans="2:13">
      <c r="B726" t="s">
        <v>45</v>
      </c>
      <c r="C726" s="8">
        <v>2009</v>
      </c>
      <c r="D726" s="8">
        <v>2</v>
      </c>
      <c r="E726" s="8">
        <v>0.49134987592697144</v>
      </c>
      <c r="F726" s="8">
        <v>1.5733083710074425E-2</v>
      </c>
      <c r="G726" s="8"/>
      <c r="H726" s="8"/>
      <c r="I726" s="8"/>
      <c r="J726" s="8">
        <v>0.409300297498703</v>
      </c>
      <c r="K726" s="8">
        <v>6.512586772441864E-2</v>
      </c>
      <c r="L726" s="8">
        <v>6861524</v>
      </c>
      <c r="M726" t="s">
        <v>1052</v>
      </c>
    </row>
    <row r="727" spans="2:13">
      <c r="B727" t="s">
        <v>45</v>
      </c>
      <c r="C727" s="8">
        <v>2009</v>
      </c>
      <c r="D727" s="8">
        <v>3</v>
      </c>
      <c r="E727" s="8">
        <v>0.49880051612854004</v>
      </c>
      <c r="F727" s="8">
        <v>3.9874419569969177E-2</v>
      </c>
      <c r="G727" s="8"/>
      <c r="H727" s="8"/>
      <c r="I727" s="8"/>
      <c r="J727" s="8">
        <v>0.2720981240272522</v>
      </c>
      <c r="K727" s="8">
        <v>7.3135450482368469E-2</v>
      </c>
      <c r="L727" s="8">
        <v>6861524</v>
      </c>
      <c r="M727" t="s">
        <v>1052</v>
      </c>
    </row>
    <row r="728" spans="2:13">
      <c r="B728" t="s">
        <v>45</v>
      </c>
      <c r="C728" s="8">
        <v>2010</v>
      </c>
      <c r="D728" s="8">
        <v>1</v>
      </c>
      <c r="E728" s="8">
        <v>0.49136486649513245</v>
      </c>
      <c r="F728" s="8">
        <v>1.2463686987757683E-2</v>
      </c>
      <c r="G728" s="8"/>
      <c r="H728" s="8"/>
      <c r="I728" s="8"/>
      <c r="J728" s="8">
        <v>0.46517455577850342</v>
      </c>
      <c r="K728" s="8">
        <v>6.7869842052459717E-2</v>
      </c>
      <c r="L728" s="8">
        <v>6861524</v>
      </c>
      <c r="M728" t="s">
        <v>1052</v>
      </c>
    </row>
    <row r="729" spans="2:13">
      <c r="B729" t="s">
        <v>45</v>
      </c>
      <c r="C729" s="8">
        <v>2010</v>
      </c>
      <c r="D729" s="8">
        <v>2</v>
      </c>
      <c r="E729" s="8">
        <v>0.48651966452598572</v>
      </c>
      <c r="F729" s="8">
        <v>1.3271012343466282E-2</v>
      </c>
      <c r="G729" s="8"/>
      <c r="H729" s="8"/>
      <c r="I729" s="8"/>
      <c r="J729" s="8">
        <v>0.40937569737434387</v>
      </c>
      <c r="K729" s="8">
        <v>6.6407091915607452E-2</v>
      </c>
      <c r="L729" s="8">
        <v>6861524</v>
      </c>
      <c r="M729" t="s">
        <v>1052</v>
      </c>
    </row>
    <row r="730" spans="2:13">
      <c r="B730" t="s">
        <v>45</v>
      </c>
      <c r="C730" s="8">
        <v>2010</v>
      </c>
      <c r="D730" s="8">
        <v>3</v>
      </c>
      <c r="E730" s="8">
        <v>0.49821233749389648</v>
      </c>
      <c r="F730" s="8">
        <v>3.8012560456991196E-2</v>
      </c>
      <c r="G730" s="8"/>
      <c r="H730" s="8"/>
      <c r="I730" s="8"/>
      <c r="J730" s="8">
        <v>0.28073003888130188</v>
      </c>
      <c r="K730" s="8">
        <v>6.4349859952926636E-2</v>
      </c>
      <c r="L730" s="8">
        <v>6861524</v>
      </c>
      <c r="M730" t="s">
        <v>1052</v>
      </c>
    </row>
    <row r="731" spans="2:13">
      <c r="B731" t="s">
        <v>45</v>
      </c>
      <c r="C731" s="8">
        <v>2011</v>
      </c>
      <c r="D731" s="8">
        <v>1</v>
      </c>
      <c r="E731" s="8">
        <v>0.5029371976852417</v>
      </c>
      <c r="F731" s="8">
        <v>1.5661168843507767E-2</v>
      </c>
      <c r="G731" s="8"/>
      <c r="H731" s="8"/>
      <c r="I731" s="8"/>
      <c r="J731" s="8">
        <v>0.4453083872795105</v>
      </c>
      <c r="K731" s="8">
        <v>7.0180162787437439E-2</v>
      </c>
      <c r="L731" s="8">
        <v>6861524</v>
      </c>
      <c r="M731" t="s">
        <v>1052</v>
      </c>
    </row>
    <row r="732" spans="2:13">
      <c r="B732" t="s">
        <v>45</v>
      </c>
      <c r="C732" s="8">
        <v>2011</v>
      </c>
      <c r="D732" s="8">
        <v>2</v>
      </c>
      <c r="E732" s="8">
        <v>0.50042116641998291</v>
      </c>
      <c r="F732" s="8">
        <v>2.0094174891710281E-2</v>
      </c>
      <c r="G732" s="8"/>
      <c r="H732" s="8"/>
      <c r="I732" s="8"/>
      <c r="J732" s="8">
        <v>0.39988252520561218</v>
      </c>
      <c r="K732" s="8">
        <v>6.4723551273345947E-2</v>
      </c>
      <c r="L732" s="8">
        <v>6861524</v>
      </c>
      <c r="M732" t="s">
        <v>1052</v>
      </c>
    </row>
    <row r="733" spans="2:13">
      <c r="B733" t="s">
        <v>45</v>
      </c>
      <c r="C733" s="8">
        <v>2011</v>
      </c>
      <c r="D733" s="8">
        <v>3</v>
      </c>
      <c r="E733" s="8">
        <v>0.50254088640213013</v>
      </c>
      <c r="F733" s="8">
        <v>3.699779137969017E-2</v>
      </c>
      <c r="G733" s="8"/>
      <c r="H733" s="8"/>
      <c r="I733" s="8"/>
      <c r="J733" s="8">
        <v>0.25960898399353027</v>
      </c>
      <c r="K733" s="8">
        <v>6.7760929465293884E-2</v>
      </c>
      <c r="L733" s="8">
        <v>6861524</v>
      </c>
      <c r="M733" t="s">
        <v>1052</v>
      </c>
    </row>
    <row r="734" spans="2:13">
      <c r="B734" t="s">
        <v>45</v>
      </c>
      <c r="C734" s="8">
        <v>2012</v>
      </c>
      <c r="D734" s="8">
        <v>1</v>
      </c>
      <c r="E734" s="8">
        <v>0.49442112445831299</v>
      </c>
      <c r="F734" s="8">
        <v>1.4388764277100563E-2</v>
      </c>
      <c r="G734" s="8"/>
      <c r="H734" s="8"/>
      <c r="I734" s="8"/>
      <c r="J734" s="8">
        <v>0.46441176533699036</v>
      </c>
      <c r="K734" s="8">
        <v>6.0142308473587036E-2</v>
      </c>
      <c r="L734" s="8">
        <v>6861524</v>
      </c>
      <c r="M734" t="s">
        <v>1052</v>
      </c>
    </row>
    <row r="735" spans="2:13">
      <c r="B735" t="s">
        <v>45</v>
      </c>
      <c r="C735" s="8">
        <v>2012</v>
      </c>
      <c r="D735" s="8">
        <v>2</v>
      </c>
      <c r="E735" s="8">
        <v>0.49727046489715576</v>
      </c>
      <c r="F735" s="8">
        <v>1.9535155966877937E-2</v>
      </c>
      <c r="G735" s="8"/>
      <c r="H735" s="8"/>
      <c r="I735" s="8"/>
      <c r="J735" s="8">
        <v>0.38240960240364075</v>
      </c>
      <c r="K735" s="8">
        <v>7.0243842899799347E-2</v>
      </c>
      <c r="L735" s="8">
        <v>6861524</v>
      </c>
      <c r="M735" t="s">
        <v>1052</v>
      </c>
    </row>
    <row r="736" spans="2:13">
      <c r="B736" t="s">
        <v>45</v>
      </c>
      <c r="C736" s="8">
        <v>2012</v>
      </c>
      <c r="D736" s="8">
        <v>3</v>
      </c>
      <c r="E736" s="8">
        <v>0.49188515543937683</v>
      </c>
      <c r="F736" s="8">
        <v>2.9530441388487816E-2</v>
      </c>
      <c r="G736" s="8"/>
      <c r="H736" s="8"/>
      <c r="I736" s="8"/>
      <c r="J736" s="8">
        <v>0.26986628770828247</v>
      </c>
      <c r="K736" s="8">
        <v>6.5831862390041351E-2</v>
      </c>
      <c r="L736" s="8">
        <v>6861524</v>
      </c>
      <c r="M736" t="s">
        <v>1052</v>
      </c>
    </row>
    <row r="737" spans="2:13">
      <c r="B737" t="s">
        <v>45</v>
      </c>
      <c r="C737" s="8">
        <v>2013</v>
      </c>
      <c r="D737" s="8">
        <v>1</v>
      </c>
      <c r="E737" s="8">
        <v>0.51365953683853149</v>
      </c>
      <c r="F737" s="8"/>
      <c r="G737" s="8"/>
      <c r="H737" s="8"/>
      <c r="I737" s="8"/>
      <c r="J737" s="8">
        <v>0.44253078103065491</v>
      </c>
      <c r="K737" s="8">
        <v>6.6497050225734711E-2</v>
      </c>
      <c r="L737" s="8">
        <v>6861524</v>
      </c>
      <c r="M737" t="s">
        <v>1052</v>
      </c>
    </row>
    <row r="738" spans="2:13">
      <c r="B738" t="s">
        <v>45</v>
      </c>
      <c r="C738" s="8">
        <v>2013</v>
      </c>
      <c r="D738" s="8">
        <v>2</v>
      </c>
      <c r="E738" s="8">
        <v>0.51010394096374512</v>
      </c>
      <c r="F738" s="8"/>
      <c r="G738" s="8"/>
      <c r="H738" s="8"/>
      <c r="I738" s="8"/>
      <c r="J738" s="8">
        <v>0.40517053008079529</v>
      </c>
      <c r="K738" s="8">
        <v>6.8924322724342346E-2</v>
      </c>
      <c r="L738" s="8">
        <v>6861524</v>
      </c>
      <c r="M738" t="s">
        <v>1052</v>
      </c>
    </row>
    <row r="739" spans="2:13">
      <c r="B739" t="s">
        <v>45</v>
      </c>
      <c r="C739" s="8">
        <v>2013</v>
      </c>
      <c r="D739" s="8">
        <v>3</v>
      </c>
      <c r="E739" s="8">
        <v>0.50008803606033325</v>
      </c>
      <c r="F739" s="8"/>
      <c r="G739" s="8"/>
      <c r="H739" s="8"/>
      <c r="I739" s="8"/>
      <c r="J739" s="8">
        <v>0.25916555523872375</v>
      </c>
      <c r="K739" s="8">
        <v>7.3200680315494537E-2</v>
      </c>
      <c r="L739" s="8">
        <v>6861524</v>
      </c>
      <c r="M739" t="s">
        <v>1052</v>
      </c>
    </row>
    <row r="740" spans="2:13">
      <c r="B740" t="s">
        <v>45</v>
      </c>
      <c r="C740" s="8">
        <v>2014</v>
      </c>
      <c r="D740" s="8">
        <v>1</v>
      </c>
      <c r="E740" s="8">
        <v>0.49901589751243591</v>
      </c>
      <c r="F740" s="8">
        <v>1.3876440934836864E-2</v>
      </c>
      <c r="G740" s="8"/>
      <c r="H740" s="8"/>
      <c r="I740" s="8"/>
      <c r="J740" s="8">
        <v>0.44628229737281799</v>
      </c>
      <c r="K740" s="8">
        <v>5.4350413382053375E-2</v>
      </c>
      <c r="L740" s="8">
        <v>6861524</v>
      </c>
      <c r="M740" t="s">
        <v>1052</v>
      </c>
    </row>
    <row r="741" spans="2:13">
      <c r="B741" t="s">
        <v>45</v>
      </c>
      <c r="C741" s="8">
        <v>2014</v>
      </c>
      <c r="D741" s="8">
        <v>2</v>
      </c>
      <c r="E741" s="8">
        <v>0.50485646724700928</v>
      </c>
      <c r="F741" s="8">
        <v>1.7747789621353149E-2</v>
      </c>
      <c r="G741" s="8"/>
      <c r="H741" s="8"/>
      <c r="I741" s="8"/>
      <c r="J741" s="8">
        <v>0.38150137662887573</v>
      </c>
      <c r="K741" s="8">
        <v>7.4396789073944092E-2</v>
      </c>
      <c r="L741" s="8">
        <v>6861524</v>
      </c>
      <c r="M741" t="s">
        <v>1052</v>
      </c>
    </row>
    <row r="742" spans="2:13">
      <c r="B742" t="s">
        <v>45</v>
      </c>
      <c r="C742" s="8">
        <v>2014</v>
      </c>
      <c r="D742" s="8">
        <v>3</v>
      </c>
      <c r="E742" s="8">
        <v>0.50832533836364746</v>
      </c>
      <c r="F742" s="8">
        <v>3.0712470412254333E-2</v>
      </c>
      <c r="G742" s="8"/>
      <c r="H742" s="8"/>
      <c r="I742" s="8"/>
      <c r="J742" s="8">
        <v>0.25354236364364624</v>
      </c>
      <c r="K742" s="8">
        <v>7.7392935752868652E-2</v>
      </c>
      <c r="L742" s="8">
        <v>6861524</v>
      </c>
      <c r="M742" t="s">
        <v>1052</v>
      </c>
    </row>
    <row r="743" spans="2:13">
      <c r="B743" t="s">
        <v>45</v>
      </c>
      <c r="C743" s="8">
        <v>2015</v>
      </c>
      <c r="D743" s="8">
        <v>1</v>
      </c>
      <c r="E743" s="8">
        <v>0.49605503678321838</v>
      </c>
      <c r="F743" s="8"/>
      <c r="G743" s="8"/>
      <c r="H743" s="8"/>
      <c r="I743" s="8"/>
      <c r="J743" s="8">
        <v>0.42665311694145203</v>
      </c>
      <c r="K743" s="8">
        <v>6.3377231359481812E-2</v>
      </c>
      <c r="L743" s="8">
        <v>6861524</v>
      </c>
      <c r="M743" t="s">
        <v>1052</v>
      </c>
    </row>
    <row r="744" spans="2:13">
      <c r="B744" t="s">
        <v>45</v>
      </c>
      <c r="C744" s="8">
        <v>2015</v>
      </c>
      <c r="D744" s="8">
        <v>2</v>
      </c>
      <c r="E744" s="8">
        <v>0.50132566690444946</v>
      </c>
      <c r="F744" s="8"/>
      <c r="G744" s="8"/>
      <c r="H744" s="8"/>
      <c r="I744" s="8"/>
      <c r="J744" s="8">
        <v>0.3760036826133728</v>
      </c>
      <c r="K744" s="8">
        <v>9.5134414732456207E-2</v>
      </c>
      <c r="L744" s="8">
        <v>6861524</v>
      </c>
      <c r="M744" t="s">
        <v>1052</v>
      </c>
    </row>
    <row r="745" spans="2:13">
      <c r="B745" t="s">
        <v>45</v>
      </c>
      <c r="C745" s="8">
        <v>2015</v>
      </c>
      <c r="D745" s="8">
        <v>3</v>
      </c>
      <c r="E745" s="8">
        <v>0.5094980001449585</v>
      </c>
      <c r="F745" s="8"/>
      <c r="G745" s="8"/>
      <c r="H745" s="8"/>
      <c r="I745" s="8"/>
      <c r="J745" s="8">
        <v>0.25445577502250671</v>
      </c>
      <c r="K745" s="8">
        <v>7.5784318149089813E-2</v>
      </c>
      <c r="L745" s="8">
        <v>6861524</v>
      </c>
      <c r="M745" t="s">
        <v>1052</v>
      </c>
    </row>
    <row r="746" spans="2:13">
      <c r="B746" t="s">
        <v>45</v>
      </c>
      <c r="C746" s="8">
        <v>2016</v>
      </c>
      <c r="D746" s="8">
        <v>1</v>
      </c>
      <c r="E746" s="8">
        <v>0.49607732892036438</v>
      </c>
      <c r="F746" s="8">
        <v>1.2367533519864082E-2</v>
      </c>
      <c r="G746" s="8"/>
      <c r="H746" s="8"/>
      <c r="I746" s="8"/>
      <c r="J746" s="8">
        <v>0.45455628633499146</v>
      </c>
      <c r="K746" s="8">
        <v>4.9755595624446869E-2</v>
      </c>
      <c r="L746" s="8">
        <v>6861524</v>
      </c>
      <c r="M746" t="s">
        <v>1052</v>
      </c>
    </row>
    <row r="747" spans="2:13">
      <c r="B747" t="s">
        <v>45</v>
      </c>
      <c r="C747" s="8">
        <v>2016</v>
      </c>
      <c r="D747" s="8">
        <v>2</v>
      </c>
      <c r="E747" s="8">
        <v>0.49674037098884583</v>
      </c>
      <c r="F747" s="8">
        <v>1.6151493415236473E-2</v>
      </c>
      <c r="G747" s="8"/>
      <c r="H747" s="8"/>
      <c r="I747" s="8"/>
      <c r="J747" s="8">
        <v>0.40085265040397644</v>
      </c>
      <c r="K747" s="8">
        <v>6.6373288631439209E-2</v>
      </c>
      <c r="L747" s="8">
        <v>6861524</v>
      </c>
      <c r="M747" t="s">
        <v>1052</v>
      </c>
    </row>
    <row r="748" spans="2:13">
      <c r="B748" t="s">
        <v>45</v>
      </c>
      <c r="C748" s="8">
        <v>2016</v>
      </c>
      <c r="D748" s="8">
        <v>3</v>
      </c>
      <c r="E748" s="8">
        <v>0.49535322189331055</v>
      </c>
      <c r="F748" s="8">
        <v>3.4218475222587585E-2</v>
      </c>
      <c r="G748" s="8"/>
      <c r="H748" s="8"/>
      <c r="I748" s="8"/>
      <c r="J748" s="8">
        <v>0.26991733908653259</v>
      </c>
      <c r="K748" s="8">
        <v>6.0477249324321747E-2</v>
      </c>
      <c r="L748" s="8">
        <v>6861524</v>
      </c>
      <c r="M748" t="s">
        <v>1052</v>
      </c>
    </row>
    <row r="749" spans="2:13">
      <c r="B749" t="s">
        <v>45</v>
      </c>
      <c r="C749" s="8">
        <v>2017</v>
      </c>
      <c r="D749" s="8">
        <v>1</v>
      </c>
      <c r="E749" s="8">
        <v>0.5043371319770813</v>
      </c>
      <c r="F749" s="8">
        <v>1.8959967419505119E-2</v>
      </c>
      <c r="G749" s="8"/>
      <c r="H749" s="8"/>
      <c r="I749" s="8"/>
      <c r="J749" s="8">
        <v>0.44039532542228699</v>
      </c>
      <c r="K749" s="8">
        <v>4.8457358032464981E-2</v>
      </c>
      <c r="L749" s="8">
        <v>6861524</v>
      </c>
      <c r="M749" t="s">
        <v>1052</v>
      </c>
    </row>
    <row r="750" spans="2:13">
      <c r="B750" t="s">
        <v>45</v>
      </c>
      <c r="C750" s="8">
        <v>2017</v>
      </c>
      <c r="D750" s="8">
        <v>2</v>
      </c>
      <c r="E750" s="8">
        <v>0.50923782587051392</v>
      </c>
      <c r="F750" s="8">
        <v>2.2661099210381508E-2</v>
      </c>
      <c r="G750" s="8"/>
      <c r="H750" s="8"/>
      <c r="I750" s="8"/>
      <c r="J750" s="8">
        <v>0.39437806606292725</v>
      </c>
      <c r="K750" s="8">
        <v>6.8033188581466675E-2</v>
      </c>
      <c r="L750" s="8">
        <v>6861524</v>
      </c>
      <c r="M750" t="s">
        <v>1052</v>
      </c>
    </row>
    <row r="751" spans="2:13">
      <c r="B751" t="s">
        <v>45</v>
      </c>
      <c r="C751" s="8">
        <v>2017</v>
      </c>
      <c r="D751" s="8">
        <v>3</v>
      </c>
      <c r="E751" s="8">
        <v>0.49060750007629395</v>
      </c>
      <c r="F751" s="8">
        <v>2.7253931388258934E-2</v>
      </c>
      <c r="G751" s="8"/>
      <c r="H751" s="8"/>
      <c r="I751" s="8"/>
      <c r="J751" s="8">
        <v>0.2718997597694397</v>
      </c>
      <c r="K751" s="8">
        <v>6.2868282198905945E-2</v>
      </c>
      <c r="L751" s="8">
        <v>6861524</v>
      </c>
      <c r="M751" t="s">
        <v>1052</v>
      </c>
    </row>
    <row r="752" spans="2:13">
      <c r="B752" t="s">
        <v>45</v>
      </c>
      <c r="C752" s="8">
        <v>2018</v>
      </c>
      <c r="D752" s="8">
        <v>1</v>
      </c>
      <c r="E752" s="8">
        <v>0.50340962409973145</v>
      </c>
      <c r="F752" s="8"/>
      <c r="G752" s="8"/>
      <c r="H752" s="8"/>
      <c r="I752" s="8"/>
      <c r="J752" s="8">
        <v>0.44277623295783997</v>
      </c>
      <c r="K752" s="8">
        <v>5.2587062120437622E-2</v>
      </c>
      <c r="L752" s="8">
        <v>6861524</v>
      </c>
      <c r="M752" t="s">
        <v>1052</v>
      </c>
    </row>
    <row r="753" spans="2:13">
      <c r="B753" t="s">
        <v>45</v>
      </c>
      <c r="C753" s="8">
        <v>2018</v>
      </c>
      <c r="D753" s="8">
        <v>2</v>
      </c>
      <c r="E753" s="8">
        <v>0.50567996501922607</v>
      </c>
      <c r="F753" s="8"/>
      <c r="G753" s="8"/>
      <c r="H753" s="8"/>
      <c r="I753" s="8"/>
      <c r="J753" s="8">
        <v>0.40637502074241638</v>
      </c>
      <c r="K753" s="8">
        <v>6.8101212382316589E-2</v>
      </c>
      <c r="L753" s="8">
        <v>6861524</v>
      </c>
      <c r="M753" t="s">
        <v>1052</v>
      </c>
    </row>
    <row r="754" spans="2:13">
      <c r="B754" t="s">
        <v>45</v>
      </c>
      <c r="C754" s="8">
        <v>2018</v>
      </c>
      <c r="D754" s="8">
        <v>3</v>
      </c>
      <c r="E754" s="8">
        <v>0.49300727248191833</v>
      </c>
      <c r="F754" s="8"/>
      <c r="G754" s="8"/>
      <c r="H754" s="8"/>
      <c r="I754" s="8"/>
      <c r="J754" s="8">
        <v>0.26940479874610901</v>
      </c>
      <c r="K754" s="8">
        <v>6.5151438117027283E-2</v>
      </c>
      <c r="L754" s="8">
        <v>6861524</v>
      </c>
      <c r="M754" t="s">
        <v>1052</v>
      </c>
    </row>
    <row r="755" spans="2:13">
      <c r="B755" t="s">
        <v>45</v>
      </c>
      <c r="C755" s="8">
        <v>2019</v>
      </c>
      <c r="D755" s="8">
        <v>1</v>
      </c>
      <c r="E755" s="8">
        <v>0.50139576196670532</v>
      </c>
      <c r="F755" s="8">
        <v>1.1724416166543961E-2</v>
      </c>
      <c r="G755" s="8"/>
      <c r="H755" s="8"/>
      <c r="I755" s="8"/>
      <c r="J755" s="8">
        <v>0.43558734655380249</v>
      </c>
      <c r="K755" s="8">
        <v>5.3200036287307739E-2</v>
      </c>
      <c r="L755" s="8">
        <v>6861524</v>
      </c>
      <c r="M755" t="s">
        <v>1052</v>
      </c>
    </row>
    <row r="756" spans="2:13">
      <c r="B756" t="s">
        <v>45</v>
      </c>
      <c r="C756" s="8">
        <v>2019</v>
      </c>
      <c r="D756" s="8">
        <v>2</v>
      </c>
      <c r="E756" s="8">
        <v>0.50038868188858032</v>
      </c>
      <c r="F756" s="8">
        <v>2.0820368081331253E-2</v>
      </c>
      <c r="G756" s="8"/>
      <c r="H756" s="8"/>
      <c r="I756" s="8"/>
      <c r="J756" s="8">
        <v>0.4067065417766571</v>
      </c>
      <c r="K756" s="8">
        <v>7.3957875370979309E-2</v>
      </c>
      <c r="L756" s="8">
        <v>6861524</v>
      </c>
      <c r="M756" t="s">
        <v>1052</v>
      </c>
    </row>
    <row r="757" spans="2:13">
      <c r="B757" t="s">
        <v>45</v>
      </c>
      <c r="C757" s="8">
        <v>2019</v>
      </c>
      <c r="D757" s="8">
        <v>3</v>
      </c>
      <c r="E757" s="8">
        <v>0.49481764435768127</v>
      </c>
      <c r="F757" s="8">
        <v>3.2357018440961838E-2</v>
      </c>
      <c r="G757" s="8"/>
      <c r="H757" s="8"/>
      <c r="I757" s="8"/>
      <c r="J757" s="8">
        <v>0.26500210165977478</v>
      </c>
      <c r="K757" s="8">
        <v>6.6316522657871246E-2</v>
      </c>
      <c r="L757" s="8">
        <v>6861524</v>
      </c>
      <c r="M757" t="s">
        <v>1052</v>
      </c>
    </row>
    <row r="758" spans="2:13">
      <c r="B758" t="s">
        <v>45</v>
      </c>
      <c r="C758" s="8">
        <v>2020</v>
      </c>
      <c r="D758" s="8">
        <v>1</v>
      </c>
      <c r="E758" s="8">
        <v>0.49885490536689758</v>
      </c>
      <c r="F758" s="8">
        <v>1.7809296026825905E-2</v>
      </c>
      <c r="G758" s="8"/>
      <c r="H758" s="8"/>
      <c r="I758" s="8"/>
      <c r="J758" s="8">
        <v>0.4460563063621521</v>
      </c>
      <c r="K758" s="8">
        <v>5.1132660359144211E-2</v>
      </c>
      <c r="L758" s="8">
        <v>6861524</v>
      </c>
      <c r="M758" t="s">
        <v>1052</v>
      </c>
    </row>
    <row r="759" spans="2:13">
      <c r="B759" t="s">
        <v>45</v>
      </c>
      <c r="C759" s="8">
        <v>2020</v>
      </c>
      <c r="D759" s="8">
        <v>2</v>
      </c>
      <c r="E759" s="8">
        <v>0.5209534764289856</v>
      </c>
      <c r="F759" s="8">
        <v>1.8778879195451736E-2</v>
      </c>
      <c r="G759" s="8"/>
      <c r="H759" s="8"/>
      <c r="I759" s="8"/>
      <c r="J759" s="8">
        <v>0.39685064554214478</v>
      </c>
      <c r="K759" s="8">
        <v>6.4493529498577118E-2</v>
      </c>
      <c r="L759" s="8">
        <v>6861524</v>
      </c>
      <c r="M759" t="s">
        <v>1052</v>
      </c>
    </row>
    <row r="760" spans="2:13">
      <c r="B760" t="s">
        <v>45</v>
      </c>
      <c r="C760" s="8">
        <v>2020</v>
      </c>
      <c r="D760" s="8">
        <v>3</v>
      </c>
      <c r="E760" s="8">
        <v>0.49030271172523499</v>
      </c>
      <c r="F760" s="8">
        <v>2.7494559064507484E-2</v>
      </c>
      <c r="G760" s="8"/>
      <c r="H760" s="8"/>
      <c r="I760" s="8"/>
      <c r="J760" s="8">
        <v>0.26001209020614624</v>
      </c>
      <c r="K760" s="8">
        <v>7.1246162056922913E-2</v>
      </c>
      <c r="L760" s="8">
        <v>6861524</v>
      </c>
      <c r="M760" t="s">
        <v>1052</v>
      </c>
    </row>
    <row r="761" spans="2:13">
      <c r="B761" t="s">
        <v>45</v>
      </c>
      <c r="C761" s="8">
        <v>2021</v>
      </c>
      <c r="D761" s="8">
        <v>1</v>
      </c>
      <c r="E761" s="8">
        <v>0.51069343090057373</v>
      </c>
      <c r="F761" s="8">
        <v>1.4862052164971828E-2</v>
      </c>
      <c r="G761" s="8"/>
      <c r="H761" s="8"/>
      <c r="I761" s="8"/>
      <c r="J761" s="8">
        <v>0.44605821371078491</v>
      </c>
      <c r="K761" s="8">
        <v>4.4077072292566299E-2</v>
      </c>
      <c r="L761" s="8">
        <v>6861524</v>
      </c>
      <c r="M761" t="s">
        <v>1052</v>
      </c>
    </row>
    <row r="762" spans="2:13">
      <c r="B762" t="s">
        <v>45</v>
      </c>
      <c r="C762" s="8">
        <v>2021</v>
      </c>
      <c r="D762" s="8">
        <v>2</v>
      </c>
      <c r="E762" s="8">
        <v>0.51075500249862671</v>
      </c>
      <c r="F762" s="8">
        <v>2.2882824763655663E-2</v>
      </c>
      <c r="G762" s="8"/>
      <c r="H762" s="8"/>
      <c r="I762" s="8"/>
      <c r="J762" s="8">
        <v>0.39378759264945984</v>
      </c>
      <c r="K762" s="8">
        <v>7.8737504780292511E-2</v>
      </c>
      <c r="L762" s="8">
        <v>6861524</v>
      </c>
      <c r="M762" t="s">
        <v>1052</v>
      </c>
    </row>
    <row r="763" spans="2:13">
      <c r="B763" t="s">
        <v>45</v>
      </c>
      <c r="C763" s="8">
        <v>2021</v>
      </c>
      <c r="D763" s="8">
        <v>3</v>
      </c>
      <c r="E763" s="8">
        <v>0.49043282866477966</v>
      </c>
      <c r="F763" s="8">
        <v>3.3727608621120453E-2</v>
      </c>
      <c r="G763" s="8"/>
      <c r="H763" s="8"/>
      <c r="I763" s="8"/>
      <c r="J763" s="8">
        <v>0.25105074048042297</v>
      </c>
      <c r="K763" s="8">
        <v>7.1017131209373474E-2</v>
      </c>
      <c r="L763" s="8">
        <v>6861524</v>
      </c>
      <c r="M763" t="s">
        <v>1052</v>
      </c>
    </row>
    <row r="764" spans="2:13">
      <c r="B764" t="s">
        <v>45</v>
      </c>
      <c r="C764" s="8">
        <v>2022</v>
      </c>
      <c r="D764" s="8">
        <v>1</v>
      </c>
      <c r="E764" s="8">
        <v>0.52274161577224731</v>
      </c>
      <c r="F764" s="8">
        <v>2.1598609164357185E-2</v>
      </c>
      <c r="G764" s="8"/>
      <c r="H764" s="8"/>
      <c r="I764" s="8"/>
      <c r="J764" s="8">
        <v>0.42518246173858643</v>
      </c>
      <c r="K764" s="8">
        <v>5.108097568154335E-2</v>
      </c>
      <c r="L764" s="8">
        <v>6861524</v>
      </c>
      <c r="M764" t="s">
        <v>1052</v>
      </c>
    </row>
    <row r="765" spans="2:13">
      <c r="B765" t="s">
        <v>45</v>
      </c>
      <c r="C765" s="8">
        <v>2022</v>
      </c>
      <c r="D765" s="8">
        <v>2</v>
      </c>
      <c r="E765" s="8">
        <v>0.50786310434341431</v>
      </c>
      <c r="F765" s="8">
        <v>2.6818370446562767E-2</v>
      </c>
      <c r="G765" s="8"/>
      <c r="H765" s="8"/>
      <c r="I765" s="8"/>
      <c r="J765" s="8">
        <v>0.38773685693740845</v>
      </c>
      <c r="K765" s="8">
        <v>8.3739615976810455E-2</v>
      </c>
      <c r="L765" s="8">
        <v>6861524</v>
      </c>
      <c r="M765" t="s">
        <v>1052</v>
      </c>
    </row>
    <row r="766" spans="2:13">
      <c r="B766" t="s">
        <v>45</v>
      </c>
      <c r="C766" s="8">
        <v>2022</v>
      </c>
      <c r="D766" s="8">
        <v>3</v>
      </c>
      <c r="E766" s="8">
        <v>0.48947551846504211</v>
      </c>
      <c r="F766" s="8">
        <v>3.0698347836732864E-2</v>
      </c>
      <c r="G766" s="8"/>
      <c r="H766" s="8"/>
      <c r="I766" s="8"/>
      <c r="J766" s="8">
        <v>0.25065147876739502</v>
      </c>
      <c r="K766" s="8">
        <v>7.0516295731067657E-2</v>
      </c>
      <c r="L766" s="8">
        <v>6861524</v>
      </c>
      <c r="M766" t="s">
        <v>1052</v>
      </c>
    </row>
    <row r="767" spans="2:13">
      <c r="B767" t="s">
        <v>46</v>
      </c>
      <c r="C767" s="8">
        <v>2003</v>
      </c>
      <c r="D767" s="8">
        <v>1</v>
      </c>
      <c r="E767" s="8">
        <v>0.52206683158874512</v>
      </c>
      <c r="F767" s="8"/>
      <c r="G767" s="8"/>
      <c r="H767" s="8"/>
      <c r="I767" s="8"/>
      <c r="J767" s="8">
        <v>0.47119009494781494</v>
      </c>
      <c r="K767" s="8">
        <v>5.7149928063154221E-2</v>
      </c>
      <c r="L767" s="8">
        <v>6364943</v>
      </c>
      <c r="M767" t="s">
        <v>1052</v>
      </c>
    </row>
    <row r="768" spans="2:13">
      <c r="B768" t="s">
        <v>46</v>
      </c>
      <c r="C768" s="8">
        <v>2003</v>
      </c>
      <c r="D768" s="8">
        <v>2</v>
      </c>
      <c r="E768" s="8">
        <v>0.53279238939285278</v>
      </c>
      <c r="F768" s="8"/>
      <c r="G768" s="8"/>
      <c r="H768" s="8"/>
      <c r="I768" s="8"/>
      <c r="J768" s="8">
        <v>0.39236503839492798</v>
      </c>
      <c r="K768" s="8">
        <v>6.1546217650175095E-2</v>
      </c>
      <c r="L768" s="8">
        <v>6364943</v>
      </c>
      <c r="M768" t="s">
        <v>1052</v>
      </c>
    </row>
    <row r="769" spans="2:13">
      <c r="B769" t="s">
        <v>46</v>
      </c>
      <c r="C769" s="8">
        <v>2003</v>
      </c>
      <c r="D769" s="8">
        <v>3</v>
      </c>
      <c r="E769" s="8">
        <v>0.52303886413574219</v>
      </c>
      <c r="F769" s="8"/>
      <c r="G769" s="8"/>
      <c r="H769" s="8"/>
      <c r="I769" s="8"/>
      <c r="J769" s="8">
        <v>0.28573405742645264</v>
      </c>
      <c r="K769" s="8">
        <v>6.7287839949131012E-2</v>
      </c>
      <c r="L769" s="8">
        <v>6364943</v>
      </c>
      <c r="M769" t="s">
        <v>1052</v>
      </c>
    </row>
    <row r="770" spans="2:13">
      <c r="B770" t="s">
        <v>46</v>
      </c>
      <c r="C770" s="8">
        <v>2004</v>
      </c>
      <c r="D770" s="8">
        <v>1</v>
      </c>
      <c r="E770" s="8">
        <v>0.5197376012802124</v>
      </c>
      <c r="F770" s="8"/>
      <c r="G770" s="8"/>
      <c r="H770" s="8"/>
      <c r="I770" s="8"/>
      <c r="J770" s="8">
        <v>0.45457497239112854</v>
      </c>
      <c r="K770" s="8">
        <v>7.3283419013023376E-2</v>
      </c>
      <c r="L770" s="8">
        <v>6364943</v>
      </c>
      <c r="M770" t="s">
        <v>1052</v>
      </c>
    </row>
    <row r="771" spans="2:13">
      <c r="B771" t="s">
        <v>46</v>
      </c>
      <c r="C771" s="8">
        <v>2004</v>
      </c>
      <c r="D771" s="8">
        <v>2</v>
      </c>
      <c r="E771" s="8">
        <v>0.52561008930206299</v>
      </c>
      <c r="F771" s="8"/>
      <c r="G771" s="8"/>
      <c r="H771" s="8"/>
      <c r="I771" s="8"/>
      <c r="J771" s="8">
        <v>0.38841623067855835</v>
      </c>
      <c r="K771" s="8">
        <v>6.5772809088230133E-2</v>
      </c>
      <c r="L771" s="8">
        <v>6364943</v>
      </c>
      <c r="M771" t="s">
        <v>1052</v>
      </c>
    </row>
    <row r="772" spans="2:13">
      <c r="B772" t="s">
        <v>46</v>
      </c>
      <c r="C772" s="8">
        <v>2004</v>
      </c>
      <c r="D772" s="8">
        <v>3</v>
      </c>
      <c r="E772" s="8">
        <v>0.52630817890167236</v>
      </c>
      <c r="F772" s="8"/>
      <c r="G772" s="8"/>
      <c r="H772" s="8"/>
      <c r="I772" s="8"/>
      <c r="J772" s="8">
        <v>0.27661216259002686</v>
      </c>
      <c r="K772" s="8">
        <v>6.7907974123954773E-2</v>
      </c>
      <c r="L772" s="8">
        <v>6364943</v>
      </c>
      <c r="M772" t="s">
        <v>1052</v>
      </c>
    </row>
    <row r="773" spans="2:13">
      <c r="B773" t="s">
        <v>46</v>
      </c>
      <c r="C773" s="8">
        <v>2005</v>
      </c>
      <c r="D773" s="8">
        <v>1</v>
      </c>
      <c r="E773" s="8">
        <v>0.520732581615448</v>
      </c>
      <c r="F773" s="8"/>
      <c r="G773" s="8"/>
      <c r="H773" s="8"/>
      <c r="I773" s="8"/>
      <c r="J773" s="8">
        <v>0.44966235756874084</v>
      </c>
      <c r="K773" s="8">
        <v>6.9006927311420441E-2</v>
      </c>
      <c r="L773" s="8">
        <v>6364943</v>
      </c>
      <c r="M773" t="s">
        <v>1052</v>
      </c>
    </row>
    <row r="774" spans="2:13">
      <c r="B774" t="s">
        <v>46</v>
      </c>
      <c r="C774" s="8">
        <v>2005</v>
      </c>
      <c r="D774" s="8">
        <v>2</v>
      </c>
      <c r="E774" s="8">
        <v>0.53762733936309814</v>
      </c>
      <c r="F774" s="8"/>
      <c r="G774" s="8"/>
      <c r="H774" s="8"/>
      <c r="I774" s="8"/>
      <c r="J774" s="8">
        <v>0.37756630778312683</v>
      </c>
      <c r="K774" s="8">
        <v>7.2486668825149536E-2</v>
      </c>
      <c r="L774" s="8">
        <v>6364943</v>
      </c>
      <c r="M774" t="s">
        <v>1052</v>
      </c>
    </row>
    <row r="775" spans="2:13">
      <c r="B775" t="s">
        <v>46</v>
      </c>
      <c r="C775" s="8">
        <v>2005</v>
      </c>
      <c r="D775" s="8">
        <v>3</v>
      </c>
      <c r="E775" s="8">
        <v>0.52879470586776733</v>
      </c>
      <c r="F775" s="8"/>
      <c r="G775" s="8"/>
      <c r="H775" s="8"/>
      <c r="I775" s="8"/>
      <c r="J775" s="8">
        <v>0.2727724015712738</v>
      </c>
      <c r="K775" s="8">
        <v>7.4152536690235138E-2</v>
      </c>
      <c r="L775" s="8">
        <v>6364943</v>
      </c>
      <c r="M775" t="s">
        <v>1052</v>
      </c>
    </row>
    <row r="776" spans="2:13">
      <c r="B776" t="s">
        <v>46</v>
      </c>
      <c r="C776" s="8">
        <v>2006</v>
      </c>
      <c r="D776" s="8">
        <v>1</v>
      </c>
      <c r="E776" s="8">
        <v>0.52443885803222656</v>
      </c>
      <c r="F776" s="8"/>
      <c r="G776" s="8"/>
      <c r="H776" s="8"/>
      <c r="I776" s="8"/>
      <c r="J776" s="8">
        <v>0.46369883418083191</v>
      </c>
      <c r="K776" s="8">
        <v>5.8272372931241989E-2</v>
      </c>
      <c r="L776" s="8">
        <v>6364943</v>
      </c>
      <c r="M776" t="s">
        <v>1052</v>
      </c>
    </row>
    <row r="777" spans="2:13">
      <c r="B777" t="s">
        <v>46</v>
      </c>
      <c r="C777" s="8">
        <v>2006</v>
      </c>
      <c r="D777" s="8">
        <v>2</v>
      </c>
      <c r="E777" s="8">
        <v>0.53634542226791382</v>
      </c>
      <c r="F777" s="8"/>
      <c r="G777" s="8"/>
      <c r="H777" s="8"/>
      <c r="I777" s="8"/>
      <c r="J777" s="8">
        <v>0.37637844681739807</v>
      </c>
      <c r="K777" s="8">
        <v>6.5529249608516693E-2</v>
      </c>
      <c r="L777" s="8">
        <v>6364943</v>
      </c>
      <c r="M777" t="s">
        <v>1052</v>
      </c>
    </row>
    <row r="778" spans="2:13">
      <c r="B778" t="s">
        <v>46</v>
      </c>
      <c r="C778" s="8">
        <v>2006</v>
      </c>
      <c r="D778" s="8">
        <v>3</v>
      </c>
      <c r="E778" s="8">
        <v>0.52974617481231689</v>
      </c>
      <c r="F778" s="8"/>
      <c r="G778" s="8"/>
      <c r="H778" s="8"/>
      <c r="I778" s="8"/>
      <c r="J778" s="8">
        <v>0.27328738570213318</v>
      </c>
      <c r="K778" s="8">
        <v>8.0915346741676331E-2</v>
      </c>
      <c r="L778" s="8">
        <v>6364943</v>
      </c>
      <c r="M778" t="s">
        <v>1052</v>
      </c>
    </row>
    <row r="779" spans="2:13">
      <c r="B779" t="s">
        <v>46</v>
      </c>
      <c r="C779" s="8">
        <v>2007</v>
      </c>
      <c r="D779" s="8">
        <v>1</v>
      </c>
      <c r="E779" s="8">
        <v>0.51957803964614868</v>
      </c>
      <c r="F779" s="8"/>
      <c r="G779" s="8"/>
      <c r="H779" s="8"/>
      <c r="I779" s="8"/>
      <c r="J779" s="8">
        <v>0.46030536293983459</v>
      </c>
      <c r="K779" s="8">
        <v>6.3766181468963623E-2</v>
      </c>
      <c r="L779" s="8">
        <v>6364943</v>
      </c>
      <c r="M779" t="s">
        <v>1052</v>
      </c>
    </row>
    <row r="780" spans="2:13">
      <c r="B780" t="s">
        <v>46</v>
      </c>
      <c r="C780" s="8">
        <v>2007</v>
      </c>
      <c r="D780" s="8">
        <v>2</v>
      </c>
      <c r="E780" s="8">
        <v>0.53223979473114014</v>
      </c>
      <c r="F780" s="8"/>
      <c r="G780" s="8"/>
      <c r="H780" s="8"/>
      <c r="I780" s="8"/>
      <c r="J780" s="8">
        <v>0.37621048092842102</v>
      </c>
      <c r="K780" s="8">
        <v>7.2522535920143127E-2</v>
      </c>
      <c r="L780" s="8">
        <v>6364943</v>
      </c>
      <c r="M780" t="s">
        <v>1052</v>
      </c>
    </row>
    <row r="781" spans="2:13">
      <c r="B781" t="s">
        <v>46</v>
      </c>
      <c r="C781" s="8">
        <v>2007</v>
      </c>
      <c r="D781" s="8">
        <v>3</v>
      </c>
      <c r="E781" s="8">
        <v>0.53383874893188477</v>
      </c>
      <c r="F781" s="8"/>
      <c r="G781" s="8"/>
      <c r="H781" s="8"/>
      <c r="I781" s="8"/>
      <c r="J781" s="8">
        <v>0.26058539748191833</v>
      </c>
      <c r="K781" s="8">
        <v>8.2310639321804047E-2</v>
      </c>
      <c r="L781" s="8">
        <v>6364943</v>
      </c>
      <c r="M781" t="s">
        <v>1052</v>
      </c>
    </row>
    <row r="782" spans="2:13">
      <c r="B782" t="s">
        <v>46</v>
      </c>
      <c r="C782" s="8">
        <v>2008</v>
      </c>
      <c r="D782" s="8">
        <v>1</v>
      </c>
      <c r="E782" s="8">
        <v>0.51998758316040039</v>
      </c>
      <c r="F782" s="8"/>
      <c r="G782" s="8"/>
      <c r="H782" s="8"/>
      <c r="I782" s="8"/>
      <c r="J782" s="8">
        <v>0.44944241642951965</v>
      </c>
      <c r="K782" s="8">
        <v>6.8069994449615479E-2</v>
      </c>
      <c r="L782" s="8">
        <v>6364943</v>
      </c>
      <c r="M782" t="s">
        <v>1052</v>
      </c>
    </row>
    <row r="783" spans="2:13">
      <c r="B783" t="s">
        <v>46</v>
      </c>
      <c r="C783" s="8">
        <v>2008</v>
      </c>
      <c r="D783" s="8">
        <v>2</v>
      </c>
      <c r="E783" s="8">
        <v>0.54091507196426392</v>
      </c>
      <c r="F783" s="8"/>
      <c r="G783" s="8"/>
      <c r="H783" s="8"/>
      <c r="I783" s="8"/>
      <c r="J783" s="8">
        <v>0.37282156944274902</v>
      </c>
      <c r="K783" s="8">
        <v>7.0771925151348114E-2</v>
      </c>
      <c r="L783" s="8">
        <v>6364943</v>
      </c>
      <c r="M783" t="s">
        <v>1052</v>
      </c>
    </row>
    <row r="784" spans="2:13">
      <c r="B784" t="s">
        <v>46</v>
      </c>
      <c r="C784" s="8">
        <v>2008</v>
      </c>
      <c r="D784" s="8">
        <v>3</v>
      </c>
      <c r="E784" s="8">
        <v>0.52294540405273438</v>
      </c>
      <c r="F784" s="8"/>
      <c r="G784" s="8"/>
      <c r="H784" s="8"/>
      <c r="I784" s="8"/>
      <c r="J784" s="8">
        <v>0.25707268714904785</v>
      </c>
      <c r="K784" s="8">
        <v>7.8215502202510834E-2</v>
      </c>
      <c r="L784" s="8">
        <v>6364943</v>
      </c>
      <c r="M784" t="s">
        <v>1052</v>
      </c>
    </row>
    <row r="785" spans="2:13">
      <c r="B785" t="s">
        <v>46</v>
      </c>
      <c r="C785" s="8">
        <v>2009</v>
      </c>
      <c r="D785" s="8">
        <v>1</v>
      </c>
      <c r="E785" s="8">
        <v>0.5324741005897522</v>
      </c>
      <c r="F785" s="8"/>
      <c r="G785" s="8"/>
      <c r="H785" s="8"/>
      <c r="I785" s="8"/>
      <c r="J785" s="8">
        <v>0.43679270148277283</v>
      </c>
      <c r="K785" s="8">
        <v>6.7272230982780457E-2</v>
      </c>
      <c r="L785" s="8">
        <v>6364943</v>
      </c>
      <c r="M785" t="s">
        <v>1052</v>
      </c>
    </row>
    <row r="786" spans="2:13">
      <c r="B786" t="s">
        <v>46</v>
      </c>
      <c r="C786" s="8">
        <v>2009</v>
      </c>
      <c r="D786" s="8">
        <v>2</v>
      </c>
      <c r="E786" s="8">
        <v>0.52980047464370728</v>
      </c>
      <c r="F786" s="8"/>
      <c r="G786" s="8"/>
      <c r="H786" s="8"/>
      <c r="I786" s="8"/>
      <c r="J786" s="8">
        <v>0.36332932114601135</v>
      </c>
      <c r="K786" s="8">
        <v>6.6669918596744537E-2</v>
      </c>
      <c r="L786" s="8">
        <v>6364943</v>
      </c>
      <c r="M786" t="s">
        <v>1052</v>
      </c>
    </row>
    <row r="787" spans="2:13">
      <c r="B787" t="s">
        <v>46</v>
      </c>
      <c r="C787" s="8">
        <v>2009</v>
      </c>
      <c r="D787" s="8">
        <v>3</v>
      </c>
      <c r="E787" s="8">
        <v>0.52471059560775757</v>
      </c>
      <c r="F787" s="8"/>
      <c r="G787" s="8"/>
      <c r="H787" s="8"/>
      <c r="I787" s="8"/>
      <c r="J787" s="8">
        <v>0.24738647043704987</v>
      </c>
      <c r="K787" s="8">
        <v>8.4093436598777771E-2</v>
      </c>
      <c r="L787" s="8">
        <v>6364943</v>
      </c>
      <c r="M787" t="s">
        <v>1052</v>
      </c>
    </row>
    <row r="788" spans="2:13">
      <c r="B788" t="s">
        <v>46</v>
      </c>
      <c r="C788" s="8">
        <v>2010</v>
      </c>
      <c r="D788" s="8">
        <v>1</v>
      </c>
      <c r="E788" s="8">
        <v>0.52802538871765137</v>
      </c>
      <c r="F788" s="8"/>
      <c r="G788" s="8"/>
      <c r="H788" s="8"/>
      <c r="I788" s="8"/>
      <c r="J788" s="8">
        <v>0.43171098828315735</v>
      </c>
      <c r="K788" s="8">
        <v>6.9375313818454742E-2</v>
      </c>
      <c r="L788" s="8">
        <v>6364943</v>
      </c>
      <c r="M788" t="s">
        <v>1052</v>
      </c>
    </row>
    <row r="789" spans="2:13">
      <c r="B789" t="s">
        <v>46</v>
      </c>
      <c r="C789" s="8">
        <v>2010</v>
      </c>
      <c r="D789" s="8">
        <v>2</v>
      </c>
      <c r="E789" s="8">
        <v>0.53122007846832275</v>
      </c>
      <c r="F789" s="8"/>
      <c r="G789" s="8"/>
      <c r="H789" s="8"/>
      <c r="I789" s="8"/>
      <c r="J789" s="8">
        <v>0.35724905133247375</v>
      </c>
      <c r="K789" s="8">
        <v>6.9000735878944397E-2</v>
      </c>
      <c r="L789" s="8">
        <v>6364943</v>
      </c>
      <c r="M789" t="s">
        <v>1052</v>
      </c>
    </row>
    <row r="790" spans="2:13">
      <c r="B790" t="s">
        <v>46</v>
      </c>
      <c r="C790" s="8">
        <v>2010</v>
      </c>
      <c r="D790" s="8">
        <v>3</v>
      </c>
      <c r="E790" s="8">
        <v>0.52993506193161011</v>
      </c>
      <c r="F790" s="8"/>
      <c r="G790" s="8"/>
      <c r="H790" s="8"/>
      <c r="I790" s="8"/>
      <c r="J790" s="8">
        <v>0.24302338063716888</v>
      </c>
      <c r="K790" s="8">
        <v>8.6569681763648987E-2</v>
      </c>
      <c r="L790" s="8">
        <v>6364943</v>
      </c>
      <c r="M790" t="s">
        <v>1052</v>
      </c>
    </row>
    <row r="791" spans="2:13">
      <c r="B791" t="s">
        <v>46</v>
      </c>
      <c r="C791" s="8">
        <v>2011</v>
      </c>
      <c r="D791" s="8">
        <v>1</v>
      </c>
      <c r="E791" s="8">
        <v>0.52530890703201294</v>
      </c>
      <c r="F791" s="8"/>
      <c r="G791" s="8"/>
      <c r="H791" s="8"/>
      <c r="I791" s="8"/>
      <c r="J791" s="8">
        <v>0.42201957106590271</v>
      </c>
      <c r="K791" s="8">
        <v>6.5728656947612762E-2</v>
      </c>
      <c r="L791" s="8">
        <v>6364943</v>
      </c>
      <c r="M791" t="s">
        <v>1052</v>
      </c>
    </row>
    <row r="792" spans="2:13">
      <c r="B792" t="s">
        <v>46</v>
      </c>
      <c r="C792" s="8">
        <v>2011</v>
      </c>
      <c r="D792" s="8">
        <v>2</v>
      </c>
      <c r="E792" s="8">
        <v>0.52578914165496826</v>
      </c>
      <c r="F792" s="8"/>
      <c r="G792" s="8"/>
      <c r="H792" s="8"/>
      <c r="I792" s="8"/>
      <c r="J792" s="8">
        <v>0.35037720203399658</v>
      </c>
      <c r="K792" s="8">
        <v>6.8977870047092438E-2</v>
      </c>
      <c r="L792" s="8">
        <v>6364943</v>
      </c>
      <c r="M792" t="s">
        <v>1052</v>
      </c>
    </row>
    <row r="793" spans="2:13">
      <c r="B793" t="s">
        <v>46</v>
      </c>
      <c r="C793" s="8">
        <v>2011</v>
      </c>
      <c r="D793" s="8">
        <v>3</v>
      </c>
      <c r="E793" s="8">
        <v>0.52241504192352295</v>
      </c>
      <c r="F793" s="8"/>
      <c r="G793" s="8"/>
      <c r="H793" s="8"/>
      <c r="I793" s="8"/>
      <c r="J793" s="8">
        <v>0.22947897017002106</v>
      </c>
      <c r="K793" s="8">
        <v>8.4218472242355347E-2</v>
      </c>
      <c r="L793" s="8">
        <v>6364943</v>
      </c>
      <c r="M793" t="s">
        <v>1052</v>
      </c>
    </row>
    <row r="794" spans="2:13">
      <c r="B794" t="s">
        <v>46</v>
      </c>
      <c r="C794" s="8">
        <v>2012</v>
      </c>
      <c r="D794" s="8">
        <v>1</v>
      </c>
      <c r="E794" s="8">
        <v>0.52936995029449463</v>
      </c>
      <c r="F794" s="8"/>
      <c r="G794" s="8"/>
      <c r="H794" s="8"/>
      <c r="I794" s="8"/>
      <c r="J794" s="8">
        <v>0.40604716539382935</v>
      </c>
      <c r="K794" s="8">
        <v>7.3027215898036957E-2</v>
      </c>
      <c r="L794" s="8">
        <v>6364943</v>
      </c>
      <c r="M794" t="s">
        <v>1052</v>
      </c>
    </row>
    <row r="795" spans="2:13">
      <c r="B795" t="s">
        <v>46</v>
      </c>
      <c r="C795" s="8">
        <v>2012</v>
      </c>
      <c r="D795" s="8">
        <v>2</v>
      </c>
      <c r="E795" s="8">
        <v>0.5299956202507019</v>
      </c>
      <c r="F795" s="8"/>
      <c r="G795" s="8"/>
      <c r="H795" s="8"/>
      <c r="I795" s="8"/>
      <c r="J795" s="8">
        <v>0.33804363012313843</v>
      </c>
      <c r="K795" s="8">
        <v>7.4202433228492737E-2</v>
      </c>
      <c r="L795" s="8">
        <v>6364943</v>
      </c>
      <c r="M795" t="s">
        <v>1052</v>
      </c>
    </row>
    <row r="796" spans="2:13">
      <c r="B796" t="s">
        <v>46</v>
      </c>
      <c r="C796" s="8">
        <v>2012</v>
      </c>
      <c r="D796" s="8">
        <v>3</v>
      </c>
      <c r="E796" s="8">
        <v>0.52783352136611938</v>
      </c>
      <c r="F796" s="8"/>
      <c r="G796" s="8"/>
      <c r="H796" s="8"/>
      <c r="I796" s="8"/>
      <c r="J796" s="8">
        <v>0.23156072199344635</v>
      </c>
      <c r="K796" s="8">
        <v>8.7079435586929321E-2</v>
      </c>
      <c r="L796" s="8">
        <v>6364943</v>
      </c>
      <c r="M796" t="s">
        <v>1052</v>
      </c>
    </row>
    <row r="797" spans="2:13">
      <c r="B797" t="s">
        <v>46</v>
      </c>
      <c r="C797" s="8">
        <v>2013</v>
      </c>
      <c r="D797" s="8">
        <v>1</v>
      </c>
      <c r="E797" s="8">
        <v>0.52324783802032471</v>
      </c>
      <c r="F797" s="8"/>
      <c r="G797" s="8"/>
      <c r="H797" s="8"/>
      <c r="I797" s="8"/>
      <c r="J797" s="8">
        <v>0.399971604347229</v>
      </c>
      <c r="K797" s="8">
        <v>6.9563888013362885E-2</v>
      </c>
      <c r="L797" s="8">
        <v>6364943</v>
      </c>
      <c r="M797" t="s">
        <v>1052</v>
      </c>
    </row>
    <row r="798" spans="2:13">
      <c r="B798" t="s">
        <v>46</v>
      </c>
      <c r="C798" s="8">
        <v>2013</v>
      </c>
      <c r="D798" s="8">
        <v>2</v>
      </c>
      <c r="E798" s="8">
        <v>0.52922481298446655</v>
      </c>
      <c r="F798" s="8"/>
      <c r="G798" s="8"/>
      <c r="H798" s="8"/>
      <c r="I798" s="8"/>
      <c r="J798" s="8">
        <v>0.33685058355331421</v>
      </c>
      <c r="K798" s="8">
        <v>7.1518152952194214E-2</v>
      </c>
      <c r="L798" s="8">
        <v>6364943</v>
      </c>
      <c r="M798" t="s">
        <v>1052</v>
      </c>
    </row>
    <row r="799" spans="2:13">
      <c r="B799" t="s">
        <v>46</v>
      </c>
      <c r="C799" s="8">
        <v>2013</v>
      </c>
      <c r="D799" s="8">
        <v>3</v>
      </c>
      <c r="E799" s="8">
        <v>0.52785366773605347</v>
      </c>
      <c r="F799" s="8"/>
      <c r="G799" s="8"/>
      <c r="H799" s="8"/>
      <c r="I799" s="8"/>
      <c r="J799" s="8">
        <v>0.22961264848709106</v>
      </c>
      <c r="K799" s="8">
        <v>8.7351202964782715E-2</v>
      </c>
      <c r="L799" s="8">
        <v>6364943</v>
      </c>
      <c r="M799" t="s">
        <v>1052</v>
      </c>
    </row>
    <row r="800" spans="2:13">
      <c r="B800" t="s">
        <v>46</v>
      </c>
      <c r="C800" s="8">
        <v>2014</v>
      </c>
      <c r="D800" s="8">
        <v>1</v>
      </c>
      <c r="E800" s="8">
        <v>0.52045869827270508</v>
      </c>
      <c r="F800" s="8"/>
      <c r="G800" s="8"/>
      <c r="H800" s="8"/>
      <c r="I800" s="8"/>
      <c r="J800" s="8">
        <v>0.38834279775619507</v>
      </c>
      <c r="K800" s="8">
        <v>7.3602102696895599E-2</v>
      </c>
      <c r="L800" s="8">
        <v>6364943</v>
      </c>
      <c r="M800" t="s">
        <v>1052</v>
      </c>
    </row>
    <row r="801" spans="2:13">
      <c r="B801" t="s">
        <v>46</v>
      </c>
      <c r="C801" s="8">
        <v>2014</v>
      </c>
      <c r="D801" s="8">
        <v>2</v>
      </c>
      <c r="E801" s="8">
        <v>0.52975106239318848</v>
      </c>
      <c r="F801" s="8"/>
      <c r="G801" s="8"/>
      <c r="H801" s="8"/>
      <c r="I801" s="8"/>
      <c r="J801" s="8">
        <v>0.32570719718933105</v>
      </c>
      <c r="K801" s="8">
        <v>7.2211526334285736E-2</v>
      </c>
      <c r="L801" s="8">
        <v>6364943</v>
      </c>
      <c r="M801" t="s">
        <v>1052</v>
      </c>
    </row>
    <row r="802" spans="2:13">
      <c r="B802" t="s">
        <v>46</v>
      </c>
      <c r="C802" s="8">
        <v>2014</v>
      </c>
      <c r="D802" s="8">
        <v>3</v>
      </c>
      <c r="E802" s="8">
        <v>0.53063267469406128</v>
      </c>
      <c r="F802" s="8"/>
      <c r="G802" s="8"/>
      <c r="H802" s="8"/>
      <c r="I802" s="8"/>
      <c r="J802" s="8">
        <v>0.22254274785518646</v>
      </c>
      <c r="K802" s="8">
        <v>9.3168340623378754E-2</v>
      </c>
      <c r="L802" s="8">
        <v>6364943</v>
      </c>
      <c r="M802" t="s">
        <v>1052</v>
      </c>
    </row>
    <row r="803" spans="2:13">
      <c r="B803" t="s">
        <v>46</v>
      </c>
      <c r="C803" s="8">
        <v>2015</v>
      </c>
      <c r="D803" s="8">
        <v>1</v>
      </c>
      <c r="E803" s="8">
        <v>0.52469480037689209</v>
      </c>
      <c r="F803" s="8"/>
      <c r="G803" s="8"/>
      <c r="H803" s="8"/>
      <c r="I803" s="8"/>
      <c r="J803" s="8">
        <v>0.3805387020111084</v>
      </c>
      <c r="K803" s="8">
        <v>7.9835109412670135E-2</v>
      </c>
      <c r="L803" s="8">
        <v>6364943</v>
      </c>
      <c r="M803" t="s">
        <v>1052</v>
      </c>
    </row>
    <row r="804" spans="2:13">
      <c r="B804" t="s">
        <v>46</v>
      </c>
      <c r="C804" s="8">
        <v>2015</v>
      </c>
      <c r="D804" s="8">
        <v>2</v>
      </c>
      <c r="E804" s="8">
        <v>0.52617114782333374</v>
      </c>
      <c r="F804" s="8"/>
      <c r="G804" s="8"/>
      <c r="H804" s="8"/>
      <c r="I804" s="8"/>
      <c r="J804" s="8">
        <v>0.32934573292732239</v>
      </c>
      <c r="K804" s="8">
        <v>7.5783796608448029E-2</v>
      </c>
      <c r="L804" s="8">
        <v>6364943</v>
      </c>
      <c r="M804" t="s">
        <v>1052</v>
      </c>
    </row>
    <row r="805" spans="2:13">
      <c r="B805" t="s">
        <v>46</v>
      </c>
      <c r="C805" s="8">
        <v>2015</v>
      </c>
      <c r="D805" s="8">
        <v>3</v>
      </c>
      <c r="E805" s="8">
        <v>0.52509927749633789</v>
      </c>
      <c r="F805" s="8"/>
      <c r="G805" s="8"/>
      <c r="H805" s="8"/>
      <c r="I805" s="8"/>
      <c r="J805" s="8">
        <v>0.21605207026004791</v>
      </c>
      <c r="K805" s="8">
        <v>9.7531870007514954E-2</v>
      </c>
      <c r="L805" s="8">
        <v>6364943</v>
      </c>
      <c r="M805" t="s">
        <v>1052</v>
      </c>
    </row>
    <row r="806" spans="2:13">
      <c r="B806" t="s">
        <v>46</v>
      </c>
      <c r="C806" s="8">
        <v>2016</v>
      </c>
      <c r="D806" s="8">
        <v>1</v>
      </c>
      <c r="E806" s="8">
        <v>0.51886671781539917</v>
      </c>
      <c r="F806" s="8"/>
      <c r="G806" s="8"/>
      <c r="H806" s="8"/>
      <c r="I806" s="8"/>
      <c r="J806" s="8">
        <v>0.37784561514854431</v>
      </c>
      <c r="K806" s="8">
        <v>7.5385488569736481E-2</v>
      </c>
      <c r="L806" s="8">
        <v>6364943</v>
      </c>
      <c r="M806" t="s">
        <v>1052</v>
      </c>
    </row>
    <row r="807" spans="2:13">
      <c r="B807" t="s">
        <v>46</v>
      </c>
      <c r="C807" s="8">
        <v>2016</v>
      </c>
      <c r="D807" s="8">
        <v>2</v>
      </c>
      <c r="E807" s="8">
        <v>0.53395909070968628</v>
      </c>
      <c r="F807" s="8"/>
      <c r="G807" s="8"/>
      <c r="H807" s="8"/>
      <c r="I807" s="8"/>
      <c r="J807" s="8">
        <v>0.31883338093757629</v>
      </c>
      <c r="K807" s="8">
        <v>8.1374317407608032E-2</v>
      </c>
      <c r="L807" s="8">
        <v>6364943</v>
      </c>
      <c r="M807" t="s">
        <v>1052</v>
      </c>
    </row>
    <row r="808" spans="2:13">
      <c r="B808" t="s">
        <v>46</v>
      </c>
      <c r="C808" s="8">
        <v>2016</v>
      </c>
      <c r="D808" s="8">
        <v>3</v>
      </c>
      <c r="E808" s="8">
        <v>0.52773672342300415</v>
      </c>
      <c r="F808" s="8"/>
      <c r="G808" s="8"/>
      <c r="H808" s="8"/>
      <c r="I808" s="8"/>
      <c r="J808" s="8">
        <v>0.21296192705631256</v>
      </c>
      <c r="K808" s="8">
        <v>9.7465015947818756E-2</v>
      </c>
      <c r="L808" s="8">
        <v>6364943</v>
      </c>
      <c r="M808" t="s">
        <v>1052</v>
      </c>
    </row>
    <row r="809" spans="2:13">
      <c r="B809" t="s">
        <v>46</v>
      </c>
      <c r="C809" s="8">
        <v>2017</v>
      </c>
      <c r="D809" s="8">
        <v>1</v>
      </c>
      <c r="E809" s="8">
        <v>0.51619744300842285</v>
      </c>
      <c r="F809" s="8"/>
      <c r="G809" s="8"/>
      <c r="H809" s="8"/>
      <c r="I809" s="8"/>
      <c r="J809" s="8">
        <v>0.36875024437904358</v>
      </c>
      <c r="K809" s="8">
        <v>8.011443167924881E-2</v>
      </c>
      <c r="L809" s="8">
        <v>6364943</v>
      </c>
      <c r="M809" t="s">
        <v>1052</v>
      </c>
    </row>
    <row r="810" spans="2:13">
      <c r="B810" t="s">
        <v>46</v>
      </c>
      <c r="C810" s="8">
        <v>2017</v>
      </c>
      <c r="D810" s="8">
        <v>2</v>
      </c>
      <c r="E810" s="8">
        <v>0.53836208581924438</v>
      </c>
      <c r="F810" s="8"/>
      <c r="G810" s="8"/>
      <c r="H810" s="8"/>
      <c r="I810" s="8"/>
      <c r="J810" s="8">
        <v>0.32131072878837585</v>
      </c>
      <c r="K810" s="8">
        <v>8.1034749746322632E-2</v>
      </c>
      <c r="L810" s="8">
        <v>6364943</v>
      </c>
      <c r="M810" t="s">
        <v>1052</v>
      </c>
    </row>
    <row r="811" spans="2:13">
      <c r="B811" t="s">
        <v>46</v>
      </c>
      <c r="C811" s="8">
        <v>2017</v>
      </c>
      <c r="D811" s="8">
        <v>3</v>
      </c>
      <c r="E811" s="8">
        <v>0.5321388840675354</v>
      </c>
      <c r="F811" s="8"/>
      <c r="G811" s="8"/>
      <c r="H811" s="8"/>
      <c r="I811" s="8"/>
      <c r="J811" s="8">
        <v>0.21371109783649445</v>
      </c>
      <c r="K811" s="8">
        <v>9.9673010408878326E-2</v>
      </c>
      <c r="L811" s="8">
        <v>6364943</v>
      </c>
      <c r="M811" t="s">
        <v>1052</v>
      </c>
    </row>
    <row r="812" spans="2:13">
      <c r="B812" t="s">
        <v>46</v>
      </c>
      <c r="C812" s="8">
        <v>2018</v>
      </c>
      <c r="D812" s="8">
        <v>1</v>
      </c>
      <c r="E812" s="8">
        <v>0.5243372917175293</v>
      </c>
      <c r="F812" s="8"/>
      <c r="G812" s="8"/>
      <c r="H812" s="8"/>
      <c r="I812" s="8"/>
      <c r="J812" s="8">
        <v>0.36674702167510986</v>
      </c>
      <c r="K812" s="8">
        <v>8.4551669657230377E-2</v>
      </c>
      <c r="L812" s="8">
        <v>6364943</v>
      </c>
      <c r="M812" t="s">
        <v>1052</v>
      </c>
    </row>
    <row r="813" spans="2:13">
      <c r="B813" t="s">
        <v>46</v>
      </c>
      <c r="C813" s="8">
        <v>2018</v>
      </c>
      <c r="D813" s="8">
        <v>2</v>
      </c>
      <c r="E813" s="8">
        <v>0.53581219911575317</v>
      </c>
      <c r="F813" s="8"/>
      <c r="G813" s="8"/>
      <c r="H813" s="8"/>
      <c r="I813" s="8"/>
      <c r="J813" s="8">
        <v>0.31383213400840759</v>
      </c>
      <c r="K813" s="8">
        <v>8.464609831571579E-2</v>
      </c>
      <c r="L813" s="8">
        <v>6364943</v>
      </c>
      <c r="M813" t="s">
        <v>1052</v>
      </c>
    </row>
    <row r="814" spans="2:13">
      <c r="B814" t="s">
        <v>46</v>
      </c>
      <c r="C814" s="8">
        <v>2018</v>
      </c>
      <c r="D814" s="8">
        <v>3</v>
      </c>
      <c r="E814" s="8">
        <v>0.52820205688476563</v>
      </c>
      <c r="F814" s="8"/>
      <c r="G814" s="8"/>
      <c r="H814" s="8"/>
      <c r="I814" s="8"/>
      <c r="J814" s="8">
        <v>0.20488418638706207</v>
      </c>
      <c r="K814" s="8">
        <v>0.10295923799276352</v>
      </c>
      <c r="L814" s="8">
        <v>6364943</v>
      </c>
      <c r="M814" t="s">
        <v>1052</v>
      </c>
    </row>
    <row r="815" spans="2:13">
      <c r="B815" t="s">
        <v>46</v>
      </c>
      <c r="C815" s="8">
        <v>2019</v>
      </c>
      <c r="D815" s="8">
        <v>1</v>
      </c>
      <c r="E815" s="8">
        <v>0.52892899513244629</v>
      </c>
      <c r="F815" s="8"/>
      <c r="G815" s="8"/>
      <c r="H815" s="8"/>
      <c r="I815" s="8"/>
      <c r="J815" s="8">
        <v>0.35925066471099854</v>
      </c>
      <c r="K815" s="8">
        <v>9.063391387462616E-2</v>
      </c>
      <c r="L815" s="8">
        <v>6364943</v>
      </c>
      <c r="M815" t="s">
        <v>1052</v>
      </c>
    </row>
    <row r="816" spans="2:13">
      <c r="B816" t="s">
        <v>46</v>
      </c>
      <c r="C816" s="8">
        <v>2019</v>
      </c>
      <c r="D816" s="8">
        <v>2</v>
      </c>
      <c r="E816" s="8">
        <v>0.54357284307479858</v>
      </c>
      <c r="F816" s="8"/>
      <c r="G816" s="8"/>
      <c r="H816" s="8"/>
      <c r="I816" s="8"/>
      <c r="J816" s="8">
        <v>0.31913211941719055</v>
      </c>
      <c r="K816" s="8">
        <v>8.4197275340557098E-2</v>
      </c>
      <c r="L816" s="8">
        <v>6364943</v>
      </c>
      <c r="M816" t="s">
        <v>1052</v>
      </c>
    </row>
    <row r="817" spans="2:13">
      <c r="B817" t="s">
        <v>46</v>
      </c>
      <c r="C817" s="8">
        <v>2019</v>
      </c>
      <c r="D817" s="8">
        <v>3</v>
      </c>
      <c r="E817" s="8">
        <v>0.52297568321228027</v>
      </c>
      <c r="F817" s="8"/>
      <c r="G817" s="8"/>
      <c r="H817" s="8"/>
      <c r="I817" s="8"/>
      <c r="J817" s="8">
        <v>0.20351509749889374</v>
      </c>
      <c r="K817" s="8">
        <v>0.10264288634061813</v>
      </c>
      <c r="L817" s="8">
        <v>6364943</v>
      </c>
      <c r="M817" t="s">
        <v>1052</v>
      </c>
    </row>
    <row r="818" spans="2:13">
      <c r="B818" t="s">
        <v>46</v>
      </c>
      <c r="C818" s="8">
        <v>2020</v>
      </c>
      <c r="D818" s="8">
        <v>1</v>
      </c>
      <c r="E818" s="8">
        <v>0.55845671892166138</v>
      </c>
      <c r="F818" s="8"/>
      <c r="G818" s="8"/>
      <c r="H818" s="8"/>
      <c r="I818" s="8"/>
      <c r="J818" s="8">
        <v>0.32097557187080383</v>
      </c>
      <c r="K818" s="8">
        <v>0.13251104950904846</v>
      </c>
      <c r="L818" s="8">
        <v>6364943</v>
      </c>
      <c r="M818" t="s">
        <v>1052</v>
      </c>
    </row>
    <row r="819" spans="2:13">
      <c r="B819" t="s">
        <v>46</v>
      </c>
      <c r="C819" s="8">
        <v>2020</v>
      </c>
      <c r="D819" s="8">
        <v>2</v>
      </c>
      <c r="E819" s="8">
        <v>0.53986650705337524</v>
      </c>
      <c r="F819" s="8"/>
      <c r="G819" s="8"/>
      <c r="H819" s="8"/>
      <c r="I819" s="8"/>
      <c r="J819" s="8">
        <v>0.30516844987869263</v>
      </c>
      <c r="K819" s="8">
        <v>8.6768850684165955E-2</v>
      </c>
      <c r="L819" s="8">
        <v>6364943</v>
      </c>
      <c r="M819" t="s">
        <v>1052</v>
      </c>
    </row>
    <row r="820" spans="2:13">
      <c r="B820" t="s">
        <v>46</v>
      </c>
      <c r="C820" s="8">
        <v>2020</v>
      </c>
      <c r="D820" s="8">
        <v>3</v>
      </c>
      <c r="E820" s="8">
        <v>0.51968753337860107</v>
      </c>
      <c r="F820" s="8"/>
      <c r="G820" s="8"/>
      <c r="H820" s="8"/>
      <c r="I820" s="8"/>
      <c r="J820" s="8">
        <v>0.20054817199707031</v>
      </c>
      <c r="K820" s="8">
        <v>9.4561897218227386E-2</v>
      </c>
      <c r="L820" s="8">
        <v>6364943</v>
      </c>
      <c r="M820" t="s">
        <v>1052</v>
      </c>
    </row>
    <row r="821" spans="2:13">
      <c r="B821" t="s">
        <v>46</v>
      </c>
      <c r="C821" s="8">
        <v>2021</v>
      </c>
      <c r="D821" s="8">
        <v>1</v>
      </c>
      <c r="E821" s="8">
        <v>0.55120670795440674</v>
      </c>
      <c r="F821" s="8"/>
      <c r="G821" s="8"/>
      <c r="H821" s="8"/>
      <c r="I821" s="8"/>
      <c r="J821" s="8">
        <v>0.33441755175590515</v>
      </c>
      <c r="K821" s="8">
        <v>0.11766550689935684</v>
      </c>
      <c r="L821" s="8">
        <v>6364943</v>
      </c>
      <c r="M821" t="s">
        <v>1052</v>
      </c>
    </row>
    <row r="822" spans="2:13">
      <c r="B822" t="s">
        <v>46</v>
      </c>
      <c r="C822" s="8">
        <v>2021</v>
      </c>
      <c r="D822" s="8">
        <v>2</v>
      </c>
      <c r="E822" s="8">
        <v>0.53272980451583862</v>
      </c>
      <c r="F822" s="8"/>
      <c r="G822" s="8"/>
      <c r="H822" s="8"/>
      <c r="I822" s="8"/>
      <c r="J822" s="8">
        <v>0.31434765458106995</v>
      </c>
      <c r="K822" s="8">
        <v>8.1582866609096527E-2</v>
      </c>
      <c r="L822" s="8">
        <v>6364943</v>
      </c>
      <c r="M822" t="s">
        <v>1052</v>
      </c>
    </row>
    <row r="823" spans="2:13">
      <c r="B823" t="s">
        <v>46</v>
      </c>
      <c r="C823" s="8">
        <v>2021</v>
      </c>
      <c r="D823" s="8">
        <v>3</v>
      </c>
      <c r="E823" s="8">
        <v>0.52379345893859863</v>
      </c>
      <c r="F823" s="8"/>
      <c r="G823" s="8"/>
      <c r="H823" s="8"/>
      <c r="I823" s="8"/>
      <c r="J823" s="8">
        <v>0.19729249179363251</v>
      </c>
      <c r="K823" s="8">
        <v>9.3801423907279968E-2</v>
      </c>
      <c r="L823" s="8">
        <v>6364943</v>
      </c>
      <c r="M823" t="s">
        <v>1052</v>
      </c>
    </row>
    <row r="824" spans="2:13">
      <c r="B824" t="s">
        <v>46</v>
      </c>
      <c r="C824" s="8">
        <v>2022</v>
      </c>
      <c r="D824" s="8">
        <v>1</v>
      </c>
      <c r="E824" s="8">
        <v>0.55530476570129395</v>
      </c>
      <c r="F824" s="8"/>
      <c r="G824" s="8"/>
      <c r="H824" s="8"/>
      <c r="I824" s="8"/>
      <c r="J824" s="8">
        <v>0.33554047346115112</v>
      </c>
      <c r="K824" s="8">
        <v>0.1178516298532486</v>
      </c>
      <c r="L824" s="8">
        <v>6364943</v>
      </c>
      <c r="M824" t="s">
        <v>1052</v>
      </c>
    </row>
    <row r="825" spans="2:13">
      <c r="B825" t="s">
        <v>46</v>
      </c>
      <c r="C825" s="8">
        <v>2022</v>
      </c>
      <c r="D825" s="8">
        <v>2</v>
      </c>
      <c r="E825" s="8">
        <v>0.53740674257278442</v>
      </c>
      <c r="F825" s="8"/>
      <c r="G825" s="8"/>
      <c r="H825" s="8"/>
      <c r="I825" s="8"/>
      <c r="J825" s="8">
        <v>0.32013073563575745</v>
      </c>
      <c r="K825" s="8">
        <v>8.323216438293457E-2</v>
      </c>
      <c r="L825" s="8">
        <v>6364943</v>
      </c>
      <c r="M825" t="s">
        <v>1052</v>
      </c>
    </row>
    <row r="826" spans="2:13">
      <c r="B826" t="s">
        <v>46</v>
      </c>
      <c r="C826" s="8">
        <v>2022</v>
      </c>
      <c r="D826" s="8">
        <v>3</v>
      </c>
      <c r="E826" s="8">
        <v>0.52121305465698242</v>
      </c>
      <c r="F826" s="8"/>
      <c r="G826" s="8"/>
      <c r="H826" s="8"/>
      <c r="I826" s="8"/>
      <c r="J826" s="8">
        <v>0.19169521331787109</v>
      </c>
      <c r="K826" s="8">
        <v>9.3111984431743622E-2</v>
      </c>
      <c r="L826" s="8">
        <v>6364943</v>
      </c>
      <c r="M826" t="s">
        <v>1052</v>
      </c>
    </row>
    <row r="827" spans="2:13">
      <c r="B827" t="s">
        <v>46</v>
      </c>
      <c r="C827" s="8">
        <v>2023</v>
      </c>
      <c r="D827" s="8">
        <v>1</v>
      </c>
      <c r="E827" s="8">
        <v>0.54835814237594604</v>
      </c>
      <c r="F827" s="8"/>
      <c r="G827" s="8"/>
      <c r="H827" s="8"/>
      <c r="I827" s="8"/>
      <c r="J827" s="8">
        <v>0.3169340193271637</v>
      </c>
      <c r="K827" s="8">
        <v>0.12985800206661224</v>
      </c>
      <c r="L827" s="8">
        <v>6364943</v>
      </c>
      <c r="M827" t="s">
        <v>1052</v>
      </c>
    </row>
    <row r="828" spans="2:13">
      <c r="B828" t="s">
        <v>46</v>
      </c>
      <c r="C828" s="8">
        <v>2023</v>
      </c>
      <c r="D828" s="8">
        <v>2</v>
      </c>
      <c r="E828" s="8">
        <v>0.54684478044509888</v>
      </c>
      <c r="F828" s="8"/>
      <c r="G828" s="8"/>
      <c r="H828" s="8"/>
      <c r="I828" s="8"/>
      <c r="J828" s="8">
        <v>0.32153135538101196</v>
      </c>
      <c r="K828" s="8">
        <v>8.0052599310874939E-2</v>
      </c>
      <c r="L828" s="8">
        <v>6364943</v>
      </c>
      <c r="M828" t="s">
        <v>1052</v>
      </c>
    </row>
    <row r="829" spans="2:13">
      <c r="B829" t="s">
        <v>46</v>
      </c>
      <c r="C829" s="8">
        <v>2023</v>
      </c>
      <c r="D829" s="8">
        <v>3</v>
      </c>
      <c r="E829" s="8">
        <v>0.52209150791168213</v>
      </c>
      <c r="F829" s="8"/>
      <c r="G829" s="8"/>
      <c r="H829" s="8"/>
      <c r="I829" s="8"/>
      <c r="J829" s="8">
        <v>0.19359368085861206</v>
      </c>
      <c r="K829" s="8">
        <v>9.8023943603038788E-2</v>
      </c>
      <c r="L829" s="8">
        <v>6364943</v>
      </c>
      <c r="M829" t="s">
        <v>1052</v>
      </c>
    </row>
    <row r="830" spans="2:13">
      <c r="B830" t="s">
        <v>50</v>
      </c>
      <c r="C830" s="8">
        <v>2003</v>
      </c>
      <c r="D830" s="8">
        <v>1</v>
      </c>
      <c r="E830" s="8">
        <v>0.51673388481140137</v>
      </c>
      <c r="F830" s="8"/>
      <c r="G830" s="8"/>
      <c r="H830" s="8"/>
      <c r="I830" s="8"/>
      <c r="J830" s="8">
        <v>0.44372537732124329</v>
      </c>
      <c r="K830" s="8">
        <v>2.6981795206665993E-2</v>
      </c>
      <c r="L830" s="8">
        <v>3423109</v>
      </c>
      <c r="M830" t="s">
        <v>1052</v>
      </c>
    </row>
    <row r="831" spans="2:13">
      <c r="B831" t="s">
        <v>50</v>
      </c>
      <c r="C831" s="8">
        <v>2003</v>
      </c>
      <c r="D831" s="8">
        <v>2</v>
      </c>
      <c r="E831" s="8">
        <v>0.5207749605178833</v>
      </c>
      <c r="F831" s="8"/>
      <c r="G831" s="8"/>
      <c r="H831" s="8"/>
      <c r="I831" s="8"/>
      <c r="J831" s="8">
        <v>0.34607821702957153</v>
      </c>
      <c r="K831" s="8">
        <v>7.0793159306049347E-2</v>
      </c>
      <c r="L831" s="8">
        <v>3423109</v>
      </c>
      <c r="M831" t="s">
        <v>1052</v>
      </c>
    </row>
    <row r="832" spans="2:13">
      <c r="B832" t="s">
        <v>50</v>
      </c>
      <c r="C832" s="8">
        <v>2003</v>
      </c>
      <c r="D832" s="8">
        <v>3</v>
      </c>
      <c r="E832" s="8">
        <v>0.53781998157501221</v>
      </c>
      <c r="F832" s="8"/>
      <c r="G832" s="8"/>
      <c r="H832" s="8"/>
      <c r="I832" s="8"/>
      <c r="J832" s="8">
        <v>0.16185398399829865</v>
      </c>
      <c r="K832" s="8">
        <v>0.21776306629180908</v>
      </c>
      <c r="L832" s="8">
        <v>3423109</v>
      </c>
      <c r="M832" t="s">
        <v>1052</v>
      </c>
    </row>
    <row r="833" spans="2:13">
      <c r="B833" t="s">
        <v>50</v>
      </c>
      <c r="C833" s="8">
        <v>2004</v>
      </c>
      <c r="D833" s="8">
        <v>1</v>
      </c>
      <c r="E833" s="8">
        <v>0.5184597373008728</v>
      </c>
      <c r="F833" s="8"/>
      <c r="G833" s="8"/>
      <c r="H833" s="8"/>
      <c r="I833" s="8"/>
      <c r="J833" s="8">
        <v>0.46924030780792236</v>
      </c>
      <c r="K833" s="8">
        <v>2.8265923261642456E-2</v>
      </c>
      <c r="L833" s="8">
        <v>3423109</v>
      </c>
      <c r="M833" t="s">
        <v>1052</v>
      </c>
    </row>
    <row r="834" spans="2:13">
      <c r="B834" t="s">
        <v>50</v>
      </c>
      <c r="C834" s="8">
        <v>2004</v>
      </c>
      <c r="D834" s="8">
        <v>2</v>
      </c>
      <c r="E834" s="8">
        <v>0.52072900533676147</v>
      </c>
      <c r="F834" s="8"/>
      <c r="G834" s="8"/>
      <c r="H834" s="8"/>
      <c r="I834" s="8"/>
      <c r="J834" s="8">
        <v>0.32667961716651917</v>
      </c>
      <c r="K834" s="8">
        <v>7.6388105750083923E-2</v>
      </c>
      <c r="L834" s="8">
        <v>3423109</v>
      </c>
      <c r="M834" t="s">
        <v>1052</v>
      </c>
    </row>
    <row r="835" spans="2:13">
      <c r="B835" t="s">
        <v>50</v>
      </c>
      <c r="C835" s="8">
        <v>2004</v>
      </c>
      <c r="D835" s="8">
        <v>3</v>
      </c>
      <c r="E835" s="8">
        <v>0.53599804639816284</v>
      </c>
      <c r="F835" s="8"/>
      <c r="G835" s="8"/>
      <c r="H835" s="8"/>
      <c r="I835" s="8"/>
      <c r="J835" s="8">
        <v>0.16078111529350281</v>
      </c>
      <c r="K835" s="8">
        <v>0.21341726183891296</v>
      </c>
      <c r="L835" s="8">
        <v>3423109</v>
      </c>
      <c r="M835" t="s">
        <v>1052</v>
      </c>
    </row>
    <row r="836" spans="2:13">
      <c r="B836" t="s">
        <v>50</v>
      </c>
      <c r="C836" s="8">
        <v>2005</v>
      </c>
      <c r="D836" s="8">
        <v>1</v>
      </c>
      <c r="E836" s="8">
        <v>0.5262906551361084</v>
      </c>
      <c r="F836" s="8"/>
      <c r="G836" s="8"/>
      <c r="H836" s="8"/>
      <c r="I836" s="8"/>
      <c r="J836" s="8">
        <v>0.48352846503257751</v>
      </c>
      <c r="K836" s="8">
        <v>2.2796044126152992E-2</v>
      </c>
      <c r="L836" s="8">
        <v>3423109</v>
      </c>
      <c r="M836" t="s">
        <v>1052</v>
      </c>
    </row>
    <row r="837" spans="2:13">
      <c r="B837" t="s">
        <v>50</v>
      </c>
      <c r="C837" s="8">
        <v>2005</v>
      </c>
      <c r="D837" s="8">
        <v>2</v>
      </c>
      <c r="E837" s="8">
        <v>0.52189379930496216</v>
      </c>
      <c r="F837" s="8"/>
      <c r="G837" s="8"/>
      <c r="H837" s="8"/>
      <c r="I837" s="8"/>
      <c r="J837" s="8">
        <v>0.3420831561088562</v>
      </c>
      <c r="K837" s="8">
        <v>6.9898329675197601E-2</v>
      </c>
      <c r="L837" s="8">
        <v>3423109</v>
      </c>
      <c r="M837" t="s">
        <v>1052</v>
      </c>
    </row>
    <row r="838" spans="2:13">
      <c r="B838" t="s">
        <v>50</v>
      </c>
      <c r="C838" s="8">
        <v>2005</v>
      </c>
      <c r="D838" s="8">
        <v>3</v>
      </c>
      <c r="E838" s="8">
        <v>0.53831160068511963</v>
      </c>
      <c r="F838" s="8"/>
      <c r="G838" s="8"/>
      <c r="H838" s="8"/>
      <c r="I838" s="8"/>
      <c r="J838" s="8">
        <v>0.16074879467487335</v>
      </c>
      <c r="K838" s="8">
        <v>0.21568229794502258</v>
      </c>
      <c r="L838" s="8">
        <v>3423109</v>
      </c>
      <c r="M838" t="s">
        <v>1052</v>
      </c>
    </row>
    <row r="839" spans="2:13">
      <c r="B839" t="s">
        <v>50</v>
      </c>
      <c r="C839" s="8">
        <v>2006</v>
      </c>
      <c r="D839" s="8">
        <v>1</v>
      </c>
      <c r="E839" s="8">
        <v>0.52731531858444214</v>
      </c>
      <c r="F839" s="8"/>
      <c r="G839" s="8">
        <v>0.1919713020324707</v>
      </c>
      <c r="H839" s="8">
        <v>3.405911847949028E-2</v>
      </c>
      <c r="I839" s="8"/>
      <c r="J839" s="8">
        <v>0.47553446888923645</v>
      </c>
      <c r="K839" s="8">
        <v>3.2835338264703751E-2</v>
      </c>
      <c r="L839" s="8">
        <v>3423109</v>
      </c>
      <c r="M839" t="s">
        <v>1052</v>
      </c>
    </row>
    <row r="840" spans="2:13">
      <c r="B840" t="s">
        <v>50</v>
      </c>
      <c r="C840" s="8">
        <v>2006</v>
      </c>
      <c r="D840" s="8">
        <v>2</v>
      </c>
      <c r="E840" s="8">
        <v>0.5218580961227417</v>
      </c>
      <c r="F840" s="8"/>
      <c r="G840" s="8">
        <v>0.13855651021003723</v>
      </c>
      <c r="H840" s="8">
        <v>3.2949846237897873E-2</v>
      </c>
      <c r="I840" s="8"/>
      <c r="J840" s="8">
        <v>0.37937870621681213</v>
      </c>
      <c r="K840" s="8">
        <v>6.944563239812851E-2</v>
      </c>
      <c r="L840" s="8">
        <v>3423109</v>
      </c>
      <c r="M840" t="s">
        <v>1052</v>
      </c>
    </row>
    <row r="841" spans="2:13">
      <c r="B841" t="s">
        <v>50</v>
      </c>
      <c r="C841" s="8">
        <v>2006</v>
      </c>
      <c r="D841" s="8">
        <v>3</v>
      </c>
      <c r="E841" s="8">
        <v>0.5310434103012085</v>
      </c>
      <c r="F841" s="8"/>
      <c r="G841" s="8">
        <v>6.6144503653049469E-2</v>
      </c>
      <c r="H841" s="8">
        <v>2.7408165857195854E-2</v>
      </c>
      <c r="I841" s="8"/>
      <c r="J841" s="8">
        <v>0.18601267039775848</v>
      </c>
      <c r="K841" s="8">
        <v>0.18248449265956879</v>
      </c>
      <c r="L841" s="8">
        <v>3423109</v>
      </c>
      <c r="M841" t="s">
        <v>1052</v>
      </c>
    </row>
    <row r="842" spans="2:13">
      <c r="B842" t="s">
        <v>50</v>
      </c>
      <c r="C842" s="8">
        <v>2007</v>
      </c>
      <c r="D842" s="8">
        <v>1</v>
      </c>
      <c r="E842" s="8">
        <v>0.52953135967254639</v>
      </c>
      <c r="F842" s="8"/>
      <c r="G842" s="8">
        <v>0.21396791934967041</v>
      </c>
      <c r="H842" s="8">
        <v>3.7457458674907684E-2</v>
      </c>
      <c r="I842" s="8"/>
      <c r="J842" s="8">
        <v>0.50920784473419189</v>
      </c>
      <c r="K842" s="8">
        <v>2.0596077665686607E-2</v>
      </c>
      <c r="L842" s="8">
        <v>3423109</v>
      </c>
      <c r="M842" t="s">
        <v>1052</v>
      </c>
    </row>
    <row r="843" spans="2:13">
      <c r="B843" t="s">
        <v>50</v>
      </c>
      <c r="C843" s="8">
        <v>2007</v>
      </c>
      <c r="D843" s="8">
        <v>2</v>
      </c>
      <c r="E843" s="8">
        <v>0.5211753249168396</v>
      </c>
      <c r="F843" s="8"/>
      <c r="G843" s="8">
        <v>0.17229366302490234</v>
      </c>
      <c r="H843" s="8">
        <v>3.8732010871171951E-2</v>
      </c>
      <c r="I843" s="8"/>
      <c r="J843" s="8">
        <v>0.39662694931030273</v>
      </c>
      <c r="K843" s="8">
        <v>5.8410950005054474E-2</v>
      </c>
      <c r="L843" s="8">
        <v>3423109</v>
      </c>
      <c r="M843" t="s">
        <v>1052</v>
      </c>
    </row>
    <row r="844" spans="2:13">
      <c r="B844" t="s">
        <v>50</v>
      </c>
      <c r="C844" s="8">
        <v>2007</v>
      </c>
      <c r="D844" s="8">
        <v>3</v>
      </c>
      <c r="E844" s="8">
        <v>0.5288393497467041</v>
      </c>
      <c r="F844" s="8"/>
      <c r="G844" s="8">
        <v>7.5124464929103851E-2</v>
      </c>
      <c r="H844" s="8">
        <v>3.4022536128759384E-2</v>
      </c>
      <c r="I844" s="8"/>
      <c r="J844" s="8">
        <v>0.18334731459617615</v>
      </c>
      <c r="K844" s="8">
        <v>0.18020576238632202</v>
      </c>
      <c r="L844" s="8">
        <v>3423109</v>
      </c>
      <c r="M844" t="s">
        <v>1052</v>
      </c>
    </row>
    <row r="845" spans="2:13">
      <c r="B845" t="s">
        <v>50</v>
      </c>
      <c r="C845" s="8">
        <v>2008</v>
      </c>
      <c r="D845" s="8">
        <v>1</v>
      </c>
      <c r="E845" s="8">
        <v>0.53466516733169556</v>
      </c>
      <c r="F845" s="8"/>
      <c r="G845" s="8">
        <v>9.7909256815910339E-2</v>
      </c>
      <c r="H845" s="8">
        <v>1.4199148863554001E-2</v>
      </c>
      <c r="I845" s="8"/>
      <c r="J845" s="8">
        <v>0.52328848838806152</v>
      </c>
      <c r="K845" s="8">
        <v>1.9242087379097939E-2</v>
      </c>
      <c r="L845" s="8">
        <v>3423109</v>
      </c>
      <c r="M845" t="s">
        <v>1052</v>
      </c>
    </row>
    <row r="846" spans="2:13">
      <c r="B846" t="s">
        <v>50</v>
      </c>
      <c r="C846" s="8">
        <v>2008</v>
      </c>
      <c r="D846" s="8">
        <v>2</v>
      </c>
      <c r="E846" s="8">
        <v>0.53302788734436035</v>
      </c>
      <c r="F846" s="8"/>
      <c r="G846" s="8">
        <v>6.5726719796657562E-2</v>
      </c>
      <c r="H846" s="8">
        <v>1.4759249985218048E-2</v>
      </c>
      <c r="I846" s="8"/>
      <c r="J846" s="8">
        <v>0.42270037531852722</v>
      </c>
      <c r="K846" s="8">
        <v>5.2345290780067444E-2</v>
      </c>
      <c r="L846" s="8">
        <v>3423109</v>
      </c>
      <c r="M846" t="s">
        <v>1052</v>
      </c>
    </row>
    <row r="847" spans="2:13">
      <c r="B847" t="s">
        <v>50</v>
      </c>
      <c r="C847" s="8">
        <v>2008</v>
      </c>
      <c r="D847" s="8">
        <v>3</v>
      </c>
      <c r="E847" s="8">
        <v>0.52902817726135254</v>
      </c>
      <c r="F847" s="8"/>
      <c r="G847" s="8">
        <v>3.093852661550045E-2</v>
      </c>
      <c r="H847" s="8">
        <v>1.1837131343781948E-2</v>
      </c>
      <c r="I847" s="8"/>
      <c r="J847" s="8">
        <v>0.19160939753055573</v>
      </c>
      <c r="K847" s="8">
        <v>0.17602504789829254</v>
      </c>
      <c r="L847" s="8">
        <v>3423109</v>
      </c>
      <c r="M847" t="s">
        <v>1052</v>
      </c>
    </row>
    <row r="848" spans="2:13">
      <c r="B848" t="s">
        <v>50</v>
      </c>
      <c r="C848" s="8">
        <v>2009</v>
      </c>
      <c r="D848" s="8">
        <v>1</v>
      </c>
      <c r="E848" s="8">
        <v>0.52962422370910645</v>
      </c>
      <c r="F848" s="8"/>
      <c r="G848" s="8">
        <v>7.4049554765224457E-2</v>
      </c>
      <c r="H848" s="8">
        <v>1.3312832452356815E-2</v>
      </c>
      <c r="I848" s="8"/>
      <c r="J848" s="8">
        <v>0.52156972885131836</v>
      </c>
      <c r="K848" s="8">
        <v>1.5468711964786053E-2</v>
      </c>
      <c r="L848" s="8">
        <v>3423109</v>
      </c>
      <c r="M848" t="s">
        <v>1052</v>
      </c>
    </row>
    <row r="849" spans="2:13">
      <c r="B849" t="s">
        <v>50</v>
      </c>
      <c r="C849" s="8">
        <v>2009</v>
      </c>
      <c r="D849" s="8">
        <v>2</v>
      </c>
      <c r="E849" s="8">
        <v>0.52594184875488281</v>
      </c>
      <c r="F849" s="8"/>
      <c r="G849" s="8">
        <v>6.5189734101295471E-2</v>
      </c>
      <c r="H849" s="8">
        <v>1.2872135266661644E-2</v>
      </c>
      <c r="I849" s="8"/>
      <c r="J849" s="8">
        <v>0.41524285078048706</v>
      </c>
      <c r="K849" s="8">
        <v>5.0648059695959091E-2</v>
      </c>
      <c r="L849" s="8">
        <v>3423109</v>
      </c>
      <c r="M849" t="s">
        <v>1052</v>
      </c>
    </row>
    <row r="850" spans="2:13">
      <c r="B850" t="s">
        <v>50</v>
      </c>
      <c r="C850" s="8">
        <v>2009</v>
      </c>
      <c r="D850" s="8">
        <v>3</v>
      </c>
      <c r="E850" s="8">
        <v>0.52629756927490234</v>
      </c>
      <c r="F850" s="8"/>
      <c r="G850" s="8">
        <v>2.5659359991550446E-2</v>
      </c>
      <c r="H850" s="8">
        <v>9.6534928306937218E-3</v>
      </c>
      <c r="I850" s="8"/>
      <c r="J850" s="8">
        <v>0.1885015070438385</v>
      </c>
      <c r="K850" s="8">
        <v>0.17386782169342041</v>
      </c>
      <c r="L850" s="8">
        <v>3423109</v>
      </c>
      <c r="M850" t="s">
        <v>1052</v>
      </c>
    </row>
    <row r="851" spans="2:13">
      <c r="B851" t="s">
        <v>50</v>
      </c>
      <c r="C851" s="8">
        <v>2010</v>
      </c>
      <c r="D851" s="8">
        <v>1</v>
      </c>
      <c r="E851" s="8">
        <v>0.53307586908340454</v>
      </c>
      <c r="F851" s="8">
        <v>1.1859802529215813E-2</v>
      </c>
      <c r="G851" s="8">
        <v>8.0125235021114349E-2</v>
      </c>
      <c r="H851" s="8">
        <v>1.478972751647234E-2</v>
      </c>
      <c r="I851" s="8"/>
      <c r="J851" s="8">
        <v>0.5326494574546814</v>
      </c>
      <c r="K851" s="8">
        <v>1.1110569350421429E-2</v>
      </c>
      <c r="L851" s="8">
        <v>3423109</v>
      </c>
      <c r="M851" t="s">
        <v>1052</v>
      </c>
    </row>
    <row r="852" spans="2:13">
      <c r="B852" t="s">
        <v>50</v>
      </c>
      <c r="C852" s="8">
        <v>2010</v>
      </c>
      <c r="D852" s="8">
        <v>2</v>
      </c>
      <c r="E852" s="8">
        <v>0.52376776933670044</v>
      </c>
      <c r="F852" s="8">
        <v>1.1438485234975815E-2</v>
      </c>
      <c r="G852" s="8">
        <v>6.8001866340637207E-2</v>
      </c>
      <c r="H852" s="8">
        <v>1.2479454278945923E-2</v>
      </c>
      <c r="I852" s="8"/>
      <c r="J852" s="8">
        <v>0.42390373349189758</v>
      </c>
      <c r="K852" s="8">
        <v>4.0329944342374802E-2</v>
      </c>
      <c r="L852" s="8">
        <v>3423109</v>
      </c>
      <c r="M852" t="s">
        <v>1052</v>
      </c>
    </row>
    <row r="853" spans="2:13">
      <c r="B853" t="s">
        <v>50</v>
      </c>
      <c r="C853" s="8">
        <v>2010</v>
      </c>
      <c r="D853" s="8">
        <v>3</v>
      </c>
      <c r="E853" s="8">
        <v>0.52260726690292358</v>
      </c>
      <c r="F853" s="8">
        <v>2.4816257879137993E-2</v>
      </c>
      <c r="G853" s="8">
        <v>2.7853168547153473E-2</v>
      </c>
      <c r="H853" s="8">
        <v>1.0841524228453636E-2</v>
      </c>
      <c r="I853" s="8"/>
      <c r="J853" s="8">
        <v>0.19175779819488525</v>
      </c>
      <c r="K853" s="8">
        <v>0.17361786961555481</v>
      </c>
      <c r="L853" s="8">
        <v>3423109</v>
      </c>
      <c r="M853" t="s">
        <v>1052</v>
      </c>
    </row>
    <row r="854" spans="2:13">
      <c r="B854" t="s">
        <v>50</v>
      </c>
      <c r="C854" s="8">
        <v>2011</v>
      </c>
      <c r="D854" s="8">
        <v>1</v>
      </c>
      <c r="E854" s="8">
        <v>0.53545683622360229</v>
      </c>
      <c r="F854" s="8">
        <v>1.0535216890275478E-2</v>
      </c>
      <c r="G854" s="8">
        <v>7.4768334627151489E-2</v>
      </c>
      <c r="H854" s="8">
        <v>1.5637222677469254E-2</v>
      </c>
      <c r="I854" s="8"/>
      <c r="J854" s="8">
        <v>0.54024171829223633</v>
      </c>
      <c r="K854" s="8">
        <v>1.5601987019181252E-2</v>
      </c>
      <c r="L854" s="8">
        <v>3423109</v>
      </c>
      <c r="M854" t="s">
        <v>1052</v>
      </c>
    </row>
    <row r="855" spans="2:13">
      <c r="B855" t="s">
        <v>50</v>
      </c>
      <c r="C855" s="8">
        <v>2011</v>
      </c>
      <c r="D855" s="8">
        <v>2</v>
      </c>
      <c r="E855" s="8">
        <v>0.51940232515335083</v>
      </c>
      <c r="F855" s="8">
        <v>1.4174428768455982E-2</v>
      </c>
      <c r="G855" s="8">
        <v>6.5755762159824371E-2</v>
      </c>
      <c r="H855" s="8">
        <v>1.6251582652330399E-2</v>
      </c>
      <c r="I855" s="8"/>
      <c r="J855" s="8">
        <v>0.43328216671943665</v>
      </c>
      <c r="K855" s="8">
        <v>3.5277888178825378E-2</v>
      </c>
      <c r="L855" s="8">
        <v>3423109</v>
      </c>
      <c r="M855" t="s">
        <v>1052</v>
      </c>
    </row>
    <row r="856" spans="2:13">
      <c r="B856" t="s">
        <v>50</v>
      </c>
      <c r="C856" s="8">
        <v>2011</v>
      </c>
      <c r="D856" s="8">
        <v>3</v>
      </c>
      <c r="E856" s="8">
        <v>0.51492273807525635</v>
      </c>
      <c r="F856" s="8">
        <v>2.2956006228923798E-2</v>
      </c>
      <c r="G856" s="8">
        <v>2.9325630515813828E-2</v>
      </c>
      <c r="H856" s="8">
        <v>1.0394620709121227E-2</v>
      </c>
      <c r="I856" s="8"/>
      <c r="J856" s="8">
        <v>0.18619519472122192</v>
      </c>
      <c r="K856" s="8">
        <v>0.15959985554218292</v>
      </c>
      <c r="L856" s="8">
        <v>3423109</v>
      </c>
      <c r="M856" t="s">
        <v>1052</v>
      </c>
    </row>
    <row r="857" spans="2:13">
      <c r="B857" t="s">
        <v>50</v>
      </c>
      <c r="C857" s="8">
        <v>2012</v>
      </c>
      <c r="D857" s="8">
        <v>1</v>
      </c>
      <c r="E857" s="8">
        <v>0.5368000864982605</v>
      </c>
      <c r="F857" s="8">
        <v>1.2713953852653503E-2</v>
      </c>
      <c r="G857" s="8">
        <v>0.11075572669506073</v>
      </c>
      <c r="H857" s="8">
        <v>2.1547723561525345E-2</v>
      </c>
      <c r="I857" s="8"/>
      <c r="J857" s="8">
        <v>0.55435162782669067</v>
      </c>
      <c r="K857" s="8">
        <v>1.416449062526226E-2</v>
      </c>
      <c r="L857" s="8">
        <v>3423109</v>
      </c>
      <c r="M857" t="s">
        <v>1052</v>
      </c>
    </row>
    <row r="858" spans="2:13">
      <c r="B858" t="s">
        <v>50</v>
      </c>
      <c r="C858" s="8">
        <v>2012</v>
      </c>
      <c r="D858" s="8">
        <v>2</v>
      </c>
      <c r="E858" s="8">
        <v>0.52433305978775024</v>
      </c>
      <c r="F858" s="8">
        <v>1.3947975821793079E-2</v>
      </c>
      <c r="G858" s="8">
        <v>7.713693380355835E-2</v>
      </c>
      <c r="H858" s="8">
        <v>2.1899295970797539E-2</v>
      </c>
      <c r="I858" s="8"/>
      <c r="J858" s="8">
        <v>0.43611085414886475</v>
      </c>
      <c r="K858" s="8">
        <v>3.5446316003799438E-2</v>
      </c>
      <c r="L858" s="8">
        <v>3423109</v>
      </c>
      <c r="M858" t="s">
        <v>1052</v>
      </c>
    </row>
    <row r="859" spans="2:13">
      <c r="B859" t="s">
        <v>50</v>
      </c>
      <c r="C859" s="8">
        <v>2012</v>
      </c>
      <c r="D859" s="8">
        <v>3</v>
      </c>
      <c r="E859" s="8">
        <v>0.51867669820785522</v>
      </c>
      <c r="F859" s="8">
        <v>2.4406090378761292E-2</v>
      </c>
      <c r="G859" s="8">
        <v>3.339424729347229E-2</v>
      </c>
      <c r="H859" s="8">
        <v>1.303674653172493E-2</v>
      </c>
      <c r="I859" s="8"/>
      <c r="J859" s="8">
        <v>0.19388487935066223</v>
      </c>
      <c r="K859" s="8">
        <v>0.16006393730640411</v>
      </c>
      <c r="L859" s="8">
        <v>3423109</v>
      </c>
      <c r="M859" t="s">
        <v>1052</v>
      </c>
    </row>
    <row r="860" spans="2:13">
      <c r="B860" t="s">
        <v>50</v>
      </c>
      <c r="C860" s="8">
        <v>2013</v>
      </c>
      <c r="D860" s="8">
        <v>1</v>
      </c>
      <c r="E860" s="8">
        <v>0.54671597480773926</v>
      </c>
      <c r="F860" s="8">
        <v>1.3428320176899433E-2</v>
      </c>
      <c r="G860" s="8">
        <v>0.11837340146303177</v>
      </c>
      <c r="H860" s="8">
        <v>1.3510291464626789E-2</v>
      </c>
      <c r="I860" s="8"/>
      <c r="J860" s="8">
        <v>0.53562754392623901</v>
      </c>
      <c r="K860" s="8">
        <v>1.2250920757651329E-2</v>
      </c>
      <c r="L860" s="8">
        <v>3423109</v>
      </c>
      <c r="M860" t="s">
        <v>1052</v>
      </c>
    </row>
    <row r="861" spans="2:13">
      <c r="B861" t="s">
        <v>50</v>
      </c>
      <c r="C861" s="8">
        <v>2013</v>
      </c>
      <c r="D861" s="8">
        <v>2</v>
      </c>
      <c r="E861" s="8">
        <v>0.52684694528579712</v>
      </c>
      <c r="F861" s="8">
        <v>1.2871467508375645E-2</v>
      </c>
      <c r="G861" s="8">
        <v>8.4965817630290985E-2</v>
      </c>
      <c r="H861" s="8">
        <v>1.6790023073554039E-2</v>
      </c>
      <c r="I861" s="8"/>
      <c r="J861" s="8">
        <v>0.44104501605033875</v>
      </c>
      <c r="K861" s="8">
        <v>2.9081510379910469E-2</v>
      </c>
      <c r="L861" s="8">
        <v>3423109</v>
      </c>
      <c r="M861" t="s">
        <v>1052</v>
      </c>
    </row>
    <row r="862" spans="2:13">
      <c r="B862" t="s">
        <v>50</v>
      </c>
      <c r="C862" s="8">
        <v>2013</v>
      </c>
      <c r="D862" s="8">
        <v>3</v>
      </c>
      <c r="E862" s="8">
        <v>0.51791530847549438</v>
      </c>
      <c r="F862" s="8">
        <v>2.3343546316027641E-2</v>
      </c>
      <c r="G862" s="8">
        <v>3.3553104847669601E-2</v>
      </c>
      <c r="H862" s="8">
        <v>1.1759171262383461E-2</v>
      </c>
      <c r="I862" s="8"/>
      <c r="J862" s="8">
        <v>0.1945575475692749</v>
      </c>
      <c r="K862" s="8">
        <v>0.1585904061794281</v>
      </c>
      <c r="L862" s="8">
        <v>3423109</v>
      </c>
      <c r="M862" t="s">
        <v>1052</v>
      </c>
    </row>
    <row r="863" spans="2:13">
      <c r="B863" t="s">
        <v>50</v>
      </c>
      <c r="C863" s="8">
        <v>2014</v>
      </c>
      <c r="D863" s="8">
        <v>1</v>
      </c>
      <c r="E863" s="8">
        <v>0.53951007127761841</v>
      </c>
      <c r="F863" s="8">
        <v>1.1317738331854343E-2</v>
      </c>
      <c r="G863" s="8">
        <v>0.11295630037784576</v>
      </c>
      <c r="H863" s="8">
        <v>2.0705254748463631E-2</v>
      </c>
      <c r="I863" s="8"/>
      <c r="J863" s="8">
        <v>0.54895710945129395</v>
      </c>
      <c r="K863" s="8">
        <v>1.0101783089339733E-2</v>
      </c>
      <c r="L863" s="8">
        <v>3423109</v>
      </c>
      <c r="M863" t="s">
        <v>1052</v>
      </c>
    </row>
    <row r="864" spans="2:13">
      <c r="B864" t="s">
        <v>50</v>
      </c>
      <c r="C864" s="8">
        <v>2014</v>
      </c>
      <c r="D864" s="8">
        <v>2</v>
      </c>
      <c r="E864" s="8">
        <v>0.52981901168823242</v>
      </c>
      <c r="F864" s="8">
        <v>1.0143810883164406E-2</v>
      </c>
      <c r="G864" s="8">
        <v>8.6263962090015411E-2</v>
      </c>
      <c r="H864" s="8">
        <v>1.8176991492509842E-2</v>
      </c>
      <c r="I864" s="8"/>
      <c r="J864" s="8">
        <v>0.4474693238735199</v>
      </c>
      <c r="K864" s="8">
        <v>3.0859952792525291E-2</v>
      </c>
      <c r="L864" s="8">
        <v>3423109</v>
      </c>
      <c r="M864" t="s">
        <v>1052</v>
      </c>
    </row>
    <row r="865" spans="2:13">
      <c r="B865" t="s">
        <v>50</v>
      </c>
      <c r="C865" s="8">
        <v>2014</v>
      </c>
      <c r="D865" s="8">
        <v>3</v>
      </c>
      <c r="E865" s="8">
        <v>0.51550614833831787</v>
      </c>
      <c r="F865" s="8">
        <v>2.3347562178969383E-2</v>
      </c>
      <c r="G865" s="8">
        <v>3.9852157235145569E-2</v>
      </c>
      <c r="H865" s="8">
        <v>1.4632082544267178E-2</v>
      </c>
      <c r="I865" s="8"/>
      <c r="J865" s="8">
        <v>0.19343236088752747</v>
      </c>
      <c r="K865" s="8">
        <v>0.15262936055660248</v>
      </c>
      <c r="L865" s="8">
        <v>3423109</v>
      </c>
      <c r="M865" t="s">
        <v>1052</v>
      </c>
    </row>
    <row r="866" spans="2:13">
      <c r="B866" t="s">
        <v>50</v>
      </c>
      <c r="C866" s="8">
        <v>2015</v>
      </c>
      <c r="D866" s="8">
        <v>1</v>
      </c>
      <c r="E866" s="8">
        <v>0.54384309053421021</v>
      </c>
      <c r="F866" s="8">
        <v>8.2451524212956429E-3</v>
      </c>
      <c r="G866" s="8">
        <v>0.13306823372840881</v>
      </c>
      <c r="H866" s="8">
        <v>2.0309586077928543E-2</v>
      </c>
      <c r="I866" s="8"/>
      <c r="J866" s="8">
        <v>0.53610718250274658</v>
      </c>
      <c r="K866" s="8">
        <v>9.3085607513785362E-3</v>
      </c>
      <c r="L866" s="8">
        <v>3423109</v>
      </c>
      <c r="M866" t="s">
        <v>1052</v>
      </c>
    </row>
    <row r="867" spans="2:13">
      <c r="B867" t="s">
        <v>50</v>
      </c>
      <c r="C867" s="8">
        <v>2015</v>
      </c>
      <c r="D867" s="8">
        <v>2</v>
      </c>
      <c r="E867" s="8">
        <v>0.52825707197189331</v>
      </c>
      <c r="F867" s="8">
        <v>1.4706026762723923E-2</v>
      </c>
      <c r="G867" s="8">
        <v>7.4003890156745911E-2</v>
      </c>
      <c r="H867" s="8">
        <v>1.8048454076051712E-2</v>
      </c>
      <c r="I867" s="8"/>
      <c r="J867" s="8">
        <v>0.42894157767295837</v>
      </c>
      <c r="K867" s="8">
        <v>3.000343032181263E-2</v>
      </c>
      <c r="L867" s="8">
        <v>3423109</v>
      </c>
      <c r="M867" t="s">
        <v>1052</v>
      </c>
    </row>
    <row r="868" spans="2:13">
      <c r="B868" t="s">
        <v>50</v>
      </c>
      <c r="C868" s="8">
        <v>2015</v>
      </c>
      <c r="D868" s="8">
        <v>3</v>
      </c>
      <c r="E868" s="8">
        <v>0.5138390064239502</v>
      </c>
      <c r="F868" s="8">
        <v>2.4108504876494408E-2</v>
      </c>
      <c r="G868" s="8">
        <v>3.5751428455114365E-2</v>
      </c>
      <c r="H868" s="8">
        <v>1.5779703855514526E-2</v>
      </c>
      <c r="I868" s="8"/>
      <c r="J868" s="8">
        <v>0.19078278541564941</v>
      </c>
      <c r="K868" s="8">
        <v>0.15658172965049744</v>
      </c>
      <c r="L868" s="8">
        <v>3423109</v>
      </c>
      <c r="M868" t="s">
        <v>1052</v>
      </c>
    </row>
    <row r="869" spans="2:13">
      <c r="B869" t="s">
        <v>50</v>
      </c>
      <c r="C869" s="8">
        <v>2016</v>
      </c>
      <c r="D869" s="8">
        <v>1</v>
      </c>
      <c r="E869" s="8">
        <v>0.53306853771209717</v>
      </c>
      <c r="F869" s="8">
        <v>1.5715992078185081E-2</v>
      </c>
      <c r="G869" s="8">
        <v>0.10845252126455307</v>
      </c>
      <c r="H869" s="8">
        <v>2.3862317204475403E-2</v>
      </c>
      <c r="I869" s="8"/>
      <c r="J869" s="8">
        <v>0.5329548716545105</v>
      </c>
      <c r="K869" s="8">
        <v>8.7473504245281219E-3</v>
      </c>
      <c r="L869" s="8">
        <v>3423109</v>
      </c>
      <c r="M869" t="s">
        <v>1052</v>
      </c>
    </row>
    <row r="870" spans="2:13">
      <c r="B870" t="s">
        <v>50</v>
      </c>
      <c r="C870" s="8">
        <v>2016</v>
      </c>
      <c r="D870" s="8">
        <v>2</v>
      </c>
      <c r="E870" s="8">
        <v>0.53120273351669312</v>
      </c>
      <c r="F870" s="8">
        <v>1.1078302748501301E-2</v>
      </c>
      <c r="G870" s="8">
        <v>7.937660813331604E-2</v>
      </c>
      <c r="H870" s="8">
        <v>2.269662544131279E-2</v>
      </c>
      <c r="I870" s="8"/>
      <c r="J870" s="8">
        <v>0.41603636741638184</v>
      </c>
      <c r="K870" s="8">
        <v>2.9922155663371086E-2</v>
      </c>
      <c r="L870" s="8">
        <v>3423109</v>
      </c>
      <c r="M870" t="s">
        <v>1052</v>
      </c>
    </row>
    <row r="871" spans="2:13">
      <c r="B871" t="s">
        <v>50</v>
      </c>
      <c r="C871" s="8">
        <v>2016</v>
      </c>
      <c r="D871" s="8">
        <v>3</v>
      </c>
      <c r="E871" s="8">
        <v>0.51380085945129395</v>
      </c>
      <c r="F871" s="8">
        <v>2.3730538785457611E-2</v>
      </c>
      <c r="G871" s="8">
        <v>3.4351054579019547E-2</v>
      </c>
      <c r="H871" s="8">
        <v>1.3603180646896362E-2</v>
      </c>
      <c r="I871" s="8"/>
      <c r="J871" s="8">
        <v>0.18950632214546204</v>
      </c>
      <c r="K871" s="8">
        <v>0.15738220512866974</v>
      </c>
      <c r="L871" s="8">
        <v>3423109</v>
      </c>
      <c r="M871" t="s">
        <v>1052</v>
      </c>
    </row>
    <row r="872" spans="2:13">
      <c r="B872" t="s">
        <v>50</v>
      </c>
      <c r="C872" s="8">
        <v>2017</v>
      </c>
      <c r="D872" s="8">
        <v>1</v>
      </c>
      <c r="E872" s="8">
        <v>0.5449148416519165</v>
      </c>
      <c r="F872" s="8">
        <v>1.024006400257349E-2</v>
      </c>
      <c r="G872" s="8">
        <v>0.10383504629135132</v>
      </c>
      <c r="H872" s="8">
        <v>1.4035262167453766E-2</v>
      </c>
      <c r="I872" s="8"/>
      <c r="J872" s="8">
        <v>0.54862040281295776</v>
      </c>
      <c r="K872" s="8">
        <v>8.945113979279995E-3</v>
      </c>
      <c r="L872" s="8">
        <v>3423109</v>
      </c>
      <c r="M872" t="s">
        <v>1052</v>
      </c>
    </row>
    <row r="873" spans="2:13">
      <c r="B873" t="s">
        <v>50</v>
      </c>
      <c r="C873" s="8">
        <v>2017</v>
      </c>
      <c r="D873" s="8">
        <v>2</v>
      </c>
      <c r="E873" s="8">
        <v>0.52964043617248535</v>
      </c>
      <c r="F873" s="8">
        <v>1.3047530315816402E-2</v>
      </c>
      <c r="G873" s="8">
        <v>8.285997062921524E-2</v>
      </c>
      <c r="H873" s="8">
        <v>1.9734300673007965E-2</v>
      </c>
      <c r="I873" s="8"/>
      <c r="J873" s="8">
        <v>0.42145082354545593</v>
      </c>
      <c r="K873" s="8">
        <v>2.9302017763257027E-2</v>
      </c>
      <c r="L873" s="8">
        <v>3423109</v>
      </c>
      <c r="M873" t="s">
        <v>1052</v>
      </c>
    </row>
    <row r="874" spans="2:13">
      <c r="B874" t="s">
        <v>50</v>
      </c>
      <c r="C874" s="8">
        <v>2017</v>
      </c>
      <c r="D874" s="8">
        <v>3</v>
      </c>
      <c r="E874" s="8">
        <v>0.51365339756011963</v>
      </c>
      <c r="F874" s="8">
        <v>2.440422959625721E-2</v>
      </c>
      <c r="G874" s="8">
        <v>3.5067986696958542E-2</v>
      </c>
      <c r="H874" s="8">
        <v>1.4004991389811039E-2</v>
      </c>
      <c r="I874" s="8"/>
      <c r="J874" s="8">
        <v>0.19060541689395905</v>
      </c>
      <c r="K874" s="8">
        <v>0.15618038177490234</v>
      </c>
      <c r="L874" s="8">
        <v>3423109</v>
      </c>
      <c r="M874" t="s">
        <v>1052</v>
      </c>
    </row>
    <row r="875" spans="2:13">
      <c r="B875" t="s">
        <v>50</v>
      </c>
      <c r="C875" s="8">
        <v>2018</v>
      </c>
      <c r="D875" s="8">
        <v>1</v>
      </c>
      <c r="E875" s="8">
        <v>0.53532946109771729</v>
      </c>
      <c r="F875" s="8">
        <v>8.6203459650278091E-3</v>
      </c>
      <c r="G875" s="8">
        <v>0.10445185005664825</v>
      </c>
      <c r="H875" s="8">
        <v>1.13541129976511E-2</v>
      </c>
      <c r="I875" s="8"/>
      <c r="J875" s="8">
        <v>0.53869175910949707</v>
      </c>
      <c r="K875" s="8">
        <v>7.3033482767641544E-3</v>
      </c>
      <c r="L875" s="8">
        <v>3423109</v>
      </c>
      <c r="M875" t="s">
        <v>1052</v>
      </c>
    </row>
    <row r="876" spans="2:13">
      <c r="B876" t="s">
        <v>50</v>
      </c>
      <c r="C876" s="8">
        <v>2018</v>
      </c>
      <c r="D876" s="8">
        <v>2</v>
      </c>
      <c r="E876" s="8">
        <v>0.51956206560134888</v>
      </c>
      <c r="F876" s="8">
        <v>1.1880975216627121E-2</v>
      </c>
      <c r="G876" s="8">
        <v>8.4493450820446014E-2</v>
      </c>
      <c r="H876" s="8">
        <v>1.854344829916954E-2</v>
      </c>
      <c r="I876" s="8"/>
      <c r="J876" s="8">
        <v>0.42340275645256042</v>
      </c>
      <c r="K876" s="8">
        <v>2.6587959378957748E-2</v>
      </c>
      <c r="L876" s="8">
        <v>3423109</v>
      </c>
      <c r="M876" t="s">
        <v>1052</v>
      </c>
    </row>
    <row r="877" spans="2:13">
      <c r="B877" t="s">
        <v>50</v>
      </c>
      <c r="C877" s="8">
        <v>2018</v>
      </c>
      <c r="D877" s="8">
        <v>3</v>
      </c>
      <c r="E877" s="8">
        <v>0.51472342014312744</v>
      </c>
      <c r="F877" s="8">
        <v>2.5450034067034721E-2</v>
      </c>
      <c r="G877" s="8">
        <v>3.3853713423013687E-2</v>
      </c>
      <c r="H877" s="8">
        <v>1.3141971081495285E-2</v>
      </c>
      <c r="I877" s="8"/>
      <c r="J877" s="8">
        <v>0.18649353086948395</v>
      </c>
      <c r="K877" s="8">
        <v>0.15879142284393311</v>
      </c>
      <c r="L877" s="8">
        <v>3423109</v>
      </c>
      <c r="M877" t="s">
        <v>1052</v>
      </c>
    </row>
    <row r="878" spans="2:13">
      <c r="B878" t="s">
        <v>50</v>
      </c>
      <c r="C878" s="8">
        <v>2019</v>
      </c>
      <c r="D878" s="8">
        <v>1</v>
      </c>
      <c r="E878" s="8">
        <v>0.52944701910018921</v>
      </c>
      <c r="F878" s="8">
        <v>1.2048947624862194E-2</v>
      </c>
      <c r="G878" s="8">
        <v>0.12278833985328674</v>
      </c>
      <c r="H878" s="8">
        <v>2.0716674625873566E-2</v>
      </c>
      <c r="I878" s="8"/>
      <c r="J878" s="8">
        <v>0.50688767433166504</v>
      </c>
      <c r="K878" s="8">
        <v>7.9879062250256538E-3</v>
      </c>
      <c r="L878" s="8">
        <v>3423109</v>
      </c>
      <c r="M878" t="s">
        <v>1052</v>
      </c>
    </row>
    <row r="879" spans="2:13">
      <c r="B879" t="s">
        <v>50</v>
      </c>
      <c r="C879" s="8">
        <v>2019</v>
      </c>
      <c r="D879" s="8">
        <v>2</v>
      </c>
      <c r="E879" s="8">
        <v>0.52451008558273315</v>
      </c>
      <c r="F879" s="8">
        <v>1.828337088227272E-2</v>
      </c>
      <c r="G879" s="8">
        <v>8.0700188875198364E-2</v>
      </c>
      <c r="H879" s="8">
        <v>1.5677815303206444E-2</v>
      </c>
      <c r="I879" s="8"/>
      <c r="J879" s="8">
        <v>0.41014647483825684</v>
      </c>
      <c r="K879" s="8">
        <v>3.1574096530675888E-2</v>
      </c>
      <c r="L879" s="8">
        <v>3423109</v>
      </c>
      <c r="M879" t="s">
        <v>1052</v>
      </c>
    </row>
    <row r="880" spans="2:13">
      <c r="B880" t="s">
        <v>50</v>
      </c>
      <c r="C880" s="8">
        <v>2019</v>
      </c>
      <c r="D880" s="8">
        <v>3</v>
      </c>
      <c r="E880" s="8">
        <v>0.51396989822387695</v>
      </c>
      <c r="F880" s="8">
        <v>2.8131486847996712E-2</v>
      </c>
      <c r="G880" s="8">
        <v>3.6387678235769272E-2</v>
      </c>
      <c r="H880" s="8">
        <v>1.3833208940923214E-2</v>
      </c>
      <c r="I880" s="8"/>
      <c r="J880" s="8">
        <v>0.18393848836421967</v>
      </c>
      <c r="K880" s="8">
        <v>0.16075871884822845</v>
      </c>
      <c r="L880" s="8">
        <v>3423109</v>
      </c>
      <c r="M880" t="s">
        <v>1052</v>
      </c>
    </row>
    <row r="881" spans="2:13">
      <c r="B881" t="s">
        <v>50</v>
      </c>
      <c r="C881" s="8">
        <v>2020</v>
      </c>
      <c r="D881" s="8">
        <v>1</v>
      </c>
      <c r="E881" s="8">
        <v>0.5394744873046875</v>
      </c>
      <c r="F881" s="8"/>
      <c r="G881" s="8">
        <v>8.9982569217681885E-2</v>
      </c>
      <c r="H881" s="8">
        <v>1.618405245244503E-2</v>
      </c>
      <c r="I881" s="8"/>
      <c r="J881" s="8">
        <v>0.47802433371543884</v>
      </c>
      <c r="K881" s="8">
        <v>1.1337398551404476E-2</v>
      </c>
      <c r="L881" s="8">
        <v>3423109</v>
      </c>
      <c r="M881" t="s">
        <v>1052</v>
      </c>
    </row>
    <row r="882" spans="2:13">
      <c r="B882" t="s">
        <v>50</v>
      </c>
      <c r="C882" s="8">
        <v>2020</v>
      </c>
      <c r="D882" s="8">
        <v>2</v>
      </c>
      <c r="E882" s="8">
        <v>0.52892774343490601</v>
      </c>
      <c r="F882" s="8"/>
      <c r="G882" s="8">
        <v>7.565685361623764E-2</v>
      </c>
      <c r="H882" s="8">
        <v>1.4786282554268837E-2</v>
      </c>
      <c r="I882" s="8"/>
      <c r="J882" s="8">
        <v>0.35387888550758362</v>
      </c>
      <c r="K882" s="8">
        <v>3.9796307682991028E-2</v>
      </c>
      <c r="L882" s="8">
        <v>3423109</v>
      </c>
      <c r="M882" t="s">
        <v>1052</v>
      </c>
    </row>
    <row r="883" spans="2:13">
      <c r="B883" t="s">
        <v>50</v>
      </c>
      <c r="C883" s="8">
        <v>2020</v>
      </c>
      <c r="D883" s="8">
        <v>3</v>
      </c>
      <c r="E883" s="8">
        <v>0.51223134994506836</v>
      </c>
      <c r="F883" s="8"/>
      <c r="G883" s="8">
        <v>3.3690880984067917E-2</v>
      </c>
      <c r="H883" s="8">
        <v>1.2300731614232063E-2</v>
      </c>
      <c r="I883" s="8"/>
      <c r="J883" s="8">
        <v>0.17855697870254517</v>
      </c>
      <c r="K883" s="8">
        <v>0.16801661252975464</v>
      </c>
      <c r="L883" s="8">
        <v>3423109</v>
      </c>
      <c r="M883" t="s">
        <v>1052</v>
      </c>
    </row>
    <row r="884" spans="2:13">
      <c r="B884" t="s">
        <v>50</v>
      </c>
      <c r="C884" s="8">
        <v>2021</v>
      </c>
      <c r="D884" s="8">
        <v>1</v>
      </c>
      <c r="E884" s="8">
        <v>0.54479968547821045</v>
      </c>
      <c r="F884" s="8"/>
      <c r="G884" s="8">
        <v>0.13135822117328644</v>
      </c>
      <c r="H884" s="8">
        <v>1.8071131780743599E-2</v>
      </c>
      <c r="I884" s="8"/>
      <c r="J884" s="8">
        <v>0.48506885766983032</v>
      </c>
      <c r="K884" s="8">
        <v>8.6667034775018692E-3</v>
      </c>
      <c r="L884" s="8">
        <v>3423109</v>
      </c>
      <c r="M884" t="s">
        <v>1052</v>
      </c>
    </row>
    <row r="885" spans="2:13">
      <c r="B885" t="s">
        <v>50</v>
      </c>
      <c r="C885" s="8">
        <v>2021</v>
      </c>
      <c r="D885" s="8">
        <v>2</v>
      </c>
      <c r="E885" s="8">
        <v>0.52363353967666626</v>
      </c>
      <c r="F885" s="8"/>
      <c r="G885" s="8">
        <v>8.3577580749988556E-2</v>
      </c>
      <c r="H885" s="8">
        <v>2.243683859705925E-2</v>
      </c>
      <c r="I885" s="8"/>
      <c r="J885" s="8">
        <v>0.38121911883354187</v>
      </c>
      <c r="K885" s="8">
        <v>3.3975783735513687E-2</v>
      </c>
      <c r="L885" s="8">
        <v>3423109</v>
      </c>
      <c r="M885" t="s">
        <v>1052</v>
      </c>
    </row>
    <row r="886" spans="2:13">
      <c r="B886" t="s">
        <v>50</v>
      </c>
      <c r="C886" s="8">
        <v>2021</v>
      </c>
      <c r="D886" s="8">
        <v>3</v>
      </c>
      <c r="E886" s="8">
        <v>0.51255732774734497</v>
      </c>
      <c r="F886" s="8"/>
      <c r="G886" s="8">
        <v>4.2645938694477081E-2</v>
      </c>
      <c r="H886" s="8">
        <v>1.3383488170802593E-2</v>
      </c>
      <c r="I886" s="8"/>
      <c r="J886" s="8">
        <v>0.17780058085918427</v>
      </c>
      <c r="K886" s="8">
        <v>0.16902950406074524</v>
      </c>
      <c r="L886" s="8">
        <v>3423109</v>
      </c>
      <c r="M886" t="s">
        <v>1052</v>
      </c>
    </row>
    <row r="887" spans="2:13">
      <c r="B887" t="s">
        <v>50</v>
      </c>
      <c r="C887" s="8">
        <v>2022</v>
      </c>
      <c r="D887" s="8">
        <v>1</v>
      </c>
      <c r="E887" s="8">
        <v>0.53906023502349854</v>
      </c>
      <c r="F887" s="8">
        <v>0</v>
      </c>
      <c r="G887" s="8">
        <v>9.0845644474029541E-2</v>
      </c>
      <c r="H887" s="8">
        <v>1.8012618646025658E-2</v>
      </c>
      <c r="I887" s="8"/>
      <c r="J887" s="8">
        <v>0.48648172616958618</v>
      </c>
      <c r="K887" s="8">
        <v>1.3867249712347984E-2</v>
      </c>
      <c r="L887" s="8">
        <v>3423109</v>
      </c>
      <c r="M887" t="s">
        <v>1052</v>
      </c>
    </row>
    <row r="888" spans="2:13">
      <c r="B888" t="s">
        <v>50</v>
      </c>
      <c r="C888" s="8">
        <v>2022</v>
      </c>
      <c r="D888" s="8">
        <v>2</v>
      </c>
      <c r="E888" s="8">
        <v>0.53314661979675293</v>
      </c>
      <c r="F888" s="8">
        <v>0</v>
      </c>
      <c r="G888" s="8">
        <v>7.8982964158058167E-2</v>
      </c>
      <c r="H888" s="8">
        <v>1.1216919869184494E-2</v>
      </c>
      <c r="I888" s="8"/>
      <c r="J888" s="8">
        <v>0.37650594115257263</v>
      </c>
      <c r="K888" s="8">
        <v>3.8637574762105942E-2</v>
      </c>
      <c r="L888" s="8">
        <v>3423109</v>
      </c>
      <c r="M888" t="s">
        <v>1052</v>
      </c>
    </row>
    <row r="889" spans="2:13">
      <c r="B889" t="s">
        <v>50</v>
      </c>
      <c r="C889" s="8">
        <v>2022</v>
      </c>
      <c r="D889" s="8">
        <v>3</v>
      </c>
      <c r="E889" s="8">
        <v>0.51146680116653442</v>
      </c>
      <c r="F889" s="8">
        <v>0</v>
      </c>
      <c r="G889" s="8">
        <v>3.7846844643354416E-2</v>
      </c>
      <c r="H889" s="8">
        <v>1.3314209878444672E-2</v>
      </c>
      <c r="I889" s="8"/>
      <c r="J889" s="8">
        <v>0.17857666313648224</v>
      </c>
      <c r="K889" s="8">
        <v>0.17005310952663422</v>
      </c>
      <c r="L889" s="8">
        <v>3423109</v>
      </c>
      <c r="M889" t="s">
        <v>1052</v>
      </c>
    </row>
    <row r="890" spans="2:13">
      <c r="B890" t="s">
        <v>51</v>
      </c>
      <c r="C890" s="8">
        <v>2003</v>
      </c>
      <c r="D890" s="8">
        <v>1</v>
      </c>
      <c r="E890" s="8">
        <v>0.50583362579345703</v>
      </c>
      <c r="F890" s="8"/>
      <c r="G890" s="8"/>
      <c r="H890" s="8"/>
      <c r="I890" s="8"/>
      <c r="J890" s="8">
        <v>0.45008224248886108</v>
      </c>
      <c r="K890" s="8">
        <v>3.6483895033597946E-2</v>
      </c>
      <c r="L890" s="8">
        <v>28838499</v>
      </c>
      <c r="M890" t="s">
        <v>1052</v>
      </c>
    </row>
    <row r="891" spans="2:13">
      <c r="B891" t="s">
        <v>51</v>
      </c>
      <c r="C891" s="8">
        <v>2003</v>
      </c>
      <c r="D891" s="8">
        <v>2</v>
      </c>
      <c r="E891" s="8">
        <v>0.49361738562583923</v>
      </c>
      <c r="F891" s="8"/>
      <c r="G891" s="8"/>
      <c r="H891" s="8"/>
      <c r="I891" s="8"/>
      <c r="J891" s="8">
        <v>0.35452792048454285</v>
      </c>
      <c r="K891" s="8">
        <v>4.0650010108947754E-2</v>
      </c>
      <c r="L891" s="8">
        <v>28838499</v>
      </c>
      <c r="M891" t="s">
        <v>1052</v>
      </c>
    </row>
    <row r="892" spans="2:13">
      <c r="B892" t="s">
        <v>51</v>
      </c>
      <c r="C892" s="8">
        <v>2003</v>
      </c>
      <c r="D892" s="8">
        <v>3</v>
      </c>
      <c r="E892" s="8">
        <v>0.49230316281318665</v>
      </c>
      <c r="F892" s="8"/>
      <c r="G892" s="8"/>
      <c r="H892" s="8"/>
      <c r="I892" s="8"/>
      <c r="J892" s="8">
        <v>0.24059322476387024</v>
      </c>
      <c r="K892" s="8">
        <v>5.8512989431619644E-2</v>
      </c>
      <c r="L892" s="8">
        <v>28838499</v>
      </c>
      <c r="M892" t="s">
        <v>1052</v>
      </c>
    </row>
    <row r="893" spans="2:13">
      <c r="B893" t="s">
        <v>51</v>
      </c>
      <c r="C893" s="8">
        <v>2004</v>
      </c>
      <c r="D893" s="8">
        <v>1</v>
      </c>
      <c r="E893" s="8">
        <v>0.50695675611495972</v>
      </c>
      <c r="F893" s="8"/>
      <c r="G893" s="8"/>
      <c r="H893" s="8"/>
      <c r="I893" s="8"/>
      <c r="J893" s="8">
        <v>0.45952817797660828</v>
      </c>
      <c r="K893" s="8">
        <v>3.7332184612751007E-2</v>
      </c>
      <c r="L893" s="8">
        <v>28838499</v>
      </c>
      <c r="M893" t="s">
        <v>1052</v>
      </c>
    </row>
    <row r="894" spans="2:13">
      <c r="B894" t="s">
        <v>51</v>
      </c>
      <c r="C894" s="8">
        <v>2004</v>
      </c>
      <c r="D894" s="8">
        <v>2</v>
      </c>
      <c r="E894" s="8">
        <v>0.49919632077217102</v>
      </c>
      <c r="F894" s="8"/>
      <c r="G894" s="8"/>
      <c r="H894" s="8"/>
      <c r="I894" s="8"/>
      <c r="J894" s="8">
        <v>0.37769103050231934</v>
      </c>
      <c r="K894" s="8">
        <v>4.1755098849534988E-2</v>
      </c>
      <c r="L894" s="8">
        <v>28838499</v>
      </c>
      <c r="M894" t="s">
        <v>1052</v>
      </c>
    </row>
    <row r="895" spans="2:13">
      <c r="B895" t="s">
        <v>51</v>
      </c>
      <c r="C895" s="8">
        <v>2004</v>
      </c>
      <c r="D895" s="8">
        <v>3</v>
      </c>
      <c r="E895" s="8">
        <v>0.49474382400512695</v>
      </c>
      <c r="F895" s="8"/>
      <c r="G895" s="8"/>
      <c r="H895" s="8"/>
      <c r="I895" s="8"/>
      <c r="J895" s="8">
        <v>0.2491123378276825</v>
      </c>
      <c r="K895" s="8">
        <v>5.7983938604593277E-2</v>
      </c>
      <c r="L895" s="8">
        <v>28838499</v>
      </c>
      <c r="M895" t="s">
        <v>1052</v>
      </c>
    </row>
    <row r="896" spans="2:13">
      <c r="B896" t="s">
        <v>51</v>
      </c>
      <c r="C896" s="8">
        <v>2005</v>
      </c>
      <c r="D896" s="8">
        <v>1</v>
      </c>
      <c r="E896" s="8">
        <v>0.51085406541824341</v>
      </c>
      <c r="F896" s="8"/>
      <c r="G896" s="8"/>
      <c r="H896" s="8"/>
      <c r="I896" s="8"/>
      <c r="J896" s="8">
        <v>0.44613069295883179</v>
      </c>
      <c r="K896" s="8">
        <v>4.1442014276981354E-2</v>
      </c>
      <c r="L896" s="8">
        <v>28838499</v>
      </c>
      <c r="M896" t="s">
        <v>1052</v>
      </c>
    </row>
    <row r="897" spans="2:13">
      <c r="B897" t="s">
        <v>51</v>
      </c>
      <c r="C897" s="8">
        <v>2005</v>
      </c>
      <c r="D897" s="8">
        <v>2</v>
      </c>
      <c r="E897" s="8">
        <v>0.50519245862960815</v>
      </c>
      <c r="F897" s="8"/>
      <c r="G897" s="8"/>
      <c r="H897" s="8"/>
      <c r="I897" s="8"/>
      <c r="J897" s="8">
        <v>0.38913527131080627</v>
      </c>
      <c r="K897" s="8">
        <v>4.1890360414981842E-2</v>
      </c>
      <c r="L897" s="8">
        <v>28838499</v>
      </c>
      <c r="M897" t="s">
        <v>1052</v>
      </c>
    </row>
    <row r="898" spans="2:13">
      <c r="B898" t="s">
        <v>51</v>
      </c>
      <c r="C898" s="8">
        <v>2005</v>
      </c>
      <c r="D898" s="8">
        <v>3</v>
      </c>
      <c r="E898" s="8">
        <v>0.48732843995094299</v>
      </c>
      <c r="F898" s="8"/>
      <c r="G898" s="8"/>
      <c r="H898" s="8"/>
      <c r="I898" s="8"/>
      <c r="J898" s="8">
        <v>0.2627665102481842</v>
      </c>
      <c r="K898" s="8">
        <v>5.5350542068481445E-2</v>
      </c>
      <c r="L898" s="8">
        <v>28838499</v>
      </c>
      <c r="M898" t="s">
        <v>1052</v>
      </c>
    </row>
    <row r="899" spans="2:13">
      <c r="B899" t="s">
        <v>51</v>
      </c>
      <c r="C899" s="8">
        <v>2006</v>
      </c>
      <c r="D899" s="8">
        <v>1</v>
      </c>
      <c r="E899" s="8">
        <v>0.51588898897171021</v>
      </c>
      <c r="F899" s="8"/>
      <c r="G899" s="8"/>
      <c r="H899" s="8"/>
      <c r="I899" s="8"/>
      <c r="J899" s="8">
        <v>0.4674980640411377</v>
      </c>
      <c r="K899" s="8">
        <v>4.087095707654953E-2</v>
      </c>
      <c r="L899" s="8">
        <v>28838499</v>
      </c>
      <c r="M899" t="s">
        <v>1052</v>
      </c>
    </row>
    <row r="900" spans="2:13">
      <c r="B900" t="s">
        <v>51</v>
      </c>
      <c r="C900" s="8">
        <v>2006</v>
      </c>
      <c r="D900" s="8">
        <v>2</v>
      </c>
      <c r="E900" s="8">
        <v>0.50428158044815063</v>
      </c>
      <c r="F900" s="8"/>
      <c r="G900" s="8"/>
      <c r="H900" s="8"/>
      <c r="I900" s="8"/>
      <c r="J900" s="8">
        <v>0.41523683071136475</v>
      </c>
      <c r="K900" s="8">
        <v>4.0363281965255737E-2</v>
      </c>
      <c r="L900" s="8">
        <v>28838499</v>
      </c>
      <c r="M900" t="s">
        <v>1052</v>
      </c>
    </row>
    <row r="901" spans="2:13">
      <c r="B901" t="s">
        <v>51</v>
      </c>
      <c r="C901" s="8">
        <v>2006</v>
      </c>
      <c r="D901" s="8">
        <v>3</v>
      </c>
      <c r="E901" s="8">
        <v>0.49121439456939697</v>
      </c>
      <c r="F901" s="8"/>
      <c r="G901" s="8"/>
      <c r="H901" s="8"/>
      <c r="I901" s="8"/>
      <c r="J901" s="8">
        <v>0.26768431067466736</v>
      </c>
      <c r="K901" s="8">
        <v>5.6781027466058731E-2</v>
      </c>
      <c r="L901" s="8">
        <v>28838499</v>
      </c>
      <c r="M901" t="s">
        <v>1052</v>
      </c>
    </row>
    <row r="902" spans="2:13">
      <c r="B902" t="s">
        <v>51</v>
      </c>
      <c r="C902" s="8">
        <v>2007</v>
      </c>
      <c r="D902" s="8">
        <v>1</v>
      </c>
      <c r="E902" s="8">
        <v>0.52958989143371582</v>
      </c>
      <c r="F902" s="8"/>
      <c r="G902" s="8"/>
      <c r="H902" s="8"/>
      <c r="I902" s="8"/>
      <c r="J902" s="8">
        <v>0.48085451126098633</v>
      </c>
      <c r="K902" s="8">
        <v>4.4535625725984573E-2</v>
      </c>
      <c r="L902" s="8">
        <v>28838499</v>
      </c>
      <c r="M902" t="s">
        <v>1052</v>
      </c>
    </row>
    <row r="903" spans="2:13">
      <c r="B903" t="s">
        <v>51</v>
      </c>
      <c r="C903" s="8">
        <v>2007</v>
      </c>
      <c r="D903" s="8">
        <v>2</v>
      </c>
      <c r="E903" s="8">
        <v>0.50559365749359131</v>
      </c>
      <c r="F903" s="8"/>
      <c r="G903" s="8"/>
      <c r="H903" s="8"/>
      <c r="I903" s="8"/>
      <c r="J903" s="8">
        <v>0.43121352791786194</v>
      </c>
      <c r="K903" s="8">
        <v>3.6684125661849976E-2</v>
      </c>
      <c r="L903" s="8">
        <v>28838499</v>
      </c>
      <c r="M903" t="s">
        <v>1052</v>
      </c>
    </row>
    <row r="904" spans="2:13">
      <c r="B904" t="s">
        <v>51</v>
      </c>
      <c r="C904" s="8">
        <v>2007</v>
      </c>
      <c r="D904" s="8">
        <v>3</v>
      </c>
      <c r="E904" s="8">
        <v>0.49209406971931458</v>
      </c>
      <c r="F904" s="8"/>
      <c r="G904" s="8"/>
      <c r="H904" s="8"/>
      <c r="I904" s="8"/>
      <c r="J904" s="8">
        <v>0.2745489776134491</v>
      </c>
      <c r="K904" s="8">
        <v>5.8029774576425552E-2</v>
      </c>
      <c r="L904" s="8">
        <v>28838499</v>
      </c>
      <c r="M904" t="s">
        <v>1052</v>
      </c>
    </row>
    <row r="905" spans="2:13">
      <c r="B905" t="s">
        <v>51</v>
      </c>
      <c r="C905" s="8">
        <v>2008</v>
      </c>
      <c r="D905" s="8">
        <v>1</v>
      </c>
      <c r="E905" s="8">
        <v>0.51780927181243896</v>
      </c>
      <c r="F905" s="8"/>
      <c r="G905" s="8"/>
      <c r="H905" s="8"/>
      <c r="I905" s="8"/>
      <c r="J905" s="8">
        <v>0.47518265247344971</v>
      </c>
      <c r="K905" s="8">
        <v>4.0518328547477722E-2</v>
      </c>
      <c r="L905" s="8">
        <v>28838499</v>
      </c>
      <c r="M905" t="s">
        <v>1052</v>
      </c>
    </row>
    <row r="906" spans="2:13">
      <c r="B906" t="s">
        <v>51</v>
      </c>
      <c r="C906" s="8">
        <v>2008</v>
      </c>
      <c r="D906" s="8">
        <v>2</v>
      </c>
      <c r="E906" s="8">
        <v>0.50635248422622681</v>
      </c>
      <c r="F906" s="8"/>
      <c r="G906" s="8"/>
      <c r="H906" s="8"/>
      <c r="I906" s="8"/>
      <c r="J906" s="8">
        <v>0.4283464252948761</v>
      </c>
      <c r="K906" s="8">
        <v>3.9233535528182983E-2</v>
      </c>
      <c r="L906" s="8">
        <v>28838499</v>
      </c>
      <c r="M906" t="s">
        <v>1052</v>
      </c>
    </row>
    <row r="907" spans="2:13">
      <c r="B907" t="s">
        <v>51</v>
      </c>
      <c r="C907" s="8">
        <v>2008</v>
      </c>
      <c r="D907" s="8">
        <v>3</v>
      </c>
      <c r="E907" s="8">
        <v>0.49420320987701416</v>
      </c>
      <c r="F907" s="8"/>
      <c r="G907" s="8"/>
      <c r="H907" s="8"/>
      <c r="I907" s="8"/>
      <c r="J907" s="8">
        <v>0.27299979329109192</v>
      </c>
      <c r="K907" s="8">
        <v>5.9688922017812729E-2</v>
      </c>
      <c r="L907" s="8">
        <v>28838499</v>
      </c>
      <c r="M907" t="s">
        <v>1052</v>
      </c>
    </row>
    <row r="908" spans="2:13">
      <c r="B908" t="s">
        <v>51</v>
      </c>
      <c r="C908" s="8">
        <v>2009</v>
      </c>
      <c r="D908" s="8">
        <v>1</v>
      </c>
      <c r="E908" s="8">
        <v>0.53073352575302124</v>
      </c>
      <c r="F908" s="8"/>
      <c r="G908" s="8"/>
      <c r="H908" s="8"/>
      <c r="I908" s="8"/>
      <c r="J908" s="8">
        <v>0.46914121508598328</v>
      </c>
      <c r="K908" s="8">
        <v>3.7571102380752563E-2</v>
      </c>
      <c r="L908" s="8">
        <v>28838499</v>
      </c>
      <c r="M908" t="s">
        <v>1052</v>
      </c>
    </row>
    <row r="909" spans="2:13">
      <c r="B909" t="s">
        <v>51</v>
      </c>
      <c r="C909" s="8">
        <v>2009</v>
      </c>
      <c r="D909" s="8">
        <v>2</v>
      </c>
      <c r="E909" s="8">
        <v>0.51555061340332031</v>
      </c>
      <c r="F909" s="8"/>
      <c r="G909" s="8"/>
      <c r="H909" s="8"/>
      <c r="I909" s="8"/>
      <c r="J909" s="8">
        <v>0.42586332559585571</v>
      </c>
      <c r="K909" s="8">
        <v>3.9043094962835312E-2</v>
      </c>
      <c r="L909" s="8">
        <v>28838499</v>
      </c>
      <c r="M909" t="s">
        <v>1052</v>
      </c>
    </row>
    <row r="910" spans="2:13">
      <c r="B910" t="s">
        <v>51</v>
      </c>
      <c r="C910" s="8">
        <v>2009</v>
      </c>
      <c r="D910" s="8">
        <v>3</v>
      </c>
      <c r="E910" s="8">
        <v>0.48989582061767578</v>
      </c>
      <c r="F910" s="8"/>
      <c r="G910" s="8"/>
      <c r="H910" s="8"/>
      <c r="I910" s="8"/>
      <c r="J910" s="8">
        <v>0.27091255784034729</v>
      </c>
      <c r="K910" s="8">
        <v>6.1064112931489944E-2</v>
      </c>
      <c r="L910" s="8">
        <v>28838499</v>
      </c>
      <c r="M910" t="s">
        <v>1052</v>
      </c>
    </row>
    <row r="911" spans="2:13">
      <c r="B911" t="s">
        <v>51</v>
      </c>
      <c r="C911" s="8">
        <v>2010</v>
      </c>
      <c r="D911" s="8">
        <v>1</v>
      </c>
      <c r="E911" s="8">
        <v>0.51871782541275024</v>
      </c>
      <c r="F911" s="8"/>
      <c r="G911" s="8"/>
      <c r="H911" s="8"/>
      <c r="I911" s="8"/>
      <c r="J911" s="8">
        <v>0.46582233905792236</v>
      </c>
      <c r="K911" s="8">
        <v>3.8178350776433945E-2</v>
      </c>
      <c r="L911" s="8">
        <v>28838499</v>
      </c>
      <c r="M911" t="s">
        <v>1052</v>
      </c>
    </row>
    <row r="912" spans="2:13">
      <c r="B912" t="s">
        <v>51</v>
      </c>
      <c r="C912" s="8">
        <v>2010</v>
      </c>
      <c r="D912" s="8">
        <v>2</v>
      </c>
      <c r="E912" s="8">
        <v>0.51468759775161743</v>
      </c>
      <c r="F912" s="8"/>
      <c r="G912" s="8"/>
      <c r="H912" s="8"/>
      <c r="I912" s="8"/>
      <c r="J912" s="8">
        <v>0.42356330156326294</v>
      </c>
      <c r="K912" s="8">
        <v>3.8560759276151657E-2</v>
      </c>
      <c r="L912" s="8">
        <v>28838499</v>
      </c>
      <c r="M912" t="s">
        <v>1052</v>
      </c>
    </row>
    <row r="913" spans="2:13">
      <c r="B913" t="s">
        <v>51</v>
      </c>
      <c r="C913" s="8">
        <v>2010</v>
      </c>
      <c r="D913" s="8">
        <v>3</v>
      </c>
      <c r="E913" s="8">
        <v>0.49176076054573059</v>
      </c>
      <c r="F913" s="8"/>
      <c r="G913" s="8"/>
      <c r="H913" s="8"/>
      <c r="I913" s="8"/>
      <c r="J913" s="8">
        <v>0.26368406414985657</v>
      </c>
      <c r="K913" s="8">
        <v>6.4678192138671875E-2</v>
      </c>
      <c r="L913" s="8">
        <v>28838499</v>
      </c>
      <c r="M913" t="s">
        <v>1052</v>
      </c>
    </row>
    <row r="914" spans="2:13">
      <c r="B914" t="s">
        <v>51</v>
      </c>
      <c r="C914" s="8">
        <v>2011</v>
      </c>
      <c r="D914" s="8">
        <v>1</v>
      </c>
      <c r="E914" s="8">
        <v>0.52426958084106445</v>
      </c>
      <c r="F914" s="8"/>
      <c r="G914" s="8"/>
      <c r="H914" s="8"/>
      <c r="I914" s="8"/>
      <c r="J914" s="8">
        <v>0.45942801237106323</v>
      </c>
      <c r="K914" s="8">
        <v>3.7636008113622665E-2</v>
      </c>
      <c r="L914" s="8">
        <v>28838499</v>
      </c>
      <c r="M914" t="s">
        <v>1052</v>
      </c>
    </row>
    <row r="915" spans="2:13">
      <c r="B915" t="s">
        <v>51</v>
      </c>
      <c r="C915" s="8">
        <v>2011</v>
      </c>
      <c r="D915" s="8">
        <v>2</v>
      </c>
      <c r="E915" s="8">
        <v>0.50791370868682861</v>
      </c>
      <c r="F915" s="8"/>
      <c r="G915" s="8"/>
      <c r="H915" s="8"/>
      <c r="I915" s="8"/>
      <c r="J915" s="8">
        <v>0.41463273763656616</v>
      </c>
      <c r="K915" s="8">
        <v>3.9952300488948822E-2</v>
      </c>
      <c r="L915" s="8">
        <v>28838499</v>
      </c>
      <c r="M915" t="s">
        <v>1052</v>
      </c>
    </row>
    <row r="916" spans="2:13">
      <c r="B916" t="s">
        <v>51</v>
      </c>
      <c r="C916" s="8">
        <v>2011</v>
      </c>
      <c r="D916" s="8">
        <v>3</v>
      </c>
      <c r="E916" s="8">
        <v>0.49366891384124756</v>
      </c>
      <c r="F916" s="8"/>
      <c r="G916" s="8"/>
      <c r="H916" s="8"/>
      <c r="I916" s="8"/>
      <c r="J916" s="8">
        <v>0.25908836722373962</v>
      </c>
      <c r="K916" s="8">
        <v>6.7261636257171631E-2</v>
      </c>
      <c r="L916" s="8">
        <v>28838499</v>
      </c>
      <c r="M916" t="s">
        <v>1052</v>
      </c>
    </row>
    <row r="917" spans="2:13">
      <c r="B917" t="s">
        <v>51</v>
      </c>
      <c r="C917" s="8">
        <v>2012</v>
      </c>
      <c r="D917" s="8">
        <v>1</v>
      </c>
      <c r="E917" s="8">
        <v>0.52212470769882202</v>
      </c>
      <c r="F917" s="8"/>
      <c r="G917" s="8"/>
      <c r="H917" s="8"/>
      <c r="I917" s="8"/>
      <c r="J917" s="8">
        <v>0.45586654543876648</v>
      </c>
      <c r="K917" s="8">
        <v>3.1593713909387589E-2</v>
      </c>
      <c r="L917" s="8">
        <v>28838499</v>
      </c>
      <c r="M917" t="s">
        <v>1052</v>
      </c>
    </row>
    <row r="918" spans="2:13">
      <c r="B918" t="s">
        <v>51</v>
      </c>
      <c r="C918" s="8">
        <v>2012</v>
      </c>
      <c r="D918" s="8">
        <v>2</v>
      </c>
      <c r="E918" s="8">
        <v>0.51250886917114258</v>
      </c>
      <c r="F918" s="8"/>
      <c r="G918" s="8"/>
      <c r="H918" s="8"/>
      <c r="I918" s="8"/>
      <c r="J918" s="8">
        <v>0.41197770833969116</v>
      </c>
      <c r="K918" s="8">
        <v>3.9307218044996262E-2</v>
      </c>
      <c r="L918" s="8">
        <v>28838499</v>
      </c>
      <c r="M918" t="s">
        <v>1052</v>
      </c>
    </row>
    <row r="919" spans="2:13">
      <c r="B919" t="s">
        <v>51</v>
      </c>
      <c r="C919" s="8">
        <v>2012</v>
      </c>
      <c r="D919" s="8">
        <v>3</v>
      </c>
      <c r="E919" s="8">
        <v>0.49352052807807922</v>
      </c>
      <c r="F919" s="8"/>
      <c r="G919" s="8"/>
      <c r="H919" s="8"/>
      <c r="I919" s="8"/>
      <c r="J919" s="8">
        <v>0.26185789704322815</v>
      </c>
      <c r="K919" s="8">
        <v>7.0380628108978271E-2</v>
      </c>
      <c r="L919" s="8">
        <v>28838499</v>
      </c>
      <c r="M919" t="s">
        <v>1052</v>
      </c>
    </row>
    <row r="920" spans="2:13">
      <c r="B920" t="s">
        <v>51</v>
      </c>
      <c r="C920" s="8">
        <v>2013</v>
      </c>
      <c r="D920" s="8">
        <v>1</v>
      </c>
      <c r="E920" s="8">
        <v>0.51442903280258179</v>
      </c>
      <c r="F920" s="8"/>
      <c r="G920" s="8"/>
      <c r="H920" s="8"/>
      <c r="I920" s="8"/>
      <c r="J920" s="8">
        <v>0.45210069417953491</v>
      </c>
      <c r="K920" s="8">
        <v>2.962600439786911E-2</v>
      </c>
      <c r="L920" s="8">
        <v>28838499</v>
      </c>
      <c r="M920" t="s">
        <v>1052</v>
      </c>
    </row>
    <row r="921" spans="2:13">
      <c r="B921" t="s">
        <v>51</v>
      </c>
      <c r="C921" s="8">
        <v>2013</v>
      </c>
      <c r="D921" s="8">
        <v>2</v>
      </c>
      <c r="E921" s="8">
        <v>0.52244973182678223</v>
      </c>
      <c r="F921" s="8"/>
      <c r="G921" s="8"/>
      <c r="H921" s="8"/>
      <c r="I921" s="8"/>
      <c r="J921" s="8">
        <v>0.41095659136772156</v>
      </c>
      <c r="K921" s="8">
        <v>3.546808660030365E-2</v>
      </c>
      <c r="L921" s="8">
        <v>28838499</v>
      </c>
      <c r="M921" t="s">
        <v>1052</v>
      </c>
    </row>
    <row r="922" spans="2:13">
      <c r="B922" t="s">
        <v>51</v>
      </c>
      <c r="C922" s="8">
        <v>2013</v>
      </c>
      <c r="D922" s="8">
        <v>3</v>
      </c>
      <c r="E922" s="8">
        <v>0.49297422170639038</v>
      </c>
      <c r="F922" s="8"/>
      <c r="G922" s="8"/>
      <c r="H922" s="8"/>
      <c r="I922" s="8"/>
      <c r="J922" s="8">
        <v>0.25432094931602478</v>
      </c>
      <c r="K922" s="8">
        <v>7.561994343996048E-2</v>
      </c>
      <c r="L922" s="8">
        <v>28838499</v>
      </c>
      <c r="M922" t="s">
        <v>1052</v>
      </c>
    </row>
    <row r="923" spans="2:13">
      <c r="B923" t="s">
        <v>51</v>
      </c>
      <c r="C923" s="8">
        <v>2014</v>
      </c>
      <c r="D923" s="8">
        <v>1</v>
      </c>
      <c r="E923" s="8">
        <v>0.5226103663444519</v>
      </c>
      <c r="F923" s="8"/>
      <c r="G923" s="8"/>
      <c r="H923" s="8"/>
      <c r="I923" s="8"/>
      <c r="J923" s="8">
        <v>0.46561923623085022</v>
      </c>
      <c r="K923" s="8">
        <v>2.9341278597712517E-2</v>
      </c>
      <c r="L923" s="8">
        <v>28838499</v>
      </c>
      <c r="M923" t="s">
        <v>1052</v>
      </c>
    </row>
    <row r="924" spans="2:13">
      <c r="B924" t="s">
        <v>51</v>
      </c>
      <c r="C924" s="8">
        <v>2014</v>
      </c>
      <c r="D924" s="8">
        <v>2</v>
      </c>
      <c r="E924" s="8">
        <v>0.51531559228897095</v>
      </c>
      <c r="F924" s="8"/>
      <c r="G924" s="8"/>
      <c r="H924" s="8"/>
      <c r="I924" s="8"/>
      <c r="J924" s="8">
        <v>0.41912141442298889</v>
      </c>
      <c r="K924" s="8">
        <v>3.0319333076477051E-2</v>
      </c>
      <c r="L924" s="8">
        <v>28838499</v>
      </c>
      <c r="M924" t="s">
        <v>1052</v>
      </c>
    </row>
    <row r="925" spans="2:13">
      <c r="B925" t="s">
        <v>51</v>
      </c>
      <c r="C925" s="8">
        <v>2014</v>
      </c>
      <c r="D925" s="8">
        <v>3</v>
      </c>
      <c r="E925" s="8">
        <v>0.49303025007247925</v>
      </c>
      <c r="F925" s="8"/>
      <c r="G925" s="8"/>
      <c r="H925" s="8"/>
      <c r="I925" s="8"/>
      <c r="J925" s="8">
        <v>0.24933648109436035</v>
      </c>
      <c r="K925" s="8">
        <v>7.410682737827301E-2</v>
      </c>
      <c r="L925" s="8">
        <v>28838499</v>
      </c>
      <c r="M925" t="s">
        <v>1052</v>
      </c>
    </row>
    <row r="926" spans="2:13">
      <c r="B926" t="s">
        <v>51</v>
      </c>
      <c r="C926" s="8">
        <v>2015</v>
      </c>
      <c r="D926" s="8">
        <v>1</v>
      </c>
      <c r="E926" s="8">
        <v>0.52093327045440674</v>
      </c>
      <c r="F926" s="8"/>
      <c r="G926" s="8"/>
      <c r="H926" s="8"/>
      <c r="I926" s="8"/>
      <c r="J926" s="8">
        <v>0.4483325183391571</v>
      </c>
      <c r="K926" s="8">
        <v>2.858114056289196E-2</v>
      </c>
      <c r="L926" s="8">
        <v>28838499</v>
      </c>
      <c r="M926" t="s">
        <v>1052</v>
      </c>
    </row>
    <row r="927" spans="2:13">
      <c r="B927" t="s">
        <v>51</v>
      </c>
      <c r="C927" s="8">
        <v>2015</v>
      </c>
      <c r="D927" s="8">
        <v>2</v>
      </c>
      <c r="E927" s="8">
        <v>0.514026939868927</v>
      </c>
      <c r="F927" s="8"/>
      <c r="G927" s="8"/>
      <c r="H927" s="8"/>
      <c r="I927" s="8"/>
      <c r="J927" s="8">
        <v>0.38052138686180115</v>
      </c>
      <c r="K927" s="8">
        <v>3.2184604555368423E-2</v>
      </c>
      <c r="L927" s="8">
        <v>28838499</v>
      </c>
      <c r="M927" t="s">
        <v>1052</v>
      </c>
    </row>
    <row r="928" spans="2:13">
      <c r="B928" t="s">
        <v>51</v>
      </c>
      <c r="C928" s="8">
        <v>2015</v>
      </c>
      <c r="D928" s="8">
        <v>3</v>
      </c>
      <c r="E928" s="8">
        <v>0.49187088012695313</v>
      </c>
      <c r="F928" s="8"/>
      <c r="G928" s="8"/>
      <c r="H928" s="8"/>
      <c r="I928" s="8"/>
      <c r="J928" s="8">
        <v>0.24125224351882935</v>
      </c>
      <c r="K928" s="8">
        <v>8.0263227224349976E-2</v>
      </c>
      <c r="L928" s="8">
        <v>28838499</v>
      </c>
      <c r="M928" t="s">
        <v>1052</v>
      </c>
    </row>
    <row r="929" spans="2:13">
      <c r="B929" t="s">
        <v>51</v>
      </c>
      <c r="C929" s="8">
        <v>2016</v>
      </c>
      <c r="D929" s="8">
        <v>1</v>
      </c>
      <c r="E929" s="8">
        <v>0.50524431467056274</v>
      </c>
      <c r="F929" s="8"/>
      <c r="G929" s="8"/>
      <c r="H929" s="8"/>
      <c r="I929" s="8"/>
      <c r="J929" s="8">
        <v>0.4013238251209259</v>
      </c>
      <c r="K929" s="8">
        <v>4.5210093259811401E-2</v>
      </c>
      <c r="L929" s="8">
        <v>28838499</v>
      </c>
      <c r="M929" t="s">
        <v>1052</v>
      </c>
    </row>
    <row r="930" spans="2:13">
      <c r="B930" t="s">
        <v>51</v>
      </c>
      <c r="C930" s="8">
        <v>2016</v>
      </c>
      <c r="D930" s="8">
        <v>2</v>
      </c>
      <c r="E930" s="8">
        <v>0.5064697265625</v>
      </c>
      <c r="F930" s="8"/>
      <c r="G930" s="8"/>
      <c r="H930" s="8"/>
      <c r="I930" s="8"/>
      <c r="J930" s="8">
        <v>0.3225044310092926</v>
      </c>
      <c r="K930" s="8">
        <v>5.4585855454206467E-2</v>
      </c>
      <c r="L930" s="8">
        <v>28838499</v>
      </c>
      <c r="M930" t="s">
        <v>1052</v>
      </c>
    </row>
    <row r="931" spans="2:13">
      <c r="B931" t="s">
        <v>51</v>
      </c>
      <c r="C931" s="8">
        <v>2016</v>
      </c>
      <c r="D931" s="8">
        <v>3</v>
      </c>
      <c r="E931" s="8">
        <v>0.48863968253135681</v>
      </c>
      <c r="F931" s="8"/>
      <c r="G931" s="8"/>
      <c r="H931" s="8"/>
      <c r="I931" s="8"/>
      <c r="J931" s="8">
        <v>0.22349923849105835</v>
      </c>
      <c r="K931" s="8">
        <v>8.035963773727417E-2</v>
      </c>
      <c r="L931" s="8">
        <v>28838499</v>
      </c>
      <c r="M931" t="s">
        <v>1052</v>
      </c>
    </row>
    <row r="932" spans="2:13">
      <c r="B932" t="s">
        <v>51</v>
      </c>
      <c r="C932" s="8">
        <v>2017</v>
      </c>
      <c r="D932" s="8">
        <v>1</v>
      </c>
      <c r="E932" s="8">
        <v>0.51132357120513916</v>
      </c>
      <c r="F932" s="8"/>
      <c r="G932" s="8"/>
      <c r="H932" s="8"/>
      <c r="I932" s="8"/>
      <c r="J932" s="8">
        <v>0.36341318488121033</v>
      </c>
      <c r="K932" s="8">
        <v>3.2887306064367294E-2</v>
      </c>
      <c r="L932" s="8">
        <v>28838499</v>
      </c>
      <c r="M932" t="s">
        <v>1052</v>
      </c>
    </row>
    <row r="933" spans="2:13">
      <c r="B933" t="s">
        <v>51</v>
      </c>
      <c r="C933" s="8">
        <v>2017</v>
      </c>
      <c r="D933" s="8">
        <v>2</v>
      </c>
      <c r="E933" s="8">
        <v>0.50366336107254028</v>
      </c>
      <c r="F933" s="8"/>
      <c r="G933" s="8"/>
      <c r="H933" s="8"/>
      <c r="I933" s="8"/>
      <c r="J933" s="8">
        <v>0.32464599609375</v>
      </c>
      <c r="K933" s="8">
        <v>4.474949836730957E-2</v>
      </c>
      <c r="L933" s="8">
        <v>28838499</v>
      </c>
      <c r="M933" t="s">
        <v>1052</v>
      </c>
    </row>
    <row r="934" spans="2:13">
      <c r="B934" t="s">
        <v>51</v>
      </c>
      <c r="C934" s="8">
        <v>2017</v>
      </c>
      <c r="D934" s="8">
        <v>3</v>
      </c>
      <c r="E934" s="8">
        <v>0.49414944648742676</v>
      </c>
      <c r="F934" s="8"/>
      <c r="G934" s="8"/>
      <c r="H934" s="8"/>
      <c r="I934" s="8"/>
      <c r="J934" s="8">
        <v>0.24979989230632782</v>
      </c>
      <c r="K934" s="8">
        <v>6.4717598259449005E-2</v>
      </c>
      <c r="L934" s="8">
        <v>28838499</v>
      </c>
      <c r="M934" t="s">
        <v>1052</v>
      </c>
    </row>
    <row r="935" spans="2:13">
      <c r="B935" t="s">
        <v>51</v>
      </c>
      <c r="C935" s="8">
        <v>2018</v>
      </c>
      <c r="D935" s="8">
        <v>1</v>
      </c>
      <c r="E935" s="8">
        <v>0.48726543784141541</v>
      </c>
      <c r="F935" s="8"/>
      <c r="G935" s="8"/>
      <c r="H935" s="8"/>
      <c r="I935" s="8"/>
      <c r="J935" s="8">
        <v>0.31608709692955017</v>
      </c>
      <c r="K935" s="8">
        <v>2.0359858870506287E-2</v>
      </c>
      <c r="L935" s="8">
        <v>28838499</v>
      </c>
      <c r="M935" t="s">
        <v>1052</v>
      </c>
    </row>
    <row r="936" spans="2:13">
      <c r="B936" t="s">
        <v>51</v>
      </c>
      <c r="C936" s="8">
        <v>2018</v>
      </c>
      <c r="D936" s="8">
        <v>2</v>
      </c>
      <c r="E936" s="8">
        <v>0.47508153319358826</v>
      </c>
      <c r="F936" s="8"/>
      <c r="G936" s="8"/>
      <c r="H936" s="8"/>
      <c r="I936" s="8"/>
      <c r="J936" s="8">
        <v>0.31629553437232971</v>
      </c>
      <c r="K936" s="8">
        <v>2.7801048010587692E-2</v>
      </c>
      <c r="L936" s="8">
        <v>28838499</v>
      </c>
      <c r="M936" t="s">
        <v>1052</v>
      </c>
    </row>
    <row r="937" spans="2:13">
      <c r="B937" t="s">
        <v>51</v>
      </c>
      <c r="C937" s="8">
        <v>2018</v>
      </c>
      <c r="D937" s="8">
        <v>3</v>
      </c>
      <c r="E937" s="8">
        <v>0.49980378150939941</v>
      </c>
      <c r="F937" s="8"/>
      <c r="G937" s="8"/>
      <c r="H937" s="8"/>
      <c r="I937" s="8"/>
      <c r="J937" s="8">
        <v>0.28294548392295837</v>
      </c>
      <c r="K937" s="8">
        <v>6.2472075223922729E-2</v>
      </c>
      <c r="L937" s="8">
        <v>28838499</v>
      </c>
      <c r="M937" t="s">
        <v>1052</v>
      </c>
    </row>
    <row r="938" spans="2:13">
      <c r="B938" t="s">
        <v>51</v>
      </c>
      <c r="C938" s="8">
        <v>2020</v>
      </c>
      <c r="D938" s="8">
        <v>1</v>
      </c>
      <c r="E938" s="8">
        <v>0.53078526258468628</v>
      </c>
      <c r="F938" s="8">
        <v>1.2311291880905628E-2</v>
      </c>
      <c r="G938" s="8"/>
      <c r="H938" s="8"/>
      <c r="I938" s="8"/>
      <c r="J938" s="8">
        <v>0.28414493799209595</v>
      </c>
      <c r="K938" s="8">
        <v>0.10634607076644897</v>
      </c>
      <c r="L938" s="8">
        <v>28838499</v>
      </c>
      <c r="M938" t="s">
        <v>1052</v>
      </c>
    </row>
    <row r="939" spans="2:13">
      <c r="B939" t="s">
        <v>51</v>
      </c>
      <c r="C939" s="8">
        <v>2020</v>
      </c>
      <c r="D939" s="8">
        <v>2</v>
      </c>
      <c r="E939" s="8">
        <v>0.49992549419403076</v>
      </c>
      <c r="F939" s="8">
        <v>1.6584772616624832E-2</v>
      </c>
      <c r="G939" s="8"/>
      <c r="H939" s="8"/>
      <c r="I939" s="8"/>
      <c r="J939" s="8">
        <v>0.1971314549446106</v>
      </c>
      <c r="K939" s="8">
        <v>0.12156593054533005</v>
      </c>
      <c r="L939" s="8">
        <v>28838499</v>
      </c>
      <c r="M939" t="s">
        <v>1052</v>
      </c>
    </row>
    <row r="940" spans="2:13">
      <c r="B940" t="s">
        <v>51</v>
      </c>
      <c r="C940" s="8">
        <v>2020</v>
      </c>
      <c r="D940" s="8">
        <v>3</v>
      </c>
      <c r="E940" s="8">
        <v>0.49073222279548645</v>
      </c>
      <c r="F940" s="8">
        <v>2.9107743874192238E-2</v>
      </c>
      <c r="G940" s="8"/>
      <c r="H940" s="8"/>
      <c r="I940" s="8"/>
      <c r="J940" s="8">
        <v>0.1691632866859436</v>
      </c>
      <c r="K940" s="8">
        <v>0.10889880359172821</v>
      </c>
      <c r="L940" s="8">
        <v>28838499</v>
      </c>
      <c r="M940" t="s">
        <v>1052</v>
      </c>
    </row>
    <row r="941" spans="2:13">
      <c r="B941" t="s">
        <v>51</v>
      </c>
      <c r="C941" s="8">
        <v>2021</v>
      </c>
      <c r="D941" s="8">
        <v>1</v>
      </c>
      <c r="E941" s="8">
        <v>0.52032601833343506</v>
      </c>
      <c r="F941" s="8">
        <v>8.3361333236098289E-3</v>
      </c>
      <c r="G941" s="8"/>
      <c r="H941" s="8"/>
      <c r="I941" s="8"/>
      <c r="J941" s="8">
        <v>0.31539782881736755</v>
      </c>
      <c r="K941" s="8">
        <v>8.574230968952179E-2</v>
      </c>
      <c r="L941" s="8">
        <v>28838499</v>
      </c>
      <c r="M941" t="s">
        <v>1052</v>
      </c>
    </row>
    <row r="942" spans="2:13">
      <c r="B942" t="s">
        <v>51</v>
      </c>
      <c r="C942" s="8">
        <v>2021</v>
      </c>
      <c r="D942" s="8">
        <v>2</v>
      </c>
      <c r="E942" s="8">
        <v>0.5091673731803894</v>
      </c>
      <c r="F942" s="8">
        <v>9.7235143184661865E-3</v>
      </c>
      <c r="G942" s="8"/>
      <c r="H942" s="8"/>
      <c r="I942" s="8"/>
      <c r="J942" s="8">
        <v>0.28137826919555664</v>
      </c>
      <c r="K942" s="8">
        <v>7.881433516740799E-2</v>
      </c>
      <c r="L942" s="8">
        <v>28838499</v>
      </c>
      <c r="M942" t="s">
        <v>1052</v>
      </c>
    </row>
    <row r="943" spans="2:13">
      <c r="B943" t="s">
        <v>51</v>
      </c>
      <c r="C943" s="8">
        <v>2021</v>
      </c>
      <c r="D943" s="8">
        <v>3</v>
      </c>
      <c r="E943" s="8">
        <v>0.48585796356201172</v>
      </c>
      <c r="F943" s="8">
        <v>1.7275337129831314E-2</v>
      </c>
      <c r="G943" s="8"/>
      <c r="H943" s="8"/>
      <c r="I943" s="8"/>
      <c r="J943" s="8">
        <v>0.22413930296897888</v>
      </c>
      <c r="K943" s="8">
        <v>8.1310868263244629E-2</v>
      </c>
      <c r="L943" s="8">
        <v>28838499</v>
      </c>
      <c r="M943" t="s">
        <v>1052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121EC-5042-4C71-A280-5614824E80DE}">
  <sheetPr>
    <tabColor rgb="FF002060"/>
  </sheetPr>
  <dimension ref="A1:BG159"/>
  <sheetViews>
    <sheetView showGridLines="0" topLeftCell="P1" zoomScale="40" zoomScaleNormal="40" workbookViewId="0">
      <selection activeCell="AA31" sqref="AA31"/>
    </sheetView>
  </sheetViews>
  <sheetFormatPr defaultRowHeight="14.5"/>
  <cols>
    <col min="1" max="1" width="14.453125" customWidth="1"/>
    <col min="2" max="2" width="12.54296875" style="115" customWidth="1"/>
    <col min="3" max="3" width="13.08984375" style="115" customWidth="1"/>
    <col min="4" max="4" width="12.453125" style="115" customWidth="1"/>
    <col min="6" max="6" width="11.90625" customWidth="1"/>
    <col min="7" max="7" width="12.453125" customWidth="1"/>
    <col min="8" max="8" width="13.36328125" customWidth="1"/>
    <col min="9" max="9" width="13.453125" customWidth="1"/>
    <col min="10" max="10" width="11.453125" customWidth="1"/>
    <col min="12" max="12" width="11.1796875" customWidth="1"/>
    <col min="13" max="13" width="11.08984375" customWidth="1"/>
    <col min="14" max="14" width="15.08984375" customWidth="1"/>
    <col min="15" max="15" width="11.08984375" customWidth="1"/>
    <col min="17" max="17" width="11.90625" customWidth="1"/>
    <col min="18" max="18" width="10.90625" customWidth="1"/>
    <col min="19" max="19" width="13.36328125" customWidth="1"/>
    <col min="22" max="22" width="13" customWidth="1"/>
    <col min="23" max="24" width="12" customWidth="1"/>
    <col min="27" max="27" width="13.26953125" customWidth="1"/>
    <col min="28" max="28" width="10.81640625" customWidth="1"/>
    <col min="29" max="29" width="9.7265625" customWidth="1"/>
    <col min="32" max="32" width="11.1796875" customWidth="1"/>
    <col min="33" max="35" width="11.453125" customWidth="1"/>
    <col min="49" max="49" width="8.7265625" style="9341"/>
    <col min="53" max="53" width="11.90625" customWidth="1"/>
  </cols>
  <sheetData>
    <row r="1" spans="1:59" ht="18.5" customHeight="1">
      <c r="A1" s="6861"/>
      <c r="B1" s="7414" t="s">
        <v>1047</v>
      </c>
      <c r="C1" s="7415" t="s">
        <v>1047</v>
      </c>
      <c r="D1" s="7416" t="s">
        <v>1047</v>
      </c>
      <c r="E1" s="6862" t="s">
        <v>1186</v>
      </c>
      <c r="F1" s="6895"/>
      <c r="G1" s="7401" t="s">
        <v>1046</v>
      </c>
      <c r="H1" s="7402" t="s">
        <v>1046</v>
      </c>
      <c r="I1" s="7403" t="s">
        <v>1046</v>
      </c>
      <c r="J1" s="6896" t="s">
        <v>1186</v>
      </c>
      <c r="K1" s="6998"/>
      <c r="L1" s="7391" t="s">
        <v>1146</v>
      </c>
      <c r="M1" s="7392" t="s">
        <v>1146</v>
      </c>
      <c r="N1" s="7393" t="s">
        <v>1146</v>
      </c>
      <c r="O1" s="6999" t="s">
        <v>1186</v>
      </c>
      <c r="P1" s="7101"/>
      <c r="Q1" s="7396" t="s">
        <v>1147</v>
      </c>
      <c r="R1" s="7397" t="s">
        <v>1147</v>
      </c>
      <c r="S1" s="7398" t="s">
        <v>1147</v>
      </c>
      <c r="T1" s="7102" t="s">
        <v>1186</v>
      </c>
      <c r="U1" s="7204"/>
      <c r="V1" s="7381" t="s">
        <v>1048</v>
      </c>
      <c r="W1" s="7382" t="s">
        <v>1048</v>
      </c>
      <c r="X1" s="7383" t="s">
        <v>1048</v>
      </c>
      <c r="Y1" s="7205" t="s">
        <v>1186</v>
      </c>
      <c r="Z1" s="7260"/>
      <c r="AA1" s="7386" t="s">
        <v>1208</v>
      </c>
      <c r="AB1" s="7387" t="s">
        <v>1208</v>
      </c>
      <c r="AC1" s="7388" t="s">
        <v>1208</v>
      </c>
      <c r="AD1" s="7261" t="s">
        <v>1186</v>
      </c>
      <c r="AE1" s="7308"/>
      <c r="AF1" s="7376" t="s">
        <v>1049</v>
      </c>
      <c r="AG1" s="7377" t="s">
        <v>1049</v>
      </c>
      <c r="AH1" s="7378" t="s">
        <v>1049</v>
      </c>
      <c r="AI1" s="7309" t="s">
        <v>1186</v>
      </c>
    </row>
    <row r="2" spans="1:59">
      <c r="A2" s="6863"/>
      <c r="B2" s="7417" t="s">
        <v>1187</v>
      </c>
      <c r="C2" s="7417" t="s">
        <v>1187</v>
      </c>
      <c r="D2" s="7417" t="s">
        <v>1187</v>
      </c>
      <c r="F2" s="6897"/>
      <c r="G2" s="7404" t="s">
        <v>1187</v>
      </c>
      <c r="H2" s="7404" t="s">
        <v>1187</v>
      </c>
      <c r="I2" s="7404" t="s">
        <v>1187</v>
      </c>
      <c r="K2" s="7000"/>
      <c r="L2" s="7394" t="s">
        <v>1187</v>
      </c>
      <c r="M2" s="7394" t="s">
        <v>1187</v>
      </c>
      <c r="N2" s="7394" t="s">
        <v>1187</v>
      </c>
      <c r="P2" s="7103"/>
      <c r="Q2" s="7399" t="s">
        <v>1187</v>
      </c>
      <c r="R2" s="7399" t="s">
        <v>1187</v>
      </c>
      <c r="S2" s="7399" t="s">
        <v>1187</v>
      </c>
      <c r="U2" s="7206"/>
      <c r="V2" s="7384" t="s">
        <v>1187</v>
      </c>
      <c r="W2" s="7384" t="s">
        <v>1187</v>
      </c>
      <c r="X2" s="7384" t="s">
        <v>1187</v>
      </c>
      <c r="Z2" s="7262"/>
      <c r="AA2" s="7389" t="s">
        <v>1209</v>
      </c>
      <c r="AB2" s="7389" t="s">
        <v>1209</v>
      </c>
      <c r="AC2" s="7389" t="s">
        <v>1209</v>
      </c>
      <c r="AE2" s="7310"/>
      <c r="AF2" s="7379" t="s">
        <v>1187</v>
      </c>
      <c r="AG2" s="7379" t="s">
        <v>1187</v>
      </c>
      <c r="AH2" s="7379" t="s">
        <v>1187</v>
      </c>
      <c r="AL2" t="s">
        <v>900</v>
      </c>
      <c r="AU2" t="s">
        <v>900</v>
      </c>
      <c r="AW2" s="9342" t="s">
        <v>1141</v>
      </c>
    </row>
    <row r="3" spans="1:59">
      <c r="A3" s="6864"/>
      <c r="B3" s="7418" t="s">
        <v>1045</v>
      </c>
      <c r="C3" s="7418" t="s">
        <v>1045</v>
      </c>
      <c r="D3" s="7418" t="s">
        <v>1045</v>
      </c>
      <c r="F3" s="6898"/>
      <c r="G3" s="7405" t="s">
        <v>1045</v>
      </c>
      <c r="H3" s="7405" t="s">
        <v>1045</v>
      </c>
      <c r="I3" s="7405" t="s">
        <v>1045</v>
      </c>
      <c r="K3" s="7001"/>
      <c r="L3" s="7395" t="s">
        <v>1045</v>
      </c>
      <c r="M3" s="7395" t="s">
        <v>1045</v>
      </c>
      <c r="N3" s="7395" t="s">
        <v>1045</v>
      </c>
      <c r="P3" s="7104"/>
      <c r="Q3" s="7400" t="s">
        <v>1045</v>
      </c>
      <c r="R3" s="7400" t="s">
        <v>1045</v>
      </c>
      <c r="S3" s="7400" t="s">
        <v>1045</v>
      </c>
      <c r="U3" s="7207"/>
      <c r="V3" s="7385" t="s">
        <v>1045</v>
      </c>
      <c r="W3" s="7385" t="s">
        <v>1045</v>
      </c>
      <c r="X3" s="7385" t="s">
        <v>1045</v>
      </c>
      <c r="Z3" s="7263"/>
      <c r="AA3" s="7390" t="s">
        <v>1045</v>
      </c>
      <c r="AB3" s="7390" t="s">
        <v>1045</v>
      </c>
      <c r="AC3" s="7390" t="s">
        <v>1045</v>
      </c>
      <c r="AE3" s="7311"/>
      <c r="AF3" s="7380" t="s">
        <v>1045</v>
      </c>
      <c r="AG3" s="7380" t="s">
        <v>1045</v>
      </c>
      <c r="AH3" s="7380" t="s">
        <v>1045</v>
      </c>
      <c r="AU3" s="76"/>
      <c r="BG3" s="9317" t="s">
        <v>1062</v>
      </c>
    </row>
    <row r="4" spans="1:59">
      <c r="A4" s="6865"/>
      <c r="B4" s="7419" t="s">
        <v>1187</v>
      </c>
      <c r="C4" s="7420" t="s">
        <v>1188</v>
      </c>
      <c r="D4" s="7421" t="s">
        <v>1189</v>
      </c>
      <c r="F4" s="6899"/>
      <c r="G4" s="6900" t="s">
        <v>1187</v>
      </c>
      <c r="H4" s="6901" t="s">
        <v>1188</v>
      </c>
      <c r="I4" s="6902" t="s">
        <v>1189</v>
      </c>
      <c r="K4" s="7002"/>
      <c r="L4" s="7003" t="s">
        <v>1187</v>
      </c>
      <c r="M4" s="7004" t="s">
        <v>1188</v>
      </c>
      <c r="N4" s="7005" t="s">
        <v>1189</v>
      </c>
      <c r="P4" s="7105"/>
      <c r="Q4" s="7106" t="s">
        <v>1187</v>
      </c>
      <c r="R4" s="7107" t="s">
        <v>1188</v>
      </c>
      <c r="S4" s="7108" t="s">
        <v>1189</v>
      </c>
      <c r="U4" s="7208"/>
      <c r="V4" s="7209" t="s">
        <v>1187</v>
      </c>
      <c r="W4" s="7210" t="s">
        <v>1188</v>
      </c>
      <c r="X4" s="7211" t="s">
        <v>1189</v>
      </c>
      <c r="Z4" s="7264"/>
      <c r="AA4" s="7265" t="s">
        <v>1187</v>
      </c>
      <c r="AB4" s="7266" t="s">
        <v>1188</v>
      </c>
      <c r="AC4" s="7267" t="s">
        <v>1189</v>
      </c>
      <c r="AE4" s="7312"/>
      <c r="AF4" s="7313" t="s">
        <v>1187</v>
      </c>
      <c r="AG4" s="7314" t="s">
        <v>1188</v>
      </c>
      <c r="AH4" s="7315" t="s">
        <v>1189</v>
      </c>
      <c r="AL4" s="9320"/>
      <c r="AM4" s="9330" t="s">
        <v>1047</v>
      </c>
      <c r="AN4" s="9331" t="s">
        <v>1046</v>
      </c>
      <c r="AO4" s="9332" t="s">
        <v>1146</v>
      </c>
      <c r="AP4" s="9333" t="s">
        <v>1147</v>
      </c>
      <c r="AQ4" s="9334" t="s">
        <v>1048</v>
      </c>
      <c r="AR4" s="9335" t="s">
        <v>1208</v>
      </c>
      <c r="AS4" s="9336" t="s">
        <v>1049</v>
      </c>
      <c r="AU4" s="9340" t="s">
        <v>1356</v>
      </c>
      <c r="BG4" s="9317"/>
    </row>
    <row r="5" spans="1:59">
      <c r="A5" s="6866" t="s">
        <v>1125</v>
      </c>
      <c r="B5" s="7422"/>
      <c r="C5" s="7423"/>
      <c r="D5" s="7424"/>
      <c r="E5" s="6867"/>
      <c r="F5" s="6903" t="s">
        <v>1125</v>
      </c>
      <c r="G5" s="6904"/>
      <c r="H5" s="6905"/>
      <c r="I5" s="6906"/>
      <c r="J5" s="6907"/>
      <c r="K5" s="7006" t="s">
        <v>1125</v>
      </c>
      <c r="L5" s="7007"/>
      <c r="M5" s="7008"/>
      <c r="N5" s="7009"/>
      <c r="O5" s="7010"/>
      <c r="P5" s="7109" t="s">
        <v>1125</v>
      </c>
      <c r="Q5" s="7110"/>
      <c r="R5" s="7111"/>
      <c r="S5" s="7112"/>
      <c r="T5" s="7113"/>
      <c r="U5" s="7212" t="s">
        <v>1125</v>
      </c>
      <c r="V5" s="7213"/>
      <c r="W5" s="7214"/>
      <c r="X5" s="7215"/>
      <c r="Y5" s="7216"/>
      <c r="Z5" s="7268" t="s">
        <v>1125</v>
      </c>
      <c r="AA5" s="7269"/>
      <c r="AB5" s="7270"/>
      <c r="AC5" s="7271"/>
      <c r="AD5" s="7272"/>
      <c r="AE5" s="7316" t="s">
        <v>1125</v>
      </c>
      <c r="AF5" s="7317"/>
      <c r="AG5" s="7318"/>
      <c r="AH5" s="7319"/>
      <c r="AI5" s="7320"/>
      <c r="AL5" s="9320"/>
      <c r="AM5" s="9320">
        <v>2</v>
      </c>
      <c r="AN5" s="9320">
        <v>2</v>
      </c>
      <c r="AO5" s="9320">
        <v>2</v>
      </c>
      <c r="AP5" s="9320">
        <v>2</v>
      </c>
      <c r="AQ5" s="9320">
        <v>2</v>
      </c>
      <c r="AR5" s="9320">
        <v>2</v>
      </c>
      <c r="AS5" s="9320">
        <v>2</v>
      </c>
      <c r="AU5" s="9338"/>
      <c r="AW5" s="9343"/>
      <c r="AX5" s="9343"/>
      <c r="AY5" s="9343"/>
      <c r="AZ5" s="9343"/>
      <c r="BA5" s="9343"/>
      <c r="BB5" s="9343"/>
      <c r="BC5" s="9343"/>
      <c r="BD5" s="9343"/>
      <c r="BG5" s="9318" t="s">
        <v>1354</v>
      </c>
    </row>
    <row r="6" spans="1:59">
      <c r="A6" s="9316" t="s">
        <v>1190</v>
      </c>
      <c r="B6" s="7425">
        <v>7.6738164809473481</v>
      </c>
      <c r="C6" s="7426">
        <v>11.420207161956561</v>
      </c>
      <c r="D6" s="7427">
        <v>80.905976357096094</v>
      </c>
      <c r="E6" s="6868">
        <v>2022</v>
      </c>
      <c r="F6" s="6908" t="s">
        <v>1190</v>
      </c>
      <c r="G6" s="6909">
        <v>8.2162772945722153</v>
      </c>
      <c r="H6" s="6910">
        <v>13.256116320355796</v>
      </c>
      <c r="I6" s="6911">
        <v>78.527606385071991</v>
      </c>
      <c r="J6" s="6912">
        <v>2022</v>
      </c>
      <c r="K6" s="7011" t="s">
        <v>1190</v>
      </c>
      <c r="L6" s="7012">
        <v>12.253012407280693</v>
      </c>
      <c r="M6" s="7013">
        <v>18.586689524907079</v>
      </c>
      <c r="N6" s="7014">
        <v>69.160298067812235</v>
      </c>
      <c r="O6" s="7015">
        <v>2022</v>
      </c>
      <c r="P6" s="7114" t="s">
        <v>1190</v>
      </c>
      <c r="Q6" s="7115">
        <v>1.7725385819890267</v>
      </c>
      <c r="R6" s="7116">
        <v>4.9075355102828393</v>
      </c>
      <c r="S6" s="7117">
        <v>93.319925907728134</v>
      </c>
      <c r="T6" s="7118">
        <v>2022</v>
      </c>
      <c r="U6" s="7217" t="s">
        <v>1191</v>
      </c>
      <c r="X6" s="7218">
        <v>100</v>
      </c>
      <c r="Y6" s="7219">
        <v>2022</v>
      </c>
      <c r="Z6" s="7273" t="s">
        <v>1191</v>
      </c>
      <c r="AA6" s="7274">
        <v>5.0758235983448872</v>
      </c>
      <c r="AB6" s="7275">
        <v>17.474580493707361</v>
      </c>
      <c r="AC6" s="7276">
        <v>77.449595907947753</v>
      </c>
      <c r="AD6" s="7277">
        <v>2021</v>
      </c>
      <c r="AE6" s="7321" t="s">
        <v>1191</v>
      </c>
      <c r="AF6" s="7322">
        <v>17.369083517358717</v>
      </c>
      <c r="AG6" s="7323">
        <v>16.411209961139452</v>
      </c>
      <c r="AH6" s="7324">
        <v>66.219706521501834</v>
      </c>
      <c r="AI6" s="7325">
        <v>2022</v>
      </c>
      <c r="AL6" s="9320"/>
      <c r="AM6" s="9337"/>
      <c r="AN6" s="9320"/>
      <c r="AO6" s="9320"/>
      <c r="AP6" s="9320"/>
      <c r="AQ6" s="9320"/>
      <c r="AR6" s="9320"/>
      <c r="AS6" s="9328" t="str">
        <f>IFERROR(VLOOKUP($AL9,$A$6:$AJ$24,AS$2,0),"")</f>
        <v/>
      </c>
      <c r="AU6" s="9338"/>
      <c r="AW6" s="9348" t="s">
        <v>904</v>
      </c>
      <c r="AX6" s="9346" t="s">
        <v>1061</v>
      </c>
      <c r="AY6" s="9346" t="s">
        <v>1062</v>
      </c>
      <c r="AZ6" s="9347" t="s">
        <v>1354</v>
      </c>
      <c r="BA6" s="9347" t="s">
        <v>1181</v>
      </c>
      <c r="BB6" s="9347" t="s">
        <v>1355</v>
      </c>
      <c r="BC6" s="9347" t="s">
        <v>1060</v>
      </c>
      <c r="BD6" s="9347" t="s">
        <v>1059</v>
      </c>
      <c r="BG6" s="9318" t="s">
        <v>1181</v>
      </c>
    </row>
    <row r="7" spans="1:59">
      <c r="A7" s="6869" t="s">
        <v>1191</v>
      </c>
      <c r="C7" s="7428">
        <v>5.4198548638971458</v>
      </c>
      <c r="D7" s="7429">
        <v>94.580145136102857</v>
      </c>
      <c r="E7" s="6870">
        <v>2022</v>
      </c>
      <c r="F7" s="6913" t="s">
        <v>1191</v>
      </c>
      <c r="G7" s="6914">
        <v>9.3997878109960169</v>
      </c>
      <c r="H7" s="6915">
        <v>12.637450635878199</v>
      </c>
      <c r="I7" s="6916">
        <v>77.962761553125787</v>
      </c>
      <c r="J7" s="6917">
        <v>2022</v>
      </c>
      <c r="K7" s="7016" t="s">
        <v>1191</v>
      </c>
      <c r="L7" s="7017">
        <v>13.538349699985904</v>
      </c>
      <c r="M7" s="7018">
        <v>16.144458211010594</v>
      </c>
      <c r="N7" s="7019">
        <v>70.317192089003498</v>
      </c>
      <c r="O7" s="7020">
        <v>2022</v>
      </c>
      <c r="P7" s="7119" t="s">
        <v>1191</v>
      </c>
      <c r="Q7" s="7120">
        <v>3.9953426166693577</v>
      </c>
      <c r="R7" s="7121">
        <v>16.015063958586744</v>
      </c>
      <c r="S7" s="7122">
        <v>79.989593424743902</v>
      </c>
      <c r="T7" s="7123">
        <v>2022</v>
      </c>
      <c r="U7" s="7220" t="s">
        <v>1192</v>
      </c>
      <c r="V7" s="7221">
        <v>14.785895754948633</v>
      </c>
      <c r="W7" s="7222">
        <v>22.49756903955884</v>
      </c>
      <c r="X7" s="7223">
        <v>62.716535205492526</v>
      </c>
      <c r="Y7" s="7224">
        <v>2022</v>
      </c>
      <c r="Z7" s="7278" t="s">
        <v>1193</v>
      </c>
      <c r="AA7" s="7279">
        <v>3.1828997108556853</v>
      </c>
      <c r="AB7" s="7280">
        <v>8.00031732371286</v>
      </c>
      <c r="AC7" s="7281">
        <v>88.816782965431457</v>
      </c>
      <c r="AD7" s="7282">
        <v>2022</v>
      </c>
      <c r="AE7" s="7326" t="s">
        <v>1192</v>
      </c>
      <c r="AF7" s="7327">
        <v>18.099905970798755</v>
      </c>
      <c r="AG7" s="7328">
        <v>25.418534364300555</v>
      </c>
      <c r="AH7" s="7329">
        <v>56.481559664900693</v>
      </c>
      <c r="AI7" s="7330">
        <v>2022</v>
      </c>
      <c r="AL7" s="9329" t="s">
        <v>1190</v>
      </c>
      <c r="AM7" s="9328">
        <f t="shared" ref="AM7:AM24" si="0">IFERROR(VLOOKUP($AL7,migrante,AM$5,0),"")</f>
        <v>7.6738164809473481</v>
      </c>
      <c r="AN7" s="9328">
        <f t="shared" ref="AN7:AN24" si="1">IFERROR(VLOOKUP($AL7,women,AN$5,0),"")</f>
        <v>8.2162772945722153</v>
      </c>
      <c r="AO7" s="9328">
        <f t="shared" ref="AO7:AO24" si="2">IFERROR(VLOOKUP($AL7,age0_15,AO$5,0),"")</f>
        <v>12.253012407280693</v>
      </c>
      <c r="AP7" s="9328">
        <f t="shared" ref="AP7:AP24" si="3">IFERROR(VLOOKUP($AL7,age65_mas,AP$5,0),"")</f>
        <v>1.7725385819890267</v>
      </c>
      <c r="AQ7" s="9328" t="str">
        <f t="shared" ref="AQ7:AQ24" si="4">IFERROR(VLOOKUP($AL7,afro,AQ$5,0),"")</f>
        <v/>
      </c>
      <c r="AR7" s="9328" t="str">
        <f t="shared" ref="AR7:AR24" si="5">IFERROR(VLOOKUP($AL7,dis,AR$5,0),"")</f>
        <v/>
      </c>
      <c r="AS7" s="9328" t="str">
        <f t="shared" ref="AS7:AS24" si="6">IFERROR(VLOOKUP($AL7,indi,AS$5,0),"")</f>
        <v/>
      </c>
      <c r="AU7" s="9339">
        <f>VLOOKUP(TRIM(AL7),Fact1_2!$D$24:$P$41,6,0)</f>
        <v>8.1207027435302734</v>
      </c>
      <c r="AW7" s="9342" t="s">
        <v>1190</v>
      </c>
      <c r="AX7" s="8">
        <f>IFERROR(AM7-$AU7,"")</f>
        <v>-0.4468862625829253</v>
      </c>
      <c r="AY7" s="8">
        <f>IFERROR(AN7-$AU7,"")</f>
        <v>9.5574551041941902E-2</v>
      </c>
      <c r="AZ7" s="8">
        <f t="shared" ref="AZ7:BB7" si="7">IFERROR(AO7-$AU7,"")</f>
        <v>4.1323096637504193</v>
      </c>
      <c r="BA7" s="8">
        <f t="shared" si="7"/>
        <v>-6.3481641615412467</v>
      </c>
      <c r="BB7" s="8" t="str">
        <f t="shared" si="7"/>
        <v/>
      </c>
      <c r="BC7" s="8" t="str">
        <f t="shared" ref="BC7" si="8">IFERROR(AR7-$AU7,"")</f>
        <v/>
      </c>
      <c r="BD7" s="8" t="str">
        <f t="shared" ref="BD7" si="9">IFERROR(AS7-$AU7,"")</f>
        <v/>
      </c>
      <c r="BG7" s="9317"/>
    </row>
    <row r="8" spans="1:59">
      <c r="A8" s="6871" t="s">
        <v>1192</v>
      </c>
      <c r="B8" s="7430">
        <v>2.7141169239826493</v>
      </c>
      <c r="C8" s="7431">
        <v>11.022863396080366</v>
      </c>
      <c r="D8" s="7432">
        <v>86.263019679936974</v>
      </c>
      <c r="E8" s="6872">
        <v>2015</v>
      </c>
      <c r="F8" s="6918" t="s">
        <v>1192</v>
      </c>
      <c r="G8" s="6919">
        <v>11.159660134453834</v>
      </c>
      <c r="H8" s="6920">
        <v>19.013888125822433</v>
      </c>
      <c r="I8" s="6921">
        <v>69.826451739723737</v>
      </c>
      <c r="J8" s="6922">
        <v>2022</v>
      </c>
      <c r="K8" s="7021" t="s">
        <v>1192</v>
      </c>
      <c r="L8" s="7022">
        <v>20.564691456976693</v>
      </c>
      <c r="M8" s="7023">
        <v>26.865897846795082</v>
      </c>
      <c r="N8" s="7024">
        <v>52.569410696228225</v>
      </c>
      <c r="O8" s="7025">
        <v>2022</v>
      </c>
      <c r="P8" s="7124" t="s">
        <v>1192</v>
      </c>
      <c r="Q8" s="7125">
        <v>1.3428792581020843</v>
      </c>
      <c r="R8" s="7126">
        <v>8.4391609959353442</v>
      </c>
      <c r="S8" s="7127">
        <v>90.217959745962574</v>
      </c>
      <c r="T8" s="7128">
        <v>2022</v>
      </c>
      <c r="U8" s="7225" t="s">
        <v>1194</v>
      </c>
      <c r="V8" s="7226">
        <v>30.610710063580466</v>
      </c>
      <c r="W8" s="7227">
        <v>27.012961148719068</v>
      </c>
      <c r="X8" s="7228">
        <v>42.376328787700466</v>
      </c>
      <c r="Y8" s="7229">
        <v>2022</v>
      </c>
      <c r="Z8" s="7283" t="s">
        <v>1194</v>
      </c>
      <c r="AA8" s="7284">
        <v>22.923078068609392</v>
      </c>
      <c r="AB8" s="7285">
        <v>21.230780717465095</v>
      </c>
      <c r="AC8" s="7286">
        <v>55.846141213925513</v>
      </c>
      <c r="AD8" s="7287">
        <v>2022</v>
      </c>
      <c r="AE8" s="7331" t="s">
        <v>1193</v>
      </c>
      <c r="AF8" s="7332">
        <v>5.4806238234639908</v>
      </c>
      <c r="AG8" s="7333">
        <v>11.154519266702396</v>
      </c>
      <c r="AH8" s="7334">
        <v>83.36485690983362</v>
      </c>
      <c r="AI8" s="7335">
        <v>2022</v>
      </c>
      <c r="AL8" s="9319" t="s">
        <v>1191</v>
      </c>
      <c r="AM8" s="9328">
        <f t="shared" si="0"/>
        <v>0</v>
      </c>
      <c r="AN8" s="9328">
        <f t="shared" si="1"/>
        <v>9.3997878109960169</v>
      </c>
      <c r="AO8" s="9328">
        <f t="shared" si="2"/>
        <v>13.538349699985904</v>
      </c>
      <c r="AP8" s="9328">
        <f t="shared" si="3"/>
        <v>3.9953426166693577</v>
      </c>
      <c r="AQ8" s="9328">
        <f t="shared" si="4"/>
        <v>0</v>
      </c>
      <c r="AR8" s="9328">
        <f t="shared" si="5"/>
        <v>5.0758235983448872</v>
      </c>
      <c r="AS8" s="9328">
        <f t="shared" si="6"/>
        <v>17.369083517358717</v>
      </c>
      <c r="AU8" s="9339">
        <f>VLOOKUP(TRIM(AL8),Fact1_2!$D$24:$P$41,6,0)</f>
        <v>9.1588373184204102</v>
      </c>
      <c r="AW8" s="9342" t="s">
        <v>1191</v>
      </c>
      <c r="AX8" s="8"/>
      <c r="AY8" s="8">
        <f t="shared" ref="AY8:AY24" si="10">IFERROR(AN8-$AU8,"")</f>
        <v>0.24095049257560675</v>
      </c>
      <c r="AZ8" s="8">
        <f t="shared" ref="AZ8:AZ24" si="11">IFERROR(AO8-$AU8,"")</f>
        <v>4.3795123815654939</v>
      </c>
      <c r="BA8" s="8">
        <f t="shared" ref="BA8:BA24" si="12">IFERROR(AP8-$AU8,"")</f>
        <v>-5.163494701751052</v>
      </c>
      <c r="BB8" s="8"/>
      <c r="BC8" s="8">
        <f t="shared" ref="BC8:BC24" si="13">IFERROR(AR8-$AU8,"")</f>
        <v>-4.083013720075523</v>
      </c>
      <c r="BD8" s="8">
        <f t="shared" ref="BD8:BD24" si="14">IFERROR(AS8-$AU8,"")</f>
        <v>8.2102461989383073</v>
      </c>
      <c r="BG8" s="9318" t="s">
        <v>1059</v>
      </c>
    </row>
    <row r="9" spans="1:59">
      <c r="A9" s="6873" t="s">
        <v>1193</v>
      </c>
      <c r="B9" s="7433">
        <v>1.9733923707230971</v>
      </c>
      <c r="C9" s="7434">
        <v>7.0953289463329838</v>
      </c>
      <c r="D9" s="7435">
        <v>90.931278682943912</v>
      </c>
      <c r="E9" s="6874">
        <v>2022</v>
      </c>
      <c r="F9" s="6923" t="s">
        <v>1193</v>
      </c>
      <c r="G9" s="6924">
        <v>3.4408736244527414</v>
      </c>
      <c r="H9" s="6925">
        <v>8.6579370812080452</v>
      </c>
      <c r="I9" s="6926">
        <v>87.901189294339204</v>
      </c>
      <c r="J9" s="6927">
        <v>2022</v>
      </c>
      <c r="K9" s="7026" t="s">
        <v>1193</v>
      </c>
      <c r="L9" s="7027">
        <v>5.0429768759644267</v>
      </c>
      <c r="M9" s="7028">
        <v>12.150499716146387</v>
      </c>
      <c r="N9" s="7029">
        <v>82.806523407889188</v>
      </c>
      <c r="O9" s="7030">
        <v>2022</v>
      </c>
      <c r="P9" s="7129" t="s">
        <v>1193</v>
      </c>
      <c r="Q9" s="7130">
        <v>1.0511224952485698</v>
      </c>
      <c r="R9" s="7131">
        <v>4.8203525223582533</v>
      </c>
      <c r="S9" s="7132">
        <v>94.128524982393174</v>
      </c>
      <c r="T9" s="7133">
        <v>2022</v>
      </c>
      <c r="U9" s="7230" t="s">
        <v>1197</v>
      </c>
      <c r="V9" s="7231">
        <v>24.572171697166318</v>
      </c>
      <c r="W9" s="7232">
        <v>34.373088368398101</v>
      </c>
      <c r="X9" s="7233">
        <v>41.054739934435574</v>
      </c>
      <c r="Y9" s="7234">
        <v>2023</v>
      </c>
      <c r="Z9" s="7288" t="s">
        <v>1195</v>
      </c>
      <c r="AA9" s="7289">
        <v>6.505416584597203</v>
      </c>
      <c r="AB9" s="7290">
        <v>16.224804674676648</v>
      </c>
      <c r="AC9" s="7291">
        <v>77.269778740726153</v>
      </c>
      <c r="AD9" s="7292">
        <v>2023</v>
      </c>
      <c r="AE9" s="7336" t="s">
        <v>1194</v>
      </c>
      <c r="AF9" s="7337">
        <v>49.967666961796056</v>
      </c>
      <c r="AG9" s="7338">
        <v>24.220584661751875</v>
      </c>
      <c r="AH9" s="7339">
        <v>25.811748376452069</v>
      </c>
      <c r="AI9" s="7340">
        <v>2022</v>
      </c>
      <c r="AL9" s="9329" t="s">
        <v>1192</v>
      </c>
      <c r="AM9" s="9328">
        <f t="shared" si="0"/>
        <v>2.7141169239826493</v>
      </c>
      <c r="AN9" s="9328">
        <f t="shared" si="1"/>
        <v>11.159660134453834</v>
      </c>
      <c r="AO9" s="9328">
        <f t="shared" si="2"/>
        <v>20.564691456976693</v>
      </c>
      <c r="AP9" s="9328">
        <f t="shared" si="3"/>
        <v>1.3428792581020843</v>
      </c>
      <c r="AQ9" s="9328">
        <f t="shared" si="4"/>
        <v>14.785895754948633</v>
      </c>
      <c r="AR9" s="9328" t="str">
        <f t="shared" si="5"/>
        <v/>
      </c>
      <c r="AS9" s="9328">
        <f t="shared" si="6"/>
        <v>18.099905970798755</v>
      </c>
      <c r="AU9" s="9339">
        <f>VLOOKUP(TRIM(AL9),Fact1_2!$D$24:$P$41,6,0)</f>
        <v>10.865315437316895</v>
      </c>
      <c r="AW9" s="9342" t="s">
        <v>1192</v>
      </c>
      <c r="AX9" s="8">
        <f t="shared" ref="AX9:AX24" si="15">IFERROR(AM9-$AU9,"")</f>
        <v>-8.1511985133342453</v>
      </c>
      <c r="AY9" s="8">
        <f t="shared" si="10"/>
        <v>0.294344697136939</v>
      </c>
      <c r="AZ9" s="8">
        <f t="shared" si="11"/>
        <v>9.6993760196597982</v>
      </c>
      <c r="BA9" s="8">
        <f t="shared" si="12"/>
        <v>-9.5224361792148109</v>
      </c>
      <c r="BB9" s="8">
        <f t="shared" ref="BB9:BB24" si="16">IFERROR(AQ9-$AU9,"")</f>
        <v>3.9205803176317389</v>
      </c>
      <c r="BC9" s="8" t="str">
        <f t="shared" si="13"/>
        <v/>
      </c>
      <c r="BD9" s="8">
        <f t="shared" si="14"/>
        <v>7.2345905334818603</v>
      </c>
      <c r="BG9" s="9318" t="s">
        <v>1355</v>
      </c>
    </row>
    <row r="10" spans="1:59">
      <c r="A10" s="6875" t="s">
        <v>1194</v>
      </c>
      <c r="B10" s="7436">
        <v>20.777624741331859</v>
      </c>
      <c r="C10" s="7437">
        <v>30.328332479382169</v>
      </c>
      <c r="D10" s="7438">
        <v>48.894042779285975</v>
      </c>
      <c r="E10" s="6876">
        <v>2022</v>
      </c>
      <c r="F10" s="6928" t="s">
        <v>1194</v>
      </c>
      <c r="G10" s="6929">
        <v>20.102670360936031</v>
      </c>
      <c r="H10" s="6930">
        <v>21.809160215115469</v>
      </c>
      <c r="I10" s="6931">
        <v>58.0881694239485</v>
      </c>
      <c r="J10" s="6932">
        <v>2022</v>
      </c>
      <c r="K10" s="7031" t="s">
        <v>1194</v>
      </c>
      <c r="L10" s="7032">
        <v>29.2023727390212</v>
      </c>
      <c r="M10" s="7033">
        <v>27.600017541861043</v>
      </c>
      <c r="N10" s="7034">
        <v>43.197609719117757</v>
      </c>
      <c r="O10" s="7035">
        <v>2022</v>
      </c>
      <c r="P10" s="7134" t="s">
        <v>1194</v>
      </c>
      <c r="Q10" s="7135">
        <v>18.628118289123016</v>
      </c>
      <c r="R10" s="7136">
        <v>16.54141113964873</v>
      </c>
      <c r="S10" s="7137">
        <v>64.830470571228247</v>
      </c>
      <c r="T10" s="7138">
        <v>2022</v>
      </c>
      <c r="U10" s="7235" t="s">
        <v>1204</v>
      </c>
      <c r="V10" s="7236">
        <v>39.371138919689528</v>
      </c>
      <c r="W10" s="7237">
        <v>23.626756579393994</v>
      </c>
      <c r="X10" s="7238">
        <v>37.002104500916474</v>
      </c>
      <c r="Y10" s="7239">
        <v>2022</v>
      </c>
      <c r="Z10" s="7293" t="s">
        <v>1205</v>
      </c>
      <c r="AA10" s="7294">
        <v>12.204440714291778</v>
      </c>
      <c r="AB10" s="7295">
        <v>21.786105979068729</v>
      </c>
      <c r="AC10" s="7296">
        <v>66.0094533066395</v>
      </c>
      <c r="AD10" s="7297">
        <v>2022</v>
      </c>
      <c r="AE10" s="7341" t="s">
        <v>1197</v>
      </c>
      <c r="AF10" s="7342">
        <v>49.222874424352185</v>
      </c>
      <c r="AG10" s="7343">
        <v>18.856488353156106</v>
      </c>
      <c r="AH10" s="7344">
        <v>31.920637222491706</v>
      </c>
      <c r="AI10" s="7345">
        <v>2023</v>
      </c>
      <c r="AL10" s="9320" t="s">
        <v>1193</v>
      </c>
      <c r="AM10" s="9328">
        <f t="shared" si="0"/>
        <v>1.9733923707230971</v>
      </c>
      <c r="AN10" s="9328">
        <f t="shared" si="1"/>
        <v>3.4408736244527414</v>
      </c>
      <c r="AO10" s="9328">
        <f t="shared" si="2"/>
        <v>5.0429768759644267</v>
      </c>
      <c r="AP10" s="9328">
        <f t="shared" si="3"/>
        <v>1.0511224952485698</v>
      </c>
      <c r="AQ10" s="9328" t="str">
        <f t="shared" si="4"/>
        <v/>
      </c>
      <c r="AR10" s="9328">
        <f t="shared" si="5"/>
        <v>3.1828997108556853</v>
      </c>
      <c r="AS10" s="9328">
        <f t="shared" si="6"/>
        <v>5.4806238234639908</v>
      </c>
      <c r="AU10" s="9339">
        <f>VLOOKUP(TRIM(AL10),Fact1_2!$D$24:$P$41,6,0)</f>
        <v>3.2169833183288574</v>
      </c>
      <c r="AW10" s="9341" t="s">
        <v>1193</v>
      </c>
      <c r="AX10" s="8">
        <f t="shared" si="15"/>
        <v>-1.2435909476057603</v>
      </c>
      <c r="AY10" s="8">
        <f t="shared" si="10"/>
        <v>0.22389030612388394</v>
      </c>
      <c r="AZ10" s="8">
        <f t="shared" si="11"/>
        <v>1.8259935576355693</v>
      </c>
      <c r="BA10" s="8">
        <f t="shared" si="12"/>
        <v>-2.1658608230802878</v>
      </c>
      <c r="BB10" s="8" t="str">
        <f t="shared" si="16"/>
        <v/>
      </c>
      <c r="BC10" s="8">
        <f t="shared" si="13"/>
        <v>-3.4083607473172073E-2</v>
      </c>
      <c r="BD10" s="8">
        <f t="shared" si="14"/>
        <v>2.2636405051351334</v>
      </c>
      <c r="BG10" s="9317"/>
    </row>
    <row r="11" spans="1:59">
      <c r="A11" s="6877" t="s">
        <v>1195</v>
      </c>
      <c r="B11" s="7439">
        <v>8.4416914098494935</v>
      </c>
      <c r="C11" s="7440">
        <v>16.3379662810143</v>
      </c>
      <c r="D11" s="7441">
        <v>75.220342309136214</v>
      </c>
      <c r="E11" s="6878">
        <v>2023</v>
      </c>
      <c r="F11" s="6933" t="s">
        <v>1195</v>
      </c>
      <c r="G11" s="6934">
        <v>7.1470467932974495</v>
      </c>
      <c r="H11" s="6935">
        <v>14.531539890363138</v>
      </c>
      <c r="I11" s="6936">
        <v>78.321413316339417</v>
      </c>
      <c r="J11" s="6937">
        <v>2023</v>
      </c>
      <c r="K11" s="7036" t="s">
        <v>1195</v>
      </c>
      <c r="L11" s="7037">
        <v>12.319683195768592</v>
      </c>
      <c r="M11" s="7038">
        <v>23.523915391530291</v>
      </c>
      <c r="N11" s="7039">
        <v>64.156401412701115</v>
      </c>
      <c r="O11" s="7040">
        <v>2023</v>
      </c>
      <c r="P11" s="7139" t="s">
        <v>1195</v>
      </c>
      <c r="Q11" s="7140">
        <v>3.8984357054412548</v>
      </c>
      <c r="R11" s="7141">
        <v>10.912820038845719</v>
      </c>
      <c r="S11" s="7142">
        <v>85.188744255713019</v>
      </c>
      <c r="T11" s="7143">
        <v>2023</v>
      </c>
      <c r="U11" s="7240" t="s">
        <v>1199</v>
      </c>
      <c r="V11" s="7241">
        <v>50.957617506631401</v>
      </c>
      <c r="W11" s="7242">
        <v>19.900720890718233</v>
      </c>
      <c r="X11" s="7243">
        <v>29.141661602650359</v>
      </c>
      <c r="Y11" s="7244">
        <v>2023</v>
      </c>
      <c r="Z11" s="7298" t="s">
        <v>1200</v>
      </c>
      <c r="AA11" s="7299">
        <v>5.4651143065553098</v>
      </c>
      <c r="AB11" s="7300">
        <v>11.255553230910738</v>
      </c>
      <c r="AC11" s="7301">
        <v>83.279332462533944</v>
      </c>
      <c r="AD11" s="7302">
        <v>2022</v>
      </c>
      <c r="AE11" s="7346" t="s">
        <v>1204</v>
      </c>
      <c r="AF11" s="7347">
        <v>44.557132247388786</v>
      </c>
      <c r="AG11" s="7348">
        <v>22.507522699121434</v>
      </c>
      <c r="AH11" s="7349">
        <v>32.935345053489776</v>
      </c>
      <c r="AI11" s="7350">
        <v>2022</v>
      </c>
      <c r="AL11" s="9320" t="s">
        <v>1194</v>
      </c>
      <c r="AM11" s="9328">
        <f t="shared" si="0"/>
        <v>20.777624741331859</v>
      </c>
      <c r="AN11" s="9328">
        <f t="shared" si="1"/>
        <v>20.102670360936031</v>
      </c>
      <c r="AO11" s="9328">
        <f t="shared" si="2"/>
        <v>29.2023727390212</v>
      </c>
      <c r="AP11" s="9328">
        <f t="shared" si="3"/>
        <v>18.628118289123016</v>
      </c>
      <c r="AQ11" s="9328">
        <f t="shared" si="4"/>
        <v>30.610710063580466</v>
      </c>
      <c r="AR11" s="9328">
        <f t="shared" si="5"/>
        <v>22.923078068609392</v>
      </c>
      <c r="AS11" s="9328">
        <f t="shared" si="6"/>
        <v>49.967666961796056</v>
      </c>
      <c r="AU11" s="9339">
        <f>VLOOKUP(TRIM(AL11),Fact1_2!$D$24:$P$41,6,0)</f>
        <v>19.512697219848633</v>
      </c>
      <c r="AW11" s="9341" t="s">
        <v>1194</v>
      </c>
      <c r="AX11" s="8">
        <f t="shared" si="15"/>
        <v>1.2649275214832265</v>
      </c>
      <c r="AY11" s="8">
        <f t="shared" si="10"/>
        <v>0.58997314108739829</v>
      </c>
      <c r="AZ11" s="8">
        <f t="shared" si="11"/>
        <v>9.6896755191725674</v>
      </c>
      <c r="BA11" s="8">
        <f t="shared" si="12"/>
        <v>-0.88457893072561689</v>
      </c>
      <c r="BB11" s="8">
        <f t="shared" si="16"/>
        <v>11.098012843731833</v>
      </c>
      <c r="BC11" s="8">
        <f t="shared" si="13"/>
        <v>3.4103808487607594</v>
      </c>
      <c r="BD11" s="8">
        <f t="shared" si="14"/>
        <v>30.454969741947423</v>
      </c>
      <c r="BG11" s="9318" t="s">
        <v>1060</v>
      </c>
    </row>
    <row r="12" spans="1:59">
      <c r="A12" s="6879" t="s">
        <v>1196</v>
      </c>
      <c r="B12" s="7442">
        <v>11.438820729281604</v>
      </c>
      <c r="C12" s="7443">
        <v>23.346658615532771</v>
      </c>
      <c r="D12" s="7444">
        <v>65.214520655185623</v>
      </c>
      <c r="E12" s="6880">
        <v>2022</v>
      </c>
      <c r="F12" s="6938" t="s">
        <v>1196</v>
      </c>
      <c r="G12" s="6939">
        <v>9.2453035372041761</v>
      </c>
      <c r="H12" s="6940">
        <v>21.599385869571609</v>
      </c>
      <c r="I12" s="6941">
        <v>69.155310593224215</v>
      </c>
      <c r="J12" s="6942">
        <v>2022</v>
      </c>
      <c r="K12" s="7041" t="s">
        <v>1196</v>
      </c>
      <c r="L12" s="7042">
        <v>13.6840620469551</v>
      </c>
      <c r="M12" s="7043">
        <v>27.83143168157433</v>
      </c>
      <c r="N12" s="7044">
        <v>58.484506271470572</v>
      </c>
      <c r="O12" s="7045">
        <v>2022</v>
      </c>
      <c r="P12" s="7144" t="s">
        <v>1196</v>
      </c>
      <c r="Q12" s="7145">
        <v>7.6775834004992518</v>
      </c>
      <c r="R12" s="7146">
        <v>17.641543478024779</v>
      </c>
      <c r="S12" s="7147">
        <v>74.680873121475969</v>
      </c>
      <c r="T12" s="7148">
        <v>2022</v>
      </c>
      <c r="U12" s="7245" t="s">
        <v>1200</v>
      </c>
      <c r="V12" s="7246">
        <v>3.4477264611122229</v>
      </c>
      <c r="W12" s="7247">
        <v>8.7171880089316893</v>
      </c>
      <c r="X12" s="7248">
        <v>87.835085529956089</v>
      </c>
      <c r="Y12" s="7249">
        <v>2022</v>
      </c>
      <c r="Z12" s="7303" t="s">
        <v>1201</v>
      </c>
      <c r="AA12" s="7304">
        <v>14.97845637851834</v>
      </c>
      <c r="AB12" s="7305">
        <v>27.922565574366558</v>
      </c>
      <c r="AC12" s="7306">
        <v>57.098978047115104</v>
      </c>
      <c r="AD12" s="7307">
        <v>2022</v>
      </c>
      <c r="AE12" s="7351" t="s">
        <v>1199</v>
      </c>
      <c r="AF12" s="7352">
        <v>14.918323924212395</v>
      </c>
      <c r="AG12" s="7353">
        <v>47.936162623599976</v>
      </c>
      <c r="AH12" s="7354">
        <v>37.145513452187636</v>
      </c>
      <c r="AI12" s="7355">
        <v>2023</v>
      </c>
      <c r="AL12" s="9320" t="s">
        <v>1195</v>
      </c>
      <c r="AM12" s="9328">
        <f t="shared" si="0"/>
        <v>8.4416914098494935</v>
      </c>
      <c r="AN12" s="9328">
        <f t="shared" si="1"/>
        <v>7.1470467932974495</v>
      </c>
      <c r="AO12" s="9328">
        <f t="shared" si="2"/>
        <v>12.319683195768592</v>
      </c>
      <c r="AP12" s="9328">
        <f t="shared" si="3"/>
        <v>3.8984357054412548</v>
      </c>
      <c r="AQ12" s="9328" t="str">
        <f t="shared" si="4"/>
        <v/>
      </c>
      <c r="AR12" s="9328">
        <f t="shared" si="5"/>
        <v>6.505416584597203</v>
      </c>
      <c r="AS12" s="9328" t="str">
        <f t="shared" si="6"/>
        <v/>
      </c>
      <c r="AU12" s="9339">
        <f>VLOOKUP(TRIM(AL12),Fact1_2!$D$24:$P$41,6,0)</f>
        <v>6.5896177291870117</v>
      </c>
      <c r="AW12" s="9341" t="s">
        <v>1195</v>
      </c>
      <c r="AX12" s="8">
        <f t="shared" si="15"/>
        <v>1.8520736806624818</v>
      </c>
      <c r="AY12" s="8">
        <f t="shared" si="10"/>
        <v>0.5574290641104378</v>
      </c>
      <c r="AZ12" s="8">
        <f t="shared" si="11"/>
        <v>5.7300654665815802</v>
      </c>
      <c r="BA12" s="8">
        <f t="shared" si="12"/>
        <v>-2.6911820237457569</v>
      </c>
      <c r="BB12" s="8" t="str">
        <f t="shared" si="16"/>
        <v/>
      </c>
      <c r="BC12" s="8">
        <f t="shared" si="13"/>
        <v>-8.4201144589808763E-2</v>
      </c>
      <c r="BD12" s="8" t="str">
        <f t="shared" si="14"/>
        <v/>
      </c>
    </row>
    <row r="13" spans="1:59">
      <c r="A13" s="6881" t="s">
        <v>1197</v>
      </c>
      <c r="B13" s="7445">
        <v>6.3110658999920712</v>
      </c>
      <c r="C13" s="7446">
        <v>27.555249966392527</v>
      </c>
      <c r="D13" s="7447">
        <v>66.133684133615404</v>
      </c>
      <c r="E13" s="6882">
        <v>2023</v>
      </c>
      <c r="F13" s="6943" t="s">
        <v>1197</v>
      </c>
      <c r="G13" s="6944">
        <v>15.674057294033206</v>
      </c>
      <c r="H13" s="6945">
        <v>25.071053151720186</v>
      </c>
      <c r="I13" s="6946">
        <v>59.254889554246603</v>
      </c>
      <c r="J13" s="6947">
        <v>2023</v>
      </c>
      <c r="K13" s="7046" t="s">
        <v>1197</v>
      </c>
      <c r="L13" s="7047">
        <v>25.212970501111435</v>
      </c>
      <c r="M13" s="7048">
        <v>29.520246843100463</v>
      </c>
      <c r="N13" s="7049">
        <v>45.266782655788099</v>
      </c>
      <c r="O13" s="7050">
        <v>2023</v>
      </c>
      <c r="P13" s="7149" t="s">
        <v>1197</v>
      </c>
      <c r="Q13" s="7150">
        <v>8.5030726433656731</v>
      </c>
      <c r="R13" s="7151">
        <v>19.787327570660747</v>
      </c>
      <c r="S13" s="7152">
        <v>71.70959978597358</v>
      </c>
      <c r="T13" s="7153">
        <v>2023</v>
      </c>
      <c r="U13" s="7250" t="s">
        <v>1201</v>
      </c>
      <c r="V13" s="7251">
        <v>13.510207343663911</v>
      </c>
      <c r="W13" s="7252">
        <v>28.119352611487997</v>
      </c>
      <c r="X13" s="7253">
        <v>58.370440044848095</v>
      </c>
      <c r="Y13" s="7254">
        <v>2022</v>
      </c>
      <c r="AE13" s="7356" t="s">
        <v>1205</v>
      </c>
      <c r="AF13" s="7357">
        <v>18.076288856595767</v>
      </c>
      <c r="AG13" s="7358">
        <v>27.011167875565512</v>
      </c>
      <c r="AH13" s="7359">
        <v>54.912543267838728</v>
      </c>
      <c r="AI13" s="7360">
        <v>2022</v>
      </c>
      <c r="AL13" s="9320" t="s">
        <v>1196</v>
      </c>
      <c r="AM13" s="9328">
        <f t="shared" si="0"/>
        <v>11.438820729281604</v>
      </c>
      <c r="AN13" s="9328">
        <f t="shared" si="1"/>
        <v>9.2453035372041761</v>
      </c>
      <c r="AO13" s="9328">
        <f t="shared" si="2"/>
        <v>13.6840620469551</v>
      </c>
      <c r="AP13" s="9328">
        <f t="shared" si="3"/>
        <v>7.6775834004992518</v>
      </c>
      <c r="AQ13" s="9328" t="str">
        <f t="shared" si="4"/>
        <v/>
      </c>
      <c r="AR13" s="9328" t="str">
        <f t="shared" si="5"/>
        <v/>
      </c>
      <c r="AS13" s="9328" t="str">
        <f t="shared" si="6"/>
        <v/>
      </c>
      <c r="AU13" s="9339">
        <f>VLOOKUP(TRIM(AL13),Fact1_2!$D$24:$P$41,6,0)</f>
        <v>9.0519723892211914</v>
      </c>
      <c r="AW13" s="9341" t="s">
        <v>1196</v>
      </c>
      <c r="AX13" s="8">
        <f t="shared" si="15"/>
        <v>2.3868483400604124</v>
      </c>
      <c r="AY13" s="8">
        <f t="shared" si="10"/>
        <v>0.19333114798298467</v>
      </c>
      <c r="AZ13" s="8">
        <f t="shared" si="11"/>
        <v>4.6320896577339088</v>
      </c>
      <c r="BA13" s="8">
        <f t="shared" si="12"/>
        <v>-1.3743889887219396</v>
      </c>
      <c r="BB13" s="8" t="str">
        <f t="shared" si="16"/>
        <v/>
      </c>
      <c r="BC13" s="8" t="str">
        <f t="shared" si="13"/>
        <v/>
      </c>
      <c r="BD13" s="8" t="str">
        <f t="shared" si="14"/>
        <v/>
      </c>
    </row>
    <row r="14" spans="1:59">
      <c r="A14" s="6883" t="s">
        <v>1198</v>
      </c>
      <c r="B14" s="7448">
        <v>27.055065824115211</v>
      </c>
      <c r="C14" s="7449">
        <v>24.195810191761627</v>
      </c>
      <c r="D14" s="7450">
        <v>48.749123984123166</v>
      </c>
      <c r="E14" s="6884">
        <v>2021</v>
      </c>
      <c r="F14" s="6948" t="s">
        <v>1204</v>
      </c>
      <c r="G14" s="6949">
        <v>33.05102215780898</v>
      </c>
      <c r="H14" s="6950">
        <v>23.541612501473082</v>
      </c>
      <c r="I14" s="6951">
        <v>43.407365340717938</v>
      </c>
      <c r="J14" s="6952">
        <v>2022</v>
      </c>
      <c r="K14" s="7051" t="s">
        <v>1204</v>
      </c>
      <c r="L14" s="7052">
        <v>41.041084749082671</v>
      </c>
      <c r="M14" s="7053">
        <v>26.065815155977123</v>
      </c>
      <c r="N14" s="7054">
        <v>32.893100094940209</v>
      </c>
      <c r="O14" s="7055">
        <v>2022</v>
      </c>
      <c r="P14" s="7154" t="s">
        <v>1204</v>
      </c>
      <c r="Q14" s="7155">
        <v>34.992698560625797</v>
      </c>
      <c r="R14" s="7156">
        <v>18.060789069121515</v>
      </c>
      <c r="S14" s="7157">
        <v>46.946512370252691</v>
      </c>
      <c r="T14" s="7158">
        <v>2022</v>
      </c>
      <c r="U14" s="7255" t="s">
        <v>1207</v>
      </c>
      <c r="V14" s="7256">
        <v>8.215911554303057</v>
      </c>
      <c r="W14" s="7257">
        <v>18.429374784815291</v>
      </c>
      <c r="X14" s="7258">
        <v>73.354713660881657</v>
      </c>
      <c r="Y14" s="7259">
        <v>2022</v>
      </c>
      <c r="AE14" s="7361" t="s">
        <v>1200</v>
      </c>
      <c r="AF14" s="7362">
        <v>36.477982287883115</v>
      </c>
      <c r="AG14" s="7363">
        <v>21.734155001428395</v>
      </c>
      <c r="AH14" s="7364">
        <v>41.787862710688486</v>
      </c>
      <c r="AI14" s="7365">
        <v>2022</v>
      </c>
      <c r="AL14" s="9320" t="s">
        <v>1197</v>
      </c>
      <c r="AM14" s="9328">
        <f t="shared" si="0"/>
        <v>6.3110658999920712</v>
      </c>
      <c r="AN14" s="9328">
        <f t="shared" si="1"/>
        <v>15.674057294033206</v>
      </c>
      <c r="AO14" s="9328">
        <f t="shared" si="2"/>
        <v>25.212970501111435</v>
      </c>
      <c r="AP14" s="9328">
        <f t="shared" si="3"/>
        <v>8.5030726433656731</v>
      </c>
      <c r="AQ14" s="9328">
        <f t="shared" si="4"/>
        <v>24.572171697166318</v>
      </c>
      <c r="AR14" s="9328" t="str">
        <f t="shared" si="5"/>
        <v/>
      </c>
      <c r="AS14" s="9328">
        <f t="shared" si="6"/>
        <v>49.222874424352185</v>
      </c>
      <c r="AU14" s="9339">
        <f>VLOOKUP(TRIM(AL14),Fact1_2!$D$24:$P$41,6,0)</f>
        <v>15.846808433532715</v>
      </c>
      <c r="AW14" s="9341" t="s">
        <v>1197</v>
      </c>
      <c r="AX14" s="8">
        <f t="shared" si="15"/>
        <v>-9.5357425335406436</v>
      </c>
      <c r="AY14" s="8">
        <f t="shared" si="10"/>
        <v>-0.17275113949950871</v>
      </c>
      <c r="AZ14" s="8">
        <f t="shared" si="11"/>
        <v>9.3661620675787205</v>
      </c>
      <c r="BA14" s="8">
        <f t="shared" si="12"/>
        <v>-7.3437357901670417</v>
      </c>
      <c r="BB14" s="8">
        <f t="shared" si="16"/>
        <v>8.7253632636336036</v>
      </c>
      <c r="BC14" s="8" t="str">
        <f t="shared" si="13"/>
        <v/>
      </c>
      <c r="BD14" s="8">
        <f t="shared" si="14"/>
        <v>33.37606599081947</v>
      </c>
    </row>
    <row r="15" spans="1:59">
      <c r="A15" s="6885" t="s">
        <v>1199</v>
      </c>
      <c r="B15" s="7451">
        <v>30.806297634420588</v>
      </c>
      <c r="C15" s="7452">
        <v>27.471079101864245</v>
      </c>
      <c r="D15" s="7453">
        <v>41.722623263715171</v>
      </c>
      <c r="E15" s="6886">
        <v>2018</v>
      </c>
      <c r="F15" s="6953" t="s">
        <v>1198</v>
      </c>
      <c r="G15" s="6954">
        <v>32.501568975183879</v>
      </c>
      <c r="H15" s="6955">
        <v>26.371047719477716</v>
      </c>
      <c r="I15" s="6956">
        <v>41.127383305338405</v>
      </c>
      <c r="J15" s="6957">
        <v>2021</v>
      </c>
      <c r="K15" s="7056" t="s">
        <v>1198</v>
      </c>
      <c r="L15" s="7057">
        <v>42.521469384149427</v>
      </c>
      <c r="M15" s="7058">
        <v>27.618896916928509</v>
      </c>
      <c r="N15" s="7059">
        <v>29.859633698922067</v>
      </c>
      <c r="O15" s="7060">
        <v>2021</v>
      </c>
      <c r="P15" s="7159" t="s">
        <v>1198</v>
      </c>
      <c r="Q15" s="7160">
        <v>17.196857830107998</v>
      </c>
      <c r="R15" s="7161">
        <v>30.045923921935874</v>
      </c>
      <c r="S15" s="7162">
        <v>52.757218247956125</v>
      </c>
      <c r="T15" s="7163">
        <v>2021</v>
      </c>
      <c r="AE15" s="7366" t="s">
        <v>1201</v>
      </c>
      <c r="AF15" s="7367">
        <v>15.969746009782337</v>
      </c>
      <c r="AG15" s="7368">
        <v>27.770555385096742</v>
      </c>
      <c r="AH15" s="7369">
        <v>56.259698605120924</v>
      </c>
      <c r="AI15" s="7370">
        <v>2022</v>
      </c>
      <c r="AL15" s="9320" t="s">
        <v>1204</v>
      </c>
      <c r="AM15" s="9328" t="str">
        <f t="shared" si="0"/>
        <v/>
      </c>
      <c r="AN15" s="9328">
        <f t="shared" si="1"/>
        <v>33.05102215780898</v>
      </c>
      <c r="AO15" s="9328">
        <f t="shared" si="2"/>
        <v>41.041084749082671</v>
      </c>
      <c r="AP15" s="9328">
        <f t="shared" si="3"/>
        <v>34.992698560625797</v>
      </c>
      <c r="AQ15" s="9328">
        <f t="shared" si="4"/>
        <v>39.371138919689528</v>
      </c>
      <c r="AR15" s="9328" t="str">
        <f t="shared" si="5"/>
        <v/>
      </c>
      <c r="AS15" s="9328">
        <f t="shared" si="6"/>
        <v>44.557132247388786</v>
      </c>
      <c r="AU15" s="9339">
        <f>VLOOKUP(TRIM(AL15),Fact1_2!$D$24:$P$41,6,0)</f>
        <v>31.91087532043457</v>
      </c>
      <c r="AW15" s="9341" t="s">
        <v>1204</v>
      </c>
      <c r="AX15" s="8" t="str">
        <f t="shared" si="15"/>
        <v/>
      </c>
      <c r="AY15" s="8">
        <f t="shared" si="10"/>
        <v>1.1401468373744095</v>
      </c>
      <c r="AZ15" s="8">
        <f t="shared" si="11"/>
        <v>9.1302094286481008</v>
      </c>
      <c r="BA15" s="8">
        <f t="shared" si="12"/>
        <v>3.0818232401912269</v>
      </c>
      <c r="BB15" s="8">
        <f t="shared" si="16"/>
        <v>7.460263599254958</v>
      </c>
      <c r="BC15" s="8" t="str">
        <f t="shared" si="13"/>
        <v/>
      </c>
      <c r="BD15" s="8">
        <f t="shared" si="14"/>
        <v>12.646256926954216</v>
      </c>
    </row>
    <row r="16" spans="1:59">
      <c r="A16" s="6887" t="s">
        <v>1200</v>
      </c>
      <c r="B16" s="7454">
        <v>2.5306904257480336</v>
      </c>
      <c r="C16" s="7455">
        <v>3.3142757639957048</v>
      </c>
      <c r="D16" s="7456">
        <v>94.155033810256256</v>
      </c>
      <c r="E16" s="6888">
        <v>2022</v>
      </c>
      <c r="F16" s="6958" t="s">
        <v>1199</v>
      </c>
      <c r="G16" s="6959">
        <v>36.221455206187954</v>
      </c>
      <c r="H16" s="6960">
        <v>24.509593409435031</v>
      </c>
      <c r="I16" s="6961">
        <v>39.268951384377019</v>
      </c>
      <c r="J16" s="6962">
        <v>2023</v>
      </c>
      <c r="K16" s="7061" t="s">
        <v>1199</v>
      </c>
      <c r="L16" s="7062">
        <v>42.80533701208428</v>
      </c>
      <c r="M16" s="7063">
        <v>27.631010353533842</v>
      </c>
      <c r="N16" s="7064">
        <v>29.563652634381874</v>
      </c>
      <c r="O16" s="7065">
        <v>2023</v>
      </c>
      <c r="P16" s="7164" t="s">
        <v>1199</v>
      </c>
      <c r="Q16" s="7165">
        <v>34.64093451084269</v>
      </c>
      <c r="R16" s="7166">
        <v>23.214268993340312</v>
      </c>
      <c r="S16" s="7167">
        <v>42.144796495816991</v>
      </c>
      <c r="T16" s="7168">
        <v>2023</v>
      </c>
      <c r="AE16" s="7371" t="s">
        <v>1207</v>
      </c>
      <c r="AF16" s="7372">
        <v>5.4207154071370987</v>
      </c>
      <c r="AG16" s="7373">
        <v>8.7092120337760424</v>
      </c>
      <c r="AH16" s="7374">
        <v>85.870072559086864</v>
      </c>
      <c r="AI16" s="7375">
        <v>2022</v>
      </c>
      <c r="AL16" s="9320" t="s">
        <v>1198</v>
      </c>
      <c r="AM16" s="9328">
        <f t="shared" si="0"/>
        <v>27.055065824115211</v>
      </c>
      <c r="AN16" s="9328">
        <f t="shared" si="1"/>
        <v>32.501568975183879</v>
      </c>
      <c r="AO16" s="9328">
        <f t="shared" si="2"/>
        <v>42.521469384149427</v>
      </c>
      <c r="AP16" s="9328">
        <f t="shared" si="3"/>
        <v>17.196857830107998</v>
      </c>
      <c r="AQ16" s="9328" t="str">
        <f t="shared" si="4"/>
        <v/>
      </c>
      <c r="AR16" s="9328" t="str">
        <f t="shared" si="5"/>
        <v/>
      </c>
      <c r="AS16" s="9328" t="str">
        <f t="shared" si="6"/>
        <v/>
      </c>
      <c r="AU16" s="9339">
        <f>VLOOKUP(TRIM(AL16),Fact1_2!$D$24:$P$41,6,0)</f>
        <v>31.99846076965332</v>
      </c>
      <c r="AW16" s="9341" t="s">
        <v>1198</v>
      </c>
      <c r="AX16" s="8">
        <f t="shared" si="15"/>
        <v>-4.9433949455381097</v>
      </c>
      <c r="AY16" s="8">
        <f t="shared" si="10"/>
        <v>0.50310820553055891</v>
      </c>
      <c r="AZ16" s="8">
        <f t="shared" si="11"/>
        <v>10.523008614496106</v>
      </c>
      <c r="BA16" s="8">
        <f t="shared" si="12"/>
        <v>-14.801602939545322</v>
      </c>
      <c r="BB16" s="8" t="str">
        <f t="shared" si="16"/>
        <v/>
      </c>
      <c r="BC16" s="8" t="str">
        <f t="shared" si="13"/>
        <v/>
      </c>
      <c r="BD16" s="8" t="str">
        <f t="shared" si="14"/>
        <v/>
      </c>
    </row>
    <row r="17" spans="1:56">
      <c r="A17" s="6889" t="s">
        <v>1201</v>
      </c>
      <c r="B17" s="7457">
        <v>3.2016234951055731</v>
      </c>
      <c r="C17" s="7458">
        <v>18.7828229975112</v>
      </c>
      <c r="D17" s="7459">
        <v>78.015553507383231</v>
      </c>
      <c r="E17" s="6890">
        <v>2022</v>
      </c>
      <c r="F17" s="6963" t="s">
        <v>1205</v>
      </c>
      <c r="G17" s="6964">
        <v>10.494017913432963</v>
      </c>
      <c r="H17" s="6965">
        <v>22.207367053160116</v>
      </c>
      <c r="I17" s="6966">
        <v>67.298615033406932</v>
      </c>
      <c r="J17" s="6967">
        <v>2022</v>
      </c>
      <c r="K17" s="7066" t="s">
        <v>1205</v>
      </c>
      <c r="L17" s="7067">
        <v>14.933463936671243</v>
      </c>
      <c r="M17" s="7068">
        <v>28.699566775119905</v>
      </c>
      <c r="N17" s="7069">
        <v>56.366969288208857</v>
      </c>
      <c r="O17" s="7070">
        <v>2022</v>
      </c>
      <c r="P17" s="7169" t="s">
        <v>1205</v>
      </c>
      <c r="Q17" s="7170">
        <v>13.272019136329702</v>
      </c>
      <c r="R17" s="7171">
        <v>20.138605214598623</v>
      </c>
      <c r="S17" s="7172">
        <v>66.589375649071684</v>
      </c>
      <c r="T17" s="7173">
        <v>2022</v>
      </c>
      <c r="AL17" s="9320" t="s">
        <v>1199</v>
      </c>
      <c r="AM17" s="9328">
        <f t="shared" si="0"/>
        <v>30.806297634420588</v>
      </c>
      <c r="AN17" s="9328">
        <f t="shared" si="1"/>
        <v>36.221455206187954</v>
      </c>
      <c r="AO17" s="9328">
        <f t="shared" si="2"/>
        <v>42.80533701208428</v>
      </c>
      <c r="AP17" s="9328">
        <f t="shared" si="3"/>
        <v>34.64093451084269</v>
      </c>
      <c r="AQ17" s="9328">
        <f t="shared" si="4"/>
        <v>50.957617506631401</v>
      </c>
      <c r="AR17" s="9328" t="str">
        <f t="shared" si="5"/>
        <v/>
      </c>
      <c r="AS17" s="9328">
        <f t="shared" si="6"/>
        <v>14.918323924212395</v>
      </c>
      <c r="AU17" s="9339">
        <f>VLOOKUP(TRIM(AL17),Fact1_2!$D$24:$P$41,6,0)</f>
        <v>35.109729766845703</v>
      </c>
      <c r="AW17" s="9341" t="s">
        <v>1199</v>
      </c>
      <c r="AX17" s="8">
        <f t="shared" si="15"/>
        <v>-4.3034321324251152</v>
      </c>
      <c r="AY17" s="8">
        <f t="shared" si="10"/>
        <v>1.1117254393422513</v>
      </c>
      <c r="AZ17" s="8">
        <f t="shared" si="11"/>
        <v>7.6956072452385769</v>
      </c>
      <c r="BA17" s="8">
        <f t="shared" si="12"/>
        <v>-0.46879525600301264</v>
      </c>
      <c r="BB17" s="8">
        <f t="shared" si="16"/>
        <v>15.847887739785698</v>
      </c>
      <c r="BC17" s="8" t="str">
        <f t="shared" si="13"/>
        <v/>
      </c>
      <c r="BD17" s="8">
        <f t="shared" si="14"/>
        <v>-20.191405842633309</v>
      </c>
    </row>
    <row r="18" spans="1:56">
      <c r="A18" s="6891" t="s">
        <v>1202</v>
      </c>
      <c r="B18" s="7460">
        <v>9.2723930844504086</v>
      </c>
      <c r="C18" s="7461">
        <v>17.631438439985068</v>
      </c>
      <c r="D18" s="7462">
        <v>73.096168475564525</v>
      </c>
      <c r="E18" s="6892">
        <v>2022</v>
      </c>
      <c r="F18" s="6968" t="s">
        <v>1200</v>
      </c>
      <c r="G18" s="6969">
        <v>9.0465212403601107</v>
      </c>
      <c r="H18" s="6970">
        <v>10.72789041967919</v>
      </c>
      <c r="I18" s="6971">
        <v>80.225588339960694</v>
      </c>
      <c r="J18" s="6972">
        <v>2022</v>
      </c>
      <c r="K18" s="7071" t="s">
        <v>1200</v>
      </c>
      <c r="L18" s="7072">
        <v>15.92802928070369</v>
      </c>
      <c r="M18" s="7073">
        <v>15.306305776461517</v>
      </c>
      <c r="N18" s="7074">
        <v>68.765664942834789</v>
      </c>
      <c r="O18" s="7075">
        <v>2022</v>
      </c>
      <c r="P18" s="7174" t="s">
        <v>1200</v>
      </c>
      <c r="Q18" s="7175">
        <v>3.2462902220987924</v>
      </c>
      <c r="R18" s="7176">
        <v>8.5606361978247971</v>
      </c>
      <c r="S18" s="7177">
        <v>88.193073580076415</v>
      </c>
      <c r="T18" s="7178">
        <v>2022</v>
      </c>
      <c r="AL18" s="9320" t="s">
        <v>1205</v>
      </c>
      <c r="AM18" s="9328" t="str">
        <f t="shared" si="0"/>
        <v/>
      </c>
      <c r="AN18" s="9328">
        <f t="shared" si="1"/>
        <v>10.494017913432963</v>
      </c>
      <c r="AO18" s="9328">
        <f t="shared" si="2"/>
        <v>14.933463936671243</v>
      </c>
      <c r="AP18" s="9328">
        <f t="shared" si="3"/>
        <v>13.272019136329702</v>
      </c>
      <c r="AQ18" s="9328" t="str">
        <f t="shared" si="4"/>
        <v/>
      </c>
      <c r="AR18" s="9328">
        <f t="shared" si="5"/>
        <v>12.204440714291778</v>
      </c>
      <c r="AS18" s="9328">
        <f t="shared" si="6"/>
        <v>18.076288856595767</v>
      </c>
      <c r="AU18" s="9339">
        <f>VLOOKUP(TRIM(AL18),Fact1_2!$D$24:$P$41,6,0)</f>
        <v>10.268985748291016</v>
      </c>
      <c r="AW18" s="9341" t="s">
        <v>1205</v>
      </c>
      <c r="AX18" s="8" t="str">
        <f t="shared" si="15"/>
        <v/>
      </c>
      <c r="AY18" s="8">
        <f t="shared" si="10"/>
        <v>0.2250321651419469</v>
      </c>
      <c r="AZ18" s="8">
        <f t="shared" si="11"/>
        <v>4.6644781883802278</v>
      </c>
      <c r="BA18" s="8">
        <f t="shared" si="12"/>
        <v>3.0030333880386859</v>
      </c>
      <c r="BB18" s="8" t="str">
        <f t="shared" si="16"/>
        <v/>
      </c>
      <c r="BC18" s="8">
        <f t="shared" si="13"/>
        <v>1.9354549660007621</v>
      </c>
      <c r="BD18" s="8">
        <f t="shared" si="14"/>
        <v>7.807303108304751</v>
      </c>
    </row>
    <row r="19" spans="1:56">
      <c r="A19" s="6893" t="s">
        <v>1203</v>
      </c>
      <c r="B19" s="7463">
        <v>40.216262613076772</v>
      </c>
      <c r="C19" s="7464">
        <v>14.923084882500854</v>
      </c>
      <c r="D19" s="7465">
        <v>44.860652504422376</v>
      </c>
      <c r="E19" s="6894">
        <v>2021</v>
      </c>
      <c r="F19" s="6973" t="s">
        <v>1201</v>
      </c>
      <c r="G19" s="6974">
        <v>12.655710690981465</v>
      </c>
      <c r="H19" s="6975">
        <v>25.990807498905884</v>
      </c>
      <c r="I19" s="6976">
        <v>61.353481810112655</v>
      </c>
      <c r="J19" s="6977">
        <v>2022</v>
      </c>
      <c r="K19" s="7076" t="s">
        <v>1201</v>
      </c>
      <c r="L19" s="7077">
        <v>17.606627888900391</v>
      </c>
      <c r="M19" s="7078">
        <v>31.681329060548517</v>
      </c>
      <c r="N19" s="7079">
        <v>50.712043050551095</v>
      </c>
      <c r="O19" s="7080">
        <v>2022</v>
      </c>
      <c r="P19" s="7179" t="s">
        <v>1201</v>
      </c>
      <c r="Q19" s="7180">
        <v>10.960472420087495</v>
      </c>
      <c r="R19" s="7181">
        <v>25.187682183792209</v>
      </c>
      <c r="S19" s="7182">
        <v>63.851845396120297</v>
      </c>
      <c r="T19" s="7183">
        <v>2022</v>
      </c>
      <c r="AL19" s="9320" t="s">
        <v>1200</v>
      </c>
      <c r="AM19" s="9328">
        <f t="shared" si="0"/>
        <v>2.5306904257480336</v>
      </c>
      <c r="AN19" s="9328">
        <f t="shared" si="1"/>
        <v>9.0465212403601107</v>
      </c>
      <c r="AO19" s="9328">
        <f t="shared" si="2"/>
        <v>15.92802928070369</v>
      </c>
      <c r="AP19" s="9328">
        <f t="shared" si="3"/>
        <v>3.2462902220987924</v>
      </c>
      <c r="AQ19" s="9328">
        <f t="shared" si="4"/>
        <v>3.4477264611122229</v>
      </c>
      <c r="AR19" s="9328">
        <f t="shared" si="5"/>
        <v>5.4651143065553098</v>
      </c>
      <c r="AS19" s="9328">
        <f t="shared" si="6"/>
        <v>36.477982287883115</v>
      </c>
      <c r="AU19" s="9339">
        <f>VLOOKUP(TRIM(AL19),Fact1_2!$D$24:$P$41,6,0)</f>
        <v>8.9458808898925781</v>
      </c>
      <c r="AW19" s="9341" t="s">
        <v>1200</v>
      </c>
      <c r="AX19" s="8">
        <f t="shared" si="15"/>
        <v>-6.4151904641445441</v>
      </c>
      <c r="AY19" s="8">
        <f t="shared" si="10"/>
        <v>0.10064035046753261</v>
      </c>
      <c r="AZ19" s="8">
        <f t="shared" si="11"/>
        <v>6.9821483908111119</v>
      </c>
      <c r="BA19" s="8">
        <f t="shared" si="12"/>
        <v>-5.6995906677937853</v>
      </c>
      <c r="BB19" s="8">
        <f t="shared" si="16"/>
        <v>-5.4981544287803548</v>
      </c>
      <c r="BC19" s="8">
        <f t="shared" si="13"/>
        <v>-3.4807665833372683</v>
      </c>
      <c r="BD19" s="8">
        <f t="shared" si="14"/>
        <v>27.532101397990537</v>
      </c>
    </row>
    <row r="20" spans="1:56">
      <c r="F20" s="6978" t="s">
        <v>1202</v>
      </c>
      <c r="G20" s="6979">
        <v>13.005614623871681</v>
      </c>
      <c r="H20" s="6980">
        <v>19.368206945879013</v>
      </c>
      <c r="I20" s="6981">
        <v>67.626178430249311</v>
      </c>
      <c r="J20" s="6982">
        <v>2022</v>
      </c>
      <c r="K20" s="7081" t="s">
        <v>1202</v>
      </c>
      <c r="L20" s="7082">
        <v>17.631954051422863</v>
      </c>
      <c r="M20" s="7083">
        <v>24.64683466828178</v>
      </c>
      <c r="N20" s="7084">
        <v>57.721211280295357</v>
      </c>
      <c r="O20" s="7085">
        <v>2022</v>
      </c>
      <c r="P20" s="7184" t="s">
        <v>1202</v>
      </c>
      <c r="Q20" s="7185">
        <v>8.9454227252401584</v>
      </c>
      <c r="R20" s="7186">
        <v>22.478721107735957</v>
      </c>
      <c r="S20" s="7187">
        <v>68.575856167023886</v>
      </c>
      <c r="T20" s="7188">
        <v>2022</v>
      </c>
      <c r="AL20" s="9320" t="s">
        <v>1201</v>
      </c>
      <c r="AM20" s="9328">
        <f t="shared" si="0"/>
        <v>3.2016234951055731</v>
      </c>
      <c r="AN20" s="9328">
        <f t="shared" si="1"/>
        <v>12.655710690981465</v>
      </c>
      <c r="AO20" s="9328">
        <f t="shared" si="2"/>
        <v>17.606627888900391</v>
      </c>
      <c r="AP20" s="9328">
        <f t="shared" si="3"/>
        <v>10.960472420087495</v>
      </c>
      <c r="AQ20" s="9328">
        <f t="shared" si="4"/>
        <v>13.510207343663911</v>
      </c>
      <c r="AR20" s="9328">
        <f t="shared" si="5"/>
        <v>14.97845637851834</v>
      </c>
      <c r="AS20" s="9328">
        <f t="shared" si="6"/>
        <v>15.969746009782337</v>
      </c>
      <c r="AU20" s="9339">
        <f>VLOOKUP(TRIM(AL20),Fact1_2!$D$24:$P$41,6,0)</f>
        <v>12.462396621704102</v>
      </c>
      <c r="AW20" s="9341" t="s">
        <v>1201</v>
      </c>
      <c r="AX20" s="8">
        <f t="shared" si="15"/>
        <v>-9.2607731265985294</v>
      </c>
      <c r="AY20" s="8">
        <f t="shared" si="10"/>
        <v>0.19331406927736339</v>
      </c>
      <c r="AZ20" s="8">
        <f t="shared" si="11"/>
        <v>5.1442312671962895</v>
      </c>
      <c r="BA20" s="8">
        <f t="shared" si="12"/>
        <v>-1.5019242016166068</v>
      </c>
      <c r="BB20" s="8">
        <f t="shared" si="16"/>
        <v>1.0478107219598094</v>
      </c>
      <c r="BC20" s="8">
        <f t="shared" si="13"/>
        <v>2.5160597568142382</v>
      </c>
      <c r="BD20" s="8">
        <f t="shared" si="14"/>
        <v>3.5073493880782358</v>
      </c>
    </row>
    <row r="21" spans="1:56">
      <c r="F21" s="6983" t="s">
        <v>1206</v>
      </c>
      <c r="G21" s="6984">
        <v>16.048536789069708</v>
      </c>
      <c r="H21" s="6985">
        <v>23.740065649064899</v>
      </c>
      <c r="I21" s="6986">
        <v>60.21139756186539</v>
      </c>
      <c r="J21" s="6987">
        <v>2023</v>
      </c>
      <c r="K21" s="7086" t="s">
        <v>1206</v>
      </c>
      <c r="L21" s="7087">
        <v>20.35864972158361</v>
      </c>
      <c r="M21" s="7088">
        <v>30.637274600309759</v>
      </c>
      <c r="N21" s="7089">
        <v>49.004075678106631</v>
      </c>
      <c r="O21" s="7090">
        <v>2023</v>
      </c>
      <c r="P21" s="7189" t="s">
        <v>1206</v>
      </c>
      <c r="Q21" s="7190">
        <v>20.45404944872115</v>
      </c>
      <c r="R21" s="7191">
        <v>18.703923265139551</v>
      </c>
      <c r="S21" s="7192">
        <v>60.842027286139299</v>
      </c>
      <c r="T21" s="7193">
        <v>2023</v>
      </c>
      <c r="AL21" s="9320" t="s">
        <v>1202</v>
      </c>
      <c r="AM21" s="9328">
        <f t="shared" si="0"/>
        <v>9.2723930844504086</v>
      </c>
      <c r="AN21" s="9328">
        <f t="shared" si="1"/>
        <v>13.005614623871681</v>
      </c>
      <c r="AO21" s="9328">
        <f t="shared" si="2"/>
        <v>17.631954051422863</v>
      </c>
      <c r="AP21" s="9328">
        <f t="shared" si="3"/>
        <v>8.9454227252401584</v>
      </c>
      <c r="AQ21" s="9328" t="str">
        <f t="shared" si="4"/>
        <v/>
      </c>
      <c r="AR21" s="9328" t="str">
        <f t="shared" si="5"/>
        <v/>
      </c>
      <c r="AS21" s="9328" t="str">
        <f t="shared" si="6"/>
        <v/>
      </c>
      <c r="AU21" s="9339">
        <f>VLOOKUP(TRIM(AL21),Fact1_2!$D$24:$P$41,6,0)</f>
        <v>12.367045402526855</v>
      </c>
      <c r="AW21" s="9341" t="s">
        <v>1202</v>
      </c>
      <c r="AX21" s="8">
        <f t="shared" si="15"/>
        <v>-3.0946523180764469</v>
      </c>
      <c r="AY21" s="8">
        <f t="shared" si="10"/>
        <v>0.63856922134482552</v>
      </c>
      <c r="AZ21" s="8">
        <f t="shared" si="11"/>
        <v>5.2649086488960073</v>
      </c>
      <c r="BA21" s="8">
        <f t="shared" si="12"/>
        <v>-3.4216226772866971</v>
      </c>
      <c r="BB21" s="8" t="str">
        <f t="shared" si="16"/>
        <v/>
      </c>
      <c r="BC21" s="8" t="str">
        <f t="shared" si="13"/>
        <v/>
      </c>
      <c r="BD21" s="8" t="str">
        <f t="shared" si="14"/>
        <v/>
      </c>
    </row>
    <row r="22" spans="1:56">
      <c r="F22" s="6988" t="s">
        <v>1207</v>
      </c>
      <c r="G22" s="6989">
        <v>4.1862713644212652</v>
      </c>
      <c r="H22" s="6990">
        <v>10.68223800696188</v>
      </c>
      <c r="I22" s="6991">
        <v>85.131490628616859</v>
      </c>
      <c r="J22" s="6992">
        <v>2022</v>
      </c>
      <c r="K22" s="7091" t="s">
        <v>1207</v>
      </c>
      <c r="L22" s="7092">
        <v>9.2044097933159481</v>
      </c>
      <c r="M22" s="7093">
        <v>18.379207544401392</v>
      </c>
      <c r="N22" s="7094">
        <v>72.416382662282658</v>
      </c>
      <c r="O22" s="7095">
        <v>2022</v>
      </c>
      <c r="P22" s="7194" t="s">
        <v>1207</v>
      </c>
      <c r="Q22" s="7195">
        <v>0.36897669462910992</v>
      </c>
      <c r="R22" s="7196">
        <v>2.6524303314975164</v>
      </c>
      <c r="S22" s="7197">
        <v>96.978592973873376</v>
      </c>
      <c r="T22" s="7198">
        <v>2022</v>
      </c>
      <c r="AL22" s="9320" t="s">
        <v>1206</v>
      </c>
      <c r="AM22" s="9328" t="str">
        <f t="shared" si="0"/>
        <v/>
      </c>
      <c r="AN22" s="9328">
        <f t="shared" si="1"/>
        <v>16.048536789069708</v>
      </c>
      <c r="AO22" s="9328">
        <f t="shared" si="2"/>
        <v>20.35864972158361</v>
      </c>
      <c r="AP22" s="9328">
        <f t="shared" si="3"/>
        <v>20.45404944872115</v>
      </c>
      <c r="AQ22" s="9328" t="str">
        <f t="shared" si="4"/>
        <v/>
      </c>
      <c r="AR22" s="9328" t="str">
        <f t="shared" si="5"/>
        <v/>
      </c>
      <c r="AS22" s="9328" t="str">
        <f t="shared" si="6"/>
        <v/>
      </c>
      <c r="AU22" s="9339">
        <f>VLOOKUP(TRIM(AL22),Fact1_2!$D$24:$P$41,6,0)</f>
        <v>15.566752433776855</v>
      </c>
      <c r="AW22" s="9341" t="s">
        <v>1206</v>
      </c>
      <c r="AX22" s="8" t="str">
        <f t="shared" si="15"/>
        <v/>
      </c>
      <c r="AY22" s="8">
        <f t="shared" si="10"/>
        <v>0.48178435529285224</v>
      </c>
      <c r="AZ22" s="8">
        <f t="shared" si="11"/>
        <v>4.7918972878067549</v>
      </c>
      <c r="BA22" s="8">
        <f t="shared" si="12"/>
        <v>4.8872970149442949</v>
      </c>
      <c r="BB22" s="8" t="str">
        <f t="shared" si="16"/>
        <v/>
      </c>
      <c r="BC22" s="8" t="str">
        <f t="shared" si="13"/>
        <v/>
      </c>
      <c r="BD22" s="8" t="str">
        <f t="shared" si="14"/>
        <v/>
      </c>
    </row>
    <row r="23" spans="1:56">
      <c r="F23" s="6993" t="s">
        <v>1203</v>
      </c>
      <c r="G23" s="6994">
        <v>55.129269363582665</v>
      </c>
      <c r="H23" s="6995">
        <v>17.161909052690028</v>
      </c>
      <c r="I23" s="6996">
        <v>27.708821583727307</v>
      </c>
      <c r="J23" s="6997">
        <v>2021</v>
      </c>
      <c r="K23" s="7096" t="s">
        <v>1203</v>
      </c>
      <c r="L23" s="7097">
        <v>60.011834592449588</v>
      </c>
      <c r="M23" s="7098">
        <v>17.032056331101217</v>
      </c>
      <c r="N23" s="7099">
        <v>22.956109076449195</v>
      </c>
      <c r="O23" s="7100">
        <v>2021</v>
      </c>
      <c r="P23" s="7199" t="s">
        <v>1203</v>
      </c>
      <c r="Q23" s="7200">
        <v>55.467008938802479</v>
      </c>
      <c r="R23" s="7201">
        <v>16.219710247829507</v>
      </c>
      <c r="S23" s="7202">
        <v>28.313280813368014</v>
      </c>
      <c r="T23" s="7203">
        <v>2021</v>
      </c>
      <c r="AL23" s="9320" t="s">
        <v>1207</v>
      </c>
      <c r="AM23" s="9328" t="str">
        <f t="shared" si="0"/>
        <v/>
      </c>
      <c r="AN23" s="9328">
        <f t="shared" si="1"/>
        <v>4.1862713644212652</v>
      </c>
      <c r="AO23" s="9328">
        <f t="shared" si="2"/>
        <v>9.2044097933159481</v>
      </c>
      <c r="AP23" s="9328">
        <f t="shared" si="3"/>
        <v>0.36897669462910992</v>
      </c>
      <c r="AQ23" s="9328">
        <f t="shared" si="4"/>
        <v>8.215911554303057</v>
      </c>
      <c r="AR23" s="9328" t="str">
        <f t="shared" si="5"/>
        <v/>
      </c>
      <c r="AS23" s="9328">
        <f t="shared" si="6"/>
        <v>5.4207154071370987</v>
      </c>
      <c r="AU23" s="9339">
        <f>VLOOKUP(TRIM(AL23),Fact1_2!$D$24:$P$41,6,0)</f>
        <v>3.9979178905487061</v>
      </c>
      <c r="AW23" s="9341" t="s">
        <v>1207</v>
      </c>
      <c r="AX23" s="8" t="str">
        <f t="shared" si="15"/>
        <v/>
      </c>
      <c r="AY23" s="8">
        <f t="shared" si="10"/>
        <v>0.18835347387255919</v>
      </c>
      <c r="AZ23" s="8">
        <f t="shared" si="11"/>
        <v>5.2064919027672421</v>
      </c>
      <c r="BA23" s="8">
        <f t="shared" si="12"/>
        <v>-3.6289411959195963</v>
      </c>
      <c r="BB23" s="8">
        <f t="shared" si="16"/>
        <v>4.2179936637543509</v>
      </c>
      <c r="BC23" s="8" t="str">
        <f t="shared" si="13"/>
        <v/>
      </c>
      <c r="BD23" s="8">
        <f t="shared" si="14"/>
        <v>1.4227975165883926</v>
      </c>
    </row>
    <row r="24" spans="1:56">
      <c r="AL24" s="9329" t="s">
        <v>1203</v>
      </c>
      <c r="AM24" s="9328">
        <f t="shared" si="0"/>
        <v>40.216262613076772</v>
      </c>
      <c r="AN24" s="9328">
        <f t="shared" si="1"/>
        <v>55.129269363582665</v>
      </c>
      <c r="AO24" s="9328">
        <f t="shared" si="2"/>
        <v>60.011834592449588</v>
      </c>
      <c r="AP24" s="9328">
        <f t="shared" si="3"/>
        <v>55.467008938802479</v>
      </c>
      <c r="AQ24" s="9328" t="str">
        <f t="shared" si="4"/>
        <v/>
      </c>
      <c r="AR24" s="9328" t="str">
        <f t="shared" si="5"/>
        <v/>
      </c>
      <c r="AS24" s="9328" t="str">
        <f t="shared" si="6"/>
        <v/>
      </c>
      <c r="AU24" s="9339">
        <f>VLOOKUP(TRIM(AL24),Fact1_2!$D$24:$P$41,6,0)</f>
        <v>53.867767333984375</v>
      </c>
      <c r="AW24" s="9344" t="s">
        <v>1203</v>
      </c>
      <c r="AX24" s="9345">
        <f t="shared" si="15"/>
        <v>-13.651504720907603</v>
      </c>
      <c r="AY24" s="9345">
        <f t="shared" si="10"/>
        <v>1.2615020295982902</v>
      </c>
      <c r="AZ24" s="9345">
        <f t="shared" si="11"/>
        <v>6.1440672584652134</v>
      </c>
      <c r="BA24" s="9345">
        <f t="shared" si="12"/>
        <v>1.5992416048181042</v>
      </c>
      <c r="BB24" s="9345" t="str">
        <f t="shared" si="16"/>
        <v/>
      </c>
      <c r="BC24" s="9345" t="str">
        <f t="shared" si="13"/>
        <v/>
      </c>
      <c r="BD24" s="9345" t="str">
        <f t="shared" si="14"/>
        <v/>
      </c>
    </row>
    <row r="25" spans="1:56">
      <c r="AL25" s="9320"/>
      <c r="AM25" s="9328"/>
      <c r="AN25" s="9328"/>
      <c r="AO25" s="9328"/>
      <c r="AP25" s="9328"/>
      <c r="AQ25" s="9328"/>
      <c r="AR25" s="9328"/>
      <c r="AS25" s="9328"/>
      <c r="AU25" s="9338"/>
      <c r="AX25" s="8"/>
      <c r="AY25" s="8"/>
      <c r="AZ25" s="8"/>
      <c r="BA25" s="8"/>
      <c r="BB25" s="8"/>
      <c r="BC25" s="8"/>
      <c r="BD25" s="8"/>
    </row>
    <row r="26" spans="1:56">
      <c r="A26" s="2544" t="str">
        <f>B1</f>
        <v>migrante_ci</v>
      </c>
      <c r="B26" s="2550"/>
      <c r="C26" s="2550"/>
      <c r="D26" s="2550"/>
      <c r="E26" s="2544"/>
      <c r="F26" s="2544" t="s">
        <v>1353</v>
      </c>
      <c r="G26" s="2544" t="s">
        <v>1210</v>
      </c>
      <c r="H26" s="2544"/>
      <c r="AM26" s="8"/>
      <c r="AN26" s="8"/>
      <c r="AO26" s="8"/>
      <c r="AP26" s="8"/>
      <c r="AQ26" s="8"/>
      <c r="AR26" s="8"/>
      <c r="AS26" s="8"/>
      <c r="AX26" s="8"/>
      <c r="AY26" s="8"/>
      <c r="AZ26" s="8"/>
      <c r="BA26" s="8"/>
      <c r="BB26" s="8"/>
      <c r="BC26" s="8"/>
      <c r="BD26" s="8"/>
    </row>
    <row r="27" spans="1:56">
      <c r="A27" s="2548" t="s">
        <v>904</v>
      </c>
      <c r="B27" s="7466" t="s">
        <v>1141</v>
      </c>
      <c r="C27" s="7466" t="s">
        <v>1142</v>
      </c>
      <c r="D27" s="7466" t="s">
        <v>1102</v>
      </c>
      <c r="E27" s="2549" t="s">
        <v>938</v>
      </c>
      <c r="F27" s="7" t="s">
        <v>997</v>
      </c>
      <c r="G27" s="2544" t="s">
        <v>1174</v>
      </c>
      <c r="H27" s="2544"/>
      <c r="AL27" t="s">
        <v>1014</v>
      </c>
      <c r="AM27" s="8"/>
      <c r="AN27" s="8"/>
      <c r="AO27" s="8"/>
      <c r="AP27" s="8"/>
      <c r="AQ27" s="8"/>
      <c r="AR27" s="8"/>
      <c r="AS27" s="8"/>
      <c r="AU27" t="s">
        <v>1014</v>
      </c>
      <c r="AW27" s="9341" t="s">
        <v>1014</v>
      </c>
      <c r="AX27" s="8"/>
      <c r="AY27" s="8"/>
      <c r="AZ27" s="8"/>
      <c r="BA27" s="8"/>
      <c r="BB27" s="8"/>
      <c r="BC27" s="8"/>
      <c r="BD27" s="8"/>
    </row>
    <row r="28" spans="1:56">
      <c r="A28" s="2550" t="str">
        <f>A6</f>
        <v xml:space="preserve">  ARG</v>
      </c>
      <c r="B28" s="2550">
        <f t="shared" ref="B28" si="17">B6</f>
        <v>7.6738164809473481</v>
      </c>
      <c r="C28" s="2550">
        <f t="shared" ref="C28:E28" si="18">C6</f>
        <v>11.420207161956561</v>
      </c>
      <c r="D28" s="2550">
        <f t="shared" si="18"/>
        <v>80.905976357096094</v>
      </c>
      <c r="E28" s="2551">
        <f t="shared" si="18"/>
        <v>2022</v>
      </c>
      <c r="F28" s="2551">
        <f>IFERROR(VLOOKUP(TRIM(A28),Fact1_data!$A$2:$F$19,3,0),"")</f>
        <v>8.1207027435302734</v>
      </c>
      <c r="G28" s="2546">
        <f>IFERROR(VLOOKUP(TRIM(A28),Fact1_2!$D$22:$P$41,10,0),"")</f>
        <v>45.773884000000002</v>
      </c>
      <c r="H28" s="2546">
        <f>IFERROR(B28+C28,"")</f>
        <v>19.09402364290391</v>
      </c>
      <c r="AM28" s="8"/>
      <c r="AN28" s="8"/>
      <c r="AO28" s="8"/>
      <c r="AP28" s="8"/>
      <c r="AQ28" s="8"/>
      <c r="AR28" s="8"/>
      <c r="AS28" s="8"/>
      <c r="AW28" s="9343"/>
      <c r="AX28" s="9345"/>
      <c r="AY28" s="9345"/>
      <c r="AZ28" s="9345"/>
      <c r="BA28" s="9345"/>
      <c r="BB28" s="9345"/>
      <c r="BC28" s="9345"/>
      <c r="BD28" s="9345"/>
    </row>
    <row r="29" spans="1:56">
      <c r="A29" s="2550"/>
      <c r="B29" s="2550"/>
      <c r="C29" s="2550"/>
      <c r="D29" s="2550"/>
      <c r="E29" s="2551"/>
      <c r="F29" s="2551" t="str">
        <f>IFERROR(VLOOKUP(TRIM(A29),Fact1_data!$A$2:$F$19,3,0),"")</f>
        <v/>
      </c>
      <c r="G29" s="2546" t="str">
        <f>IFERROR(VLOOKUP(TRIM(A29),Fact1_2!$D$22:$P$41,10,0),"")</f>
        <v/>
      </c>
      <c r="H29" s="2546">
        <f t="shared" ref="H29:H41" si="19">IFERROR(B29+C29,"")</f>
        <v>0</v>
      </c>
      <c r="AL29" s="9320"/>
      <c r="AM29" s="9321" t="s">
        <v>1047</v>
      </c>
      <c r="AN29" s="9322" t="s">
        <v>1046</v>
      </c>
      <c r="AO29" s="9323" t="s">
        <v>1146</v>
      </c>
      <c r="AP29" s="9324" t="s">
        <v>1147</v>
      </c>
      <c r="AQ29" s="9325" t="s">
        <v>1048</v>
      </c>
      <c r="AR29" s="9326" t="s">
        <v>1208</v>
      </c>
      <c r="AS29" s="9327" t="s">
        <v>1049</v>
      </c>
      <c r="AU29" s="9340" t="s">
        <v>1356</v>
      </c>
      <c r="AW29" s="9348" t="s">
        <v>904</v>
      </c>
      <c r="AX29" s="9346" t="s">
        <v>1061</v>
      </c>
      <c r="AY29" s="9346" t="s">
        <v>1062</v>
      </c>
      <c r="AZ29" s="9347" t="s">
        <v>1354</v>
      </c>
      <c r="BA29" s="9347" t="s">
        <v>1181</v>
      </c>
      <c r="BB29" s="9347" t="s">
        <v>1355</v>
      </c>
      <c r="BC29" s="9347" t="s">
        <v>1060</v>
      </c>
      <c r="BD29" s="9347" t="s">
        <v>1059</v>
      </c>
    </row>
    <row r="30" spans="1:56">
      <c r="A30" s="2550" t="str">
        <f t="shared" ref="A30:E30" si="20">A8</f>
        <v xml:space="preserve">  BRA</v>
      </c>
      <c r="B30" s="2550">
        <f>B8</f>
        <v>2.7141169239826493</v>
      </c>
      <c r="C30" s="2550">
        <f t="shared" si="20"/>
        <v>11.022863396080366</v>
      </c>
      <c r="D30" s="2550">
        <f t="shared" si="20"/>
        <v>86.263019679936974</v>
      </c>
      <c r="E30" s="2551">
        <f t="shared" si="20"/>
        <v>2015</v>
      </c>
      <c r="F30" s="2551">
        <f>IFERROR(VLOOKUP(TRIM(A30),Fact1_data!$A$2:$F$19,3,0),"")</f>
        <v>10.865315437316895</v>
      </c>
      <c r="G30" s="2546">
        <f>IFERROR(VLOOKUP(TRIM(A30),Fact1_2!$D$22:$P$41,10,0),"")</f>
        <v>216.42244600000001</v>
      </c>
      <c r="H30" s="2546">
        <f t="shared" si="19"/>
        <v>13.736980320063015</v>
      </c>
      <c r="AL30" s="9320"/>
      <c r="AM30" s="9328">
        <f>AM5+1</f>
        <v>3</v>
      </c>
      <c r="AN30" s="9328">
        <f t="shared" ref="AN30:AS30" si="21">AN5+1</f>
        <v>3</v>
      </c>
      <c r="AO30" s="9328">
        <f t="shared" si="21"/>
        <v>3</v>
      </c>
      <c r="AP30" s="9328">
        <f t="shared" si="21"/>
        <v>3</v>
      </c>
      <c r="AQ30" s="9328">
        <f t="shared" si="21"/>
        <v>3</v>
      </c>
      <c r="AR30" s="9328">
        <f t="shared" si="21"/>
        <v>3</v>
      </c>
      <c r="AS30" s="9328">
        <f t="shared" si="21"/>
        <v>3</v>
      </c>
      <c r="AU30" s="9338"/>
      <c r="AX30" s="8"/>
      <c r="AY30" s="8"/>
      <c r="AZ30" s="8"/>
      <c r="BA30" s="8"/>
      <c r="BB30" s="8"/>
      <c r="BC30" s="8"/>
      <c r="BD30" s="8"/>
    </row>
    <row r="31" spans="1:56">
      <c r="A31" s="2550" t="str">
        <f t="shared" ref="A31:E31" si="22">A9</f>
        <v xml:space="preserve">  CHL</v>
      </c>
      <c r="B31" s="2550">
        <f t="shared" si="22"/>
        <v>1.9733923707230971</v>
      </c>
      <c r="C31" s="2550">
        <f t="shared" si="22"/>
        <v>7.0953289463329838</v>
      </c>
      <c r="D31" s="2550">
        <f t="shared" si="22"/>
        <v>90.931278682943912</v>
      </c>
      <c r="E31" s="2551">
        <f t="shared" si="22"/>
        <v>2022</v>
      </c>
      <c r="F31" s="2551">
        <f>IFERROR(VLOOKUP(TRIM(A31),Fact1_data!$A$2:$F$19,3,0),"")</f>
        <v>3.2169833183288574</v>
      </c>
      <c r="G31" s="2546">
        <f>IFERROR(VLOOKUP(TRIM(A31),Fact1_2!$D$22:$P$41,10,0),"")</f>
        <v>19.62959</v>
      </c>
      <c r="H31" s="2546">
        <f t="shared" si="19"/>
        <v>9.068721317056081</v>
      </c>
      <c r="AL31" s="9320"/>
      <c r="AM31" s="9328"/>
      <c r="AN31" s="9328"/>
      <c r="AO31" s="9328"/>
      <c r="AP31" s="9328"/>
      <c r="AQ31" s="9328"/>
      <c r="AR31" s="9328"/>
      <c r="AS31" s="9328" t="str">
        <f>IFERROR(VLOOKUP($AL34,$A$6:$AJ$24,AS$2,0),"")</f>
        <v/>
      </c>
      <c r="AU31" s="9338"/>
      <c r="AX31" s="8">
        <f t="shared" ref="AX31:BD32" si="23">IFERROR(AM31-$AU31,"")</f>
        <v>0</v>
      </c>
      <c r="AY31" s="8">
        <f t="shared" si="23"/>
        <v>0</v>
      </c>
      <c r="AZ31" s="8">
        <f t="shared" si="23"/>
        <v>0</v>
      </c>
      <c r="BA31" s="8">
        <f t="shared" si="23"/>
        <v>0</v>
      </c>
      <c r="BB31" s="8">
        <f t="shared" si="23"/>
        <v>0</v>
      </c>
      <c r="BC31" s="8">
        <f t="shared" si="23"/>
        <v>0</v>
      </c>
      <c r="BD31" s="8" t="str">
        <f t="shared" si="23"/>
        <v/>
      </c>
    </row>
    <row r="32" spans="1:56">
      <c r="A32" s="2550" t="str">
        <f t="shared" ref="A32:E32" si="24">A10</f>
        <v xml:space="preserve">  COL</v>
      </c>
      <c r="B32" s="2550">
        <f t="shared" si="24"/>
        <v>20.777624741331859</v>
      </c>
      <c r="C32" s="2550">
        <f t="shared" si="24"/>
        <v>30.328332479382169</v>
      </c>
      <c r="D32" s="2550">
        <f t="shared" si="24"/>
        <v>48.894042779285975</v>
      </c>
      <c r="E32" s="2551">
        <f t="shared" si="24"/>
        <v>2022</v>
      </c>
      <c r="F32" s="2551">
        <f>IFERROR(VLOOKUP(TRIM(A32),Fact1_data!$A$2:$F$19,3,0),"")</f>
        <v>19.512697219848633</v>
      </c>
      <c r="G32" s="2546">
        <f>IFERROR(VLOOKUP(TRIM(A32),Fact1_2!$D$22:$P$41,10,0),"")</f>
        <v>52.085168000000003</v>
      </c>
      <c r="H32" s="2546">
        <f t="shared" si="19"/>
        <v>51.105957220714032</v>
      </c>
      <c r="AL32" s="9329" t="s">
        <v>1190</v>
      </c>
      <c r="AM32" s="9328">
        <f t="shared" ref="AM32:AM49" si="25">IFERROR(VLOOKUP($AL32,migrante,AM$30,0),"")</f>
        <v>11.420207161956561</v>
      </c>
      <c r="AN32" s="9328">
        <f t="shared" ref="AN32:AN49" si="26">IFERROR(VLOOKUP($AL32,women,AN$30,0),"")</f>
        <v>13.256116320355796</v>
      </c>
      <c r="AO32" s="9328">
        <f t="shared" ref="AO32:AO49" si="27">IFERROR(VLOOKUP($AL32,age0_15,AO$30,0),"")</f>
        <v>18.586689524907079</v>
      </c>
      <c r="AP32" s="9328">
        <f t="shared" ref="AP32:AP49" si="28">IFERROR(VLOOKUP($AL32,age65_mas,AP$30,0),"")</f>
        <v>4.9075355102828393</v>
      </c>
      <c r="AQ32" s="9328" t="str">
        <f t="shared" ref="AQ32:AQ49" si="29">IFERROR(VLOOKUP($AL32,afro,AQ$30,0),"")</f>
        <v/>
      </c>
      <c r="AR32" s="9328" t="str">
        <f t="shared" ref="AR32:AR49" si="30">IFERROR(VLOOKUP($AL32,dis,AR$30,0),"")</f>
        <v/>
      </c>
      <c r="AS32" s="9328" t="str">
        <f t="shared" ref="AS32:AS49" si="31">IFERROR(VLOOKUP($AL32,indi,AS$30,0),"")</f>
        <v/>
      </c>
      <c r="AU32" s="9339">
        <f>VLOOKUP(TRIM(AL32),Fact1_2!$D$24:$P$41,7,0)</f>
        <v>12.861659049987793</v>
      </c>
      <c r="AW32" s="9342" t="s">
        <v>1190</v>
      </c>
      <c r="AX32" s="8">
        <f t="shared" si="23"/>
        <v>-1.4414518880312315</v>
      </c>
      <c r="AY32" s="8">
        <f t="shared" si="23"/>
        <v>0.39445727036800271</v>
      </c>
      <c r="AZ32" s="8">
        <f t="shared" si="23"/>
        <v>5.7250304749192864</v>
      </c>
      <c r="BA32" s="8">
        <f t="shared" si="23"/>
        <v>-7.9541235397049537</v>
      </c>
      <c r="BB32" s="8" t="str">
        <f t="shared" si="23"/>
        <v/>
      </c>
      <c r="BC32" s="8" t="str">
        <f t="shared" si="23"/>
        <v/>
      </c>
      <c r="BD32" s="8" t="str">
        <f t="shared" si="23"/>
        <v/>
      </c>
    </row>
    <row r="33" spans="1:56">
      <c r="A33" s="2550" t="str">
        <f t="shared" ref="A33:E33" si="32">A11</f>
        <v xml:space="preserve">  CRI</v>
      </c>
      <c r="B33" s="2550">
        <f t="shared" si="32"/>
        <v>8.4416914098494935</v>
      </c>
      <c r="C33" s="2550">
        <f t="shared" si="32"/>
        <v>16.3379662810143</v>
      </c>
      <c r="D33" s="2550">
        <f t="shared" si="32"/>
        <v>75.220342309136214</v>
      </c>
      <c r="E33" s="2551">
        <f t="shared" si="32"/>
        <v>2023</v>
      </c>
      <c r="F33" s="2551">
        <f>IFERROR(VLOOKUP(TRIM(A33),Fact1_data!$A$2:$F$19,3,0),"")</f>
        <v>6.5896177291870117</v>
      </c>
      <c r="G33" s="2546">
        <f>IFERROR(VLOOKUP(TRIM(A33),Fact1_2!$D$22:$P$41,10,0),"")</f>
        <v>5.2121729999999999</v>
      </c>
      <c r="H33" s="2546">
        <f t="shared" si="19"/>
        <v>24.779657690863793</v>
      </c>
      <c r="AL33" s="9319" t="s">
        <v>1191</v>
      </c>
      <c r="AM33" s="9328">
        <f t="shared" si="25"/>
        <v>5.4198548638971458</v>
      </c>
      <c r="AN33" s="9328">
        <f t="shared" si="26"/>
        <v>12.637450635878199</v>
      </c>
      <c r="AO33" s="9328">
        <f t="shared" si="27"/>
        <v>16.144458211010594</v>
      </c>
      <c r="AP33" s="9328">
        <f t="shared" si="28"/>
        <v>16.015063958586744</v>
      </c>
      <c r="AQ33" s="9328">
        <f t="shared" si="29"/>
        <v>0</v>
      </c>
      <c r="AR33" s="9328">
        <f t="shared" si="30"/>
        <v>17.474580493707361</v>
      </c>
      <c r="AS33" s="9328">
        <f t="shared" si="31"/>
        <v>16.411209961139452</v>
      </c>
      <c r="AU33" s="9339">
        <f>VLOOKUP(TRIM(AL33),Fact1_2!$D$24:$P$41,7,0)</f>
        <v>12.590672492980957</v>
      </c>
      <c r="AW33" s="9342" t="s">
        <v>1191</v>
      </c>
      <c r="AX33" s="8"/>
      <c r="AY33" s="8">
        <f t="shared" ref="AY33:AY49" si="33">IFERROR(AN33-$AU33,"")</f>
        <v>4.6778142897242247E-2</v>
      </c>
      <c r="AZ33" s="8">
        <f t="shared" ref="AZ33:AZ49" si="34">IFERROR(AO33-$AU33,"")</f>
        <v>3.5537857180296371</v>
      </c>
      <c r="BA33" s="8">
        <f t="shared" ref="BA33:BA49" si="35">IFERROR(AP33-$AU33,"")</f>
        <v>3.4243914656057868</v>
      </c>
      <c r="BB33" s="8"/>
      <c r="BC33" s="8">
        <f t="shared" ref="BC33:BC49" si="36">IFERROR(AR33-$AU33,"")</f>
        <v>4.8839080007264037</v>
      </c>
      <c r="BD33" s="8">
        <f t="shared" ref="BD33:BD49" si="37">IFERROR(AS33-$AU33,"")</f>
        <v>3.8205374681584949</v>
      </c>
    </row>
    <row r="34" spans="1:56">
      <c r="A34" s="2550" t="str">
        <f t="shared" ref="A34:E34" si="38">A12</f>
        <v xml:space="preserve">  DOM</v>
      </c>
      <c r="B34" s="2550">
        <f t="shared" si="38"/>
        <v>11.438820729281604</v>
      </c>
      <c r="C34" s="2550">
        <f t="shared" si="38"/>
        <v>23.346658615532771</v>
      </c>
      <c r="D34" s="2550">
        <f t="shared" si="38"/>
        <v>65.214520655185623</v>
      </c>
      <c r="E34" s="2551">
        <f t="shared" si="38"/>
        <v>2022</v>
      </c>
      <c r="F34" s="2551">
        <f>IFERROR(VLOOKUP(TRIM(A34),Fact1_data!$A$2:$F$19,3,0),"")</f>
        <v>9.0519723892211914</v>
      </c>
      <c r="G34" s="2546">
        <f>IFERROR(VLOOKUP(TRIM(A34),Fact1_2!$D$22:$P$41,10,0),"")</f>
        <v>11.332973000000001</v>
      </c>
      <c r="H34" s="2546">
        <f t="shared" si="19"/>
        <v>34.785479344814377</v>
      </c>
      <c r="N34" s="2544"/>
      <c r="O34" s="2545" t="s">
        <v>1141</v>
      </c>
      <c r="P34" s="2545" t="s">
        <v>1142</v>
      </c>
      <c r="Q34" s="2545" t="s">
        <v>1102</v>
      </c>
      <c r="AL34" s="9329" t="s">
        <v>1192</v>
      </c>
      <c r="AM34" s="9328">
        <f t="shared" si="25"/>
        <v>11.022863396080366</v>
      </c>
      <c r="AN34" s="9328">
        <f t="shared" si="26"/>
        <v>19.013888125822433</v>
      </c>
      <c r="AO34" s="9328">
        <f t="shared" si="27"/>
        <v>26.865897846795082</v>
      </c>
      <c r="AP34" s="9328">
        <f t="shared" si="28"/>
        <v>8.4391609959353442</v>
      </c>
      <c r="AQ34" s="9328">
        <f t="shared" si="29"/>
        <v>22.49756903955884</v>
      </c>
      <c r="AR34" s="9328" t="str">
        <f t="shared" si="30"/>
        <v/>
      </c>
      <c r="AS34" s="9328">
        <f t="shared" si="31"/>
        <v>25.418534364300555</v>
      </c>
      <c r="AU34" s="9339">
        <f>VLOOKUP(TRIM(AL34),Fact1_2!$D$24:$P$41,7,0)</f>
        <v>18.57042121887207</v>
      </c>
      <c r="AW34" s="9342" t="s">
        <v>1192</v>
      </c>
      <c r="AX34" s="8">
        <f t="shared" ref="AX34:AX49" si="39">IFERROR(AM34-$AU34,"")</f>
        <v>-7.5475578227917044</v>
      </c>
      <c r="AY34" s="8">
        <f t="shared" si="33"/>
        <v>0.44346690695036273</v>
      </c>
      <c r="AZ34" s="8">
        <f t="shared" si="34"/>
        <v>8.2954766279230121</v>
      </c>
      <c r="BA34" s="8">
        <f t="shared" si="35"/>
        <v>-10.131260222936726</v>
      </c>
      <c r="BB34" s="8">
        <f t="shared" ref="BB34:BB49" si="40">IFERROR(AQ34-$AU34,"")</f>
        <v>3.9271478206867698</v>
      </c>
      <c r="BC34" s="8" t="str">
        <f t="shared" si="36"/>
        <v/>
      </c>
      <c r="BD34" s="8">
        <f t="shared" si="37"/>
        <v>6.8481131454284849</v>
      </c>
    </row>
    <row r="35" spans="1:56">
      <c r="A35" s="2550" t="str">
        <f t="shared" ref="A35:E35" si="41">A13</f>
        <v xml:space="preserve">  ECU</v>
      </c>
      <c r="B35" s="2550">
        <f t="shared" si="41"/>
        <v>6.3110658999920712</v>
      </c>
      <c r="C35" s="2550">
        <f t="shared" si="41"/>
        <v>27.555249966392527</v>
      </c>
      <c r="D35" s="2550">
        <f t="shared" si="41"/>
        <v>66.133684133615404</v>
      </c>
      <c r="E35" s="2551">
        <f t="shared" si="41"/>
        <v>2023</v>
      </c>
      <c r="F35" s="2551">
        <f>IFERROR(VLOOKUP(TRIM(A35),Fact1_data!$A$2:$F$19,3,0),"")</f>
        <v>15.846808433532715</v>
      </c>
      <c r="G35" s="2546">
        <f>IFERROR(VLOOKUP(TRIM(A35),Fact1_2!$D$22:$P$41,10,0),"")</f>
        <v>18.190484000000001</v>
      </c>
      <c r="H35" s="2546">
        <f t="shared" si="19"/>
        <v>33.866315866384596</v>
      </c>
      <c r="N35" s="2544" t="str">
        <f>A46</f>
        <v>women_ci</v>
      </c>
      <c r="O35" s="2546">
        <f>B66</f>
        <v>14.561817388451109</v>
      </c>
      <c r="P35" s="2546">
        <f>C66</f>
        <v>19.69648448777151</v>
      </c>
      <c r="Q35" s="2546">
        <f>D66</f>
        <v>65.741698123777368</v>
      </c>
      <c r="AL35" s="9320" t="s">
        <v>1193</v>
      </c>
      <c r="AM35" s="9328">
        <f t="shared" si="25"/>
        <v>7.0953289463329838</v>
      </c>
      <c r="AN35" s="9328">
        <f t="shared" si="26"/>
        <v>8.6579370812080452</v>
      </c>
      <c r="AO35" s="9328">
        <f t="shared" si="27"/>
        <v>12.150499716146387</v>
      </c>
      <c r="AP35" s="9328">
        <f t="shared" si="28"/>
        <v>4.8203525223582533</v>
      </c>
      <c r="AQ35" s="9328" t="str">
        <f t="shared" si="29"/>
        <v/>
      </c>
      <c r="AR35" s="9328">
        <f t="shared" si="30"/>
        <v>8.00031732371286</v>
      </c>
      <c r="AS35" s="9328">
        <f t="shared" si="31"/>
        <v>11.154519266702396</v>
      </c>
      <c r="AU35" s="9339">
        <f>VLOOKUP(TRIM(AL35),Fact1_2!$D$24:$P$41,7,0)</f>
        <v>8.0021905899047852</v>
      </c>
      <c r="AW35" s="9341" t="s">
        <v>1193</v>
      </c>
      <c r="AX35" s="8">
        <f t="shared" si="39"/>
        <v>-0.90686164357180132</v>
      </c>
      <c r="AY35" s="8">
        <f t="shared" si="33"/>
        <v>0.65574649130326002</v>
      </c>
      <c r="AZ35" s="8">
        <f t="shared" si="34"/>
        <v>4.1483091262416014</v>
      </c>
      <c r="BA35" s="8">
        <f t="shared" si="35"/>
        <v>-3.1818380675465319</v>
      </c>
      <c r="BB35" s="8" t="str">
        <f t="shared" si="40"/>
        <v/>
      </c>
      <c r="BC35" s="8">
        <f t="shared" si="36"/>
        <v>-1.8732661919251825E-3</v>
      </c>
      <c r="BD35" s="8">
        <f t="shared" si="37"/>
        <v>3.1523286767976106</v>
      </c>
    </row>
    <row r="36" spans="1:56">
      <c r="A36" s="2550" t="str">
        <f t="shared" ref="A36:E36" si="42">A14</f>
        <v xml:space="preserve">  GUY</v>
      </c>
      <c r="B36" s="2550">
        <f t="shared" si="42"/>
        <v>27.055065824115211</v>
      </c>
      <c r="C36" s="2550">
        <f t="shared" si="42"/>
        <v>24.195810191761627</v>
      </c>
      <c r="D36" s="2550">
        <f t="shared" si="42"/>
        <v>48.749123984123166</v>
      </c>
      <c r="E36" s="2551">
        <f t="shared" si="42"/>
        <v>2021</v>
      </c>
      <c r="F36" s="2551">
        <f>IFERROR(VLOOKUP(TRIM(A36),Fact1_data!$A$2:$F$19,3,0),"")</f>
        <v>31.99846076965332</v>
      </c>
      <c r="G36" s="2546">
        <f>IFERROR(VLOOKUP(TRIM(A36),Fact1_2!$D$22:$P$41,10,0),"")</f>
        <v>0.81383399999999995</v>
      </c>
      <c r="H36" s="2546">
        <f t="shared" si="19"/>
        <v>51.250876015876841</v>
      </c>
      <c r="AL36" s="9320" t="s">
        <v>1194</v>
      </c>
      <c r="AM36" s="9328">
        <f t="shared" si="25"/>
        <v>30.328332479382169</v>
      </c>
      <c r="AN36" s="9328">
        <f t="shared" si="26"/>
        <v>21.809160215115469</v>
      </c>
      <c r="AO36" s="9328">
        <f t="shared" si="27"/>
        <v>27.600017541861043</v>
      </c>
      <c r="AP36" s="9328">
        <f t="shared" si="28"/>
        <v>16.54141113964873</v>
      </c>
      <c r="AQ36" s="9328">
        <f t="shared" si="29"/>
        <v>27.012961148719068</v>
      </c>
      <c r="AR36" s="9328">
        <f t="shared" si="30"/>
        <v>21.230780717465095</v>
      </c>
      <c r="AS36" s="9328">
        <f t="shared" si="31"/>
        <v>24.220584661751875</v>
      </c>
      <c r="AU36" s="9339">
        <f>VLOOKUP(TRIM(AL36),Fact1_2!$D$24:$P$41,7,0)</f>
        <v>21.709625244140625</v>
      </c>
      <c r="AW36" s="9341" t="s">
        <v>1194</v>
      </c>
      <c r="AX36" s="8">
        <f t="shared" si="39"/>
        <v>8.6187072352415441</v>
      </c>
      <c r="AY36" s="8">
        <f t="shared" si="33"/>
        <v>9.9534970974843873E-2</v>
      </c>
      <c r="AZ36" s="8">
        <f t="shared" si="34"/>
        <v>5.8903922977204175</v>
      </c>
      <c r="BA36" s="8">
        <f t="shared" si="35"/>
        <v>-5.168214104491895</v>
      </c>
      <c r="BB36" s="8">
        <f t="shared" si="40"/>
        <v>5.3033359045784429</v>
      </c>
      <c r="BC36" s="8">
        <f t="shared" si="36"/>
        <v>-0.47884452667553035</v>
      </c>
      <c r="BD36" s="8">
        <f t="shared" si="37"/>
        <v>2.5109594176112502</v>
      </c>
    </row>
    <row r="37" spans="1:56">
      <c r="A37" s="2550" t="str">
        <f t="shared" ref="A37:E37" si="43">A15</f>
        <v xml:space="preserve">  HND</v>
      </c>
      <c r="B37" s="2550">
        <f t="shared" si="43"/>
        <v>30.806297634420588</v>
      </c>
      <c r="C37" s="2550">
        <f t="shared" si="43"/>
        <v>27.471079101864245</v>
      </c>
      <c r="D37" s="2550">
        <f t="shared" si="43"/>
        <v>41.722623263715171</v>
      </c>
      <c r="E37" s="2551">
        <f t="shared" si="43"/>
        <v>2018</v>
      </c>
      <c r="F37" s="2551">
        <f>IFERROR(VLOOKUP(TRIM(A37),Fact1_data!$A$2:$F$19,3,0),"")</f>
        <v>35.109729766845703</v>
      </c>
      <c r="G37" s="2546">
        <f>IFERROR(VLOOKUP(TRIM(A37),Fact1_2!$D$22:$P$41,10,0),"")</f>
        <v>10.593798</v>
      </c>
      <c r="H37" s="2546">
        <f t="shared" si="19"/>
        <v>58.277376736284836</v>
      </c>
      <c r="N37" s="2544" t="str">
        <f>A69</f>
        <v>age0_15</v>
      </c>
      <c r="O37" s="2546">
        <f>B89</f>
        <v>21.361783440903785</v>
      </c>
      <c r="P37" s="2546">
        <f>C89</f>
        <v>25.773466685901671</v>
      </c>
      <c r="Q37" s="2546">
        <f>D89</f>
        <v>52.864749873194548</v>
      </c>
      <c r="AL37" s="9320" t="s">
        <v>1195</v>
      </c>
      <c r="AM37" s="9328">
        <f t="shared" si="25"/>
        <v>16.3379662810143</v>
      </c>
      <c r="AN37" s="9328">
        <f t="shared" si="26"/>
        <v>14.531539890363138</v>
      </c>
      <c r="AO37" s="9328">
        <f t="shared" si="27"/>
        <v>23.523915391530291</v>
      </c>
      <c r="AP37" s="9328">
        <f t="shared" si="28"/>
        <v>10.912820038845719</v>
      </c>
      <c r="AQ37" s="9328" t="str">
        <f t="shared" si="29"/>
        <v/>
      </c>
      <c r="AR37" s="9328">
        <f t="shared" si="30"/>
        <v>16.224804674676648</v>
      </c>
      <c r="AS37" s="9328" t="str">
        <f t="shared" si="31"/>
        <v/>
      </c>
      <c r="AU37" s="9339">
        <f>VLOOKUP(TRIM(AL37),Fact1_2!$D$24:$P$41,7,0)</f>
        <v>14.285224914550781</v>
      </c>
      <c r="AW37" s="9341" t="s">
        <v>1195</v>
      </c>
      <c r="AX37" s="8">
        <f t="shared" si="39"/>
        <v>2.0527413664635183</v>
      </c>
      <c r="AY37" s="8">
        <f t="shared" si="33"/>
        <v>0.24631497581235706</v>
      </c>
      <c r="AZ37" s="8">
        <f t="shared" si="34"/>
        <v>9.2386904769795102</v>
      </c>
      <c r="BA37" s="8">
        <f t="shared" si="35"/>
        <v>-3.3724048757050618</v>
      </c>
      <c r="BB37" s="8" t="str">
        <f t="shared" si="40"/>
        <v/>
      </c>
      <c r="BC37" s="8">
        <f t="shared" si="36"/>
        <v>1.9395797601258664</v>
      </c>
      <c r="BD37" s="8" t="str">
        <f t="shared" si="37"/>
        <v/>
      </c>
    </row>
    <row r="38" spans="1:56">
      <c r="A38" s="2550" t="str">
        <f t="shared" ref="A38:E38" si="44">A16</f>
        <v xml:space="preserve">  PAN</v>
      </c>
      <c r="B38" s="2550">
        <f t="shared" si="44"/>
        <v>2.5306904257480336</v>
      </c>
      <c r="C38" s="2550">
        <f t="shared" si="44"/>
        <v>3.3142757639957048</v>
      </c>
      <c r="D38" s="2550">
        <f t="shared" si="44"/>
        <v>94.155033810256256</v>
      </c>
      <c r="E38" s="2551">
        <f t="shared" si="44"/>
        <v>2022</v>
      </c>
      <c r="F38" s="2551">
        <f>IFERROR(VLOOKUP(TRIM(A38),Fact1_data!$A$2:$F$19,3,0),"")</f>
        <v>8.9458808898925781</v>
      </c>
      <c r="G38" s="2546">
        <f>IFERROR(VLOOKUP(TRIM(A38),Fact1_2!$D$22:$P$41,10,0),"")</f>
        <v>4.4680869999999997</v>
      </c>
      <c r="H38" s="2546">
        <f t="shared" si="19"/>
        <v>5.8449661897437384</v>
      </c>
      <c r="N38" s="2547" t="str">
        <f>A92</f>
        <v>age65_mas</v>
      </c>
      <c r="O38" s="2546">
        <f>B112</f>
        <v>10.551139530106886</v>
      </c>
      <c r="P38" s="2546">
        <f>C112</f>
        <v>13.893943024604077</v>
      </c>
      <c r="Q38" s="2546">
        <f>D112</f>
        <v>75.554917445289064</v>
      </c>
      <c r="AL38" s="9320" t="s">
        <v>1196</v>
      </c>
      <c r="AM38" s="9328">
        <f t="shared" si="25"/>
        <v>23.346658615532771</v>
      </c>
      <c r="AN38" s="9328">
        <f t="shared" si="26"/>
        <v>21.599385869571609</v>
      </c>
      <c r="AO38" s="9328">
        <f t="shared" si="27"/>
        <v>27.83143168157433</v>
      </c>
      <c r="AP38" s="9328">
        <f t="shared" si="28"/>
        <v>17.641543478024779</v>
      </c>
      <c r="AQ38" s="9328" t="str">
        <f t="shared" si="29"/>
        <v/>
      </c>
      <c r="AR38" s="9328" t="str">
        <f t="shared" si="30"/>
        <v/>
      </c>
      <c r="AS38" s="9328" t="str">
        <f t="shared" si="31"/>
        <v/>
      </c>
      <c r="AU38" s="9339">
        <f>VLOOKUP(TRIM(AL38),Fact1_2!$D$24:$P$41,7,0)</f>
        <v>20.271793365478516</v>
      </c>
      <c r="AW38" s="9341" t="s">
        <v>1196</v>
      </c>
      <c r="AX38" s="8">
        <f t="shared" si="39"/>
        <v>3.0748652500542555</v>
      </c>
      <c r="AY38" s="8">
        <f t="shared" si="33"/>
        <v>1.3275925040930936</v>
      </c>
      <c r="AZ38" s="8">
        <f t="shared" si="34"/>
        <v>7.559638316095814</v>
      </c>
      <c r="BA38" s="8">
        <f t="shared" si="35"/>
        <v>-2.6302498874537363</v>
      </c>
      <c r="BB38" s="8" t="str">
        <f t="shared" si="40"/>
        <v/>
      </c>
      <c r="BC38" s="8" t="str">
        <f t="shared" si="36"/>
        <v/>
      </c>
      <c r="BD38" s="8" t="str">
        <f t="shared" si="37"/>
        <v/>
      </c>
    </row>
    <row r="39" spans="1:56">
      <c r="A39" s="2550" t="str">
        <f t="shared" ref="A39:E39" si="45">A17</f>
        <v xml:space="preserve">  PER</v>
      </c>
      <c r="B39" s="2550">
        <f t="shared" si="45"/>
        <v>3.2016234951055731</v>
      </c>
      <c r="C39" s="2550">
        <f t="shared" si="45"/>
        <v>18.7828229975112</v>
      </c>
      <c r="D39" s="2550">
        <f t="shared" si="45"/>
        <v>78.015553507383231</v>
      </c>
      <c r="E39" s="2551">
        <f t="shared" si="45"/>
        <v>2022</v>
      </c>
      <c r="F39" s="2551">
        <f>IFERROR(VLOOKUP(TRIM(A39),Fact1_data!$A$2:$F$19,3,0),"")</f>
        <v>12.462396621704102</v>
      </c>
      <c r="G39" s="2546">
        <f>IFERROR(VLOOKUP(TRIM(A39),Fact1_2!$D$22:$P$41,10,0),"")</f>
        <v>34.352719</v>
      </c>
      <c r="H39" s="2546">
        <f t="shared" si="19"/>
        <v>21.984446492616772</v>
      </c>
      <c r="AL39" s="9320" t="s">
        <v>1197</v>
      </c>
      <c r="AM39" s="9328">
        <f t="shared" si="25"/>
        <v>27.555249966392527</v>
      </c>
      <c r="AN39" s="9328">
        <f t="shared" si="26"/>
        <v>25.071053151720186</v>
      </c>
      <c r="AO39" s="9328">
        <f t="shared" si="27"/>
        <v>29.520246843100463</v>
      </c>
      <c r="AP39" s="9328">
        <f t="shared" si="28"/>
        <v>19.787327570660747</v>
      </c>
      <c r="AQ39" s="9328">
        <f t="shared" si="29"/>
        <v>34.373088368398101</v>
      </c>
      <c r="AR39" s="9328" t="str">
        <f t="shared" si="30"/>
        <v/>
      </c>
      <c r="AS39" s="9328">
        <f t="shared" si="31"/>
        <v>18.856488353156106</v>
      </c>
      <c r="AU39" s="9339">
        <f>VLOOKUP(TRIM(AL39),Fact1_2!$D$24:$P$41,7,0)</f>
        <v>24.52301025390625</v>
      </c>
      <c r="AW39" s="9341" t="s">
        <v>1197</v>
      </c>
      <c r="AX39" s="8">
        <f t="shared" si="39"/>
        <v>3.0322397124862768</v>
      </c>
      <c r="AY39" s="8">
        <f t="shared" si="33"/>
        <v>0.54804289781393578</v>
      </c>
      <c r="AZ39" s="8">
        <f t="shared" si="34"/>
        <v>4.9972365891942125</v>
      </c>
      <c r="BA39" s="8">
        <f t="shared" si="35"/>
        <v>-4.7356826832455035</v>
      </c>
      <c r="BB39" s="8">
        <f t="shared" si="40"/>
        <v>9.8500781144918506</v>
      </c>
      <c r="BC39" s="8" t="str">
        <f t="shared" si="36"/>
        <v/>
      </c>
      <c r="BD39" s="8">
        <f t="shared" si="37"/>
        <v>-5.6665219007501442</v>
      </c>
    </row>
    <row r="40" spans="1:56">
      <c r="A40" s="2550" t="str">
        <f t="shared" ref="A40:E40" si="46">A18</f>
        <v xml:space="preserve">  PRY</v>
      </c>
      <c r="B40" s="2550">
        <f t="shared" si="46"/>
        <v>9.2723930844504086</v>
      </c>
      <c r="C40" s="2550">
        <f t="shared" si="46"/>
        <v>17.631438439985068</v>
      </c>
      <c r="D40" s="2550">
        <f t="shared" si="46"/>
        <v>73.096168475564525</v>
      </c>
      <c r="E40" s="2551">
        <f t="shared" si="46"/>
        <v>2022</v>
      </c>
      <c r="F40" s="2551">
        <f>IFERROR(VLOOKUP(TRIM(A40),Fact1_data!$A$2:$F$19,3,0),"")</f>
        <v>12.367045402526855</v>
      </c>
      <c r="G40" s="2546">
        <f>IFERROR(VLOOKUP(TRIM(A40),Fact1_2!$D$22:$P$41,10,0),"")</f>
        <v>6.8615240000000002</v>
      </c>
      <c r="H40" s="2546">
        <f t="shared" si="19"/>
        <v>26.903831524435475</v>
      </c>
      <c r="N40" s="2544" t="str">
        <f>A144</f>
        <v>indi</v>
      </c>
      <c r="O40" s="2546">
        <f>B157</f>
        <v>22.687184545288201</v>
      </c>
      <c r="P40" s="2546">
        <f>C157</f>
        <v>25.079325303478189</v>
      </c>
      <c r="Q40" s="2546">
        <f>D157</f>
        <v>52.233490151233617</v>
      </c>
      <c r="AL40" s="9320" t="s">
        <v>1204</v>
      </c>
      <c r="AM40" s="9328" t="str">
        <f t="shared" si="25"/>
        <v/>
      </c>
      <c r="AN40" s="9328">
        <f t="shared" si="26"/>
        <v>23.541612501473082</v>
      </c>
      <c r="AO40" s="9328">
        <f t="shared" si="27"/>
        <v>26.065815155977123</v>
      </c>
      <c r="AP40" s="9328">
        <f t="shared" si="28"/>
        <v>18.060789069121515</v>
      </c>
      <c r="AQ40" s="9328">
        <f t="shared" si="29"/>
        <v>23.626756579393994</v>
      </c>
      <c r="AR40" s="9328" t="str">
        <f t="shared" si="30"/>
        <v/>
      </c>
      <c r="AS40" s="9328">
        <f t="shared" si="31"/>
        <v>22.507522699121434</v>
      </c>
      <c r="AU40" s="9339">
        <f>VLOOKUP(TRIM(AL40),Fact1_2!$D$24:$P$41,7,0)</f>
        <v>23.455238342285156</v>
      </c>
      <c r="AW40" s="9341" t="s">
        <v>1204</v>
      </c>
      <c r="AX40" s="8" t="str">
        <f t="shared" si="39"/>
        <v/>
      </c>
      <c r="AY40" s="8">
        <f t="shared" si="33"/>
        <v>8.6374159187926125E-2</v>
      </c>
      <c r="AZ40" s="8">
        <f t="shared" si="34"/>
        <v>2.6105768136919671</v>
      </c>
      <c r="BA40" s="8">
        <f t="shared" si="35"/>
        <v>-5.3944492731636409</v>
      </c>
      <c r="BB40" s="8">
        <f t="shared" si="40"/>
        <v>0.17151823710883818</v>
      </c>
      <c r="BC40" s="8" t="str">
        <f t="shared" si="36"/>
        <v/>
      </c>
      <c r="BD40" s="8">
        <f t="shared" si="37"/>
        <v>-0.94771564316372192</v>
      </c>
    </row>
    <row r="41" spans="1:56">
      <c r="A41" s="2550" t="str">
        <f t="shared" ref="A41:E41" si="47">A19</f>
        <v xml:space="preserve">  VEN</v>
      </c>
      <c r="B41" s="2550">
        <f t="shared" si="47"/>
        <v>40.216262613076772</v>
      </c>
      <c r="C41" s="2550">
        <f t="shared" si="47"/>
        <v>14.923084882500854</v>
      </c>
      <c r="D41" s="2550">
        <f t="shared" si="47"/>
        <v>44.860652504422376</v>
      </c>
      <c r="E41" s="2551">
        <f t="shared" si="47"/>
        <v>2021</v>
      </c>
      <c r="F41" s="2551">
        <f>IFERROR(VLOOKUP(TRIM(A41),Fact1_data!$A$2:$F$19,3,0),"")</f>
        <v>53.867767333984375</v>
      </c>
      <c r="G41" s="2546">
        <f>IFERROR(VLOOKUP(TRIM(A41),Fact1_2!$D$22:$P$41,10,0),"")</f>
        <v>28.838498999999999</v>
      </c>
      <c r="H41" s="2546">
        <f t="shared" si="19"/>
        <v>55.139347495577624</v>
      </c>
      <c r="N41" s="2544" t="str">
        <f>A116</f>
        <v>afro</v>
      </c>
      <c r="O41" s="2546">
        <f>B127</f>
        <v>19.576560066366984</v>
      </c>
      <c r="P41" s="2546">
        <f>C127</f>
        <v>24.068338666640901</v>
      </c>
      <c r="Q41" s="2546">
        <f>D127</f>
        <v>56.355101266992108</v>
      </c>
      <c r="AL41" s="9320" t="s">
        <v>1198</v>
      </c>
      <c r="AM41" s="9328">
        <f t="shared" si="25"/>
        <v>24.195810191761627</v>
      </c>
      <c r="AN41" s="9328">
        <f t="shared" si="26"/>
        <v>26.371047719477716</v>
      </c>
      <c r="AO41" s="9328">
        <f t="shared" si="27"/>
        <v>27.618896916928509</v>
      </c>
      <c r="AP41" s="9328">
        <f t="shared" si="28"/>
        <v>30.045923921935874</v>
      </c>
      <c r="AQ41" s="9328" t="str">
        <f t="shared" si="29"/>
        <v/>
      </c>
      <c r="AR41" s="9328" t="str">
        <f t="shared" si="30"/>
        <v/>
      </c>
      <c r="AS41" s="9328" t="str">
        <f t="shared" si="31"/>
        <v/>
      </c>
      <c r="AU41" s="9339">
        <f>VLOOKUP(TRIM(AL41),Fact1_2!$D$24:$P$41,7,0)</f>
        <v>25.941425323486328</v>
      </c>
      <c r="AW41" s="9341" t="s">
        <v>1198</v>
      </c>
      <c r="AX41" s="8">
        <f t="shared" si="39"/>
        <v>-1.7456151317247013</v>
      </c>
      <c r="AY41" s="8">
        <f t="shared" si="33"/>
        <v>0.42962239599138741</v>
      </c>
      <c r="AZ41" s="8">
        <f t="shared" si="34"/>
        <v>1.6774715934421813</v>
      </c>
      <c r="BA41" s="8">
        <f t="shared" si="35"/>
        <v>4.1044985984495455</v>
      </c>
      <c r="BB41" s="8" t="str">
        <f t="shared" si="40"/>
        <v/>
      </c>
      <c r="BC41" s="8" t="str">
        <f t="shared" si="36"/>
        <v/>
      </c>
      <c r="BD41" s="8" t="str">
        <f t="shared" si="37"/>
        <v/>
      </c>
    </row>
    <row r="42" spans="1:56">
      <c r="A42" s="2552" t="s">
        <v>0</v>
      </c>
      <c r="B42" s="2550">
        <f>SUMPRODUCT(B28:B41,$G28:$G41)/SUM($G28:$G41)</f>
        <v>8.8898411980740306</v>
      </c>
      <c r="C42" s="2550">
        <f>SUMPRODUCT(C28:C41,$G28:$G41)/SUM($G28:$G41)</f>
        <v>15.39979712306627</v>
      </c>
      <c r="D42" s="2550">
        <f>SUMPRODUCT(D28:D41,$G28:$G41)/SUM($G28:$G41)</f>
        <v>75.710361678859712</v>
      </c>
      <c r="E42" s="2551"/>
      <c r="F42" s="2551" t="str">
        <f>IFERROR(VLOOKUP(TRIM(A42),Fact1_data!$A$2:$F$19,3,0),"")</f>
        <v/>
      </c>
      <c r="G42" s="2546" t="str">
        <f>IFERROR(VLOOKUP(TRIM(A42),Fact1_2!$D$22:$P$41,10,0),"")</f>
        <v/>
      </c>
      <c r="H42" s="2546">
        <f>IFERROR(B42+C42,"")</f>
        <v>24.289638321140302</v>
      </c>
      <c r="AL42" s="9320" t="s">
        <v>1199</v>
      </c>
      <c r="AM42" s="9328">
        <f t="shared" si="25"/>
        <v>27.471079101864245</v>
      </c>
      <c r="AN42" s="9328">
        <f t="shared" si="26"/>
        <v>24.509593409435031</v>
      </c>
      <c r="AO42" s="9328">
        <f t="shared" si="27"/>
        <v>27.631010353533842</v>
      </c>
      <c r="AP42" s="9328">
        <f t="shared" si="28"/>
        <v>23.214268993340312</v>
      </c>
      <c r="AQ42" s="9328">
        <f t="shared" si="29"/>
        <v>19.900720890718233</v>
      </c>
      <c r="AR42" s="9328" t="str">
        <f t="shared" si="30"/>
        <v/>
      </c>
      <c r="AS42" s="9328">
        <f t="shared" si="31"/>
        <v>47.936162623599976</v>
      </c>
      <c r="AU42" s="9339">
        <f>VLOOKUP(TRIM(AL42),Fact1_2!$D$24:$P$41,7,0)</f>
        <v>25.065221786499023</v>
      </c>
      <c r="AW42" s="9341" t="s">
        <v>1199</v>
      </c>
      <c r="AX42" s="8">
        <f t="shared" si="39"/>
        <v>2.4058573153652212</v>
      </c>
      <c r="AY42" s="8">
        <f t="shared" si="33"/>
        <v>-0.55562837706399293</v>
      </c>
      <c r="AZ42" s="8">
        <f t="shared" si="34"/>
        <v>2.5657885670348186</v>
      </c>
      <c r="BA42" s="8">
        <f t="shared" si="35"/>
        <v>-1.8509527931587115</v>
      </c>
      <c r="BB42" s="8">
        <f t="shared" si="40"/>
        <v>-5.1645008957807903</v>
      </c>
      <c r="BC42" s="8" t="str">
        <f t="shared" si="36"/>
        <v/>
      </c>
      <c r="BD42" s="8">
        <f t="shared" si="37"/>
        <v>22.870940837100953</v>
      </c>
    </row>
    <row r="43" spans="1:56">
      <c r="A43" s="2552" t="s">
        <v>1227</v>
      </c>
      <c r="B43" s="2550">
        <f>AVERAGE(B28:B42)</f>
        <v>12.950193059364196</v>
      </c>
      <c r="C43" s="2550">
        <f t="shared" ref="C43:D43" si="48">AVERAGE(C28:C41)</f>
        <v>17.955778324946952</v>
      </c>
      <c r="D43" s="2550">
        <f t="shared" si="48"/>
        <v>68.781693857128076</v>
      </c>
      <c r="E43" s="2551"/>
      <c r="F43" s="2551" t="str">
        <f>IFERROR(VLOOKUP(TRIM(A43),Fact1_data!$A$2:$F$19,3,0),"")</f>
        <v/>
      </c>
      <c r="G43" s="2546" t="str">
        <f>IFERROR(VLOOKUP(TRIM(A43),Fact1_2!$D$22:$P$41,10,0),"")</f>
        <v/>
      </c>
      <c r="H43" s="2546">
        <f t="shared" ref="H43" si="49">IFERROR(B43+C43,"")</f>
        <v>30.905971384311147</v>
      </c>
      <c r="N43" s="2544" t="str">
        <f>A131</f>
        <v>Personas con discapacidad</v>
      </c>
      <c r="O43" s="2546">
        <f>B140</f>
        <v>13.484131589931598</v>
      </c>
      <c r="P43" s="2546">
        <f>C140</f>
        <v>20.935802178612768</v>
      </c>
      <c r="Q43" s="2546">
        <f>D140</f>
        <v>65.580066231455632</v>
      </c>
      <c r="AL43" s="9320" t="s">
        <v>1205</v>
      </c>
      <c r="AM43" s="9328" t="str">
        <f t="shared" si="25"/>
        <v/>
      </c>
      <c r="AN43" s="9328">
        <f t="shared" si="26"/>
        <v>22.207367053160116</v>
      </c>
      <c r="AO43" s="9328">
        <f t="shared" si="27"/>
        <v>28.699566775119905</v>
      </c>
      <c r="AP43" s="9328">
        <f t="shared" si="28"/>
        <v>20.138605214598623</v>
      </c>
      <c r="AQ43" s="9328" t="str">
        <f t="shared" si="29"/>
        <v/>
      </c>
      <c r="AR43" s="9328">
        <f t="shared" si="30"/>
        <v>21.786105979068729</v>
      </c>
      <c r="AS43" s="9328">
        <f t="shared" si="31"/>
        <v>27.011167875565512</v>
      </c>
      <c r="AU43" s="9339">
        <f>VLOOKUP(TRIM(AL43),Fact1_2!$D$24:$P$41,7,0)</f>
        <v>21.706216812133789</v>
      </c>
      <c r="AW43" s="9341" t="s">
        <v>1205</v>
      </c>
      <c r="AX43" s="8" t="str">
        <f t="shared" si="39"/>
        <v/>
      </c>
      <c r="AY43" s="8">
        <f t="shared" si="33"/>
        <v>0.50115024102632688</v>
      </c>
      <c r="AZ43" s="8">
        <f t="shared" si="34"/>
        <v>6.993349962986116</v>
      </c>
      <c r="BA43" s="8">
        <f t="shared" si="35"/>
        <v>-1.5676115975351657</v>
      </c>
      <c r="BB43" s="8" t="str">
        <f t="shared" si="40"/>
        <v/>
      </c>
      <c r="BC43" s="8">
        <f t="shared" si="36"/>
        <v>7.9889166934940192E-2</v>
      </c>
      <c r="BD43" s="8">
        <f t="shared" si="37"/>
        <v>5.304951063431723</v>
      </c>
    </row>
    <row r="44" spans="1:56">
      <c r="A44" s="3671" t="str">
        <f>A7</f>
        <v xml:space="preserve">  BOL</v>
      </c>
      <c r="B44" s="3671">
        <f>B7</f>
        <v>0</v>
      </c>
      <c r="C44" s="3671">
        <f>C7</f>
        <v>5.4198548638971458</v>
      </c>
      <c r="D44" s="3671">
        <f>D7</f>
        <v>94.580145136102857</v>
      </c>
      <c r="E44" s="2566">
        <f>E7</f>
        <v>2022</v>
      </c>
      <c r="F44" s="2551">
        <f>IFERROR(VLOOKUP(TRIM(A44),Fact1_data!$A$2:$F$19,3,0),"")</f>
        <v>9.1588373184204102</v>
      </c>
      <c r="G44" s="2546">
        <f>IFERROR(VLOOKUP(TRIM(A44),Fact1_2!$D$22:$P$41,10,0),"")</f>
        <v>12.388571000000001</v>
      </c>
      <c r="H44" s="3670">
        <f>IFERROR(B44+C44,"")</f>
        <v>5.4198548638971458</v>
      </c>
      <c r="I44" t="s">
        <v>1278</v>
      </c>
      <c r="AL44" s="9320" t="s">
        <v>1200</v>
      </c>
      <c r="AM44" s="9328">
        <f t="shared" si="25"/>
        <v>3.3142757639957048</v>
      </c>
      <c r="AN44" s="9328">
        <f t="shared" si="26"/>
        <v>10.72789041967919</v>
      </c>
      <c r="AO44" s="9328">
        <f t="shared" si="27"/>
        <v>15.306305776461517</v>
      </c>
      <c r="AP44" s="9328">
        <f t="shared" si="28"/>
        <v>8.5606361978247971</v>
      </c>
      <c r="AQ44" s="9328">
        <f t="shared" si="29"/>
        <v>8.7171880089316893</v>
      </c>
      <c r="AR44" s="9328">
        <f t="shared" si="30"/>
        <v>11.255553230910738</v>
      </c>
      <c r="AS44" s="9328">
        <f t="shared" si="31"/>
        <v>21.734155001428395</v>
      </c>
      <c r="AU44" s="9339">
        <f>VLOOKUP(TRIM(AL44),Fact1_2!$D$24:$P$41,7,0)</f>
        <v>10.491399765014648</v>
      </c>
      <c r="AW44" s="9341" t="s">
        <v>1200</v>
      </c>
      <c r="AX44" s="8">
        <f t="shared" si="39"/>
        <v>-7.1771240010189441</v>
      </c>
      <c r="AY44" s="8">
        <f t="shared" si="33"/>
        <v>0.23649065466454111</v>
      </c>
      <c r="AZ44" s="8">
        <f t="shared" si="34"/>
        <v>4.8149060114468689</v>
      </c>
      <c r="BA44" s="8">
        <f t="shared" si="35"/>
        <v>-1.9307635671898513</v>
      </c>
      <c r="BB44" s="8">
        <f t="shared" si="40"/>
        <v>-1.7742117560829591</v>
      </c>
      <c r="BC44" s="8">
        <f t="shared" si="36"/>
        <v>0.76415346589609001</v>
      </c>
      <c r="BD44" s="8">
        <f t="shared" si="37"/>
        <v>11.242755236413746</v>
      </c>
    </row>
    <row r="45" spans="1:56">
      <c r="A45" s="2544"/>
      <c r="B45" s="2550"/>
      <c r="C45" s="2550"/>
      <c r="D45" s="2550"/>
      <c r="E45" s="2551"/>
      <c r="F45" s="2551" t="str">
        <f>IFERROR(VLOOKUP(TRIM(A45),Fact1_data!$A$2:$F$19,3,0),"")</f>
        <v/>
      </c>
      <c r="G45" s="2546" t="str">
        <f>IFERROR(VLOOKUP(TRIM(A45),Fact1_2!$D$22:$P$41,10,0),"")</f>
        <v/>
      </c>
      <c r="H45" s="2546"/>
      <c r="N45" s="2544" t="str">
        <f>A26</f>
        <v>migrante_ci</v>
      </c>
      <c r="O45" s="2546">
        <f>B42</f>
        <v>8.8898411980740306</v>
      </c>
      <c r="P45" s="2546">
        <f>C42</f>
        <v>15.39979712306627</v>
      </c>
      <c r="Q45" s="2546">
        <f>D42</f>
        <v>75.710361678859712</v>
      </c>
      <c r="AL45" s="9320" t="s">
        <v>1201</v>
      </c>
      <c r="AM45" s="9328">
        <f t="shared" si="25"/>
        <v>18.7828229975112</v>
      </c>
      <c r="AN45" s="9328">
        <f t="shared" si="26"/>
        <v>25.990807498905884</v>
      </c>
      <c r="AO45" s="9328">
        <f t="shared" si="27"/>
        <v>31.681329060548517</v>
      </c>
      <c r="AP45" s="9328">
        <f t="shared" si="28"/>
        <v>25.187682183792209</v>
      </c>
      <c r="AQ45" s="9328">
        <f t="shared" si="29"/>
        <v>28.119352611487997</v>
      </c>
      <c r="AR45" s="9328">
        <f t="shared" si="30"/>
        <v>27.922565574366558</v>
      </c>
      <c r="AS45" s="9328">
        <f t="shared" si="31"/>
        <v>27.770555385096742</v>
      </c>
      <c r="AU45" s="9339">
        <f>VLOOKUP(TRIM(AL45),Fact1_2!$D$24:$P$41,7,0)</f>
        <v>25.205045700073242</v>
      </c>
      <c r="AW45" s="9341" t="s">
        <v>1201</v>
      </c>
      <c r="AX45" s="8">
        <f t="shared" si="39"/>
        <v>-6.422222702562042</v>
      </c>
      <c r="AY45" s="8">
        <f t="shared" si="33"/>
        <v>0.78576179883264174</v>
      </c>
      <c r="AZ45" s="8">
        <f t="shared" si="34"/>
        <v>6.476283360475275</v>
      </c>
      <c r="BA45" s="8">
        <f t="shared" si="35"/>
        <v>-1.7363516281033498E-2</v>
      </c>
      <c r="BB45" s="8">
        <f t="shared" si="40"/>
        <v>2.9143069114147551</v>
      </c>
      <c r="BC45" s="8">
        <f t="shared" si="36"/>
        <v>2.7175198742933162</v>
      </c>
      <c r="BD45" s="8">
        <f t="shared" si="37"/>
        <v>2.5655096850234997</v>
      </c>
    </row>
    <row r="46" spans="1:56">
      <c r="A46" s="2544" t="str">
        <f>H1</f>
        <v>women_ci</v>
      </c>
      <c r="B46" s="2550"/>
      <c r="C46" s="2550"/>
      <c r="D46" s="2550"/>
      <c r="E46" s="2551"/>
      <c r="F46" s="2551" t="str">
        <f>IFERROR(VLOOKUP(TRIM(A46),Fact1_data!$A$2:$F$19,3,0),"")</f>
        <v/>
      </c>
      <c r="G46" s="2546" t="str">
        <f>IFERROR(VLOOKUP(TRIM(A46),Fact1_2!$D$22:$P$41,10,0),"")</f>
        <v/>
      </c>
      <c r="H46" s="2546"/>
      <c r="AL46" s="9320" t="s">
        <v>1202</v>
      </c>
      <c r="AM46" s="9328">
        <f t="shared" si="25"/>
        <v>17.631438439985068</v>
      </c>
      <c r="AN46" s="9328">
        <f t="shared" si="26"/>
        <v>19.368206945879013</v>
      </c>
      <c r="AO46" s="9328">
        <f t="shared" si="27"/>
        <v>24.64683466828178</v>
      </c>
      <c r="AP46" s="9328">
        <f t="shared" si="28"/>
        <v>22.478721107735957</v>
      </c>
      <c r="AQ46" s="9328" t="str">
        <f t="shared" si="29"/>
        <v/>
      </c>
      <c r="AR46" s="9328" t="str">
        <f t="shared" si="30"/>
        <v/>
      </c>
      <c r="AS46" s="9328" t="str">
        <f t="shared" si="31"/>
        <v/>
      </c>
      <c r="AU46" s="9339">
        <f>VLOOKUP(TRIM(AL46),Fact1_2!$D$24:$P$41,7,0)</f>
        <v>18.956794738769531</v>
      </c>
      <c r="AW46" s="9341" t="s">
        <v>1202</v>
      </c>
      <c r="AX46" s="8">
        <f t="shared" si="39"/>
        <v>-1.3253562987844631</v>
      </c>
      <c r="AY46" s="8">
        <f t="shared" si="33"/>
        <v>0.4114122071094819</v>
      </c>
      <c r="AZ46" s="8">
        <f t="shared" si="34"/>
        <v>5.690039929512249</v>
      </c>
      <c r="BA46" s="8">
        <f t="shared" si="35"/>
        <v>3.521926368966426</v>
      </c>
      <c r="BB46" s="8" t="str">
        <f t="shared" si="40"/>
        <v/>
      </c>
      <c r="BC46" s="8" t="str">
        <f t="shared" si="36"/>
        <v/>
      </c>
      <c r="BD46" s="8" t="str">
        <f t="shared" si="37"/>
        <v/>
      </c>
    </row>
    <row r="47" spans="1:56">
      <c r="A47" s="7408" t="s">
        <v>904</v>
      </c>
      <c r="B47" s="7467" t="s">
        <v>1141</v>
      </c>
      <c r="C47" s="7467" t="s">
        <v>1142</v>
      </c>
      <c r="D47" s="7467" t="s">
        <v>1102</v>
      </c>
      <c r="E47" s="7409" t="s">
        <v>938</v>
      </c>
      <c r="F47" s="2551" t="str">
        <f>IFERROR(VLOOKUP(TRIM(A47),Fact1_data!$A$2:$F$19,3,0),"")</f>
        <v/>
      </c>
      <c r="G47" s="7407" t="str">
        <f>IFERROR(VLOOKUP(TRIM(A47),Fact1_2!$D$22:$P$41,10,0),"")</f>
        <v/>
      </c>
      <c r="H47" s="7407" t="str">
        <f t="shared" ref="H47:H67" si="50">IFERROR(B47+C47,"")</f>
        <v/>
      </c>
      <c r="AL47" s="9320" t="s">
        <v>1206</v>
      </c>
      <c r="AM47" s="9328" t="str">
        <f t="shared" si="25"/>
        <v/>
      </c>
      <c r="AN47" s="9328">
        <f t="shared" si="26"/>
        <v>23.740065649064899</v>
      </c>
      <c r="AO47" s="9328">
        <f t="shared" si="27"/>
        <v>30.637274600309759</v>
      </c>
      <c r="AP47" s="9328">
        <f t="shared" si="28"/>
        <v>18.703923265139551</v>
      </c>
      <c r="AQ47" s="9328" t="str">
        <f t="shared" si="29"/>
        <v/>
      </c>
      <c r="AR47" s="9328" t="str">
        <f t="shared" si="30"/>
        <v/>
      </c>
      <c r="AS47" s="9328" t="str">
        <f t="shared" si="31"/>
        <v/>
      </c>
      <c r="AU47" s="9339">
        <f>VLOOKUP(TRIM(AL47),Fact1_2!$D$24:$P$41,7,0)</f>
        <v>23.091104507446289</v>
      </c>
      <c r="AW47" s="9341" t="s">
        <v>1206</v>
      </c>
      <c r="AX47" s="8" t="str">
        <f t="shared" si="39"/>
        <v/>
      </c>
      <c r="AY47" s="8">
        <f t="shared" si="33"/>
        <v>0.64896114161861007</v>
      </c>
      <c r="AZ47" s="8">
        <f t="shared" si="34"/>
        <v>7.5461700928634698</v>
      </c>
      <c r="BA47" s="8">
        <f t="shared" si="35"/>
        <v>-4.3871812423067382</v>
      </c>
      <c r="BB47" s="8" t="str">
        <f t="shared" si="40"/>
        <v/>
      </c>
      <c r="BC47" s="8" t="str">
        <f t="shared" si="36"/>
        <v/>
      </c>
      <c r="BD47" s="8" t="str">
        <f t="shared" si="37"/>
        <v/>
      </c>
    </row>
    <row r="48" spans="1:56">
      <c r="A48" s="2547" t="str">
        <f>F6</f>
        <v xml:space="preserve">  ARG</v>
      </c>
      <c r="B48" s="2550">
        <f t="shared" ref="B48:E48" si="51">G6</f>
        <v>8.2162772945722153</v>
      </c>
      <c r="C48" s="2550">
        <f t="shared" si="51"/>
        <v>13.256116320355796</v>
      </c>
      <c r="D48" s="2550">
        <f t="shared" si="51"/>
        <v>78.527606385071991</v>
      </c>
      <c r="E48" s="2547">
        <f t="shared" si="51"/>
        <v>2022</v>
      </c>
      <c r="F48" s="2551">
        <f>IFERROR(VLOOKUP(TRIM(A48),Fact1_data!$A$2:$F$19,3,0),"")</f>
        <v>8.1207027435302734</v>
      </c>
      <c r="G48" s="2546">
        <f>IFERROR(VLOOKUP(TRIM(A48),Fact1_2!$D$22:$P$41,10,0),"")</f>
        <v>45.773884000000002</v>
      </c>
      <c r="H48" s="2546">
        <f t="shared" si="50"/>
        <v>21.472393614928009</v>
      </c>
      <c r="AL48" s="9320" t="s">
        <v>1207</v>
      </c>
      <c r="AM48" s="9328" t="str">
        <f t="shared" si="25"/>
        <v/>
      </c>
      <c r="AN48" s="9328">
        <f t="shared" si="26"/>
        <v>10.68223800696188</v>
      </c>
      <c r="AO48" s="9328">
        <f t="shared" si="27"/>
        <v>18.379207544401392</v>
      </c>
      <c r="AP48" s="9328">
        <f t="shared" si="28"/>
        <v>2.6524303314975164</v>
      </c>
      <c r="AQ48" s="9328">
        <f t="shared" si="29"/>
        <v>18.429374784815291</v>
      </c>
      <c r="AR48" s="9328" t="str">
        <f t="shared" si="30"/>
        <v/>
      </c>
      <c r="AS48" s="9328">
        <f t="shared" si="31"/>
        <v>8.7092120337760424</v>
      </c>
      <c r="AU48" s="9339">
        <f>VLOOKUP(TRIM(AL48),Fact1_2!$D$24:$P$41,7,0)</f>
        <v>10.314765930175781</v>
      </c>
      <c r="AW48" s="9341" t="s">
        <v>1207</v>
      </c>
      <c r="AX48" s="8" t="str">
        <f t="shared" si="39"/>
        <v/>
      </c>
      <c r="AY48" s="8">
        <f t="shared" si="33"/>
        <v>0.36747207678609861</v>
      </c>
      <c r="AZ48" s="8">
        <f t="shared" si="34"/>
        <v>8.0644416142256112</v>
      </c>
      <c r="BA48" s="8">
        <f t="shared" si="35"/>
        <v>-7.6623355986782649</v>
      </c>
      <c r="BB48" s="8">
        <f t="shared" si="40"/>
        <v>8.1146088546395099</v>
      </c>
      <c r="BC48" s="8" t="str">
        <f t="shared" si="36"/>
        <v/>
      </c>
      <c r="BD48" s="8">
        <f t="shared" si="37"/>
        <v>-1.6055538963997389</v>
      </c>
    </row>
    <row r="49" spans="1:56">
      <c r="A49" s="2547" t="str">
        <f t="shared" ref="A49:A65" si="52">F7</f>
        <v xml:space="preserve">  BOL</v>
      </c>
      <c r="B49" s="2550">
        <f t="shared" ref="B49:B65" si="53">G7</f>
        <v>9.3997878109960169</v>
      </c>
      <c r="C49" s="2550">
        <f t="shared" ref="C49:C65" si="54">H7</f>
        <v>12.637450635878199</v>
      </c>
      <c r="D49" s="2550">
        <f t="shared" ref="D49:D65" si="55">I7</f>
        <v>77.962761553125787</v>
      </c>
      <c r="E49" s="2547">
        <f t="shared" ref="E49:E65" si="56">J7</f>
        <v>2022</v>
      </c>
      <c r="F49" s="2551">
        <f>IFERROR(VLOOKUP(TRIM(A49),Fact1_data!$A$2:$F$19,3,0),"")</f>
        <v>9.1588373184204102</v>
      </c>
      <c r="G49" s="2546">
        <f>IFERROR(VLOOKUP(TRIM(A49),Fact1_2!$D$22:$P$41,10,0),"")</f>
        <v>12.388571000000001</v>
      </c>
      <c r="H49" s="2546">
        <f t="shared" si="50"/>
        <v>22.037238446874216</v>
      </c>
      <c r="AL49" s="9329" t="s">
        <v>1203</v>
      </c>
      <c r="AM49" s="9328">
        <f t="shared" si="25"/>
        <v>14.923084882500854</v>
      </c>
      <c r="AN49" s="9328">
        <f t="shared" si="26"/>
        <v>17.161909052690028</v>
      </c>
      <c r="AO49" s="9328">
        <f t="shared" si="27"/>
        <v>17.032056331101217</v>
      </c>
      <c r="AP49" s="9328">
        <f t="shared" si="28"/>
        <v>16.219710247829507</v>
      </c>
      <c r="AQ49" s="9328" t="str">
        <f t="shared" si="29"/>
        <v/>
      </c>
      <c r="AR49" s="9328" t="str">
        <f t="shared" si="30"/>
        <v/>
      </c>
      <c r="AS49" s="9328" t="str">
        <f t="shared" si="31"/>
        <v/>
      </c>
      <c r="AU49" s="9339">
        <f>VLOOKUP(TRIM(AL49),Fact1_2!$D$24:$P$41,7,0)</f>
        <v>17.13670539855957</v>
      </c>
      <c r="AW49" s="9342" t="s">
        <v>1203</v>
      </c>
      <c r="AX49" s="8">
        <f t="shared" si="39"/>
        <v>-2.2136205160587163</v>
      </c>
      <c r="AY49" s="8">
        <f t="shared" si="33"/>
        <v>2.5203654130457664E-2</v>
      </c>
      <c r="AZ49" s="8">
        <f t="shared" si="34"/>
        <v>-0.10464906745835378</v>
      </c>
      <c r="BA49" s="8">
        <f t="shared" si="35"/>
        <v>-0.9169951507300631</v>
      </c>
      <c r="BB49" s="8" t="str">
        <f t="shared" si="40"/>
        <v/>
      </c>
      <c r="BC49" s="8" t="str">
        <f t="shared" si="36"/>
        <v/>
      </c>
      <c r="BD49" s="8" t="str">
        <f t="shared" si="37"/>
        <v/>
      </c>
    </row>
    <row r="50" spans="1:56">
      <c r="A50" s="2547" t="str">
        <f t="shared" si="52"/>
        <v xml:space="preserve">  BRA</v>
      </c>
      <c r="B50" s="2550">
        <f t="shared" si="53"/>
        <v>11.159660134453834</v>
      </c>
      <c r="C50" s="2550">
        <f t="shared" si="54"/>
        <v>19.013888125822433</v>
      </c>
      <c r="D50" s="2550">
        <f t="shared" si="55"/>
        <v>69.826451739723737</v>
      </c>
      <c r="E50" s="2547">
        <f t="shared" si="56"/>
        <v>2022</v>
      </c>
      <c r="F50" s="2551">
        <f>IFERROR(VLOOKUP(TRIM(A50),Fact1_data!$A$2:$F$19,3,0),"")</f>
        <v>10.865315437316895</v>
      </c>
      <c r="G50" s="2546">
        <f>IFERROR(VLOOKUP(TRIM(A50),Fact1_2!$D$22:$P$41,10,0),"")</f>
        <v>216.42244600000001</v>
      </c>
      <c r="H50" s="2546">
        <f t="shared" si="50"/>
        <v>30.173548260276267</v>
      </c>
      <c r="AL50" s="9320"/>
      <c r="AM50" s="9328"/>
      <c r="AN50" s="9328"/>
      <c r="AO50" s="9328"/>
      <c r="AP50" s="9328"/>
      <c r="AQ50" s="9328"/>
      <c r="AR50" s="9328"/>
      <c r="AS50" s="9328"/>
      <c r="AU50" s="9338"/>
      <c r="AX50" s="8"/>
      <c r="AY50" s="8"/>
      <c r="AZ50" s="8"/>
      <c r="BA50" s="8"/>
      <c r="BB50" s="8"/>
      <c r="BC50" s="8"/>
      <c r="BD50" s="8"/>
    </row>
    <row r="51" spans="1:56">
      <c r="A51" s="2547" t="str">
        <f t="shared" si="52"/>
        <v xml:space="preserve">  CHL</v>
      </c>
      <c r="B51" s="2550">
        <f t="shared" si="53"/>
        <v>3.4408736244527414</v>
      </c>
      <c r="C51" s="2550">
        <f t="shared" si="54"/>
        <v>8.6579370812080452</v>
      </c>
      <c r="D51" s="2550">
        <f t="shared" si="55"/>
        <v>87.901189294339204</v>
      </c>
      <c r="E51" s="2547">
        <f t="shared" si="56"/>
        <v>2022</v>
      </c>
      <c r="F51" s="2551">
        <f>IFERROR(VLOOKUP(TRIM(A51),Fact1_data!$A$2:$F$19,3,0),"")</f>
        <v>3.2169833183288574</v>
      </c>
      <c r="G51" s="2546">
        <f>IFERROR(VLOOKUP(TRIM(A51),Fact1_2!$D$22:$P$41,10,0),"")</f>
        <v>19.62959</v>
      </c>
      <c r="H51" s="2546">
        <f t="shared" si="50"/>
        <v>12.098810705660787</v>
      </c>
      <c r="AW51"/>
    </row>
    <row r="52" spans="1:56">
      <c r="A52" s="2547" t="str">
        <f t="shared" si="52"/>
        <v xml:space="preserve">  COL</v>
      </c>
      <c r="B52" s="2550">
        <f t="shared" si="53"/>
        <v>20.102670360936031</v>
      </c>
      <c r="C52" s="2550">
        <f t="shared" si="54"/>
        <v>21.809160215115469</v>
      </c>
      <c r="D52" s="2550">
        <f t="shared" si="55"/>
        <v>58.0881694239485</v>
      </c>
      <c r="E52" s="2547">
        <f t="shared" si="56"/>
        <v>2022</v>
      </c>
      <c r="F52" s="2551">
        <f>IFERROR(VLOOKUP(TRIM(A52),Fact1_data!$A$2:$F$19,3,0),"")</f>
        <v>19.512697219848633</v>
      </c>
      <c r="G52" s="2546">
        <f>IFERROR(VLOOKUP(TRIM(A52),Fact1_2!$D$22:$P$41,10,0),"")</f>
        <v>52.085168000000003</v>
      </c>
      <c r="H52" s="2546">
        <f t="shared" si="50"/>
        <v>41.9118305760515</v>
      </c>
      <c r="AW52"/>
    </row>
    <row r="53" spans="1:56">
      <c r="A53" s="2547" t="str">
        <f t="shared" si="52"/>
        <v xml:space="preserve">  CRI</v>
      </c>
      <c r="B53" s="2550">
        <f t="shared" si="53"/>
        <v>7.1470467932974495</v>
      </c>
      <c r="C53" s="2550">
        <f t="shared" si="54"/>
        <v>14.531539890363138</v>
      </c>
      <c r="D53" s="2550">
        <f t="shared" si="55"/>
        <v>78.321413316339417</v>
      </c>
      <c r="E53" s="2547">
        <f t="shared" si="56"/>
        <v>2023</v>
      </c>
      <c r="F53" s="2551">
        <f>IFERROR(VLOOKUP(TRIM(A53),Fact1_data!$A$2:$F$19,3,0),"")</f>
        <v>6.5896177291870117</v>
      </c>
      <c r="G53" s="2546">
        <f>IFERROR(VLOOKUP(TRIM(A53),Fact1_2!$D$22:$P$41,10,0),"")</f>
        <v>5.2121729999999999</v>
      </c>
      <c r="H53" s="2546">
        <f t="shared" si="50"/>
        <v>21.678586683660587</v>
      </c>
      <c r="J53" s="6860"/>
      <c r="K53" s="6860"/>
      <c r="L53" s="6860"/>
      <c r="AW53"/>
    </row>
    <row r="54" spans="1:56">
      <c r="A54" s="2547" t="str">
        <f t="shared" si="52"/>
        <v xml:space="preserve">  DOM</v>
      </c>
      <c r="B54" s="2550">
        <f t="shared" si="53"/>
        <v>9.2453035372041761</v>
      </c>
      <c r="C54" s="2550">
        <f t="shared" si="54"/>
        <v>21.599385869571609</v>
      </c>
      <c r="D54" s="2550">
        <f t="shared" si="55"/>
        <v>69.155310593224215</v>
      </c>
      <c r="E54" s="2547">
        <f t="shared" si="56"/>
        <v>2022</v>
      </c>
      <c r="F54" s="2551">
        <f>IFERROR(VLOOKUP(TRIM(A54),Fact1_data!$A$2:$F$19,3,0),"")</f>
        <v>9.0519723892211914</v>
      </c>
      <c r="G54" s="2546">
        <f>IFERROR(VLOOKUP(TRIM(A54),Fact1_2!$D$22:$P$41,10,0),"")</f>
        <v>11.332973000000001</v>
      </c>
      <c r="H54" s="2546">
        <f t="shared" si="50"/>
        <v>30.844689406775785</v>
      </c>
      <c r="AW54"/>
    </row>
    <row r="55" spans="1:56">
      <c r="A55" s="2547" t="str">
        <f t="shared" si="52"/>
        <v xml:space="preserve">  ECU</v>
      </c>
      <c r="B55" s="2550">
        <f t="shared" si="53"/>
        <v>15.674057294033206</v>
      </c>
      <c r="C55" s="2550">
        <f t="shared" si="54"/>
        <v>25.071053151720186</v>
      </c>
      <c r="D55" s="2550">
        <f t="shared" si="55"/>
        <v>59.254889554246603</v>
      </c>
      <c r="E55" s="2547">
        <f t="shared" si="56"/>
        <v>2023</v>
      </c>
      <c r="F55" s="2551">
        <f>IFERROR(VLOOKUP(TRIM(A55),Fact1_data!$A$2:$F$19,3,0),"")</f>
        <v>15.846808433532715</v>
      </c>
      <c r="G55" s="2546">
        <f>IFERROR(VLOOKUP(TRIM(A55),Fact1_2!$D$22:$P$41,10,0),"")</f>
        <v>18.190484000000001</v>
      </c>
      <c r="H55" s="2546">
        <f t="shared" si="50"/>
        <v>40.74511044575339</v>
      </c>
      <c r="AW55"/>
    </row>
    <row r="56" spans="1:56">
      <c r="A56" s="2547" t="str">
        <f t="shared" si="52"/>
        <v xml:space="preserve">  GTM</v>
      </c>
      <c r="B56" s="2550">
        <f t="shared" si="53"/>
        <v>33.05102215780898</v>
      </c>
      <c r="C56" s="2550">
        <f t="shared" si="54"/>
        <v>23.541612501473082</v>
      </c>
      <c r="D56" s="2550">
        <f t="shared" si="55"/>
        <v>43.407365340717938</v>
      </c>
      <c r="E56" s="2547">
        <f t="shared" si="56"/>
        <v>2022</v>
      </c>
      <c r="F56" s="2551">
        <f>IFERROR(VLOOKUP(TRIM(A56),Fact1_data!$A$2:$F$19,3,0),"")</f>
        <v>31.91087532043457</v>
      </c>
      <c r="G56" s="2546">
        <f>IFERROR(VLOOKUP(TRIM(A56),Fact1_2!$D$22:$P$41,10,0),"")</f>
        <v>18.092026000000001</v>
      </c>
      <c r="H56" s="2546">
        <f t="shared" si="50"/>
        <v>56.592634659282062</v>
      </c>
      <c r="AW56"/>
    </row>
    <row r="57" spans="1:56">
      <c r="A57" s="2547" t="str">
        <f t="shared" si="52"/>
        <v xml:space="preserve">  GUY</v>
      </c>
      <c r="B57" s="2550">
        <f t="shared" si="53"/>
        <v>32.501568975183879</v>
      </c>
      <c r="C57" s="2550">
        <f t="shared" si="54"/>
        <v>26.371047719477716</v>
      </c>
      <c r="D57" s="2550">
        <f t="shared" si="55"/>
        <v>41.127383305338405</v>
      </c>
      <c r="E57" s="2547">
        <f t="shared" si="56"/>
        <v>2021</v>
      </c>
      <c r="F57" s="2551">
        <f>IFERROR(VLOOKUP(TRIM(A57),Fact1_data!$A$2:$F$19,3,0),"")</f>
        <v>31.99846076965332</v>
      </c>
      <c r="G57" s="2546">
        <f>IFERROR(VLOOKUP(TRIM(A57),Fact1_2!$D$22:$P$41,10,0),"")</f>
        <v>0.81383399999999995</v>
      </c>
      <c r="H57" s="2546">
        <f t="shared" si="50"/>
        <v>58.872616694661595</v>
      </c>
      <c r="AW57"/>
    </row>
    <row r="58" spans="1:56">
      <c r="A58" s="2547" t="str">
        <f t="shared" si="52"/>
        <v xml:space="preserve">  HND</v>
      </c>
      <c r="B58" s="2550">
        <f t="shared" si="53"/>
        <v>36.221455206187954</v>
      </c>
      <c r="C58" s="2550">
        <f t="shared" si="54"/>
        <v>24.509593409435031</v>
      </c>
      <c r="D58" s="2550">
        <f t="shared" si="55"/>
        <v>39.268951384377019</v>
      </c>
      <c r="E58" s="2547">
        <f t="shared" si="56"/>
        <v>2023</v>
      </c>
      <c r="F58" s="2551">
        <f>IFERROR(VLOOKUP(TRIM(A58),Fact1_data!$A$2:$F$19,3,0),"")</f>
        <v>35.109729766845703</v>
      </c>
      <c r="G58" s="2546">
        <f>IFERROR(VLOOKUP(TRIM(A58),Fact1_2!$D$22:$P$41,10,0),"")</f>
        <v>10.593798</v>
      </c>
      <c r="H58" s="2546">
        <f t="shared" si="50"/>
        <v>60.731048615622981</v>
      </c>
      <c r="AW58"/>
    </row>
    <row r="59" spans="1:56">
      <c r="A59" s="2547" t="str">
        <f t="shared" si="52"/>
        <v xml:space="preserve">  MEX</v>
      </c>
      <c r="B59" s="2550">
        <f t="shared" si="53"/>
        <v>10.494017913432963</v>
      </c>
      <c r="C59" s="2550">
        <f t="shared" si="54"/>
        <v>22.207367053160116</v>
      </c>
      <c r="D59" s="2550">
        <f t="shared" si="55"/>
        <v>67.298615033406932</v>
      </c>
      <c r="E59" s="2547">
        <f t="shared" si="56"/>
        <v>2022</v>
      </c>
      <c r="F59" s="2551">
        <f>IFERROR(VLOOKUP(TRIM(A59),Fact1_data!$A$2:$F$19,3,0),"")</f>
        <v>10.268985748291016</v>
      </c>
      <c r="G59" s="2546">
        <f>IFERROR(VLOOKUP(TRIM(A59),Fact1_2!$D$22:$P$41,10,0),"")</f>
        <v>128.455567</v>
      </c>
      <c r="H59" s="2546">
        <f t="shared" si="50"/>
        <v>32.701384966593082</v>
      </c>
      <c r="AW59"/>
    </row>
    <row r="60" spans="1:56">
      <c r="A60" s="2547" t="str">
        <f t="shared" si="52"/>
        <v xml:space="preserve">  PAN</v>
      </c>
      <c r="B60" s="2550">
        <f t="shared" si="53"/>
        <v>9.0465212403601107</v>
      </c>
      <c r="C60" s="2550">
        <f t="shared" si="54"/>
        <v>10.72789041967919</v>
      </c>
      <c r="D60" s="2550">
        <f t="shared" si="55"/>
        <v>80.225588339960694</v>
      </c>
      <c r="E60" s="2547">
        <f t="shared" si="56"/>
        <v>2022</v>
      </c>
      <c r="F60" s="2551">
        <f>IFERROR(VLOOKUP(TRIM(A60),Fact1_data!$A$2:$F$19,3,0),"")</f>
        <v>8.9458808898925781</v>
      </c>
      <c r="G60" s="2546">
        <f>IFERROR(VLOOKUP(TRIM(A60),Fact1_2!$D$22:$P$41,10,0),"")</f>
        <v>4.4680869999999997</v>
      </c>
      <c r="H60" s="2546">
        <f t="shared" si="50"/>
        <v>19.774411660039299</v>
      </c>
      <c r="AW60"/>
    </row>
    <row r="61" spans="1:56">
      <c r="A61" s="2547" t="str">
        <f t="shared" si="52"/>
        <v xml:space="preserve">  PER</v>
      </c>
      <c r="B61" s="2550">
        <f t="shared" si="53"/>
        <v>12.655710690981465</v>
      </c>
      <c r="C61" s="2550">
        <f t="shared" si="54"/>
        <v>25.990807498905884</v>
      </c>
      <c r="D61" s="2550">
        <f t="shared" si="55"/>
        <v>61.353481810112655</v>
      </c>
      <c r="E61" s="2547">
        <f t="shared" si="56"/>
        <v>2022</v>
      </c>
      <c r="F61" s="2551">
        <f>IFERROR(VLOOKUP(TRIM(A61),Fact1_data!$A$2:$F$19,3,0),"")</f>
        <v>12.462396621704102</v>
      </c>
      <c r="G61" s="2546">
        <f>IFERROR(VLOOKUP(TRIM(A61),Fact1_2!$D$22:$P$41,10,0),"")</f>
        <v>34.352719</v>
      </c>
      <c r="H61" s="2546">
        <f t="shared" si="50"/>
        <v>38.646518189887345</v>
      </c>
      <c r="AW61"/>
    </row>
    <row r="62" spans="1:56">
      <c r="A62" s="2547" t="str">
        <f t="shared" si="52"/>
        <v xml:space="preserve">  PRY</v>
      </c>
      <c r="B62" s="2550">
        <f t="shared" si="53"/>
        <v>13.005614623871681</v>
      </c>
      <c r="C62" s="2550">
        <f t="shared" si="54"/>
        <v>19.368206945879013</v>
      </c>
      <c r="D62" s="2550">
        <f t="shared" si="55"/>
        <v>67.626178430249311</v>
      </c>
      <c r="E62" s="2547">
        <f t="shared" si="56"/>
        <v>2022</v>
      </c>
      <c r="F62" s="2551">
        <f>IFERROR(VLOOKUP(TRIM(A62),Fact1_data!$A$2:$F$19,3,0),"")</f>
        <v>12.367045402526855</v>
      </c>
      <c r="G62" s="2546">
        <f>IFERROR(VLOOKUP(TRIM(A62),Fact1_2!$D$22:$P$41,10,0),"")</f>
        <v>6.8615240000000002</v>
      </c>
      <c r="H62" s="2546">
        <f t="shared" si="50"/>
        <v>32.373821569750696</v>
      </c>
      <c r="AW62"/>
    </row>
    <row r="63" spans="1:56">
      <c r="A63" s="2547" t="str">
        <f t="shared" si="52"/>
        <v xml:space="preserve">  SLV</v>
      </c>
      <c r="B63" s="2550">
        <f t="shared" si="53"/>
        <v>16.048536789069708</v>
      </c>
      <c r="C63" s="2550">
        <f t="shared" si="54"/>
        <v>23.740065649064899</v>
      </c>
      <c r="D63" s="2550">
        <f t="shared" si="55"/>
        <v>60.21139756186539</v>
      </c>
      <c r="E63" s="2547">
        <f t="shared" si="56"/>
        <v>2023</v>
      </c>
      <c r="F63" s="2551">
        <f>IFERROR(VLOOKUP(TRIM(A63),Fact1_data!$A$2:$F$19,3,0),"")</f>
        <v>15.566752433776855</v>
      </c>
      <c r="G63" s="2546">
        <f>IFERROR(VLOOKUP(TRIM(A63),Fact1_2!$D$22:$P$41,10,0),"")</f>
        <v>6.3649430000000002</v>
      </c>
      <c r="H63" s="2546">
        <f t="shared" si="50"/>
        <v>39.788602438134603</v>
      </c>
      <c r="AW63"/>
    </row>
    <row r="64" spans="1:56">
      <c r="A64" s="2547" t="str">
        <f t="shared" si="52"/>
        <v xml:space="preserve">  URY</v>
      </c>
      <c r="B64" s="2550">
        <f t="shared" si="53"/>
        <v>4.1862713644212652</v>
      </c>
      <c r="C64" s="2550">
        <f t="shared" si="54"/>
        <v>10.68223800696188</v>
      </c>
      <c r="D64" s="2550">
        <f t="shared" si="55"/>
        <v>85.131490628616859</v>
      </c>
      <c r="E64" s="2547">
        <f t="shared" si="56"/>
        <v>2022</v>
      </c>
      <c r="F64" s="2551">
        <f>IFERROR(VLOOKUP(TRIM(A64),Fact1_data!$A$2:$F$19,3,0),"")</f>
        <v>3.9979178905487061</v>
      </c>
      <c r="G64" s="2546">
        <f>IFERROR(VLOOKUP(TRIM(A64),Fact1_2!$D$22:$P$41,10,0),"")</f>
        <v>3.4231090000000002</v>
      </c>
      <c r="H64" s="2546">
        <f t="shared" si="50"/>
        <v>14.868509371383144</v>
      </c>
      <c r="AW64"/>
    </row>
    <row r="65" spans="1:49">
      <c r="A65" s="7406" t="str">
        <f t="shared" si="52"/>
        <v xml:space="preserve">  VEN</v>
      </c>
      <c r="B65" s="7468">
        <f t="shared" si="53"/>
        <v>55.129269363582665</v>
      </c>
      <c r="C65" s="7468">
        <f t="shared" si="54"/>
        <v>17.161909052690028</v>
      </c>
      <c r="D65" s="7468">
        <f t="shared" si="55"/>
        <v>27.708821583727307</v>
      </c>
      <c r="E65" s="7406">
        <f t="shared" si="56"/>
        <v>2021</v>
      </c>
      <c r="F65" s="2551">
        <f>IFERROR(VLOOKUP(TRIM(A65),Fact1_data!$A$2:$F$19,3,0),"")</f>
        <v>53.867767333984375</v>
      </c>
      <c r="G65" s="7407">
        <f>IFERROR(VLOOKUP(TRIM(A65),Fact1_2!$D$22:$P$41,10,0),"")</f>
        <v>28.838498999999999</v>
      </c>
      <c r="H65" s="7407">
        <f t="shared" si="50"/>
        <v>72.291178416272686</v>
      </c>
      <c r="AW65"/>
    </row>
    <row r="66" spans="1:49">
      <c r="A66" s="2552" t="s">
        <v>0</v>
      </c>
      <c r="B66" s="2550">
        <f>SUMPRODUCT(B48:B65,$G48:$G65)/SUM($G48:$G65)</f>
        <v>14.561817388451109</v>
      </c>
      <c r="C66" s="2550">
        <f t="shared" ref="C66" si="57">SUMPRODUCT(C48:C65,$G48:$G65)/SUM($G48:$G65)</f>
        <v>19.69648448777151</v>
      </c>
      <c r="D66" s="2550">
        <f>SUMPRODUCT(D48:D65,$G48:$G65)/SUM($G48:$G65)</f>
        <v>65.741698123777368</v>
      </c>
      <c r="E66" s="2551"/>
      <c r="F66" s="2551" t="str">
        <f>IFERROR(VLOOKUP(TRIM(A66),Fact1_data!$A$2:$F$19,3,0),"")</f>
        <v/>
      </c>
      <c r="G66" s="2546" t="str">
        <f>IFERROR(VLOOKUP(TRIM(A66),Fact1_2!$D$22:$P$41,10,0),"")</f>
        <v/>
      </c>
      <c r="H66" s="2546">
        <f t="shared" si="50"/>
        <v>34.258301876222617</v>
      </c>
      <c r="AW66"/>
    </row>
    <row r="67" spans="1:49">
      <c r="A67" s="2552" t="s">
        <v>1227</v>
      </c>
      <c r="B67" s="2550">
        <f>AVERAGE(B48:B66)</f>
        <v>16.909867503331444</v>
      </c>
      <c r="C67" s="2550">
        <f t="shared" ref="C67:D67" si="58">AVERAGE(C48:C66)</f>
        <v>18.977566001817539</v>
      </c>
      <c r="D67" s="2550">
        <f t="shared" si="58"/>
        <v>64.112566494850995</v>
      </c>
      <c r="E67" s="2551"/>
      <c r="F67" s="2551" t="str">
        <f>IFERROR(VLOOKUP(TRIM(A67),Fact1_data!$A$2:$F$19,3,0),"")</f>
        <v/>
      </c>
      <c r="G67" s="2546" t="str">
        <f>IFERROR(VLOOKUP(TRIM(A67),Fact1_2!$D$22:$P$41,10,0),"")</f>
        <v/>
      </c>
      <c r="H67" s="2546">
        <f t="shared" si="50"/>
        <v>35.887433505148984</v>
      </c>
      <c r="AW67"/>
    </row>
    <row r="68" spans="1:49">
      <c r="F68" s="2551" t="str">
        <f>IFERROR(VLOOKUP(TRIM(A68),Fact1_data!$A$2:$F$19,3,0),"")</f>
        <v/>
      </c>
      <c r="G68" s="2546" t="str">
        <f>IFERROR(VLOOKUP(TRIM(A68),Fact1_2!$D$22:$P$41,10,0),"")</f>
        <v/>
      </c>
      <c r="AW68"/>
    </row>
    <row r="69" spans="1:49">
      <c r="A69" s="2544" t="str">
        <f>M1</f>
        <v>age0_15</v>
      </c>
      <c r="B69" s="2550"/>
      <c r="C69" s="2550"/>
      <c r="D69" s="2550"/>
      <c r="E69" s="2551"/>
      <c r="F69" s="2551" t="str">
        <f>IFERROR(VLOOKUP(TRIM(A69),Fact1_data!$A$2:$F$19,3,0),"")</f>
        <v/>
      </c>
      <c r="G69" s="2546" t="str">
        <f>IFERROR(VLOOKUP(TRIM(A69),Fact1_2!$D$22:$P$41,10,0),"")</f>
        <v/>
      </c>
      <c r="H69" s="2546">
        <f t="shared" ref="H69:H90" si="59">IFERROR(B69+C69,"")</f>
        <v>0</v>
      </c>
      <c r="AW69"/>
    </row>
    <row r="70" spans="1:49">
      <c r="A70" s="2548" t="s">
        <v>904</v>
      </c>
      <c r="B70" s="7466" t="s">
        <v>1141</v>
      </c>
      <c r="C70" s="7466" t="s">
        <v>1142</v>
      </c>
      <c r="D70" s="7466" t="s">
        <v>1102</v>
      </c>
      <c r="E70" s="2549" t="s">
        <v>938</v>
      </c>
      <c r="F70" s="2551" t="str">
        <f>IFERROR(VLOOKUP(TRIM(A70),Fact1_data!$A$2:$F$19,3,0),"")</f>
        <v/>
      </c>
      <c r="G70" s="2546" t="str">
        <f>IFERROR(VLOOKUP(TRIM(A70),Fact1_2!$D$22:$P$41,10,0),"")</f>
        <v/>
      </c>
      <c r="H70" s="2546" t="str">
        <f t="shared" si="59"/>
        <v/>
      </c>
      <c r="AW70"/>
    </row>
    <row r="71" spans="1:49">
      <c r="A71" s="2544" t="str">
        <f>K6</f>
        <v xml:space="preserve">  ARG</v>
      </c>
      <c r="B71" s="2550">
        <f t="shared" ref="B71:E86" si="60">L6</f>
        <v>12.253012407280693</v>
      </c>
      <c r="C71" s="2550">
        <f t="shared" si="60"/>
        <v>18.586689524907079</v>
      </c>
      <c r="D71" s="2550">
        <f t="shared" si="60"/>
        <v>69.160298067812235</v>
      </c>
      <c r="E71" s="2544">
        <f t="shared" si="60"/>
        <v>2022</v>
      </c>
      <c r="F71" s="2551">
        <f>IFERROR(VLOOKUP(TRIM(A71),Fact1_data!$A$2:$F$19,3,0),"")</f>
        <v>8.1207027435302734</v>
      </c>
      <c r="G71" s="2546">
        <f>IFERROR(VLOOKUP(TRIM(A71),Fact1_2!$D$22:$P$41,10,0),"")</f>
        <v>45.773884000000002</v>
      </c>
      <c r="H71" s="2546">
        <f t="shared" si="59"/>
        <v>30.839701932187772</v>
      </c>
      <c r="AW71"/>
    </row>
    <row r="72" spans="1:49">
      <c r="A72" s="2544" t="str">
        <f t="shared" ref="A72:A88" si="61">K7</f>
        <v xml:space="preserve">  BOL</v>
      </c>
      <c r="B72" s="2550">
        <f t="shared" si="60"/>
        <v>13.538349699985904</v>
      </c>
      <c r="C72" s="2550">
        <f t="shared" si="60"/>
        <v>16.144458211010594</v>
      </c>
      <c r="D72" s="2550">
        <f t="shared" si="60"/>
        <v>70.317192089003498</v>
      </c>
      <c r="E72" s="2544">
        <f t="shared" si="60"/>
        <v>2022</v>
      </c>
      <c r="F72" s="2551">
        <f>IFERROR(VLOOKUP(TRIM(A72),Fact1_data!$A$2:$F$19,3,0),"")</f>
        <v>9.1588373184204102</v>
      </c>
      <c r="G72" s="2546">
        <f>IFERROR(VLOOKUP(TRIM(A72),Fact1_2!$D$22:$P$41,10,0),"")</f>
        <v>12.388571000000001</v>
      </c>
      <c r="H72" s="2546">
        <f t="shared" si="59"/>
        <v>29.682807910996498</v>
      </c>
      <c r="AW72"/>
    </row>
    <row r="73" spans="1:49">
      <c r="A73" s="2544" t="str">
        <f t="shared" si="61"/>
        <v xml:space="preserve">  BRA</v>
      </c>
      <c r="B73" s="2550">
        <f t="shared" si="60"/>
        <v>20.564691456976693</v>
      </c>
      <c r="C73" s="2550">
        <f t="shared" si="60"/>
        <v>26.865897846795082</v>
      </c>
      <c r="D73" s="2550">
        <f t="shared" si="60"/>
        <v>52.569410696228225</v>
      </c>
      <c r="E73" s="2544">
        <f t="shared" si="60"/>
        <v>2022</v>
      </c>
      <c r="F73" s="2551">
        <f>IFERROR(VLOOKUP(TRIM(A73),Fact1_data!$A$2:$F$19,3,0),"")</f>
        <v>10.865315437316895</v>
      </c>
      <c r="G73" s="2546">
        <f>IFERROR(VLOOKUP(TRIM(A73),Fact1_2!$D$22:$P$41,10,0),"")</f>
        <v>216.42244600000001</v>
      </c>
      <c r="H73" s="2546">
        <f t="shared" si="59"/>
        <v>47.430589303771775</v>
      </c>
      <c r="AW73"/>
    </row>
    <row r="74" spans="1:49">
      <c r="A74" s="2544" t="str">
        <f t="shared" si="61"/>
        <v xml:space="preserve">  CHL</v>
      </c>
      <c r="B74" s="2550">
        <f t="shared" si="60"/>
        <v>5.0429768759644267</v>
      </c>
      <c r="C74" s="2550">
        <f t="shared" si="60"/>
        <v>12.150499716146387</v>
      </c>
      <c r="D74" s="2550">
        <f t="shared" si="60"/>
        <v>82.806523407889188</v>
      </c>
      <c r="E74" s="2544">
        <f t="shared" si="60"/>
        <v>2022</v>
      </c>
      <c r="F74" s="2551">
        <f>IFERROR(VLOOKUP(TRIM(A74),Fact1_data!$A$2:$F$19,3,0),"")</f>
        <v>3.2169833183288574</v>
      </c>
      <c r="G74" s="2546">
        <f>IFERROR(VLOOKUP(TRIM(A74),Fact1_2!$D$22:$P$41,10,0),"")</f>
        <v>19.62959</v>
      </c>
      <c r="H74" s="2546">
        <f t="shared" si="59"/>
        <v>17.193476592110812</v>
      </c>
      <c r="AW74"/>
    </row>
    <row r="75" spans="1:49">
      <c r="A75" s="2544" t="str">
        <f t="shared" si="61"/>
        <v xml:space="preserve">  COL</v>
      </c>
      <c r="B75" s="2550">
        <f t="shared" si="60"/>
        <v>29.2023727390212</v>
      </c>
      <c r="C75" s="2550">
        <f t="shared" si="60"/>
        <v>27.600017541861043</v>
      </c>
      <c r="D75" s="2550">
        <f t="shared" si="60"/>
        <v>43.197609719117757</v>
      </c>
      <c r="E75" s="2544">
        <f t="shared" si="60"/>
        <v>2022</v>
      </c>
      <c r="F75" s="2551">
        <f>IFERROR(VLOOKUP(TRIM(A75),Fact1_data!$A$2:$F$19,3,0),"")</f>
        <v>19.512697219848633</v>
      </c>
      <c r="G75" s="2546">
        <f>IFERROR(VLOOKUP(TRIM(A75),Fact1_2!$D$22:$P$41,10,0),"")</f>
        <v>52.085168000000003</v>
      </c>
      <c r="H75" s="2546">
        <f t="shared" si="59"/>
        <v>56.802390280882243</v>
      </c>
      <c r="AW75"/>
    </row>
    <row r="76" spans="1:49">
      <c r="A76" s="2544" t="str">
        <f t="shared" si="61"/>
        <v xml:space="preserve">  CRI</v>
      </c>
      <c r="B76" s="2550">
        <f t="shared" si="60"/>
        <v>12.319683195768592</v>
      </c>
      <c r="C76" s="2550">
        <f t="shared" si="60"/>
        <v>23.523915391530291</v>
      </c>
      <c r="D76" s="2550">
        <f t="shared" si="60"/>
        <v>64.156401412701115</v>
      </c>
      <c r="E76" s="2544">
        <f t="shared" si="60"/>
        <v>2023</v>
      </c>
      <c r="F76" s="2551">
        <f>IFERROR(VLOOKUP(TRIM(A76),Fact1_data!$A$2:$F$19,3,0),"")</f>
        <v>6.5896177291870117</v>
      </c>
      <c r="G76" s="2546">
        <f>IFERROR(VLOOKUP(TRIM(A76),Fact1_2!$D$22:$P$41,10,0),"")</f>
        <v>5.2121729999999999</v>
      </c>
      <c r="H76" s="2546">
        <f t="shared" si="59"/>
        <v>35.843598587298885</v>
      </c>
      <c r="AW76"/>
    </row>
    <row r="77" spans="1:49">
      <c r="A77" s="2544" t="str">
        <f t="shared" si="61"/>
        <v xml:space="preserve">  DOM</v>
      </c>
      <c r="B77" s="2550">
        <f t="shared" si="60"/>
        <v>13.6840620469551</v>
      </c>
      <c r="C77" s="2550">
        <f t="shared" si="60"/>
        <v>27.83143168157433</v>
      </c>
      <c r="D77" s="2550">
        <f t="shared" si="60"/>
        <v>58.484506271470572</v>
      </c>
      <c r="E77" s="2544">
        <f t="shared" si="60"/>
        <v>2022</v>
      </c>
      <c r="F77" s="2551">
        <f>IFERROR(VLOOKUP(TRIM(A77),Fact1_data!$A$2:$F$19,3,0),"")</f>
        <v>9.0519723892211914</v>
      </c>
      <c r="G77" s="2546">
        <f>IFERROR(VLOOKUP(TRIM(A77),Fact1_2!$D$22:$P$41,10,0),"")</f>
        <v>11.332973000000001</v>
      </c>
      <c r="H77" s="2546">
        <f t="shared" si="59"/>
        <v>41.515493728529428</v>
      </c>
      <c r="AW77"/>
    </row>
    <row r="78" spans="1:49">
      <c r="A78" s="2544" t="str">
        <f t="shared" si="61"/>
        <v xml:space="preserve">  ECU</v>
      </c>
      <c r="B78" s="2550">
        <f t="shared" si="60"/>
        <v>25.212970501111435</v>
      </c>
      <c r="C78" s="2550">
        <f t="shared" si="60"/>
        <v>29.520246843100463</v>
      </c>
      <c r="D78" s="2550">
        <f t="shared" si="60"/>
        <v>45.266782655788099</v>
      </c>
      <c r="E78" s="2544">
        <f t="shared" si="60"/>
        <v>2023</v>
      </c>
      <c r="F78" s="2551">
        <f>IFERROR(VLOOKUP(TRIM(A78),Fact1_data!$A$2:$F$19,3,0),"")</f>
        <v>15.846808433532715</v>
      </c>
      <c r="G78" s="2546">
        <f>IFERROR(VLOOKUP(TRIM(A78),Fact1_2!$D$22:$P$41,10,0),"")</f>
        <v>18.190484000000001</v>
      </c>
      <c r="H78" s="2546">
        <f t="shared" si="59"/>
        <v>54.733217344211894</v>
      </c>
      <c r="AW78"/>
    </row>
    <row r="79" spans="1:49">
      <c r="A79" s="2544" t="str">
        <f t="shared" si="61"/>
        <v xml:space="preserve">  GTM</v>
      </c>
      <c r="B79" s="2550">
        <f t="shared" si="60"/>
        <v>41.041084749082671</v>
      </c>
      <c r="C79" s="2550">
        <f t="shared" si="60"/>
        <v>26.065815155977123</v>
      </c>
      <c r="D79" s="2550">
        <f t="shared" si="60"/>
        <v>32.893100094940209</v>
      </c>
      <c r="E79" s="2544">
        <f t="shared" si="60"/>
        <v>2022</v>
      </c>
      <c r="F79" s="2551">
        <f>IFERROR(VLOOKUP(TRIM(A79),Fact1_data!$A$2:$F$19,3,0),"")</f>
        <v>31.91087532043457</v>
      </c>
      <c r="G79" s="2546">
        <f>IFERROR(VLOOKUP(TRIM(A79),Fact1_2!$D$22:$P$41,10,0),"")</f>
        <v>18.092026000000001</v>
      </c>
      <c r="H79" s="2546">
        <f t="shared" si="59"/>
        <v>67.106899905059791</v>
      </c>
      <c r="AM79" s="8"/>
      <c r="AN79" s="8"/>
      <c r="AO79" s="8"/>
      <c r="AP79" s="8"/>
      <c r="AQ79" s="8"/>
      <c r="AR79" s="8"/>
      <c r="AS79" s="8"/>
    </row>
    <row r="80" spans="1:49">
      <c r="A80" s="2544" t="str">
        <f t="shared" si="61"/>
        <v xml:space="preserve">  GUY</v>
      </c>
      <c r="B80" s="2550">
        <f t="shared" si="60"/>
        <v>42.521469384149427</v>
      </c>
      <c r="C80" s="2550">
        <f t="shared" si="60"/>
        <v>27.618896916928509</v>
      </c>
      <c r="D80" s="2550">
        <f t="shared" si="60"/>
        <v>29.859633698922067</v>
      </c>
      <c r="E80" s="2544">
        <f t="shared" si="60"/>
        <v>2021</v>
      </c>
      <c r="F80" s="2551">
        <f>IFERROR(VLOOKUP(TRIM(A80),Fact1_data!$A$2:$F$19,3,0),"")</f>
        <v>31.99846076965332</v>
      </c>
      <c r="G80" s="2546">
        <f>IFERROR(VLOOKUP(TRIM(A80),Fact1_2!$D$22:$P$41,10,0),"")</f>
        <v>0.81383399999999995</v>
      </c>
      <c r="H80" s="2546">
        <f t="shared" si="59"/>
        <v>70.140366301077933</v>
      </c>
      <c r="AM80" s="8"/>
      <c r="AN80" s="8"/>
      <c r="AO80" s="8"/>
      <c r="AP80" s="8"/>
      <c r="AQ80" s="8"/>
      <c r="AR80" s="8"/>
      <c r="AS80" s="8"/>
    </row>
    <row r="81" spans="1:45">
      <c r="A81" s="2544" t="str">
        <f t="shared" si="61"/>
        <v xml:space="preserve">  HND</v>
      </c>
      <c r="B81" s="2550">
        <f t="shared" si="60"/>
        <v>42.80533701208428</v>
      </c>
      <c r="C81" s="2550">
        <f t="shared" si="60"/>
        <v>27.631010353533842</v>
      </c>
      <c r="D81" s="2550">
        <f t="shared" si="60"/>
        <v>29.563652634381874</v>
      </c>
      <c r="E81" s="2544">
        <f t="shared" si="60"/>
        <v>2023</v>
      </c>
      <c r="F81" s="2551">
        <f>IFERROR(VLOOKUP(TRIM(A81),Fact1_data!$A$2:$F$19,3,0),"")</f>
        <v>35.109729766845703</v>
      </c>
      <c r="G81" s="2546">
        <f>IFERROR(VLOOKUP(TRIM(A81),Fact1_2!$D$22:$P$41,10,0),"")</f>
        <v>10.593798</v>
      </c>
      <c r="H81" s="2546">
        <f t="shared" si="59"/>
        <v>70.436347365618118</v>
      </c>
      <c r="AM81" s="8"/>
      <c r="AN81" s="8"/>
      <c r="AO81" s="8"/>
      <c r="AP81" s="8"/>
      <c r="AQ81" s="8"/>
      <c r="AR81" s="8"/>
      <c r="AS81" s="8"/>
    </row>
    <row r="82" spans="1:45">
      <c r="A82" s="2544" t="str">
        <f t="shared" si="61"/>
        <v xml:space="preserve">  MEX</v>
      </c>
      <c r="B82" s="2550">
        <f t="shared" si="60"/>
        <v>14.933463936671243</v>
      </c>
      <c r="C82" s="2550">
        <f t="shared" si="60"/>
        <v>28.699566775119905</v>
      </c>
      <c r="D82" s="2550">
        <f t="shared" si="60"/>
        <v>56.366969288208857</v>
      </c>
      <c r="E82" s="2544">
        <f t="shared" si="60"/>
        <v>2022</v>
      </c>
      <c r="F82" s="2551">
        <f>IFERROR(VLOOKUP(TRIM(A82),Fact1_data!$A$2:$F$19,3,0),"")</f>
        <v>10.268985748291016</v>
      </c>
      <c r="G82" s="2546">
        <f>IFERROR(VLOOKUP(TRIM(A82),Fact1_2!$D$22:$P$41,10,0),"")</f>
        <v>128.455567</v>
      </c>
      <c r="H82" s="2546">
        <f t="shared" si="59"/>
        <v>43.63303071179115</v>
      </c>
      <c r="AM82" s="8"/>
      <c r="AN82" s="8"/>
      <c r="AO82" s="8"/>
      <c r="AP82" s="8"/>
      <c r="AQ82" s="8"/>
      <c r="AR82" s="8"/>
      <c r="AS82" s="8"/>
    </row>
    <row r="83" spans="1:45">
      <c r="A83" s="2544" t="str">
        <f t="shared" si="61"/>
        <v xml:space="preserve">  PAN</v>
      </c>
      <c r="B83" s="2550">
        <f t="shared" si="60"/>
        <v>15.92802928070369</v>
      </c>
      <c r="C83" s="2550">
        <f t="shared" si="60"/>
        <v>15.306305776461517</v>
      </c>
      <c r="D83" s="2550">
        <f t="shared" si="60"/>
        <v>68.765664942834789</v>
      </c>
      <c r="E83" s="2544">
        <f t="shared" si="60"/>
        <v>2022</v>
      </c>
      <c r="F83" s="2551">
        <f>IFERROR(VLOOKUP(TRIM(A83),Fact1_data!$A$2:$F$19,3,0),"")</f>
        <v>8.9458808898925781</v>
      </c>
      <c r="G83" s="2546">
        <f>IFERROR(VLOOKUP(TRIM(A83),Fact1_2!$D$22:$P$41,10,0),"")</f>
        <v>4.4680869999999997</v>
      </c>
      <c r="H83" s="2546">
        <f t="shared" si="59"/>
        <v>31.234335057165207</v>
      </c>
      <c r="AM83" s="8"/>
      <c r="AN83" s="8"/>
      <c r="AO83" s="8"/>
      <c r="AP83" s="8"/>
      <c r="AQ83" s="8"/>
      <c r="AR83" s="8"/>
      <c r="AS83" s="8"/>
    </row>
    <row r="84" spans="1:45">
      <c r="A84" s="2544" t="str">
        <f t="shared" si="61"/>
        <v xml:space="preserve">  PER</v>
      </c>
      <c r="B84" s="2550">
        <f t="shared" si="60"/>
        <v>17.606627888900391</v>
      </c>
      <c r="C84" s="2550">
        <f t="shared" si="60"/>
        <v>31.681329060548517</v>
      </c>
      <c r="D84" s="2550">
        <f t="shared" si="60"/>
        <v>50.712043050551095</v>
      </c>
      <c r="E84" s="2544">
        <f t="shared" si="60"/>
        <v>2022</v>
      </c>
      <c r="F84" s="2551">
        <f>IFERROR(VLOOKUP(TRIM(A84),Fact1_data!$A$2:$F$19,3,0),"")</f>
        <v>12.462396621704102</v>
      </c>
      <c r="G84" s="2546">
        <f>IFERROR(VLOOKUP(TRIM(A84),Fact1_2!$D$22:$P$41,10,0),"")</f>
        <v>34.352719</v>
      </c>
      <c r="H84" s="2546">
        <f t="shared" si="59"/>
        <v>49.287956949448912</v>
      </c>
      <c r="AM84" s="8"/>
      <c r="AN84" s="8"/>
      <c r="AO84" s="8"/>
      <c r="AP84" s="8"/>
      <c r="AQ84" s="8"/>
      <c r="AR84" s="8"/>
      <c r="AS84" s="8"/>
    </row>
    <row r="85" spans="1:45">
      <c r="A85" s="2544" t="str">
        <f t="shared" si="61"/>
        <v xml:space="preserve">  PRY</v>
      </c>
      <c r="B85" s="2550">
        <f t="shared" si="60"/>
        <v>17.631954051422863</v>
      </c>
      <c r="C85" s="2550">
        <f t="shared" si="60"/>
        <v>24.64683466828178</v>
      </c>
      <c r="D85" s="2550">
        <f t="shared" si="60"/>
        <v>57.721211280295357</v>
      </c>
      <c r="E85" s="2544">
        <f t="shared" si="60"/>
        <v>2022</v>
      </c>
      <c r="F85" s="2551">
        <f>IFERROR(VLOOKUP(TRIM(A85),Fact1_data!$A$2:$F$19,3,0),"")</f>
        <v>12.367045402526855</v>
      </c>
      <c r="G85" s="2546">
        <f>IFERROR(VLOOKUP(TRIM(A85),Fact1_2!$D$22:$P$41,10,0),"")</f>
        <v>6.8615240000000002</v>
      </c>
      <c r="H85" s="2546">
        <f t="shared" si="59"/>
        <v>42.278788719704643</v>
      </c>
      <c r="AM85" s="8"/>
      <c r="AN85" s="8"/>
      <c r="AO85" s="8"/>
      <c r="AP85" s="8"/>
      <c r="AQ85" s="8"/>
      <c r="AR85" s="8"/>
      <c r="AS85" s="8"/>
    </row>
    <row r="86" spans="1:45">
      <c r="A86" s="2544" t="str">
        <f t="shared" si="61"/>
        <v xml:space="preserve">  SLV</v>
      </c>
      <c r="B86" s="2550">
        <f t="shared" si="60"/>
        <v>20.35864972158361</v>
      </c>
      <c r="C86" s="2550">
        <f t="shared" si="60"/>
        <v>30.637274600309759</v>
      </c>
      <c r="D86" s="2550">
        <f t="shared" si="60"/>
        <v>49.004075678106631</v>
      </c>
      <c r="E86" s="2544">
        <f t="shared" si="60"/>
        <v>2023</v>
      </c>
      <c r="F86" s="2551">
        <f>IFERROR(VLOOKUP(TRIM(A86),Fact1_data!$A$2:$F$19,3,0),"")</f>
        <v>15.566752433776855</v>
      </c>
      <c r="G86" s="2546">
        <f>IFERROR(VLOOKUP(TRIM(A86),Fact1_2!$D$22:$P$41,10,0),"")</f>
        <v>6.3649430000000002</v>
      </c>
      <c r="H86" s="2546">
        <f t="shared" si="59"/>
        <v>50.995924321893369</v>
      </c>
      <c r="AM86" s="8"/>
      <c r="AN86" s="8"/>
      <c r="AO86" s="8"/>
      <c r="AP86" s="8"/>
      <c r="AQ86" s="8"/>
      <c r="AR86" s="8"/>
      <c r="AS86" s="8"/>
    </row>
    <row r="87" spans="1:45">
      <c r="A87" s="2544" t="str">
        <f t="shared" si="61"/>
        <v xml:space="preserve">  URY</v>
      </c>
      <c r="B87" s="2550">
        <f t="shared" ref="B87:B88" si="62">L22</f>
        <v>9.2044097933159481</v>
      </c>
      <c r="C87" s="2550">
        <f t="shared" ref="C87:C88" si="63">M22</f>
        <v>18.379207544401392</v>
      </c>
      <c r="D87" s="2550">
        <f t="shared" ref="D87:D88" si="64">N22</f>
        <v>72.416382662282658</v>
      </c>
      <c r="E87" s="2544">
        <f t="shared" ref="E87:E88" si="65">O22</f>
        <v>2022</v>
      </c>
      <c r="F87" s="2551">
        <f>IFERROR(VLOOKUP(TRIM(A87),Fact1_data!$A$2:$F$19,3,0),"")</f>
        <v>3.9979178905487061</v>
      </c>
      <c r="G87" s="2546">
        <f>IFERROR(VLOOKUP(TRIM(A87),Fact1_2!$D$22:$P$41,10,0),"")</f>
        <v>3.4231090000000002</v>
      </c>
      <c r="H87" s="2546">
        <f t="shared" si="59"/>
        <v>27.583617337717342</v>
      </c>
      <c r="AM87" s="8"/>
      <c r="AN87" s="8"/>
      <c r="AO87" s="8"/>
      <c r="AP87" s="8"/>
      <c r="AQ87" s="8"/>
      <c r="AR87" s="8"/>
      <c r="AS87" s="8"/>
    </row>
    <row r="88" spans="1:45">
      <c r="A88" s="2544" t="str">
        <f t="shared" si="61"/>
        <v xml:space="preserve">  VEN</v>
      </c>
      <c r="B88" s="2550">
        <f t="shared" si="62"/>
        <v>60.011834592449588</v>
      </c>
      <c r="C88" s="2550">
        <f t="shared" si="63"/>
        <v>17.032056331101217</v>
      </c>
      <c r="D88" s="2550">
        <f t="shared" si="64"/>
        <v>22.956109076449195</v>
      </c>
      <c r="E88" s="2544">
        <f t="shared" si="65"/>
        <v>2021</v>
      </c>
      <c r="F88" s="2551">
        <f>IFERROR(VLOOKUP(TRIM(A88),Fact1_data!$A$2:$F$19,3,0),"")</f>
        <v>53.867767333984375</v>
      </c>
      <c r="G88" s="2546">
        <f>IFERROR(VLOOKUP(TRIM(A88),Fact1_2!$D$22:$P$41,10,0),"")</f>
        <v>28.838498999999999</v>
      </c>
      <c r="H88" s="2546">
        <f t="shared" si="59"/>
        <v>77.043890923550805</v>
      </c>
      <c r="AM88" s="8"/>
      <c r="AN88" s="8"/>
      <c r="AO88" s="8"/>
      <c r="AP88" s="8"/>
      <c r="AQ88" s="8"/>
      <c r="AR88" s="8"/>
      <c r="AS88" s="8"/>
    </row>
    <row r="89" spans="1:45">
      <c r="A89" s="2552" t="s">
        <v>0</v>
      </c>
      <c r="B89" s="2550">
        <f>SUMPRODUCT(B71:B88,$G71:$G88)/SUM($G71:$G88)</f>
        <v>21.361783440903785</v>
      </c>
      <c r="C89" s="2550">
        <f t="shared" ref="C89" si="66">SUMPRODUCT(C71:C88,$G71:$G88)/SUM($G71:$G88)</f>
        <v>25.773466685901671</v>
      </c>
      <c r="D89" s="2550">
        <f>SUMPRODUCT(D71:D88,$G71:$G88)/SUM($G71:$G88)</f>
        <v>52.864749873194548</v>
      </c>
      <c r="E89" s="2551"/>
      <c r="F89" s="2551" t="str">
        <f>IFERROR(VLOOKUP(TRIM(A89),Fact1_data!$A$2:$F$19,3,0),"")</f>
        <v/>
      </c>
      <c r="G89" s="2546" t="str">
        <f>IFERROR(VLOOKUP(TRIM(A89),Fact1_2!$D$22:$P$41,10,0),"")</f>
        <v/>
      </c>
      <c r="H89" s="2546">
        <f t="shared" si="59"/>
        <v>47.13525012680546</v>
      </c>
      <c r="AM89" s="8"/>
      <c r="AN89" s="8"/>
      <c r="AO89" s="8"/>
      <c r="AP89" s="8"/>
      <c r="AQ89" s="8"/>
      <c r="AR89" s="8"/>
      <c r="AS89" s="8"/>
    </row>
    <row r="90" spans="1:45">
      <c r="A90" s="2552" t="s">
        <v>1227</v>
      </c>
      <c r="B90" s="2550">
        <f>AVERAGE(B71:B89)</f>
        <v>22.906461198649026</v>
      </c>
      <c r="C90" s="2550">
        <f t="shared" ref="C90" si="67">AVERAGE(C71:C89)</f>
        <v>23.983943190815289</v>
      </c>
      <c r="D90" s="2550">
        <f t="shared" ref="D90" si="68">AVERAGE(D71:D89)</f>
        <v>53.109595610535685</v>
      </c>
      <c r="E90" s="2551"/>
      <c r="F90" s="2551"/>
      <c r="G90" s="2546" t="str">
        <f>IFERROR(VLOOKUP(TRIM(A90),Fact1_2!$D$22:$P$41,10,0),"")</f>
        <v/>
      </c>
      <c r="H90" s="2546">
        <f t="shared" si="59"/>
        <v>46.890404389464315</v>
      </c>
      <c r="AM90" s="8"/>
      <c r="AN90" s="8"/>
      <c r="AO90" s="8"/>
      <c r="AP90" s="8"/>
      <c r="AQ90" s="8"/>
      <c r="AR90" s="8"/>
      <c r="AS90" s="8"/>
    </row>
    <row r="91" spans="1:45">
      <c r="AM91" s="8"/>
      <c r="AN91" s="8"/>
      <c r="AO91" s="8"/>
      <c r="AP91" s="8"/>
      <c r="AQ91" s="8"/>
      <c r="AR91" s="8"/>
      <c r="AS91" s="8"/>
    </row>
    <row r="92" spans="1:45">
      <c r="A92" s="2547" t="str">
        <f>R1</f>
        <v>age65_mas</v>
      </c>
      <c r="B92" s="2550"/>
      <c r="C92" s="2550"/>
      <c r="D92" s="2550"/>
      <c r="E92" s="2551"/>
      <c r="F92" s="2551"/>
      <c r="G92" s="2546" t="str">
        <f>IFERROR(VLOOKUP(TRIM(A92),Fact1_2!$D$22:$P$41,10,0),"")</f>
        <v/>
      </c>
      <c r="H92" s="2546">
        <f t="shared" ref="H92:H113" si="69">IFERROR(B92+C92,"")</f>
        <v>0</v>
      </c>
      <c r="AM92" s="8"/>
      <c r="AN92" s="8"/>
      <c r="AO92" s="8"/>
      <c r="AP92" s="8"/>
      <c r="AQ92" s="8"/>
      <c r="AR92" s="8"/>
      <c r="AS92" s="8"/>
    </row>
    <row r="93" spans="1:45">
      <c r="A93" s="2548" t="s">
        <v>904</v>
      </c>
      <c r="B93" s="7466" t="s">
        <v>1141</v>
      </c>
      <c r="C93" s="7466" t="s">
        <v>1142</v>
      </c>
      <c r="D93" s="7466" t="s">
        <v>1102</v>
      </c>
      <c r="E93" s="2549" t="s">
        <v>938</v>
      </c>
      <c r="F93" s="3669"/>
      <c r="G93" s="2546" t="str">
        <f>IFERROR(VLOOKUP(TRIM(A93),Fact1_2!$D$22:$P$41,10,0),"")</f>
        <v/>
      </c>
      <c r="H93" s="2546" t="str">
        <f t="shared" si="69"/>
        <v/>
      </c>
      <c r="AM93" s="8"/>
      <c r="AN93" s="8"/>
      <c r="AO93" s="8"/>
      <c r="AP93" s="8"/>
      <c r="AQ93" s="8"/>
      <c r="AR93" s="8"/>
      <c r="AS93" s="8"/>
    </row>
    <row r="94" spans="1:45">
      <c r="A94" s="2544" t="str">
        <f>P6</f>
        <v xml:space="preserve">  ARG</v>
      </c>
      <c r="B94" s="2550">
        <f t="shared" ref="B94:E109" si="70">Q6</f>
        <v>1.7725385819890267</v>
      </c>
      <c r="C94" s="2550">
        <f t="shared" si="70"/>
        <v>4.9075355102828393</v>
      </c>
      <c r="D94" s="2550">
        <f t="shared" si="70"/>
        <v>93.319925907728134</v>
      </c>
      <c r="E94" s="2544">
        <f>T6</f>
        <v>2022</v>
      </c>
      <c r="F94" s="2551"/>
      <c r="G94" s="2546">
        <f>IFERROR(VLOOKUP(TRIM(A94),Fact1_2!$D$22:$P$41,10,0),"")</f>
        <v>45.773884000000002</v>
      </c>
      <c r="H94" s="2546">
        <f t="shared" si="69"/>
        <v>6.680074092271866</v>
      </c>
      <c r="AM94" s="8"/>
      <c r="AN94" s="8"/>
      <c r="AO94" s="8"/>
      <c r="AP94" s="8"/>
      <c r="AQ94" s="8"/>
      <c r="AR94" s="8"/>
      <c r="AS94" s="8"/>
    </row>
    <row r="95" spans="1:45">
      <c r="A95" s="2544" t="str">
        <f t="shared" ref="A95:A111" si="71">P7</f>
        <v xml:space="preserve">  BOL</v>
      </c>
      <c r="B95" s="2550">
        <f t="shared" si="70"/>
        <v>3.9953426166693577</v>
      </c>
      <c r="C95" s="2550">
        <f t="shared" si="70"/>
        <v>16.015063958586744</v>
      </c>
      <c r="D95" s="2550">
        <f t="shared" si="70"/>
        <v>79.989593424743902</v>
      </c>
      <c r="E95" s="2544">
        <f t="shared" si="70"/>
        <v>2022</v>
      </c>
      <c r="F95" s="2551"/>
      <c r="G95" s="2546">
        <f>IFERROR(VLOOKUP(TRIM(A95),Fact1_2!$D$22:$P$41,10,0),"")</f>
        <v>12.388571000000001</v>
      </c>
      <c r="H95" s="2546">
        <f t="shared" si="69"/>
        <v>20.010406575256102</v>
      </c>
      <c r="AM95" s="8"/>
      <c r="AN95" s="8"/>
      <c r="AO95" s="8"/>
      <c r="AP95" s="8"/>
      <c r="AQ95" s="8"/>
      <c r="AR95" s="8"/>
      <c r="AS95" s="8"/>
    </row>
    <row r="96" spans="1:45">
      <c r="A96" s="2544" t="str">
        <f t="shared" si="71"/>
        <v xml:space="preserve">  BRA</v>
      </c>
      <c r="B96" s="2550">
        <f t="shared" si="70"/>
        <v>1.3428792581020843</v>
      </c>
      <c r="C96" s="2550">
        <f t="shared" si="70"/>
        <v>8.4391609959353442</v>
      </c>
      <c r="D96" s="2550">
        <f t="shared" si="70"/>
        <v>90.217959745962574</v>
      </c>
      <c r="E96" s="2544">
        <f t="shared" si="70"/>
        <v>2022</v>
      </c>
      <c r="F96" s="2551"/>
      <c r="G96" s="2546">
        <f>IFERROR(VLOOKUP(TRIM(A96),Fact1_2!$D$22:$P$41,10,0),"")</f>
        <v>216.42244600000001</v>
      </c>
      <c r="H96" s="2546">
        <f t="shared" si="69"/>
        <v>9.7820402540374278</v>
      </c>
      <c r="AM96" s="8"/>
      <c r="AN96" s="8"/>
      <c r="AO96" s="8"/>
      <c r="AP96" s="8"/>
      <c r="AQ96" s="8"/>
      <c r="AR96" s="8"/>
      <c r="AS96" s="8"/>
    </row>
    <row r="97" spans="1:45">
      <c r="A97" s="2544" t="str">
        <f t="shared" si="71"/>
        <v xml:space="preserve">  CHL</v>
      </c>
      <c r="B97" s="2550">
        <f t="shared" si="70"/>
        <v>1.0511224952485698</v>
      </c>
      <c r="C97" s="2550">
        <f t="shared" si="70"/>
        <v>4.8203525223582533</v>
      </c>
      <c r="D97" s="2550">
        <f t="shared" si="70"/>
        <v>94.128524982393174</v>
      </c>
      <c r="E97" s="2544">
        <f t="shared" si="70"/>
        <v>2022</v>
      </c>
      <c r="F97" s="2551"/>
      <c r="G97" s="2546">
        <f>IFERROR(VLOOKUP(TRIM(A97),Fact1_2!$D$22:$P$41,10,0),"")</f>
        <v>19.62959</v>
      </c>
      <c r="H97" s="2546">
        <f t="shared" si="69"/>
        <v>5.8714750176068229</v>
      </c>
      <c r="AM97" s="8"/>
      <c r="AN97" s="8"/>
      <c r="AO97" s="8"/>
      <c r="AP97" s="8"/>
      <c r="AQ97" s="8"/>
      <c r="AR97" s="8"/>
      <c r="AS97" s="8"/>
    </row>
    <row r="98" spans="1:45">
      <c r="A98" s="2544" t="str">
        <f t="shared" si="71"/>
        <v xml:space="preserve">  COL</v>
      </c>
      <c r="B98" s="2550">
        <f t="shared" si="70"/>
        <v>18.628118289123016</v>
      </c>
      <c r="C98" s="2550">
        <f t="shared" si="70"/>
        <v>16.54141113964873</v>
      </c>
      <c r="D98" s="2550">
        <f t="shared" si="70"/>
        <v>64.830470571228247</v>
      </c>
      <c r="E98" s="2544">
        <f t="shared" si="70"/>
        <v>2022</v>
      </c>
      <c r="F98" s="2551"/>
      <c r="G98" s="2546">
        <f>IFERROR(VLOOKUP(TRIM(A98),Fact1_2!$D$22:$P$41,10,0),"")</f>
        <v>52.085168000000003</v>
      </c>
      <c r="H98" s="2546">
        <f t="shared" si="69"/>
        <v>35.169529428771746</v>
      </c>
      <c r="AM98" s="8"/>
      <c r="AN98" s="8"/>
      <c r="AO98" s="8"/>
      <c r="AP98" s="8"/>
      <c r="AQ98" s="8"/>
      <c r="AR98" s="8"/>
      <c r="AS98" s="8"/>
    </row>
    <row r="99" spans="1:45">
      <c r="A99" s="2544" t="str">
        <f t="shared" si="71"/>
        <v xml:space="preserve">  CRI</v>
      </c>
      <c r="B99" s="2550">
        <f t="shared" si="70"/>
        <v>3.8984357054412548</v>
      </c>
      <c r="C99" s="2550">
        <f t="shared" si="70"/>
        <v>10.912820038845719</v>
      </c>
      <c r="D99" s="2550">
        <f t="shared" si="70"/>
        <v>85.188744255713019</v>
      </c>
      <c r="E99" s="2544">
        <f t="shared" si="70"/>
        <v>2023</v>
      </c>
      <c r="F99" s="2551"/>
      <c r="G99" s="2546">
        <f>IFERROR(VLOOKUP(TRIM(A99),Fact1_2!$D$22:$P$41,10,0),"")</f>
        <v>5.2121729999999999</v>
      </c>
      <c r="H99" s="2546">
        <f t="shared" si="69"/>
        <v>14.811255744286974</v>
      </c>
      <c r="AM99" s="8"/>
      <c r="AN99" s="8"/>
      <c r="AO99" s="8"/>
      <c r="AP99" s="8"/>
      <c r="AQ99" s="8"/>
      <c r="AR99" s="8"/>
      <c r="AS99" s="8"/>
    </row>
    <row r="100" spans="1:45">
      <c r="A100" s="2544" t="str">
        <f t="shared" si="71"/>
        <v xml:space="preserve">  DOM</v>
      </c>
      <c r="B100" s="2550">
        <f t="shared" si="70"/>
        <v>7.6775834004992518</v>
      </c>
      <c r="C100" s="2550">
        <f t="shared" si="70"/>
        <v>17.641543478024779</v>
      </c>
      <c r="D100" s="2550">
        <f t="shared" si="70"/>
        <v>74.680873121475969</v>
      </c>
      <c r="E100" s="2544">
        <f t="shared" si="70"/>
        <v>2022</v>
      </c>
      <c r="F100" s="2551"/>
      <c r="G100" s="2546">
        <f>IFERROR(VLOOKUP(TRIM(A100),Fact1_2!$D$22:$P$41,10,0),"")</f>
        <v>11.332973000000001</v>
      </c>
      <c r="H100" s="2546">
        <f t="shared" si="69"/>
        <v>25.319126878524031</v>
      </c>
      <c r="AM100" s="8"/>
      <c r="AN100" s="8"/>
      <c r="AO100" s="8"/>
      <c r="AP100" s="8"/>
      <c r="AQ100" s="8"/>
      <c r="AR100" s="8"/>
      <c r="AS100" s="8"/>
    </row>
    <row r="101" spans="1:45">
      <c r="A101" s="2544" t="str">
        <f t="shared" si="71"/>
        <v xml:space="preserve">  ECU</v>
      </c>
      <c r="B101" s="2550">
        <f t="shared" si="70"/>
        <v>8.5030726433656731</v>
      </c>
      <c r="C101" s="2550">
        <f t="shared" si="70"/>
        <v>19.787327570660747</v>
      </c>
      <c r="D101" s="2550">
        <f t="shared" si="70"/>
        <v>71.70959978597358</v>
      </c>
      <c r="E101" s="2544">
        <f t="shared" si="70"/>
        <v>2023</v>
      </c>
      <c r="F101" s="2551"/>
      <c r="G101" s="2546">
        <f>IFERROR(VLOOKUP(TRIM(A101),Fact1_2!$D$22:$P$41,10,0),"")</f>
        <v>18.190484000000001</v>
      </c>
      <c r="H101" s="2546">
        <f t="shared" si="69"/>
        <v>28.29040021402642</v>
      </c>
      <c r="AM101" s="8"/>
      <c r="AN101" s="8"/>
      <c r="AO101" s="8"/>
      <c r="AP101" s="8"/>
      <c r="AQ101" s="8"/>
      <c r="AR101" s="8"/>
      <c r="AS101" s="8"/>
    </row>
    <row r="102" spans="1:45">
      <c r="A102" s="2544" t="str">
        <f t="shared" si="71"/>
        <v xml:space="preserve">  GTM</v>
      </c>
      <c r="B102" s="2550">
        <f t="shared" si="70"/>
        <v>34.992698560625797</v>
      </c>
      <c r="C102" s="2550">
        <f t="shared" si="70"/>
        <v>18.060789069121515</v>
      </c>
      <c r="D102" s="2550">
        <f t="shared" si="70"/>
        <v>46.946512370252691</v>
      </c>
      <c r="E102" s="2544">
        <f t="shared" si="70"/>
        <v>2022</v>
      </c>
      <c r="F102" s="2551"/>
      <c r="G102" s="2546">
        <f>IFERROR(VLOOKUP(TRIM(A102),Fact1_2!$D$22:$P$41,10,0),"")</f>
        <v>18.092026000000001</v>
      </c>
      <c r="H102" s="2546">
        <f t="shared" si="69"/>
        <v>53.053487629747309</v>
      </c>
      <c r="AM102" s="8"/>
      <c r="AN102" s="8"/>
      <c r="AO102" s="8"/>
      <c r="AP102" s="8"/>
      <c r="AQ102" s="8"/>
      <c r="AR102" s="8"/>
      <c r="AS102" s="8"/>
    </row>
    <row r="103" spans="1:45">
      <c r="A103" s="2544" t="str">
        <f t="shared" si="71"/>
        <v xml:space="preserve">  GUY</v>
      </c>
      <c r="B103" s="2550">
        <f t="shared" si="70"/>
        <v>17.196857830107998</v>
      </c>
      <c r="C103" s="2550">
        <f t="shared" si="70"/>
        <v>30.045923921935874</v>
      </c>
      <c r="D103" s="2550">
        <f t="shared" si="70"/>
        <v>52.757218247956125</v>
      </c>
      <c r="E103" s="2544">
        <f t="shared" si="70"/>
        <v>2021</v>
      </c>
      <c r="F103" s="2551"/>
      <c r="G103" s="2546">
        <f>IFERROR(VLOOKUP(TRIM(A103),Fact1_2!$D$22:$P$41,10,0),"")</f>
        <v>0.81383399999999995</v>
      </c>
      <c r="H103" s="2546">
        <f t="shared" si="69"/>
        <v>47.242781752043868</v>
      </c>
      <c r="AM103" s="8"/>
      <c r="AN103" s="8"/>
      <c r="AO103" s="8"/>
      <c r="AP103" s="8"/>
      <c r="AQ103" s="8"/>
      <c r="AR103" s="8"/>
      <c r="AS103" s="8"/>
    </row>
    <row r="104" spans="1:45">
      <c r="A104" s="2544" t="str">
        <f t="shared" si="71"/>
        <v xml:space="preserve">  HND</v>
      </c>
      <c r="B104" s="2550">
        <f t="shared" si="70"/>
        <v>34.64093451084269</v>
      </c>
      <c r="C104" s="2550">
        <f t="shared" si="70"/>
        <v>23.214268993340312</v>
      </c>
      <c r="D104" s="2550">
        <f t="shared" si="70"/>
        <v>42.144796495816991</v>
      </c>
      <c r="E104" s="2544">
        <f t="shared" si="70"/>
        <v>2023</v>
      </c>
      <c r="F104" s="2551"/>
      <c r="G104" s="2546">
        <f>IFERROR(VLOOKUP(TRIM(A104),Fact1_2!$D$22:$P$41,10,0),"")</f>
        <v>10.593798</v>
      </c>
      <c r="H104" s="2546">
        <f t="shared" si="69"/>
        <v>57.855203504183002</v>
      </c>
      <c r="AM104" s="8"/>
      <c r="AN104" s="8"/>
      <c r="AO104" s="8"/>
      <c r="AP104" s="8"/>
      <c r="AQ104" s="8"/>
      <c r="AR104" s="8"/>
      <c r="AS104" s="8"/>
    </row>
    <row r="105" spans="1:45">
      <c r="A105" s="2544" t="str">
        <f t="shared" si="71"/>
        <v xml:space="preserve">  MEX</v>
      </c>
      <c r="B105" s="2550">
        <f t="shared" si="70"/>
        <v>13.272019136329702</v>
      </c>
      <c r="C105" s="2550">
        <f t="shared" si="70"/>
        <v>20.138605214598623</v>
      </c>
      <c r="D105" s="2550">
        <f t="shared" si="70"/>
        <v>66.589375649071684</v>
      </c>
      <c r="E105" s="2544">
        <f t="shared" si="70"/>
        <v>2022</v>
      </c>
      <c r="F105" s="2551"/>
      <c r="G105" s="2546">
        <f>IFERROR(VLOOKUP(TRIM(A105),Fact1_2!$D$22:$P$41,10,0),"")</f>
        <v>128.455567</v>
      </c>
      <c r="H105" s="2546">
        <f t="shared" si="69"/>
        <v>33.410624350928323</v>
      </c>
      <c r="AM105" s="8"/>
      <c r="AN105" s="8"/>
      <c r="AO105" s="8"/>
      <c r="AP105" s="8"/>
      <c r="AQ105" s="8"/>
      <c r="AR105" s="8"/>
      <c r="AS105" s="8"/>
    </row>
    <row r="106" spans="1:45">
      <c r="A106" s="2544" t="str">
        <f t="shared" si="71"/>
        <v xml:space="preserve">  PAN</v>
      </c>
      <c r="B106" s="2550">
        <f t="shared" si="70"/>
        <v>3.2462902220987924</v>
      </c>
      <c r="C106" s="2550">
        <f t="shared" si="70"/>
        <v>8.5606361978247971</v>
      </c>
      <c r="D106" s="2550">
        <f t="shared" si="70"/>
        <v>88.193073580076415</v>
      </c>
      <c r="E106" s="2544">
        <f t="shared" si="70"/>
        <v>2022</v>
      </c>
      <c r="F106" s="2551"/>
      <c r="G106" s="2546">
        <f>IFERROR(VLOOKUP(TRIM(A106),Fact1_2!$D$22:$P$41,10,0),"")</f>
        <v>4.4680869999999997</v>
      </c>
      <c r="H106" s="2546">
        <f t="shared" si="69"/>
        <v>11.80692641992359</v>
      </c>
      <c r="AM106" s="8"/>
      <c r="AN106" s="8"/>
      <c r="AO106" s="8"/>
      <c r="AP106" s="8"/>
      <c r="AQ106" s="8"/>
      <c r="AR106" s="8"/>
      <c r="AS106" s="8"/>
    </row>
    <row r="107" spans="1:45">
      <c r="A107" s="2544" t="str">
        <f t="shared" si="71"/>
        <v xml:space="preserve">  PER</v>
      </c>
      <c r="B107" s="2550">
        <f t="shared" si="70"/>
        <v>10.960472420087495</v>
      </c>
      <c r="C107" s="2550">
        <f t="shared" si="70"/>
        <v>25.187682183792209</v>
      </c>
      <c r="D107" s="2550">
        <f t="shared" si="70"/>
        <v>63.851845396120297</v>
      </c>
      <c r="E107" s="2544">
        <f t="shared" si="70"/>
        <v>2022</v>
      </c>
      <c r="F107" s="2551"/>
      <c r="G107" s="2546">
        <f>IFERROR(VLOOKUP(TRIM(A107),Fact1_2!$D$22:$P$41,10,0),"")</f>
        <v>34.352719</v>
      </c>
      <c r="H107" s="2546">
        <f t="shared" si="69"/>
        <v>36.148154603879703</v>
      </c>
      <c r="AM107" s="8"/>
      <c r="AN107" s="8"/>
      <c r="AO107" s="8"/>
      <c r="AP107" s="8"/>
      <c r="AQ107" s="8"/>
      <c r="AR107" s="8"/>
      <c r="AS107" s="8"/>
    </row>
    <row r="108" spans="1:45">
      <c r="A108" s="2544" t="str">
        <f t="shared" si="71"/>
        <v xml:space="preserve">  PRY</v>
      </c>
      <c r="B108" s="2550">
        <f t="shared" si="70"/>
        <v>8.9454227252401584</v>
      </c>
      <c r="C108" s="2550">
        <f t="shared" si="70"/>
        <v>22.478721107735957</v>
      </c>
      <c r="D108" s="2550">
        <f t="shared" si="70"/>
        <v>68.575856167023886</v>
      </c>
      <c r="E108" s="2544">
        <f t="shared" si="70"/>
        <v>2022</v>
      </c>
      <c r="F108" s="2551"/>
      <c r="G108" s="2546">
        <f>IFERROR(VLOOKUP(TRIM(A108),Fact1_2!$D$22:$P$41,10,0),"")</f>
        <v>6.8615240000000002</v>
      </c>
      <c r="H108" s="2546">
        <f t="shared" si="69"/>
        <v>31.424143832976114</v>
      </c>
      <c r="AM108" s="8"/>
      <c r="AN108" s="8"/>
      <c r="AO108" s="8"/>
      <c r="AP108" s="8"/>
      <c r="AQ108" s="8"/>
      <c r="AR108" s="8"/>
      <c r="AS108" s="8"/>
    </row>
    <row r="109" spans="1:45">
      <c r="A109" s="2544" t="str">
        <f t="shared" si="71"/>
        <v xml:space="preserve">  SLV</v>
      </c>
      <c r="B109" s="2550">
        <f t="shared" si="70"/>
        <v>20.45404944872115</v>
      </c>
      <c r="C109" s="2550">
        <f t="shared" si="70"/>
        <v>18.703923265139551</v>
      </c>
      <c r="D109" s="2550">
        <f t="shared" si="70"/>
        <v>60.842027286139299</v>
      </c>
      <c r="E109" s="2544">
        <f t="shared" si="70"/>
        <v>2023</v>
      </c>
      <c r="F109" s="2551"/>
      <c r="G109" s="2546">
        <f>IFERROR(VLOOKUP(TRIM(A109),Fact1_2!$D$22:$P$41,10,0),"")</f>
        <v>6.3649430000000002</v>
      </c>
      <c r="H109" s="2546">
        <f t="shared" si="69"/>
        <v>39.157972713860701</v>
      </c>
      <c r="AM109" s="8"/>
      <c r="AN109" s="8"/>
      <c r="AO109" s="8"/>
      <c r="AP109" s="8"/>
      <c r="AQ109" s="8"/>
      <c r="AR109" s="8"/>
      <c r="AS109" s="8"/>
    </row>
    <row r="110" spans="1:45">
      <c r="A110" s="2544" t="str">
        <f t="shared" si="71"/>
        <v xml:space="preserve">  URY</v>
      </c>
      <c r="B110" s="2550">
        <f t="shared" ref="B110:B111" si="72">Q22</f>
        <v>0.36897669462910992</v>
      </c>
      <c r="C110" s="2550">
        <f t="shared" ref="C110:C111" si="73">R22</f>
        <v>2.6524303314975164</v>
      </c>
      <c r="D110" s="2550">
        <f t="shared" ref="D110:E111" si="74">S22</f>
        <v>96.978592973873376</v>
      </c>
      <c r="E110" s="2544">
        <f t="shared" si="74"/>
        <v>2022</v>
      </c>
      <c r="F110" s="2551"/>
      <c r="G110" s="2546">
        <f>IFERROR(VLOOKUP(TRIM(A110),Fact1_2!$D$22:$P$41,10,0),"")</f>
        <v>3.4231090000000002</v>
      </c>
      <c r="H110" s="2546">
        <f t="shared" si="69"/>
        <v>3.0214070261266261</v>
      </c>
      <c r="AM110" s="8"/>
      <c r="AN110" s="8"/>
      <c r="AO110" s="8"/>
      <c r="AP110" s="8"/>
      <c r="AQ110" s="8"/>
      <c r="AR110" s="8"/>
      <c r="AS110" s="8"/>
    </row>
    <row r="111" spans="1:45">
      <c r="A111" s="2544" t="str">
        <f t="shared" si="71"/>
        <v xml:space="preserve">  VEN</v>
      </c>
      <c r="B111" s="2550">
        <f t="shared" si="72"/>
        <v>55.467008938802479</v>
      </c>
      <c r="C111" s="2550">
        <f t="shared" si="73"/>
        <v>16.219710247829507</v>
      </c>
      <c r="D111" s="2550">
        <f t="shared" si="74"/>
        <v>28.313280813368014</v>
      </c>
      <c r="E111" s="2544">
        <f t="shared" si="74"/>
        <v>2021</v>
      </c>
      <c r="F111" s="2551"/>
      <c r="G111" s="2546">
        <f>IFERROR(VLOOKUP(TRIM(A111),Fact1_2!$D$22:$P$41,10,0),"")</f>
        <v>28.838498999999999</v>
      </c>
      <c r="H111" s="2546">
        <f t="shared" si="69"/>
        <v>71.68671918663199</v>
      </c>
      <c r="AM111" s="8"/>
      <c r="AN111" s="8"/>
      <c r="AO111" s="8"/>
      <c r="AP111" s="8"/>
      <c r="AQ111" s="8"/>
      <c r="AR111" s="8"/>
      <c r="AS111" s="8"/>
    </row>
    <row r="112" spans="1:45">
      <c r="A112" s="2552" t="s">
        <v>0</v>
      </c>
      <c r="B112" s="2550">
        <f>SUMPRODUCT(B94:B111,$G94:$G111)/SUM($G94:$G111)</f>
        <v>10.551139530106886</v>
      </c>
      <c r="C112" s="2550">
        <f t="shared" ref="C112" si="75">SUMPRODUCT(C94:C111,$G94:$G111)/SUM($G94:$G111)</f>
        <v>13.893943024604077</v>
      </c>
      <c r="D112" s="2550">
        <f>SUMPRODUCT(D94:D111,$G94:$G111)/SUM($G94:$G111)</f>
        <v>75.554917445289064</v>
      </c>
      <c r="E112" s="2551"/>
      <c r="F112" s="2551"/>
      <c r="G112" s="2546" t="str">
        <f>IFERROR(VLOOKUP(TRIM(A112),Fact1_2!$D$22:$P$41,10,0),"")</f>
        <v/>
      </c>
      <c r="H112" s="2546">
        <f t="shared" si="69"/>
        <v>24.445082554710964</v>
      </c>
      <c r="AM112" s="8"/>
      <c r="AN112" s="8"/>
      <c r="AO112" s="8"/>
      <c r="AP112" s="8"/>
      <c r="AQ112" s="8"/>
      <c r="AR112" s="8"/>
      <c r="AS112" s="8"/>
    </row>
    <row r="113" spans="1:45">
      <c r="A113" s="2552" t="s">
        <v>1227</v>
      </c>
      <c r="B113" s="2550">
        <f>AVERAGE(B94:B112)</f>
        <v>13.524471737264761</v>
      </c>
      <c r="C113" s="2550">
        <f>AVERAGE(C94:C112)</f>
        <v>15.695886777461213</v>
      </c>
      <c r="D113" s="2550">
        <f t="shared" ref="D113" si="76">AVERAGE(D94:D112)</f>
        <v>70.779641485274013</v>
      </c>
      <c r="E113" s="2551"/>
      <c r="F113" s="2551"/>
      <c r="G113" s="2546" t="str">
        <f>IFERROR(VLOOKUP(TRIM(A113),Fact1_2!$D$22:$P$41,10,0),"")</f>
        <v/>
      </c>
      <c r="H113" s="2546">
        <f t="shared" si="69"/>
        <v>29.220358514725973</v>
      </c>
      <c r="AM113" s="8"/>
      <c r="AN113" s="8"/>
      <c r="AO113" s="8"/>
      <c r="AP113" s="8"/>
      <c r="AQ113" s="8"/>
      <c r="AR113" s="8"/>
      <c r="AS113" s="8"/>
    </row>
    <row r="114" spans="1:45">
      <c r="A114" s="2544"/>
      <c r="B114" s="2550"/>
      <c r="C114" s="2550"/>
      <c r="D114" s="2550"/>
      <c r="E114" s="2546"/>
      <c r="F114" s="2546"/>
      <c r="G114" s="2546"/>
      <c r="H114" s="2546">
        <f>SUM(H48:H67)</f>
        <v>717.74867010297964</v>
      </c>
      <c r="AM114" s="8"/>
      <c r="AN114" s="8"/>
      <c r="AO114" s="8"/>
      <c r="AP114" s="8"/>
      <c r="AQ114" s="8"/>
      <c r="AR114" s="8"/>
      <c r="AS114" s="8"/>
    </row>
    <row r="115" spans="1:45">
      <c r="A115" s="2544"/>
      <c r="B115" s="2550"/>
      <c r="C115" s="2550"/>
      <c r="D115" s="2550"/>
      <c r="E115" s="2551"/>
      <c r="F115" s="2551"/>
      <c r="G115" s="2546" t="str">
        <f>IFERROR(VLOOKUP(TRIM(A115),Fact1_2!$D$22:$P$41,10,0),"")</f>
        <v/>
      </c>
      <c r="H115" s="2546">
        <f t="shared" ref="H115:H141" si="77">IFERROR(B115+C115,"")</f>
        <v>0</v>
      </c>
      <c r="AM115" s="8"/>
      <c r="AN115" s="8"/>
      <c r="AO115" s="8"/>
      <c r="AP115" s="8"/>
      <c r="AQ115" s="8"/>
      <c r="AR115" s="8"/>
      <c r="AS115" s="8"/>
    </row>
    <row r="116" spans="1:45">
      <c r="A116" s="2544" t="str">
        <f>W1</f>
        <v>afro</v>
      </c>
      <c r="B116" s="2550"/>
      <c r="C116" s="2550"/>
      <c r="D116" s="2550"/>
      <c r="E116" s="2551"/>
      <c r="F116" s="2551"/>
      <c r="G116" s="2546" t="str">
        <f>IFERROR(VLOOKUP(TRIM(A116),Fact1_2!$D$22:$P$41,10,0),"")</f>
        <v/>
      </c>
      <c r="H116" s="2546">
        <f t="shared" si="77"/>
        <v>0</v>
      </c>
      <c r="AM116" s="8"/>
      <c r="AN116" s="8"/>
      <c r="AO116" s="8"/>
      <c r="AP116" s="8"/>
      <c r="AQ116" s="8"/>
      <c r="AR116" s="8"/>
      <c r="AS116" s="8"/>
    </row>
    <row r="117" spans="1:45">
      <c r="A117" s="2548" t="s">
        <v>904</v>
      </c>
      <c r="B117" s="7466" t="s">
        <v>1141</v>
      </c>
      <c r="C117" s="7466" t="s">
        <v>1142</v>
      </c>
      <c r="D117" s="7466" t="s">
        <v>1102</v>
      </c>
      <c r="E117" s="2549" t="s">
        <v>938</v>
      </c>
      <c r="F117" s="3669"/>
      <c r="G117" s="2546" t="str">
        <f>IFERROR(VLOOKUP(TRIM(A117),Fact1_2!$D$22:$P$41,10,0),"")</f>
        <v/>
      </c>
      <c r="H117" s="2546" t="str">
        <f t="shared" si="77"/>
        <v/>
      </c>
      <c r="AM117" s="8"/>
      <c r="AN117" s="8"/>
      <c r="AO117" s="8"/>
      <c r="AP117" s="8"/>
      <c r="AQ117" s="8"/>
      <c r="AR117" s="8"/>
      <c r="AS117" s="8"/>
    </row>
    <row r="118" spans="1:45">
      <c r="A118" s="7411" t="str">
        <f>U6</f>
        <v xml:space="preserve">  BOL</v>
      </c>
      <c r="B118" s="7469">
        <f t="shared" ref="B118:E126" si="78">V6</f>
        <v>0</v>
      </c>
      <c r="C118" s="7469">
        <f t="shared" si="78"/>
        <v>0</v>
      </c>
      <c r="D118" s="7469">
        <f t="shared" si="78"/>
        <v>100</v>
      </c>
      <c r="E118" s="7411">
        <f t="shared" si="78"/>
        <v>2022</v>
      </c>
      <c r="F118" s="7412"/>
      <c r="G118" s="7413">
        <f>IFERROR(VLOOKUP(TRIM(A118),Fact1_2!$D$22:$P$41,10,0),"")</f>
        <v>12.388571000000001</v>
      </c>
      <c r="H118" s="7413">
        <f t="shared" si="77"/>
        <v>0</v>
      </c>
      <c r="I118" t="s">
        <v>1278</v>
      </c>
      <c r="AM118" s="8"/>
      <c r="AN118" s="8"/>
      <c r="AO118" s="8"/>
      <c r="AP118" s="8"/>
      <c r="AQ118" s="8"/>
      <c r="AR118" s="8"/>
      <c r="AS118" s="8"/>
    </row>
    <row r="119" spans="1:45">
      <c r="A119" s="7410" t="str">
        <f t="shared" ref="A119:A126" si="79">U7</f>
        <v xml:space="preserve">  BRA</v>
      </c>
      <c r="B119" s="7470">
        <f t="shared" si="78"/>
        <v>14.785895754948633</v>
      </c>
      <c r="C119" s="7470">
        <f t="shared" si="78"/>
        <v>22.49756903955884</v>
      </c>
      <c r="D119" s="7470">
        <f t="shared" si="78"/>
        <v>62.716535205492526</v>
      </c>
      <c r="E119" s="7410">
        <f t="shared" si="78"/>
        <v>2022</v>
      </c>
      <c r="F119" s="2551"/>
      <c r="G119" s="2546">
        <f>IFERROR(VLOOKUP(TRIM(A119),Fact1_2!$D$22:$P$41,10,0),"")</f>
        <v>216.42244600000001</v>
      </c>
      <c r="H119" s="2546">
        <f t="shared" si="77"/>
        <v>37.283464794507474</v>
      </c>
      <c r="AM119" s="8"/>
      <c r="AN119" s="8"/>
      <c r="AO119" s="8"/>
      <c r="AP119" s="8"/>
      <c r="AQ119" s="8"/>
      <c r="AR119" s="8"/>
      <c r="AS119" s="8"/>
    </row>
    <row r="120" spans="1:45">
      <c r="A120" s="7410" t="str">
        <f t="shared" si="79"/>
        <v xml:space="preserve">  COL</v>
      </c>
      <c r="B120" s="7470">
        <f t="shared" si="78"/>
        <v>30.610710063580466</v>
      </c>
      <c r="C120" s="7470">
        <f t="shared" si="78"/>
        <v>27.012961148719068</v>
      </c>
      <c r="D120" s="7470">
        <f t="shared" si="78"/>
        <v>42.376328787700466</v>
      </c>
      <c r="E120" s="7410">
        <f t="shared" si="78"/>
        <v>2022</v>
      </c>
      <c r="F120" s="2551"/>
      <c r="G120" s="2546">
        <f>IFERROR(VLOOKUP(TRIM(A120),Fact1_2!$D$22:$P$41,10,0),"")</f>
        <v>52.085168000000003</v>
      </c>
      <c r="H120" s="2546">
        <f t="shared" si="77"/>
        <v>57.623671212299534</v>
      </c>
      <c r="AM120" s="8"/>
      <c r="AN120" s="8"/>
      <c r="AO120" s="8"/>
      <c r="AP120" s="8"/>
      <c r="AQ120" s="8"/>
      <c r="AR120" s="8"/>
      <c r="AS120" s="8"/>
    </row>
    <row r="121" spans="1:45">
      <c r="A121" s="7410" t="str">
        <f t="shared" si="79"/>
        <v xml:space="preserve">  ECU</v>
      </c>
      <c r="B121" s="7470">
        <f t="shared" si="78"/>
        <v>24.572171697166318</v>
      </c>
      <c r="C121" s="7470">
        <f t="shared" si="78"/>
        <v>34.373088368398101</v>
      </c>
      <c r="D121" s="7470">
        <f t="shared" si="78"/>
        <v>41.054739934435574</v>
      </c>
      <c r="E121" s="7410">
        <f t="shared" si="78"/>
        <v>2023</v>
      </c>
      <c r="F121" s="2551"/>
      <c r="G121" s="2546">
        <f>IFERROR(VLOOKUP(TRIM(A121),Fact1_2!$D$22:$P$41,10,0),"")</f>
        <v>18.190484000000001</v>
      </c>
      <c r="H121" s="2546">
        <f t="shared" si="77"/>
        <v>58.945260065564419</v>
      </c>
      <c r="AM121" s="8"/>
      <c r="AN121" s="8"/>
      <c r="AO121" s="8"/>
      <c r="AP121" s="8"/>
      <c r="AQ121" s="8"/>
      <c r="AR121" s="8"/>
      <c r="AS121" s="8"/>
    </row>
    <row r="122" spans="1:45">
      <c r="A122" s="7410" t="str">
        <f t="shared" si="79"/>
        <v xml:space="preserve">  GTM</v>
      </c>
      <c r="B122" s="7470">
        <f t="shared" si="78"/>
        <v>39.371138919689528</v>
      </c>
      <c r="C122" s="7470">
        <f t="shared" si="78"/>
        <v>23.626756579393994</v>
      </c>
      <c r="D122" s="7470">
        <f t="shared" si="78"/>
        <v>37.002104500916474</v>
      </c>
      <c r="E122" s="7410">
        <f t="shared" si="78"/>
        <v>2022</v>
      </c>
      <c r="F122" s="2551"/>
      <c r="G122" s="2546">
        <f>IFERROR(VLOOKUP(TRIM(A122),Fact1_2!$D$22:$P$41,10,0),"")</f>
        <v>18.092026000000001</v>
      </c>
      <c r="H122" s="2546">
        <f t="shared" si="77"/>
        <v>62.997895499083526</v>
      </c>
      <c r="AM122" s="8"/>
      <c r="AN122" s="8"/>
      <c r="AO122" s="8"/>
      <c r="AP122" s="8"/>
      <c r="AQ122" s="8"/>
      <c r="AR122" s="8"/>
      <c r="AS122" s="8"/>
    </row>
    <row r="123" spans="1:45">
      <c r="A123" s="7410" t="str">
        <f t="shared" si="79"/>
        <v xml:space="preserve">  HND</v>
      </c>
      <c r="B123" s="7470">
        <f t="shared" si="78"/>
        <v>50.957617506631401</v>
      </c>
      <c r="C123" s="7470">
        <f t="shared" si="78"/>
        <v>19.900720890718233</v>
      </c>
      <c r="D123" s="7470">
        <f t="shared" si="78"/>
        <v>29.141661602650359</v>
      </c>
      <c r="E123" s="7410">
        <f t="shared" si="78"/>
        <v>2023</v>
      </c>
      <c r="F123" s="2551"/>
      <c r="G123" s="2546">
        <f>IFERROR(VLOOKUP(TRIM(A123),Fact1_2!$D$22:$P$41,10,0),"")</f>
        <v>10.593798</v>
      </c>
      <c r="H123" s="2546">
        <f t="shared" si="77"/>
        <v>70.858338397349627</v>
      </c>
      <c r="AM123" s="8"/>
      <c r="AN123" s="8"/>
      <c r="AO123" s="8"/>
      <c r="AP123" s="8"/>
      <c r="AQ123" s="8"/>
      <c r="AR123" s="8"/>
      <c r="AS123" s="8"/>
    </row>
    <row r="124" spans="1:45">
      <c r="A124" s="7410" t="str">
        <f t="shared" si="79"/>
        <v xml:space="preserve">  PAN</v>
      </c>
      <c r="B124" s="7470">
        <f t="shared" si="78"/>
        <v>3.4477264611122229</v>
      </c>
      <c r="C124" s="7470">
        <f t="shared" si="78"/>
        <v>8.7171880089316893</v>
      </c>
      <c r="D124" s="7470">
        <f t="shared" si="78"/>
        <v>87.835085529956089</v>
      </c>
      <c r="E124" s="7410">
        <f t="shared" si="78"/>
        <v>2022</v>
      </c>
      <c r="F124" s="2551"/>
      <c r="G124" s="2546">
        <f>IFERROR(VLOOKUP(TRIM(A124),Fact1_2!$D$22:$P$41,10,0),"")</f>
        <v>4.4680869999999997</v>
      </c>
      <c r="H124" s="2546">
        <f t="shared" si="77"/>
        <v>12.164914470043913</v>
      </c>
      <c r="AM124" s="8"/>
      <c r="AN124" s="8"/>
      <c r="AO124" s="8"/>
      <c r="AP124" s="8"/>
      <c r="AQ124" s="8"/>
      <c r="AR124" s="8"/>
      <c r="AS124" s="8"/>
    </row>
    <row r="125" spans="1:45">
      <c r="A125" s="7410" t="str">
        <f t="shared" si="79"/>
        <v xml:space="preserve">  PER</v>
      </c>
      <c r="B125" s="7470">
        <f t="shared" si="78"/>
        <v>13.510207343663911</v>
      </c>
      <c r="C125" s="7470">
        <f t="shared" si="78"/>
        <v>28.119352611487997</v>
      </c>
      <c r="D125" s="7470">
        <f t="shared" si="78"/>
        <v>58.370440044848095</v>
      </c>
      <c r="E125" s="7410">
        <f t="shared" si="78"/>
        <v>2022</v>
      </c>
      <c r="F125" s="2551"/>
      <c r="G125" s="2546">
        <f>IFERROR(VLOOKUP(TRIM(A125),Fact1_2!$D$22:$P$41,10,0),"")</f>
        <v>34.352719</v>
      </c>
      <c r="H125" s="2546">
        <f t="shared" si="77"/>
        <v>41.629559955151905</v>
      </c>
      <c r="AM125" s="8"/>
      <c r="AN125" s="8"/>
      <c r="AO125" s="8"/>
      <c r="AP125" s="8"/>
      <c r="AQ125" s="8"/>
      <c r="AR125" s="8"/>
      <c r="AS125" s="8"/>
    </row>
    <row r="126" spans="1:45">
      <c r="A126" s="7410" t="str">
        <f t="shared" si="79"/>
        <v xml:space="preserve">  URY</v>
      </c>
      <c r="B126" s="7470">
        <f t="shared" si="78"/>
        <v>8.215911554303057</v>
      </c>
      <c r="C126" s="7470">
        <f t="shared" si="78"/>
        <v>18.429374784815291</v>
      </c>
      <c r="D126" s="7470">
        <f t="shared" si="78"/>
        <v>73.354713660881657</v>
      </c>
      <c r="E126" s="7410">
        <f t="shared" si="78"/>
        <v>2022</v>
      </c>
      <c r="F126" s="2551"/>
      <c r="G126" s="2546">
        <f>IFERROR(VLOOKUP(TRIM(A126),Fact1_2!$D$22:$P$41,10,0),"")</f>
        <v>3.4231090000000002</v>
      </c>
      <c r="H126" s="2546">
        <f t="shared" si="77"/>
        <v>26.64528633911835</v>
      </c>
      <c r="AM126" s="8"/>
      <c r="AN126" s="8"/>
      <c r="AO126" s="8"/>
      <c r="AP126" s="8"/>
      <c r="AQ126" s="8"/>
      <c r="AR126" s="8"/>
      <c r="AS126" s="8"/>
    </row>
    <row r="127" spans="1:45">
      <c r="A127" s="2552" t="s">
        <v>0</v>
      </c>
      <c r="B127" s="2550">
        <f>SUMPRODUCT(B119:B126,$G119:$G126)/SUM($G119:$G126)</f>
        <v>19.576560066366984</v>
      </c>
      <c r="C127" s="2550">
        <f t="shared" ref="C127" si="80">SUMPRODUCT(C119:C126,$G119:$G126)/SUM($G119:$G126)</f>
        <v>24.068338666640901</v>
      </c>
      <c r="D127" s="2550">
        <f>SUMPRODUCT(D119:D126,$G119:$G126)/SUM($G119:$G126)</f>
        <v>56.355101266992108</v>
      </c>
      <c r="E127" s="2551"/>
      <c r="F127" s="2551"/>
      <c r="G127" s="2546" t="str">
        <f>IFERROR(VLOOKUP(TRIM(A127),Fact1_2!$D$22:$P$41,10,0),"")</f>
        <v/>
      </c>
      <c r="H127" s="2546">
        <f t="shared" si="77"/>
        <v>43.644898733007885</v>
      </c>
      <c r="AM127" s="8"/>
      <c r="AN127" s="8"/>
      <c r="AO127" s="8"/>
      <c r="AP127" s="8"/>
      <c r="AQ127" s="8"/>
      <c r="AR127" s="8"/>
      <c r="AS127" s="8"/>
    </row>
    <row r="128" spans="1:45">
      <c r="A128" s="2552" t="s">
        <v>1227</v>
      </c>
      <c r="B128" s="2550">
        <f>AVERAGE(B118:B127)</f>
        <v>20.504793936746253</v>
      </c>
      <c r="C128" s="2550">
        <f t="shared" ref="C128:D128" si="81">AVERAGE(C118:C127)</f>
        <v>20.67453500986641</v>
      </c>
      <c r="D128" s="2550">
        <f t="shared" si="81"/>
        <v>58.820671053387329</v>
      </c>
      <c r="E128" s="2551"/>
      <c r="F128" s="2551"/>
      <c r="G128" s="2546" t="str">
        <f>IFERROR(VLOOKUP(TRIM(A128),Fact1_2!$D$22:$P$41,10,0),"")</f>
        <v/>
      </c>
      <c r="H128" s="2546">
        <f t="shared" si="77"/>
        <v>41.179328946612664</v>
      </c>
      <c r="AM128" s="8"/>
      <c r="AN128" s="8"/>
      <c r="AO128" s="8"/>
      <c r="AP128" s="8"/>
      <c r="AQ128" s="8"/>
      <c r="AR128" s="8"/>
      <c r="AS128" s="8"/>
    </row>
    <row r="129" spans="1:45">
      <c r="A129" s="2544"/>
      <c r="B129" s="2550"/>
      <c r="C129" s="2550"/>
      <c r="D129" s="2550"/>
      <c r="E129" s="2551"/>
      <c r="F129" s="2551"/>
      <c r="G129" s="2546" t="str">
        <f>IFERROR(VLOOKUP(TRIM(A129),Fact1_2!$D$22:$P$41,10,0),"")</f>
        <v/>
      </c>
      <c r="H129" s="2546">
        <f t="shared" si="77"/>
        <v>0</v>
      </c>
      <c r="AM129" s="8"/>
      <c r="AN129" s="8"/>
      <c r="AO129" s="8"/>
      <c r="AP129" s="8"/>
      <c r="AQ129" s="8"/>
      <c r="AR129" s="8"/>
      <c r="AS129" s="8"/>
    </row>
    <row r="130" spans="1:45">
      <c r="A130" s="2544"/>
      <c r="B130" s="2550"/>
      <c r="C130" s="2550"/>
      <c r="D130" s="2550"/>
      <c r="E130" s="2551"/>
      <c r="F130" s="2551"/>
      <c r="G130" s="2546" t="str">
        <f>IFERROR(VLOOKUP(TRIM(A130),Fact1_2!$D$22:$P$41,10,0),"")</f>
        <v/>
      </c>
      <c r="H130" s="2546">
        <f t="shared" si="77"/>
        <v>0</v>
      </c>
      <c r="AM130" s="8"/>
      <c r="AN130" s="8"/>
      <c r="AO130" s="8"/>
      <c r="AP130" s="8"/>
      <c r="AQ130" s="8"/>
      <c r="AR130" s="8"/>
      <c r="AS130" s="8"/>
    </row>
    <row r="131" spans="1:45">
      <c r="A131" s="2544" t="str">
        <f>AB1</f>
        <v>Personas con discapacidad</v>
      </c>
      <c r="B131" s="2550"/>
      <c r="C131" s="2550"/>
      <c r="D131" s="2550"/>
      <c r="E131" s="2551"/>
      <c r="F131" s="2551"/>
      <c r="G131" s="2546" t="str">
        <f>IFERROR(VLOOKUP(TRIM(A131),Fact1_2!$D$22:$P$41,10,0),"")</f>
        <v/>
      </c>
      <c r="H131" s="2546">
        <f t="shared" si="77"/>
        <v>0</v>
      </c>
      <c r="AM131" s="8"/>
      <c r="AN131" s="8"/>
      <c r="AO131" s="8"/>
      <c r="AP131" s="8"/>
      <c r="AQ131" s="8"/>
      <c r="AR131" s="8"/>
      <c r="AS131" s="8"/>
    </row>
    <row r="132" spans="1:45">
      <c r="A132" s="2548" t="s">
        <v>904</v>
      </c>
      <c r="B132" s="7466" t="s">
        <v>1141</v>
      </c>
      <c r="C132" s="7466" t="s">
        <v>1142</v>
      </c>
      <c r="D132" s="7466" t="s">
        <v>1102</v>
      </c>
      <c r="E132" s="2549" t="s">
        <v>938</v>
      </c>
      <c r="F132" s="3669"/>
      <c r="G132" s="2546" t="str">
        <f>IFERROR(VLOOKUP(TRIM(A132),Fact1_2!$D$22:$P$41,10,0),"")</f>
        <v/>
      </c>
      <c r="H132" s="2546" t="str">
        <f t="shared" si="77"/>
        <v/>
      </c>
      <c r="AM132" s="8"/>
      <c r="AN132" s="8"/>
      <c r="AO132" s="8"/>
      <c r="AP132" s="8"/>
      <c r="AQ132" s="8"/>
      <c r="AR132" s="8"/>
      <c r="AS132" s="8"/>
    </row>
    <row r="133" spans="1:45">
      <c r="A133" s="2547" t="str">
        <f>Z6</f>
        <v xml:space="preserve">  BOL</v>
      </c>
      <c r="B133" s="2550">
        <f t="shared" ref="B133:E139" si="82">AA6</f>
        <v>5.0758235983448872</v>
      </c>
      <c r="C133" s="2550">
        <f t="shared" si="82"/>
        <v>17.474580493707361</v>
      </c>
      <c r="D133" s="2550">
        <f t="shared" si="82"/>
        <v>77.449595907947753</v>
      </c>
      <c r="E133" s="2547">
        <f t="shared" si="82"/>
        <v>2021</v>
      </c>
      <c r="F133" s="2551"/>
      <c r="G133" s="2546">
        <f>IFERROR(VLOOKUP(TRIM(A133),Fact1_2!$D$22:$P$41,10,0),"")</f>
        <v>12.388571000000001</v>
      </c>
      <c r="H133" s="2546">
        <f t="shared" si="77"/>
        <v>22.550404092052247</v>
      </c>
      <c r="AM133" s="8"/>
      <c r="AN133" s="8"/>
      <c r="AO133" s="8"/>
      <c r="AP133" s="8"/>
      <c r="AQ133" s="8"/>
      <c r="AR133" s="8"/>
      <c r="AS133" s="8"/>
    </row>
    <row r="134" spans="1:45">
      <c r="A134" s="2547" t="str">
        <f t="shared" ref="A134:A139" si="83">Z7</f>
        <v xml:space="preserve">  CHL</v>
      </c>
      <c r="B134" s="2550">
        <f t="shared" si="82"/>
        <v>3.1828997108556853</v>
      </c>
      <c r="C134" s="2550">
        <f t="shared" si="82"/>
        <v>8.00031732371286</v>
      </c>
      <c r="D134" s="2550">
        <f t="shared" si="82"/>
        <v>88.816782965431457</v>
      </c>
      <c r="E134" s="2547">
        <f t="shared" si="82"/>
        <v>2022</v>
      </c>
      <c r="F134" s="2551"/>
      <c r="G134" s="2546">
        <f>IFERROR(VLOOKUP(TRIM(A134),Fact1_2!$D$22:$P$41,10,0),"")</f>
        <v>19.62959</v>
      </c>
      <c r="H134" s="2546">
        <f t="shared" si="77"/>
        <v>11.183217034568546</v>
      </c>
      <c r="AM134" s="8"/>
      <c r="AN134" s="8"/>
      <c r="AO134" s="8"/>
      <c r="AP134" s="8"/>
      <c r="AQ134" s="8"/>
      <c r="AR134" s="8"/>
      <c r="AS134" s="8"/>
    </row>
    <row r="135" spans="1:45">
      <c r="A135" s="2547" t="str">
        <f t="shared" si="83"/>
        <v xml:space="preserve">  COL</v>
      </c>
      <c r="B135" s="2550">
        <f t="shared" si="82"/>
        <v>22.923078068609392</v>
      </c>
      <c r="C135" s="2550">
        <f t="shared" si="82"/>
        <v>21.230780717465095</v>
      </c>
      <c r="D135" s="2550">
        <f t="shared" si="82"/>
        <v>55.846141213925513</v>
      </c>
      <c r="E135" s="2547">
        <f t="shared" si="82"/>
        <v>2022</v>
      </c>
      <c r="F135" s="2551"/>
      <c r="G135" s="2546">
        <f>IFERROR(VLOOKUP(TRIM(A135),Fact1_2!$D$22:$P$41,10,0),"")</f>
        <v>52.085168000000003</v>
      </c>
      <c r="H135" s="2546">
        <f t="shared" si="77"/>
        <v>44.153858786074487</v>
      </c>
      <c r="AM135" s="8"/>
      <c r="AN135" s="8"/>
      <c r="AO135" s="8"/>
      <c r="AP135" s="8"/>
      <c r="AQ135" s="8"/>
      <c r="AR135" s="8"/>
      <c r="AS135" s="8"/>
    </row>
    <row r="136" spans="1:45">
      <c r="A136" s="2547" t="str">
        <f t="shared" si="83"/>
        <v xml:space="preserve">  CRI</v>
      </c>
      <c r="B136" s="2550">
        <f t="shared" si="82"/>
        <v>6.505416584597203</v>
      </c>
      <c r="C136" s="2550">
        <f t="shared" si="82"/>
        <v>16.224804674676648</v>
      </c>
      <c r="D136" s="2550">
        <f t="shared" si="82"/>
        <v>77.269778740726153</v>
      </c>
      <c r="E136" s="2547">
        <f t="shared" si="82"/>
        <v>2023</v>
      </c>
      <c r="F136" s="2551"/>
      <c r="G136" s="2546">
        <f>IFERROR(VLOOKUP(TRIM(A136),Fact1_2!$D$22:$P$41,10,0),"")</f>
        <v>5.2121729999999999</v>
      </c>
      <c r="H136" s="2546">
        <f t="shared" si="77"/>
        <v>22.730221259273851</v>
      </c>
      <c r="AM136" s="8"/>
      <c r="AN136" s="8"/>
      <c r="AO136" s="8"/>
      <c r="AP136" s="8"/>
      <c r="AQ136" s="8"/>
      <c r="AR136" s="8"/>
      <c r="AS136" s="8"/>
    </row>
    <row r="137" spans="1:45">
      <c r="A137" s="2547" t="str">
        <f t="shared" si="83"/>
        <v xml:space="preserve">  MEX</v>
      </c>
      <c r="B137" s="2550">
        <f t="shared" si="82"/>
        <v>12.204440714291778</v>
      </c>
      <c r="C137" s="2550">
        <f t="shared" si="82"/>
        <v>21.786105979068729</v>
      </c>
      <c r="D137" s="2550">
        <f t="shared" si="82"/>
        <v>66.0094533066395</v>
      </c>
      <c r="E137" s="2547">
        <f t="shared" si="82"/>
        <v>2022</v>
      </c>
      <c r="F137" s="2551"/>
      <c r="G137" s="2546">
        <f>IFERROR(VLOOKUP(TRIM(A137),Fact1_2!$D$22:$P$41,10,0),"")</f>
        <v>128.455567</v>
      </c>
      <c r="H137" s="2546">
        <f t="shared" si="77"/>
        <v>33.990546693360507</v>
      </c>
    </row>
    <row r="138" spans="1:45">
      <c r="A138" s="2547" t="str">
        <f t="shared" si="83"/>
        <v xml:space="preserve">  PAN</v>
      </c>
      <c r="B138" s="2550">
        <f t="shared" si="82"/>
        <v>5.4651143065553098</v>
      </c>
      <c r="C138" s="2550">
        <f t="shared" si="82"/>
        <v>11.255553230910738</v>
      </c>
      <c r="D138" s="2550">
        <f t="shared" si="82"/>
        <v>83.279332462533944</v>
      </c>
      <c r="E138" s="2547">
        <f t="shared" si="82"/>
        <v>2022</v>
      </c>
      <c r="F138" s="2551"/>
      <c r="G138" s="2546">
        <f>IFERROR(VLOOKUP(TRIM(A138),Fact1_2!$D$22:$P$41,10,0),"")</f>
        <v>4.4680869999999997</v>
      </c>
      <c r="H138" s="2546">
        <f t="shared" si="77"/>
        <v>16.720667537466049</v>
      </c>
    </row>
    <row r="139" spans="1:45">
      <c r="A139" s="2547" t="str">
        <f t="shared" si="83"/>
        <v xml:space="preserve">  PER</v>
      </c>
      <c r="B139" s="2550">
        <f t="shared" si="82"/>
        <v>14.97845637851834</v>
      </c>
      <c r="C139" s="2550">
        <f t="shared" si="82"/>
        <v>27.922565574366558</v>
      </c>
      <c r="D139" s="2550">
        <f t="shared" si="82"/>
        <v>57.098978047115104</v>
      </c>
      <c r="E139" s="2547">
        <f t="shared" si="82"/>
        <v>2022</v>
      </c>
      <c r="F139" s="2551"/>
      <c r="G139" s="2546">
        <f>IFERROR(VLOOKUP(TRIM(A139),Fact1_2!$D$22:$P$41,10,0),"")</f>
        <v>34.352719</v>
      </c>
      <c r="H139" s="2546">
        <f t="shared" si="77"/>
        <v>42.901021952884896</v>
      </c>
    </row>
    <row r="140" spans="1:45">
      <c r="A140" s="2552" t="s">
        <v>0</v>
      </c>
      <c r="B140" s="2550">
        <f>SUMPRODUCT(B133:B139,$G133:$G139)/SUM($G133:$G139)</f>
        <v>13.484131589931598</v>
      </c>
      <c r="C140" s="2550">
        <f t="shared" ref="C140" si="84">SUMPRODUCT(C133:C139,$G133:$G139)/SUM($G133:$G139)</f>
        <v>20.935802178612768</v>
      </c>
      <c r="D140" s="2550">
        <f>SUMPRODUCT(D133:D139,$G133:$G139)/SUM($G133:$G139)</f>
        <v>65.580066231455632</v>
      </c>
      <c r="E140" s="2551"/>
      <c r="F140" s="2551"/>
      <c r="G140" s="2546" t="str">
        <f>IFERROR(VLOOKUP(TRIM(A140),Fact1_2!$D$22:$P$41,10,0),"")</f>
        <v/>
      </c>
      <c r="H140" s="2546">
        <f t="shared" si="77"/>
        <v>34.419933768544368</v>
      </c>
    </row>
    <row r="141" spans="1:45">
      <c r="A141" s="2552" t="s">
        <v>1227</v>
      </c>
      <c r="B141" s="2550">
        <f>AVERAGE(B133:B140)</f>
        <v>10.477420118963023</v>
      </c>
      <c r="C141" s="2550">
        <f t="shared" ref="C141:D141" si="85">AVERAGE(C133:C140)</f>
        <v>18.103813771565093</v>
      </c>
      <c r="D141" s="2550">
        <f t="shared" si="85"/>
        <v>71.418766109471875</v>
      </c>
      <c r="E141" s="2551"/>
      <c r="F141" s="2551"/>
      <c r="G141" s="2546" t="str">
        <f>IFERROR(VLOOKUP(TRIM(A141),Fact1_2!$D$22:$P$41,10,0),"")</f>
        <v/>
      </c>
      <c r="H141" s="2546">
        <f t="shared" si="77"/>
        <v>28.581233890528118</v>
      </c>
    </row>
    <row r="142" spans="1:45">
      <c r="A142" s="2544"/>
      <c r="H142" s="2546">
        <f>IFERROR(B159+C159,"")</f>
        <v>622.97837929727189</v>
      </c>
    </row>
    <row r="143" spans="1:45">
      <c r="A143" s="2544"/>
      <c r="B143" s="2550"/>
      <c r="C143" s="2550"/>
      <c r="D143" s="2550"/>
      <c r="E143" s="2551"/>
      <c r="F143" s="2551"/>
      <c r="G143" s="2546" t="str">
        <f>IFERROR(VLOOKUP(TRIM(A143),Fact1_2!$D$22:$P$41,10,0),"")</f>
        <v/>
      </c>
      <c r="H143" s="2546">
        <f t="shared" ref="H143:H156" si="86">IFERROR(B143+C143,"")</f>
        <v>0</v>
      </c>
    </row>
    <row r="144" spans="1:45">
      <c r="A144" s="2544" t="str">
        <f>AG1</f>
        <v>indi</v>
      </c>
      <c r="B144" s="2550"/>
      <c r="C144" s="2550"/>
      <c r="D144" s="2550"/>
      <c r="E144" s="2551"/>
      <c r="F144" s="2551"/>
      <c r="G144" s="2546" t="str">
        <f>IFERROR(VLOOKUP(TRIM(A144),Fact1_2!$D$22:$P$41,10,0),"")</f>
        <v/>
      </c>
      <c r="H144" s="2546">
        <f t="shared" si="86"/>
        <v>0</v>
      </c>
    </row>
    <row r="145" spans="1:9">
      <c r="A145" s="2548" t="s">
        <v>904</v>
      </c>
      <c r="B145" s="7466" t="s">
        <v>1141</v>
      </c>
      <c r="C145" s="7466" t="s">
        <v>1142</v>
      </c>
      <c r="D145" s="7466" t="s">
        <v>1102</v>
      </c>
      <c r="E145" s="2549" t="s">
        <v>938</v>
      </c>
      <c r="F145" s="3669"/>
      <c r="G145" s="2546" t="str">
        <f>IFERROR(VLOOKUP(TRIM(A145),Fact1_2!$D$22:$P$41,10,0),"")</f>
        <v/>
      </c>
      <c r="H145" s="2546" t="str">
        <f t="shared" si="86"/>
        <v/>
      </c>
    </row>
    <row r="146" spans="1:9">
      <c r="A146" s="2544" t="str">
        <f>AE6</f>
        <v xml:space="preserve">  BOL</v>
      </c>
      <c r="B146" s="2550">
        <f t="shared" ref="B146:E156" si="87">AF6</f>
        <v>17.369083517358717</v>
      </c>
      <c r="C146" s="2550">
        <f t="shared" si="87"/>
        <v>16.411209961139452</v>
      </c>
      <c r="D146" s="2550">
        <f t="shared" si="87"/>
        <v>66.219706521501834</v>
      </c>
      <c r="E146" s="2544">
        <f t="shared" si="87"/>
        <v>2022</v>
      </c>
      <c r="F146" s="2551"/>
      <c r="G146" s="2546">
        <f>IFERROR(VLOOKUP(TRIM(A146),Fact1_2!$D$22:$P$41,10,0),"")</f>
        <v>12.388571000000001</v>
      </c>
      <c r="H146" s="2546">
        <f t="shared" si="86"/>
        <v>33.780293478498166</v>
      </c>
    </row>
    <row r="147" spans="1:9">
      <c r="A147" s="2544" t="str">
        <f t="shared" ref="A147:A156" si="88">AE7</f>
        <v xml:space="preserve">  BRA</v>
      </c>
      <c r="B147" s="2550">
        <f t="shared" si="87"/>
        <v>18.099905970798755</v>
      </c>
      <c r="C147" s="2550">
        <f t="shared" si="87"/>
        <v>25.418534364300555</v>
      </c>
      <c r="D147" s="2550">
        <f t="shared" si="87"/>
        <v>56.481559664900693</v>
      </c>
      <c r="E147" s="2544">
        <f t="shared" si="87"/>
        <v>2022</v>
      </c>
      <c r="F147" s="2551"/>
      <c r="G147" s="2546">
        <f>IFERROR(VLOOKUP(TRIM(A147),Fact1_2!$D$22:$P$41,10,0),"")</f>
        <v>216.42244600000001</v>
      </c>
      <c r="H147" s="2546">
        <f t="shared" si="86"/>
        <v>43.518440335099314</v>
      </c>
    </row>
    <row r="148" spans="1:9">
      <c r="A148" s="2544" t="str">
        <f t="shared" si="88"/>
        <v xml:space="preserve">  CHL</v>
      </c>
      <c r="B148" s="2550">
        <f t="shared" si="87"/>
        <v>5.4806238234639908</v>
      </c>
      <c r="C148" s="2550">
        <f t="shared" si="87"/>
        <v>11.154519266702396</v>
      </c>
      <c r="D148" s="2550">
        <f t="shared" si="87"/>
        <v>83.36485690983362</v>
      </c>
      <c r="E148" s="2544">
        <f t="shared" si="87"/>
        <v>2022</v>
      </c>
      <c r="F148" s="2551"/>
      <c r="G148" s="2546">
        <f>IFERROR(VLOOKUP(TRIM(A148),Fact1_2!$D$22:$P$41,10,0),"")</f>
        <v>19.62959</v>
      </c>
      <c r="H148" s="2546">
        <f t="shared" si="86"/>
        <v>16.635143090166387</v>
      </c>
    </row>
    <row r="149" spans="1:9">
      <c r="A149" s="2544" t="str">
        <f t="shared" si="88"/>
        <v xml:space="preserve">  COL</v>
      </c>
      <c r="B149" s="2550">
        <f t="shared" si="87"/>
        <v>49.967666961796056</v>
      </c>
      <c r="C149" s="2550">
        <f t="shared" si="87"/>
        <v>24.220584661751875</v>
      </c>
      <c r="D149" s="2550">
        <f t="shared" si="87"/>
        <v>25.811748376452069</v>
      </c>
      <c r="E149" s="2544">
        <f t="shared" si="87"/>
        <v>2022</v>
      </c>
      <c r="F149" s="2551"/>
      <c r="G149" s="2546">
        <f>IFERROR(VLOOKUP(TRIM(A149),Fact1_2!$D$22:$P$41,10,0),"")</f>
        <v>52.085168000000003</v>
      </c>
      <c r="H149" s="2546">
        <f t="shared" si="86"/>
        <v>74.188251623547927</v>
      </c>
    </row>
    <row r="150" spans="1:9">
      <c r="A150" s="2544" t="str">
        <f t="shared" si="88"/>
        <v xml:space="preserve">  ECU</v>
      </c>
      <c r="B150" s="2550">
        <f t="shared" si="87"/>
        <v>49.222874424352185</v>
      </c>
      <c r="C150" s="2550">
        <f t="shared" si="87"/>
        <v>18.856488353156106</v>
      </c>
      <c r="D150" s="2550">
        <f t="shared" si="87"/>
        <v>31.920637222491706</v>
      </c>
      <c r="E150" s="2544">
        <f t="shared" si="87"/>
        <v>2023</v>
      </c>
      <c r="F150" s="2551"/>
      <c r="G150" s="2546">
        <f>IFERROR(VLOOKUP(TRIM(A150),Fact1_2!$D$22:$P$41,10,0),"")</f>
        <v>18.190484000000001</v>
      </c>
      <c r="H150" s="2546">
        <f t="shared" si="86"/>
        <v>68.079362777508294</v>
      </c>
    </row>
    <row r="151" spans="1:9">
      <c r="A151" s="2544" t="str">
        <f t="shared" si="88"/>
        <v xml:space="preserve">  GTM</v>
      </c>
      <c r="B151" s="2550">
        <f t="shared" si="87"/>
        <v>44.557132247388786</v>
      </c>
      <c r="C151" s="2550">
        <f t="shared" si="87"/>
        <v>22.507522699121434</v>
      </c>
      <c r="D151" s="2550">
        <f t="shared" si="87"/>
        <v>32.935345053489776</v>
      </c>
      <c r="E151" s="2544">
        <f t="shared" si="87"/>
        <v>2022</v>
      </c>
      <c r="F151" s="2551"/>
      <c r="G151" s="2546">
        <f>IFERROR(VLOOKUP(TRIM(A151),Fact1_2!$D$22:$P$41,10,0),"")</f>
        <v>18.092026000000001</v>
      </c>
      <c r="H151" s="2546">
        <f t="shared" si="86"/>
        <v>67.064654946510217</v>
      </c>
    </row>
    <row r="152" spans="1:9">
      <c r="A152" s="2544" t="str">
        <f t="shared" si="88"/>
        <v xml:space="preserve">  HND</v>
      </c>
      <c r="B152" s="2550">
        <f t="shared" si="87"/>
        <v>14.918323924212395</v>
      </c>
      <c r="C152" s="2550">
        <f t="shared" si="87"/>
        <v>47.936162623599976</v>
      </c>
      <c r="D152" s="2550">
        <f t="shared" si="87"/>
        <v>37.145513452187636</v>
      </c>
      <c r="E152" s="2544">
        <f t="shared" si="87"/>
        <v>2023</v>
      </c>
      <c r="F152" s="2551"/>
      <c r="G152" s="2546">
        <f>IFERROR(VLOOKUP(TRIM(A152),Fact1_2!$D$22:$P$41,10,0),"")</f>
        <v>10.593798</v>
      </c>
      <c r="H152" s="2546">
        <f t="shared" si="86"/>
        <v>62.854486547812371</v>
      </c>
    </row>
    <row r="153" spans="1:9">
      <c r="A153" s="2544" t="str">
        <f t="shared" si="88"/>
        <v xml:space="preserve">  MEX</v>
      </c>
      <c r="B153" s="2550">
        <f t="shared" si="87"/>
        <v>18.076288856595767</v>
      </c>
      <c r="C153" s="2550">
        <f t="shared" si="87"/>
        <v>27.011167875565512</v>
      </c>
      <c r="D153" s="2550">
        <f t="shared" si="87"/>
        <v>54.912543267838728</v>
      </c>
      <c r="E153" s="2544">
        <f t="shared" si="87"/>
        <v>2022</v>
      </c>
      <c r="F153" s="2551"/>
      <c r="G153" s="2546">
        <f>IFERROR(VLOOKUP(TRIM(A153),Fact1_2!$D$22:$P$41,10,0),"")</f>
        <v>128.455567</v>
      </c>
      <c r="H153" s="2546">
        <f t="shared" si="86"/>
        <v>45.087456732161279</v>
      </c>
    </row>
    <row r="154" spans="1:9">
      <c r="A154" s="2544" t="str">
        <f t="shared" si="88"/>
        <v xml:space="preserve">  PAN</v>
      </c>
      <c r="B154" s="2550">
        <f t="shared" si="87"/>
        <v>36.477982287883115</v>
      </c>
      <c r="C154" s="2550">
        <f t="shared" si="87"/>
        <v>21.734155001428395</v>
      </c>
      <c r="D154" s="2550">
        <f t="shared" si="87"/>
        <v>41.787862710688486</v>
      </c>
      <c r="E154" s="2544">
        <f t="shared" si="87"/>
        <v>2022</v>
      </c>
      <c r="F154" s="2551"/>
      <c r="G154" s="2546">
        <f>IFERROR(VLOOKUP(TRIM(A154),Fact1_2!$D$22:$P$41,10,0),"")</f>
        <v>4.4680869999999997</v>
      </c>
      <c r="H154" s="2546">
        <f t="shared" si="86"/>
        <v>58.212137289311514</v>
      </c>
    </row>
    <row r="155" spans="1:9">
      <c r="A155" s="2544" t="str">
        <f t="shared" si="88"/>
        <v xml:space="preserve">  PER</v>
      </c>
      <c r="B155" s="2550">
        <f t="shared" si="87"/>
        <v>15.969746009782337</v>
      </c>
      <c r="C155" s="2550">
        <f t="shared" si="87"/>
        <v>27.770555385096742</v>
      </c>
      <c r="D155" s="2550">
        <f t="shared" si="87"/>
        <v>56.259698605120924</v>
      </c>
      <c r="E155" s="2544">
        <f t="shared" si="87"/>
        <v>2022</v>
      </c>
      <c r="F155" s="2551"/>
      <c r="G155" s="2546">
        <f>IFERROR(VLOOKUP(TRIM(A155),Fact1_2!$D$22:$P$41,10,0),"")</f>
        <v>34.352719</v>
      </c>
      <c r="H155" s="2546">
        <f t="shared" si="86"/>
        <v>43.740301394879083</v>
      </c>
    </row>
    <row r="156" spans="1:9">
      <c r="A156" s="2544" t="str">
        <f t="shared" si="88"/>
        <v xml:space="preserve">  URY</v>
      </c>
      <c r="B156" s="2550">
        <f t="shared" si="87"/>
        <v>5.4207154071370987</v>
      </c>
      <c r="C156" s="2550">
        <f t="shared" si="87"/>
        <v>8.7092120337760424</v>
      </c>
      <c r="D156" s="2550">
        <f t="shared" si="87"/>
        <v>85.870072559086864</v>
      </c>
      <c r="E156" s="2544">
        <f t="shared" si="87"/>
        <v>2022</v>
      </c>
      <c r="F156" s="2551"/>
      <c r="G156" s="2546">
        <f>IFERROR(VLOOKUP(TRIM(A156),Fact1_2!$D$22:$P$41,10,0),"")</f>
        <v>3.4231090000000002</v>
      </c>
      <c r="H156" s="2546">
        <f t="shared" si="86"/>
        <v>14.129927440913141</v>
      </c>
    </row>
    <row r="157" spans="1:9">
      <c r="A157" s="2552" t="s">
        <v>0</v>
      </c>
      <c r="B157" s="2550">
        <f>SUMPRODUCT(B146:B156,$G146:$G156)/SUM($G146:$G156)</f>
        <v>22.687184545288201</v>
      </c>
      <c r="C157" s="2550">
        <f t="shared" ref="C157" si="89">SUMPRODUCT(C146:C156,$G146:$G156)/SUM($G146:$G156)</f>
        <v>25.079325303478189</v>
      </c>
      <c r="D157" s="2550">
        <f>SUMPRODUCT(D146:D156,$G146:$G156)/SUM($G146:$G156)</f>
        <v>52.233490151233617</v>
      </c>
      <c r="E157" s="2544"/>
      <c r="F157" s="2544"/>
      <c r="G157" s="2546"/>
      <c r="H157" s="2546">
        <f t="shared" ref="H157:H158" si="90">IFERROR(B157+C157,"")</f>
        <v>47.76650984876639</v>
      </c>
    </row>
    <row r="158" spans="1:9">
      <c r="A158" s="2552" t="s">
        <v>1227</v>
      </c>
      <c r="B158" s="2550">
        <f>AVERAGE(B146:B157)</f>
        <v>24.853960664671447</v>
      </c>
      <c r="C158" s="2550">
        <f t="shared" ref="C158:D158" si="91">AVERAGE(C146:C157)</f>
        <v>23.067453127426393</v>
      </c>
      <c r="D158" s="2550">
        <f t="shared" si="91"/>
        <v>52.078586207902163</v>
      </c>
      <c r="E158" s="2544"/>
      <c r="F158" s="2544"/>
      <c r="G158" s="2546"/>
      <c r="H158" s="2546">
        <f t="shared" si="90"/>
        <v>47.921413792097837</v>
      </c>
    </row>
    <row r="159" spans="1:9">
      <c r="B159" s="2550">
        <f>SUM(B146:B158)</f>
        <v>323.1014886407288</v>
      </c>
      <c r="C159" s="2550">
        <f t="shared" ref="C159:I159" si="92">SUM(C146:C158)</f>
        <v>299.87689065654314</v>
      </c>
      <c r="D159" s="2550">
        <f t="shared" si="92"/>
        <v>677.02162070272811</v>
      </c>
      <c r="E159" s="2546">
        <f t="shared" si="92"/>
        <v>22244</v>
      </c>
      <c r="F159" s="2546"/>
      <c r="G159" s="2546">
        <f t="shared" si="92"/>
        <v>518.10156500000005</v>
      </c>
      <c r="H159" s="2546">
        <f t="shared" si="92"/>
        <v>622.97837929727189</v>
      </c>
      <c r="I159" s="2546">
        <f t="shared" si="92"/>
        <v>0</v>
      </c>
    </row>
  </sheetData>
  <sortState xmlns:xlrd2="http://schemas.microsoft.com/office/spreadsheetml/2017/richdata2" ref="A6:E19">
    <sortCondition descending="1" ref="C6:C19"/>
  </sortState>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7AB49-AA69-4ADB-8249-55DB2D01D9DD}">
  <dimension ref="A1:AI23"/>
  <sheetViews>
    <sheetView zoomScale="33" zoomScaleNormal="70" workbookViewId="0">
      <selection activeCell="U23" sqref="U23"/>
    </sheetView>
  </sheetViews>
  <sheetFormatPr defaultRowHeight="14.5"/>
  <cols>
    <col min="2" max="3" width="8.81640625" style="5" bestFit="1" customWidth="1"/>
    <col min="4" max="4" width="10.54296875" style="5" customWidth="1"/>
    <col min="5" max="5" width="8.81640625" style="5" bestFit="1" customWidth="1"/>
    <col min="6" max="6" width="8.7265625" style="5"/>
    <col min="7" max="9" width="9.7265625" style="5" bestFit="1" customWidth="1"/>
    <col min="10" max="10" width="8.81640625" style="5" bestFit="1" customWidth="1"/>
    <col min="11" max="11" width="8.7265625" style="5"/>
    <col min="12" max="12" width="8.81640625" style="5" bestFit="1" customWidth="1"/>
    <col min="13" max="14" width="9.7265625" style="5" bestFit="1" customWidth="1"/>
    <col min="15" max="15" width="8.81640625" style="5" bestFit="1" customWidth="1"/>
    <col min="16" max="16" width="8.7265625" style="5"/>
    <col min="17" max="18" width="8.81640625" style="5" bestFit="1" customWidth="1"/>
    <col min="19" max="19" width="9.7265625" style="5" bestFit="1" customWidth="1"/>
    <col min="20" max="20" width="8.81640625" style="5" bestFit="1" customWidth="1"/>
    <col min="21" max="21" width="8.7265625" style="5"/>
    <col min="22" max="24" width="9.7265625" style="5" bestFit="1" customWidth="1"/>
    <col min="25" max="25" width="8.81640625" style="5" bestFit="1" customWidth="1"/>
    <col min="26" max="26" width="8.7265625" style="5"/>
    <col min="27" max="28" width="8.81640625" style="5" bestFit="1" customWidth="1"/>
    <col min="29" max="29" width="9.7265625" style="5" bestFit="1" customWidth="1"/>
    <col min="30" max="30" width="8.81640625" style="5" bestFit="1" customWidth="1"/>
    <col min="31" max="31" width="8.7265625" style="5"/>
    <col min="32" max="33" width="8.81640625" style="5" bestFit="1" customWidth="1"/>
    <col min="34" max="34" width="9.7265625" style="5" bestFit="1" customWidth="1"/>
  </cols>
  <sheetData>
    <row r="1" spans="1:35">
      <c r="A1" s="3070"/>
      <c r="B1" s="3102" t="s">
        <v>1047</v>
      </c>
      <c r="C1" s="3103" t="s">
        <v>1047</v>
      </c>
      <c r="D1" s="3104" t="s">
        <v>1047</v>
      </c>
      <c r="E1" s="3105" t="s">
        <v>1186</v>
      </c>
      <c r="F1" s="3106"/>
      <c r="G1" s="3107" t="s">
        <v>1046</v>
      </c>
      <c r="H1" s="3108" t="s">
        <v>1046</v>
      </c>
      <c r="I1" s="3109" t="s">
        <v>1046</v>
      </c>
      <c r="J1" s="3110" t="s">
        <v>1186</v>
      </c>
      <c r="K1" s="3111"/>
      <c r="L1" s="3112" t="s">
        <v>1146</v>
      </c>
      <c r="M1" s="3113" t="s">
        <v>1146</v>
      </c>
      <c r="N1" s="3114" t="s">
        <v>1146</v>
      </c>
      <c r="O1" s="3115" t="s">
        <v>1186</v>
      </c>
      <c r="P1" s="3116"/>
      <c r="Q1" s="3117" t="s">
        <v>1147</v>
      </c>
      <c r="R1" s="3118" t="s">
        <v>1147</v>
      </c>
      <c r="S1" s="3119" t="s">
        <v>1147</v>
      </c>
      <c r="T1" s="3120" t="s">
        <v>1186</v>
      </c>
      <c r="U1" s="3121"/>
      <c r="V1" s="3122" t="s">
        <v>1048</v>
      </c>
      <c r="W1" s="3123" t="s">
        <v>1048</v>
      </c>
      <c r="X1" s="3124" t="s">
        <v>1048</v>
      </c>
      <c r="Y1" s="3125" t="s">
        <v>1186</v>
      </c>
      <c r="Z1" s="3126"/>
      <c r="AA1" s="3127" t="s">
        <v>1208</v>
      </c>
      <c r="AB1" s="3128" t="s">
        <v>1208</v>
      </c>
      <c r="AC1" s="3129" t="s">
        <v>1208</v>
      </c>
      <c r="AD1" s="3130" t="s">
        <v>1186</v>
      </c>
      <c r="AE1" s="3131"/>
      <c r="AF1" s="3132" t="s">
        <v>1049</v>
      </c>
      <c r="AG1" s="3133" t="s">
        <v>1049</v>
      </c>
      <c r="AH1" s="3134" t="s">
        <v>1049</v>
      </c>
      <c r="AI1" s="3089" t="s">
        <v>1186</v>
      </c>
    </row>
    <row r="2" spans="1:35">
      <c r="A2" s="3071"/>
      <c r="B2" s="3135" t="s">
        <v>1187</v>
      </c>
      <c r="C2" s="3135" t="s">
        <v>1187</v>
      </c>
      <c r="D2" s="3135" t="s">
        <v>1187</v>
      </c>
      <c r="F2" s="3136"/>
      <c r="G2" s="3137" t="s">
        <v>1187</v>
      </c>
      <c r="H2" s="3137" t="s">
        <v>1187</v>
      </c>
      <c r="I2" s="3137" t="s">
        <v>1187</v>
      </c>
      <c r="K2" s="3138"/>
      <c r="L2" s="3139" t="s">
        <v>1187</v>
      </c>
      <c r="M2" s="3139" t="s">
        <v>1187</v>
      </c>
      <c r="N2" s="3139" t="s">
        <v>1187</v>
      </c>
      <c r="P2" s="3140"/>
      <c r="Q2" s="3141" t="s">
        <v>1187</v>
      </c>
      <c r="R2" s="3141" t="s">
        <v>1187</v>
      </c>
      <c r="S2" s="3141" t="s">
        <v>1187</v>
      </c>
      <c r="U2" s="3142"/>
      <c r="V2" s="3143" t="s">
        <v>1187</v>
      </c>
      <c r="W2" s="3143" t="s">
        <v>1187</v>
      </c>
      <c r="X2" s="3143" t="s">
        <v>1187</v>
      </c>
      <c r="Z2" s="3144"/>
      <c r="AA2" s="3145" t="s">
        <v>1209</v>
      </c>
      <c r="AB2" s="3145" t="s">
        <v>1209</v>
      </c>
      <c r="AC2" s="3145" t="s">
        <v>1209</v>
      </c>
      <c r="AE2" s="3146"/>
      <c r="AF2" s="3147" t="s">
        <v>1187</v>
      </c>
      <c r="AG2" s="3147" t="s">
        <v>1187</v>
      </c>
      <c r="AH2" s="3147" t="s">
        <v>1187</v>
      </c>
    </row>
    <row r="3" spans="1:35">
      <c r="A3" s="3072"/>
      <c r="B3" s="3148" t="s">
        <v>1045</v>
      </c>
      <c r="C3" s="3148" t="s">
        <v>1045</v>
      </c>
      <c r="D3" s="3148" t="s">
        <v>1045</v>
      </c>
      <c r="F3" s="3149"/>
      <c r="G3" s="3150" t="s">
        <v>1045</v>
      </c>
      <c r="H3" s="3150" t="s">
        <v>1045</v>
      </c>
      <c r="I3" s="3150" t="s">
        <v>1045</v>
      </c>
      <c r="K3" s="3151"/>
      <c r="L3" s="3152" t="s">
        <v>1045</v>
      </c>
      <c r="M3" s="3152" t="s">
        <v>1045</v>
      </c>
      <c r="N3" s="3152" t="s">
        <v>1045</v>
      </c>
      <c r="P3" s="3153"/>
      <c r="Q3" s="3154" t="s">
        <v>1045</v>
      </c>
      <c r="R3" s="3154" t="s">
        <v>1045</v>
      </c>
      <c r="S3" s="3154" t="s">
        <v>1045</v>
      </c>
      <c r="U3" s="3155"/>
      <c r="V3" s="3156" t="s">
        <v>1045</v>
      </c>
      <c r="W3" s="3156" t="s">
        <v>1045</v>
      </c>
      <c r="X3" s="3156" t="s">
        <v>1045</v>
      </c>
      <c r="Z3" s="3157"/>
      <c r="AA3" s="3158" t="s">
        <v>1045</v>
      </c>
      <c r="AB3" s="3158" t="s">
        <v>1045</v>
      </c>
      <c r="AC3" s="3158" t="s">
        <v>1045</v>
      </c>
      <c r="AE3" s="3159"/>
      <c r="AF3" s="3160" t="s">
        <v>1045</v>
      </c>
      <c r="AG3" s="3160" t="s">
        <v>1045</v>
      </c>
      <c r="AH3" s="3160" t="s">
        <v>1045</v>
      </c>
    </row>
    <row r="4" spans="1:35">
      <c r="A4" s="3073"/>
      <c r="B4" s="3161" t="s">
        <v>1187</v>
      </c>
      <c r="C4" s="3162" t="s">
        <v>1188</v>
      </c>
      <c r="D4" s="3163" t="s">
        <v>1189</v>
      </c>
      <c r="F4" s="3164"/>
      <c r="G4" s="3165" t="s">
        <v>1187</v>
      </c>
      <c r="H4" s="3166" t="s">
        <v>1188</v>
      </c>
      <c r="I4" s="3167" t="s">
        <v>1189</v>
      </c>
      <c r="K4" s="3168"/>
      <c r="L4" s="3169" t="s">
        <v>1187</v>
      </c>
      <c r="M4" s="3170" t="s">
        <v>1188</v>
      </c>
      <c r="N4" s="3171" t="s">
        <v>1189</v>
      </c>
      <c r="P4" s="3172"/>
      <c r="Q4" s="3173" t="s">
        <v>1187</v>
      </c>
      <c r="R4" s="3174" t="s">
        <v>1188</v>
      </c>
      <c r="S4" s="3175" t="s">
        <v>1189</v>
      </c>
      <c r="U4" s="3176"/>
      <c r="V4" s="3177" t="s">
        <v>1187</v>
      </c>
      <c r="W4" s="3178" t="s">
        <v>1188</v>
      </c>
      <c r="X4" s="3179" t="s">
        <v>1189</v>
      </c>
      <c r="Z4" s="3180"/>
      <c r="AA4" s="3181" t="s">
        <v>1187</v>
      </c>
      <c r="AB4" s="3182" t="s">
        <v>1188</v>
      </c>
      <c r="AC4" s="3183" t="s">
        <v>1189</v>
      </c>
      <c r="AE4" s="3184"/>
      <c r="AF4" s="3185" t="s">
        <v>1187</v>
      </c>
      <c r="AG4" s="3186" t="s">
        <v>1188</v>
      </c>
      <c r="AH4" s="3187" t="s">
        <v>1189</v>
      </c>
    </row>
    <row r="5" spans="1:35">
      <c r="A5" s="3074" t="s">
        <v>1125</v>
      </c>
      <c r="B5" s="3188"/>
      <c r="C5" s="3189"/>
      <c r="D5" s="3190"/>
      <c r="E5" s="3191"/>
      <c r="F5" s="3192" t="s">
        <v>1125</v>
      </c>
      <c r="G5" s="3193"/>
      <c r="H5" s="3194"/>
      <c r="I5" s="3195"/>
      <c r="J5" s="3196"/>
      <c r="K5" s="3197" t="s">
        <v>1125</v>
      </c>
      <c r="L5" s="3198"/>
      <c r="M5" s="3199"/>
      <c r="N5" s="3200"/>
      <c r="O5" s="3201"/>
      <c r="P5" s="3202" t="s">
        <v>1125</v>
      </c>
      <c r="Q5" s="3203"/>
      <c r="R5" s="3204"/>
      <c r="S5" s="3205"/>
      <c r="T5" s="3206"/>
      <c r="U5" s="3207" t="s">
        <v>1125</v>
      </c>
      <c r="V5" s="3208"/>
      <c r="W5" s="3209"/>
      <c r="X5" s="3210"/>
      <c r="Y5" s="3211"/>
      <c r="Z5" s="3212" t="s">
        <v>1125</v>
      </c>
      <c r="AA5" s="3213"/>
      <c r="AB5" s="3214"/>
      <c r="AC5" s="3215"/>
      <c r="AD5" s="3216"/>
      <c r="AE5" s="3217" t="s">
        <v>1125</v>
      </c>
      <c r="AF5" s="3218"/>
      <c r="AG5" s="3219"/>
      <c r="AH5" s="3220"/>
      <c r="AI5" s="3090"/>
    </row>
    <row r="6" spans="1:35">
      <c r="A6" s="3075" t="s">
        <v>1190</v>
      </c>
      <c r="B6" s="3221">
        <v>97748</v>
      </c>
      <c r="C6" s="3222">
        <v>145469</v>
      </c>
      <c r="D6" s="3223">
        <v>1030569</v>
      </c>
      <c r="E6" s="3224">
        <v>2022</v>
      </c>
      <c r="F6" s="3225" t="s">
        <v>1190</v>
      </c>
      <c r="G6" s="3226">
        <v>1083579</v>
      </c>
      <c r="H6" s="3227">
        <v>1748243</v>
      </c>
      <c r="I6" s="3228">
        <v>10356377</v>
      </c>
      <c r="J6" s="3229">
        <v>2022</v>
      </c>
      <c r="K6" s="3230" t="s">
        <v>1190</v>
      </c>
      <c r="L6" s="3231">
        <v>789342</v>
      </c>
      <c r="M6" s="3232">
        <v>1197359</v>
      </c>
      <c r="N6" s="3233">
        <v>4455323</v>
      </c>
      <c r="O6" s="3234">
        <v>2022</v>
      </c>
      <c r="P6" s="3235" t="s">
        <v>1190</v>
      </c>
      <c r="Q6" s="3236">
        <v>53464</v>
      </c>
      <c r="R6" s="3237">
        <v>148023</v>
      </c>
      <c r="S6" s="3238">
        <v>2814752</v>
      </c>
      <c r="T6" s="3239">
        <v>2022</v>
      </c>
      <c r="U6" s="3240" t="s">
        <v>1191</v>
      </c>
      <c r="V6" s="3668"/>
      <c r="W6" s="3668"/>
      <c r="X6" s="3241">
        <v>3744.8060035705566</v>
      </c>
      <c r="Y6" s="3242">
        <v>2022</v>
      </c>
      <c r="Z6" s="3243" t="s">
        <v>1191</v>
      </c>
      <c r="AA6" s="3244">
        <v>33607.774829864502</v>
      </c>
      <c r="AB6" s="3245">
        <v>115701.76841259003</v>
      </c>
      <c r="AC6" s="3246">
        <v>512805.16934967041</v>
      </c>
      <c r="AD6" s="3247">
        <v>2021</v>
      </c>
      <c r="AE6" s="3248" t="s">
        <v>1191</v>
      </c>
      <c r="AF6" s="3249">
        <v>492125.95886421204</v>
      </c>
      <c r="AG6" s="3250">
        <v>464986.10189628601</v>
      </c>
      <c r="AH6" s="3251">
        <v>1876232.3605060577</v>
      </c>
      <c r="AI6" s="3091">
        <v>2022</v>
      </c>
    </row>
    <row r="7" spans="1:35">
      <c r="A7" s="3076" t="s">
        <v>1191</v>
      </c>
      <c r="B7" s="3668"/>
      <c r="C7" s="3252">
        <v>1128.1672973632813</v>
      </c>
      <c r="D7" s="3253">
        <v>19687.284881591797</v>
      </c>
      <c r="E7" s="3254">
        <v>2022</v>
      </c>
      <c r="F7" s="3255" t="s">
        <v>1191</v>
      </c>
      <c r="G7" s="3256">
        <v>573766.6974697113</v>
      </c>
      <c r="H7" s="3257">
        <v>771394.89332962036</v>
      </c>
      <c r="I7" s="3258">
        <v>4758877.2344017029</v>
      </c>
      <c r="J7" s="3259">
        <v>2022</v>
      </c>
      <c r="K7" s="3260" t="s">
        <v>1191</v>
      </c>
      <c r="L7" s="3261">
        <v>494930.2582244873</v>
      </c>
      <c r="M7" s="3262">
        <v>590203.46263313293</v>
      </c>
      <c r="N7" s="3263">
        <v>2570631.3405590057</v>
      </c>
      <c r="O7" s="3264">
        <v>2022</v>
      </c>
      <c r="P7" s="3265" t="s">
        <v>1191</v>
      </c>
      <c r="Q7" s="3266">
        <v>39664.615909576416</v>
      </c>
      <c r="R7" s="3267">
        <v>158992.9629650116</v>
      </c>
      <c r="S7" s="3268">
        <v>794113.74802207947</v>
      </c>
      <c r="T7" s="3269">
        <v>2022</v>
      </c>
      <c r="U7" s="3270" t="s">
        <v>1192</v>
      </c>
      <c r="V7" s="3271">
        <v>17462550.920537949</v>
      </c>
      <c r="W7" s="3272">
        <v>26570249.882231712</v>
      </c>
      <c r="X7" s="3273">
        <v>74069958.813220978</v>
      </c>
      <c r="Y7" s="3274">
        <v>2022</v>
      </c>
      <c r="Z7" s="3275" t="s">
        <v>1193</v>
      </c>
      <c r="AA7" s="3276">
        <v>169314</v>
      </c>
      <c r="AB7" s="3277">
        <v>425576</v>
      </c>
      <c r="AC7" s="3278">
        <v>4724599</v>
      </c>
      <c r="AD7" s="3279">
        <v>2022</v>
      </c>
      <c r="AE7" s="3280" t="s">
        <v>1192</v>
      </c>
      <c r="AF7" s="3281">
        <v>169840.16617012024</v>
      </c>
      <c r="AG7" s="3282">
        <v>238514.39378738403</v>
      </c>
      <c r="AH7" s="3283">
        <v>529993.77425003052</v>
      </c>
      <c r="AI7" s="3092">
        <v>2022</v>
      </c>
    </row>
    <row r="8" spans="1:35">
      <c r="A8" s="3077" t="s">
        <v>1192</v>
      </c>
      <c r="B8" s="3284">
        <v>19916</v>
      </c>
      <c r="C8" s="3285">
        <v>80885</v>
      </c>
      <c r="D8" s="3286">
        <v>632992</v>
      </c>
      <c r="E8" s="3287">
        <v>2015</v>
      </c>
      <c r="F8" s="3288" t="s">
        <v>1192</v>
      </c>
      <c r="G8" s="3289">
        <v>12071594.552636147</v>
      </c>
      <c r="H8" s="3290">
        <v>20567646.824250221</v>
      </c>
      <c r="I8" s="3291">
        <v>75532462.843449593</v>
      </c>
      <c r="J8" s="3292">
        <v>2022</v>
      </c>
      <c r="K8" s="3293" t="s">
        <v>1192</v>
      </c>
      <c r="L8" s="3294">
        <v>9524607.7487888336</v>
      </c>
      <c r="M8" s="3295">
        <v>12443033.212780952</v>
      </c>
      <c r="N8" s="3296">
        <v>24347703.806501389</v>
      </c>
      <c r="O8" s="3297">
        <v>2022</v>
      </c>
      <c r="P8" s="3298" t="s">
        <v>1192</v>
      </c>
      <c r="Q8" s="3299">
        <v>298390.86721801758</v>
      </c>
      <c r="R8" s="3300">
        <v>1875201.0301570892</v>
      </c>
      <c r="S8" s="3301">
        <v>20046638.657063484</v>
      </c>
      <c r="T8" s="3302">
        <v>2022</v>
      </c>
      <c r="U8" s="3303" t="s">
        <v>1194</v>
      </c>
      <c r="V8" s="3304">
        <v>1251678.2050333023</v>
      </c>
      <c r="W8" s="3305">
        <v>1104565.5149140358</v>
      </c>
      <c r="X8" s="3306">
        <v>1732776.7648224831</v>
      </c>
      <c r="Y8" s="3307">
        <v>2022</v>
      </c>
      <c r="Z8" s="3308" t="s">
        <v>1194</v>
      </c>
      <c r="AA8" s="3309">
        <v>1771348.9100570679</v>
      </c>
      <c r="AB8" s="3310">
        <v>1640578.9907875061</v>
      </c>
      <c r="AC8" s="3311">
        <v>4315432.7300243378</v>
      </c>
      <c r="AD8" s="3312">
        <v>2022</v>
      </c>
      <c r="AE8" s="3313" t="s">
        <v>1193</v>
      </c>
      <c r="AF8" s="3314">
        <v>110139</v>
      </c>
      <c r="AG8" s="3315">
        <v>224162</v>
      </c>
      <c r="AH8" s="3316">
        <v>1675306</v>
      </c>
      <c r="AI8" s="3093">
        <v>2022</v>
      </c>
    </row>
    <row r="9" spans="1:35">
      <c r="A9" s="3078" t="s">
        <v>1193</v>
      </c>
      <c r="B9" s="3317">
        <v>33854</v>
      </c>
      <c r="C9" s="3318">
        <v>121722</v>
      </c>
      <c r="D9" s="3319">
        <v>1559947</v>
      </c>
      <c r="E9" s="3320">
        <v>2022</v>
      </c>
      <c r="F9" s="3321" t="s">
        <v>1193</v>
      </c>
      <c r="G9" s="3322">
        <v>343791</v>
      </c>
      <c r="H9" s="3323">
        <v>865048</v>
      </c>
      <c r="I9" s="3324">
        <v>8782548</v>
      </c>
      <c r="J9" s="3325">
        <v>2022</v>
      </c>
      <c r="K9" s="3326" t="s">
        <v>1193</v>
      </c>
      <c r="L9" s="3327">
        <v>199780</v>
      </c>
      <c r="M9" s="3328">
        <v>481348</v>
      </c>
      <c r="N9" s="3329">
        <v>3280421</v>
      </c>
      <c r="O9" s="3330">
        <v>2022</v>
      </c>
      <c r="P9" s="3331" t="s">
        <v>1193</v>
      </c>
      <c r="Q9" s="3332">
        <v>27238</v>
      </c>
      <c r="R9" s="3333">
        <v>124911</v>
      </c>
      <c r="S9" s="3334">
        <v>2439176</v>
      </c>
      <c r="T9" s="3335">
        <v>2022</v>
      </c>
      <c r="U9" s="3336" t="s">
        <v>1197</v>
      </c>
      <c r="V9" s="3337">
        <v>132116.76440429688</v>
      </c>
      <c r="W9" s="3338">
        <v>184813.18109703064</v>
      </c>
      <c r="X9" s="3339">
        <v>220738.29983139038</v>
      </c>
      <c r="Y9" s="3340">
        <v>2023</v>
      </c>
      <c r="Z9" s="3341" t="s">
        <v>1195</v>
      </c>
      <c r="AA9" s="3342">
        <v>24771</v>
      </c>
      <c r="AB9" s="3343">
        <v>61780</v>
      </c>
      <c r="AC9" s="3344">
        <v>294224</v>
      </c>
      <c r="AD9" s="3345">
        <v>2023</v>
      </c>
      <c r="AE9" s="3346" t="s">
        <v>1194</v>
      </c>
      <c r="AF9" s="3347">
        <v>1105072.0432462692</v>
      </c>
      <c r="AG9" s="3348">
        <v>535656.20746803284</v>
      </c>
      <c r="AH9" s="3349">
        <v>570845.9740562439</v>
      </c>
      <c r="AI9" s="3094">
        <v>2022</v>
      </c>
    </row>
    <row r="10" spans="1:35">
      <c r="A10" s="3079" t="s">
        <v>1194</v>
      </c>
      <c r="B10" s="3350">
        <v>509727.44450187683</v>
      </c>
      <c r="C10" s="3351">
        <v>744030.3501086235</v>
      </c>
      <c r="D10" s="3352">
        <v>1199493.9646625519</v>
      </c>
      <c r="E10" s="3353">
        <v>2022</v>
      </c>
      <c r="F10" s="3354" t="s">
        <v>1194</v>
      </c>
      <c r="G10" s="3355">
        <v>5130846.5663638115</v>
      </c>
      <c r="H10" s="3356">
        <v>5566397.5380330086</v>
      </c>
      <c r="I10" s="3357">
        <v>14825964.873521805</v>
      </c>
      <c r="J10" s="3358">
        <v>2022</v>
      </c>
      <c r="K10" s="3359" t="s">
        <v>1194</v>
      </c>
      <c r="L10" s="3360">
        <v>3536831.4038939476</v>
      </c>
      <c r="M10" s="3361">
        <v>3342762.9207553864</v>
      </c>
      <c r="N10" s="3362">
        <v>5231857.8354277611</v>
      </c>
      <c r="O10" s="3363">
        <v>2022</v>
      </c>
      <c r="P10" s="3364" t="s">
        <v>1194</v>
      </c>
      <c r="Q10" s="3365">
        <v>950789.07740879059</v>
      </c>
      <c r="R10" s="3366">
        <v>844282.43327665329</v>
      </c>
      <c r="S10" s="3367">
        <v>3308981.7417783737</v>
      </c>
      <c r="T10" s="3368">
        <v>2022</v>
      </c>
      <c r="U10" s="3369" t="s">
        <v>1204</v>
      </c>
      <c r="V10" s="3370">
        <v>173985</v>
      </c>
      <c r="W10" s="3371">
        <v>104409</v>
      </c>
      <c r="X10" s="3372">
        <v>163516</v>
      </c>
      <c r="Y10" s="3373">
        <v>2022</v>
      </c>
      <c r="Z10" s="3374" t="s">
        <v>1205</v>
      </c>
      <c r="AA10" s="3375">
        <v>2573552</v>
      </c>
      <c r="AB10" s="3376">
        <v>4594039</v>
      </c>
      <c r="AC10" s="3377">
        <v>13919422</v>
      </c>
      <c r="AD10" s="3378">
        <v>2022</v>
      </c>
      <c r="AE10" s="3379" t="s">
        <v>1197</v>
      </c>
      <c r="AF10" s="3380">
        <v>1071509.4584884644</v>
      </c>
      <c r="AG10" s="3381">
        <v>410477.97107696533</v>
      </c>
      <c r="AH10" s="3382">
        <v>694865.24517059326</v>
      </c>
      <c r="AI10" s="3095">
        <v>2023</v>
      </c>
    </row>
    <row r="11" spans="1:35">
      <c r="A11" s="3080" t="s">
        <v>1195</v>
      </c>
      <c r="B11" s="3383">
        <v>39576</v>
      </c>
      <c r="C11" s="3384">
        <v>76595</v>
      </c>
      <c r="D11" s="3385">
        <v>352645</v>
      </c>
      <c r="E11" s="3386">
        <v>2023</v>
      </c>
      <c r="F11" s="3387" t="s">
        <v>1195</v>
      </c>
      <c r="G11" s="3388">
        <v>197273</v>
      </c>
      <c r="H11" s="3389">
        <v>401100</v>
      </c>
      <c r="I11" s="3390">
        <v>2161830</v>
      </c>
      <c r="J11" s="3391">
        <v>2023</v>
      </c>
      <c r="K11" s="3392" t="s">
        <v>1195</v>
      </c>
      <c r="L11" s="3393">
        <v>125124</v>
      </c>
      <c r="M11" s="3394">
        <v>238919</v>
      </c>
      <c r="N11" s="3395">
        <v>651600</v>
      </c>
      <c r="O11" s="3396">
        <v>2023</v>
      </c>
      <c r="P11" s="3397" t="s">
        <v>1195</v>
      </c>
      <c r="Q11" s="3398">
        <v>28682</v>
      </c>
      <c r="R11" s="3399">
        <v>80289</v>
      </c>
      <c r="S11" s="3400">
        <v>626760</v>
      </c>
      <c r="T11" s="3401">
        <v>2023</v>
      </c>
      <c r="U11" s="3402" t="s">
        <v>1199</v>
      </c>
      <c r="V11" s="3403">
        <v>450260.82363891602</v>
      </c>
      <c r="W11" s="3404">
        <v>175842.50241088867</v>
      </c>
      <c r="X11" s="3405">
        <v>257495.33038330078</v>
      </c>
      <c r="Y11" s="3406">
        <v>2023</v>
      </c>
      <c r="Z11" s="3407" t="s">
        <v>1200</v>
      </c>
      <c r="AA11" s="3408">
        <v>28995</v>
      </c>
      <c r="AB11" s="3409">
        <v>59716</v>
      </c>
      <c r="AC11" s="3410">
        <v>441836</v>
      </c>
      <c r="AD11" s="3411">
        <v>2022</v>
      </c>
      <c r="AE11" s="3412" t="s">
        <v>1204</v>
      </c>
      <c r="AF11" s="3413">
        <v>2788560</v>
      </c>
      <c r="AG11" s="3414">
        <v>1408609</v>
      </c>
      <c r="AH11" s="3415">
        <v>2061223</v>
      </c>
      <c r="AI11" s="3096">
        <v>2022</v>
      </c>
    </row>
    <row r="12" spans="1:35">
      <c r="A12" s="3081" t="s">
        <v>1196</v>
      </c>
      <c r="B12" s="3416">
        <v>57573.896209716797</v>
      </c>
      <c r="C12" s="3417">
        <v>117508.45054626465</v>
      </c>
      <c r="D12" s="3418">
        <v>328237.86056518555</v>
      </c>
      <c r="E12" s="3419">
        <v>2022</v>
      </c>
      <c r="F12" s="3420" t="s">
        <v>1196</v>
      </c>
      <c r="G12" s="3421">
        <v>505136.21423339844</v>
      </c>
      <c r="H12" s="3422">
        <v>1180126.9654388428</v>
      </c>
      <c r="I12" s="3423">
        <v>3778442.9301452637</v>
      </c>
      <c r="J12" s="3424">
        <v>2022</v>
      </c>
      <c r="K12" s="3425" t="s">
        <v>1196</v>
      </c>
      <c r="L12" s="3426">
        <v>400795.66735839844</v>
      </c>
      <c r="M12" s="3427">
        <v>815161.25811767578</v>
      </c>
      <c r="N12" s="3428">
        <v>1712966.2698669434</v>
      </c>
      <c r="O12" s="3429">
        <v>2022</v>
      </c>
      <c r="P12" s="3430" t="s">
        <v>1196</v>
      </c>
      <c r="Q12" s="3431">
        <v>85339.995834350586</v>
      </c>
      <c r="R12" s="3432">
        <v>196094.15728759766</v>
      </c>
      <c r="S12" s="3433">
        <v>830113.4704284668</v>
      </c>
      <c r="T12" s="3434">
        <v>2022</v>
      </c>
      <c r="U12" s="3435" t="s">
        <v>1200</v>
      </c>
      <c r="V12" s="3436">
        <v>43928</v>
      </c>
      <c r="W12" s="3437">
        <v>111067</v>
      </c>
      <c r="X12" s="3438">
        <v>1119120</v>
      </c>
      <c r="Y12" s="3439">
        <v>2022</v>
      </c>
      <c r="Z12" s="3440" t="s">
        <v>1201</v>
      </c>
      <c r="AA12" s="3441">
        <v>233521.65459108353</v>
      </c>
      <c r="AB12" s="3442">
        <v>435326.81529891491</v>
      </c>
      <c r="AC12" s="3443">
        <v>890201.7332136631</v>
      </c>
      <c r="AD12" s="3444">
        <v>2022</v>
      </c>
      <c r="AE12" s="3445" t="s">
        <v>1199</v>
      </c>
      <c r="AF12" s="3446">
        <v>6230.3423156738281</v>
      </c>
      <c r="AG12" s="3447">
        <v>20019.588256835938</v>
      </c>
      <c r="AH12" s="3448">
        <v>15513.087493896484</v>
      </c>
      <c r="AI12" s="3097">
        <v>2023</v>
      </c>
    </row>
    <row r="13" spans="1:35">
      <c r="A13" s="3082" t="s">
        <v>1197</v>
      </c>
      <c r="B13" s="3449">
        <v>18833.847702026367</v>
      </c>
      <c r="C13" s="3450">
        <v>82231.969921112061</v>
      </c>
      <c r="D13" s="3451">
        <v>197359.96338558197</v>
      </c>
      <c r="E13" s="3452">
        <v>2023</v>
      </c>
      <c r="F13" s="3453" t="s">
        <v>1197</v>
      </c>
      <c r="G13" s="3454">
        <v>1475294.7051506042</v>
      </c>
      <c r="H13" s="3455">
        <v>2359771.3899745941</v>
      </c>
      <c r="I13" s="3456">
        <v>5577268.4234695435</v>
      </c>
      <c r="J13" s="3457">
        <v>2023</v>
      </c>
      <c r="K13" s="3458" t="s">
        <v>1197</v>
      </c>
      <c r="L13" s="3459">
        <v>1425734.5659637451</v>
      </c>
      <c r="M13" s="3460">
        <v>1669300.9781665802</v>
      </c>
      <c r="N13" s="3461">
        <v>2559730.7829904556</v>
      </c>
      <c r="O13" s="3462">
        <v>2023</v>
      </c>
      <c r="P13" s="3463" t="s">
        <v>1197</v>
      </c>
      <c r="Q13" s="3464">
        <v>150002.57514572144</v>
      </c>
      <c r="R13" s="3465">
        <v>349067.94465255737</v>
      </c>
      <c r="S13" s="3466">
        <v>1265027.9589176178</v>
      </c>
      <c r="T13" s="3467">
        <v>2023</v>
      </c>
      <c r="U13" s="3468" t="s">
        <v>1201</v>
      </c>
      <c r="V13" s="3469">
        <v>248391.20077252388</v>
      </c>
      <c r="W13" s="3470">
        <v>516986.86648130417</v>
      </c>
      <c r="X13" s="3471">
        <v>1073166.6305003166</v>
      </c>
      <c r="Y13" s="3472">
        <v>2022</v>
      </c>
      <c r="AE13" s="3473" t="s">
        <v>1205</v>
      </c>
      <c r="AF13" s="3474">
        <v>6217403</v>
      </c>
      <c r="AG13" s="3475">
        <v>9290586</v>
      </c>
      <c r="AH13" s="3476">
        <v>18887362</v>
      </c>
      <c r="AI13" s="3098">
        <v>2022</v>
      </c>
    </row>
    <row r="14" spans="1:35">
      <c r="A14" s="3083" t="s">
        <v>1198</v>
      </c>
      <c r="B14" s="3477">
        <v>1932.4616279602051</v>
      </c>
      <c r="C14" s="3478">
        <v>1728.2336349487305</v>
      </c>
      <c r="D14" s="3479">
        <v>3482.0026721954346</v>
      </c>
      <c r="E14" s="3480">
        <v>2021</v>
      </c>
      <c r="F14" s="3481" t="s">
        <v>1204</v>
      </c>
      <c r="G14" s="3482">
        <v>2897128</v>
      </c>
      <c r="H14" s="3483">
        <v>2063569</v>
      </c>
      <c r="I14" s="3484">
        <v>3804926</v>
      </c>
      <c r="J14" s="3485">
        <v>2022</v>
      </c>
      <c r="K14" s="3486" t="s">
        <v>1204</v>
      </c>
      <c r="L14" s="3487">
        <v>2313149</v>
      </c>
      <c r="M14" s="3488">
        <v>1469116</v>
      </c>
      <c r="N14" s="3489">
        <v>1853914</v>
      </c>
      <c r="O14" s="3490">
        <v>2022</v>
      </c>
      <c r="P14" s="3491" t="s">
        <v>1204</v>
      </c>
      <c r="Q14" s="3492">
        <v>381489</v>
      </c>
      <c r="R14" s="3493">
        <v>196898</v>
      </c>
      <c r="S14" s="3494">
        <v>511809</v>
      </c>
      <c r="T14" s="3495">
        <v>2022</v>
      </c>
      <c r="U14" s="3496" t="s">
        <v>1207</v>
      </c>
      <c r="V14" s="3497">
        <v>12886</v>
      </c>
      <c r="W14" s="3498">
        <v>28905</v>
      </c>
      <c r="X14" s="3499">
        <v>115051</v>
      </c>
      <c r="Y14" s="3500">
        <v>2022</v>
      </c>
      <c r="AE14" s="3501" t="s">
        <v>1200</v>
      </c>
      <c r="AF14" s="3502">
        <v>223455</v>
      </c>
      <c r="AG14" s="3503">
        <v>133138</v>
      </c>
      <c r="AH14" s="3504">
        <v>255982</v>
      </c>
      <c r="AI14" s="3099">
        <v>2022</v>
      </c>
    </row>
    <row r="15" spans="1:35">
      <c r="A15" s="3084" t="s">
        <v>1199</v>
      </c>
      <c r="B15" s="3505">
        <v>19135.115982055664</v>
      </c>
      <c r="C15" s="3506">
        <v>17063.468353271484</v>
      </c>
      <c r="D15" s="3507">
        <v>25915.715179443359</v>
      </c>
      <c r="E15" s="3508">
        <v>2018</v>
      </c>
      <c r="F15" s="3509" t="s">
        <v>1198</v>
      </c>
      <c r="G15" s="3510">
        <v>105084.12001609802</v>
      </c>
      <c r="H15" s="3511">
        <v>85262.909788131714</v>
      </c>
      <c r="I15" s="3512">
        <v>132973.11543655396</v>
      </c>
      <c r="J15" s="3513">
        <v>2021</v>
      </c>
      <c r="K15" s="3514" t="s">
        <v>1198</v>
      </c>
      <c r="L15" s="3515">
        <v>69553.385246276855</v>
      </c>
      <c r="M15" s="3516">
        <v>45176.890760421753</v>
      </c>
      <c r="N15" s="3517">
        <v>48842.117547988892</v>
      </c>
      <c r="O15" s="3518">
        <v>2021</v>
      </c>
      <c r="P15" s="3519" t="s">
        <v>1198</v>
      </c>
      <c r="Q15" s="3520">
        <v>11617.241565704346</v>
      </c>
      <c r="R15" s="3521">
        <v>20297.356628417969</v>
      </c>
      <c r="S15" s="3522">
        <v>35639.845067977905</v>
      </c>
      <c r="T15" s="3523">
        <v>2021</v>
      </c>
      <c r="AE15" s="3524" t="s">
        <v>1201</v>
      </c>
      <c r="AF15" s="3525">
        <v>1124152.726246357</v>
      </c>
      <c r="AG15" s="3526">
        <v>1954842.9590808153</v>
      </c>
      <c r="AH15" s="3527">
        <v>3960269.2194355726</v>
      </c>
      <c r="AI15" s="3100">
        <v>2022</v>
      </c>
    </row>
    <row r="16" spans="1:35">
      <c r="A16" s="3085" t="s">
        <v>1200</v>
      </c>
      <c r="B16" s="3528">
        <v>4360</v>
      </c>
      <c r="C16" s="3529">
        <v>5710</v>
      </c>
      <c r="D16" s="3530">
        <v>162215</v>
      </c>
      <c r="E16" s="3531">
        <v>2022</v>
      </c>
      <c r="F16" s="3532" t="s">
        <v>1199</v>
      </c>
      <c r="G16" s="3533">
        <v>1799161.1537017822</v>
      </c>
      <c r="H16" s="3534">
        <v>1217419.5681610107</v>
      </c>
      <c r="I16" s="3535">
        <v>1950533.7782592773</v>
      </c>
      <c r="J16" s="3536">
        <v>2023</v>
      </c>
      <c r="K16" s="3537" t="s">
        <v>1199</v>
      </c>
      <c r="L16" s="3538">
        <v>1245139.2812805176</v>
      </c>
      <c r="M16" s="3539">
        <v>803742.21473693848</v>
      </c>
      <c r="N16" s="3540">
        <v>859959.70976257324</v>
      </c>
      <c r="O16" s="3541">
        <v>2023</v>
      </c>
      <c r="P16" s="3542" t="s">
        <v>1199</v>
      </c>
      <c r="Q16" s="3543">
        <v>310415.18148803711</v>
      </c>
      <c r="R16" s="3544">
        <v>208021.56825256348</v>
      </c>
      <c r="S16" s="3545">
        <v>377656.8050994873</v>
      </c>
      <c r="T16" s="3546">
        <v>2023</v>
      </c>
      <c r="AE16" s="3547" t="s">
        <v>1207</v>
      </c>
      <c r="AF16" s="3548">
        <v>2555</v>
      </c>
      <c r="AG16" s="3549">
        <v>4105</v>
      </c>
      <c r="AH16" s="3550">
        <v>40474</v>
      </c>
      <c r="AI16" s="3101">
        <v>2022</v>
      </c>
    </row>
    <row r="17" spans="1:20">
      <c r="A17" s="3086" t="s">
        <v>1201</v>
      </c>
      <c r="B17" s="3551">
        <v>9133.5053269863129</v>
      </c>
      <c r="C17" s="3552">
        <v>53583.131859779358</v>
      </c>
      <c r="D17" s="3553">
        <v>222560.67105853558</v>
      </c>
      <c r="E17" s="3554">
        <v>2022</v>
      </c>
      <c r="F17" s="3555" t="s">
        <v>1205</v>
      </c>
      <c r="G17" s="3556">
        <v>7044126</v>
      </c>
      <c r="H17" s="3557">
        <v>14906730</v>
      </c>
      <c r="I17" s="3558">
        <v>45174301</v>
      </c>
      <c r="J17" s="3559">
        <v>2022</v>
      </c>
      <c r="K17" s="3560" t="s">
        <v>1205</v>
      </c>
      <c r="L17" s="3561">
        <v>4884086</v>
      </c>
      <c r="M17" s="3562">
        <v>9386379</v>
      </c>
      <c r="N17" s="3563">
        <v>18435182</v>
      </c>
      <c r="O17" s="3564">
        <v>2022</v>
      </c>
      <c r="P17" s="3565" t="s">
        <v>1205</v>
      </c>
      <c r="Q17" s="3566">
        <v>1658308</v>
      </c>
      <c r="R17" s="3567">
        <v>2516272</v>
      </c>
      <c r="S17" s="3568">
        <v>8320188</v>
      </c>
      <c r="T17" s="3569">
        <v>2022</v>
      </c>
    </row>
    <row r="18" spans="1:20">
      <c r="A18" s="3087" t="s">
        <v>1202</v>
      </c>
      <c r="B18" s="3570">
        <v>19624</v>
      </c>
      <c r="C18" s="3571">
        <v>37315</v>
      </c>
      <c r="D18" s="3572">
        <v>154700</v>
      </c>
      <c r="E18" s="3573">
        <v>2022</v>
      </c>
      <c r="F18" s="3574" t="s">
        <v>1200</v>
      </c>
      <c r="G18" s="3575">
        <v>204640</v>
      </c>
      <c r="H18" s="3576">
        <v>242674</v>
      </c>
      <c r="I18" s="3577">
        <v>1814771</v>
      </c>
      <c r="J18" s="3578">
        <v>2022</v>
      </c>
      <c r="K18" s="3579" t="s">
        <v>1200</v>
      </c>
      <c r="L18" s="3580">
        <v>197703</v>
      </c>
      <c r="M18" s="3581">
        <v>189986</v>
      </c>
      <c r="N18" s="3582">
        <v>853538</v>
      </c>
      <c r="O18" s="3583">
        <v>2022</v>
      </c>
      <c r="P18" s="3584" t="s">
        <v>1200</v>
      </c>
      <c r="Q18" s="3585">
        <v>17300</v>
      </c>
      <c r="R18" s="3586">
        <v>45621</v>
      </c>
      <c r="S18" s="3587">
        <v>469995</v>
      </c>
      <c r="T18" s="3588">
        <v>2022</v>
      </c>
    </row>
    <row r="19" spans="1:20">
      <c r="A19" s="3088" t="s">
        <v>1203</v>
      </c>
      <c r="B19" s="3589">
        <v>125645.84001922607</v>
      </c>
      <c r="C19" s="3590">
        <v>46623.515312194824</v>
      </c>
      <c r="D19" s="3591">
        <v>140156.09610366821</v>
      </c>
      <c r="E19" s="3592">
        <v>2021</v>
      </c>
      <c r="F19" s="3593" t="s">
        <v>1201</v>
      </c>
      <c r="G19" s="3594">
        <v>2269603.0132535696</v>
      </c>
      <c r="H19" s="3595">
        <v>4661043.259976387</v>
      </c>
      <c r="I19" s="3596">
        <v>11002783.691085696</v>
      </c>
      <c r="J19" s="3597">
        <v>2022</v>
      </c>
      <c r="K19" s="3598" t="s">
        <v>1201</v>
      </c>
      <c r="L19" s="3599">
        <v>1631737.0506466627</v>
      </c>
      <c r="M19" s="3600">
        <v>2936144.2047864199</v>
      </c>
      <c r="N19" s="3601">
        <v>4699861.8975607157</v>
      </c>
      <c r="O19" s="3602">
        <v>2022</v>
      </c>
      <c r="P19" s="3603" t="s">
        <v>1201</v>
      </c>
      <c r="Q19" s="3604">
        <v>423915.98300755024</v>
      </c>
      <c r="R19" s="3605">
        <v>974178.9079324007</v>
      </c>
      <c r="S19" s="3606">
        <v>2469584.9567884207</v>
      </c>
      <c r="T19" s="3607">
        <v>2022</v>
      </c>
    </row>
    <row r="20" spans="1:20">
      <c r="F20" s="3608" t="s">
        <v>1202</v>
      </c>
      <c r="G20" s="3609">
        <v>474951</v>
      </c>
      <c r="H20" s="3610">
        <v>707306</v>
      </c>
      <c r="I20" s="3611">
        <v>2469635</v>
      </c>
      <c r="J20" s="3612">
        <v>2022</v>
      </c>
      <c r="K20" s="3613" t="s">
        <v>1202</v>
      </c>
      <c r="L20" s="3614">
        <v>386311</v>
      </c>
      <c r="M20" s="3615">
        <v>540005</v>
      </c>
      <c r="N20" s="3616">
        <v>1264655</v>
      </c>
      <c r="O20" s="3617">
        <v>2022</v>
      </c>
      <c r="P20" s="3618" t="s">
        <v>1202</v>
      </c>
      <c r="Q20" s="3619">
        <v>46411</v>
      </c>
      <c r="R20" s="3620">
        <v>116625</v>
      </c>
      <c r="S20" s="3621">
        <v>355788</v>
      </c>
      <c r="T20" s="3622">
        <v>2022</v>
      </c>
    </row>
    <row r="21" spans="1:20">
      <c r="F21" s="3623" t="s">
        <v>1206</v>
      </c>
      <c r="G21" s="3624">
        <v>509443.85450839996</v>
      </c>
      <c r="H21" s="3625">
        <v>753603.31658267975</v>
      </c>
      <c r="I21" s="3626">
        <v>1911347.2375965118</v>
      </c>
      <c r="J21" s="3627">
        <v>2023</v>
      </c>
      <c r="K21" s="3628" t="s">
        <v>1206</v>
      </c>
      <c r="L21" s="3629">
        <v>294442.77695655823</v>
      </c>
      <c r="M21" s="3630">
        <v>443100.32026004791</v>
      </c>
      <c r="N21" s="3631">
        <v>708735.41822147369</v>
      </c>
      <c r="O21" s="3632">
        <v>2023</v>
      </c>
      <c r="P21" s="3633" t="s">
        <v>1206</v>
      </c>
      <c r="Q21" s="3634">
        <v>120642.6169834137</v>
      </c>
      <c r="R21" s="3635">
        <v>110319.97630691528</v>
      </c>
      <c r="S21" s="3636">
        <v>358860.05911827087</v>
      </c>
      <c r="T21" s="3637">
        <v>2023</v>
      </c>
    </row>
    <row r="22" spans="1:20">
      <c r="F22" s="3638" t="s">
        <v>1207</v>
      </c>
      <c r="G22" s="3639">
        <v>76463</v>
      </c>
      <c r="H22" s="3640">
        <v>195113</v>
      </c>
      <c r="I22" s="3641">
        <v>1554942</v>
      </c>
      <c r="J22" s="3642">
        <v>2022</v>
      </c>
      <c r="K22" s="3643" t="s">
        <v>1207</v>
      </c>
      <c r="L22" s="3644">
        <v>69005</v>
      </c>
      <c r="M22" s="3645">
        <v>137788</v>
      </c>
      <c r="N22" s="3646">
        <v>542902</v>
      </c>
      <c r="O22" s="3647">
        <v>2022</v>
      </c>
      <c r="P22" s="3648" t="s">
        <v>1207</v>
      </c>
      <c r="Q22" s="3649">
        <v>1967</v>
      </c>
      <c r="R22" s="3650">
        <v>14140</v>
      </c>
      <c r="S22" s="3651">
        <v>516989</v>
      </c>
      <c r="T22" s="3652">
        <v>2022</v>
      </c>
    </row>
    <row r="23" spans="1:20">
      <c r="F23" s="3653" t="s">
        <v>1203</v>
      </c>
      <c r="G23" s="3654">
        <v>7842580.632232666</v>
      </c>
      <c r="H23" s="3655">
        <v>2441419.1790046692</v>
      </c>
      <c r="I23" s="3656">
        <v>3941802.0591087341</v>
      </c>
      <c r="J23" s="3657">
        <v>2021</v>
      </c>
      <c r="K23" s="3658" t="s">
        <v>1203</v>
      </c>
      <c r="L23" s="3659">
        <v>4753813.3663101196</v>
      </c>
      <c r="M23" s="3660">
        <v>1349187.4993057251</v>
      </c>
      <c r="N23" s="3661">
        <v>1818458.9574241638</v>
      </c>
      <c r="O23" s="3662">
        <v>2021</v>
      </c>
      <c r="P23" s="3663" t="s">
        <v>1203</v>
      </c>
      <c r="Q23" s="3664">
        <v>1292345.5077056885</v>
      </c>
      <c r="R23" s="3665">
        <v>377908.77994155884</v>
      </c>
      <c r="S23" s="3666">
        <v>659681.16845703125</v>
      </c>
      <c r="T23" s="3667">
        <v>2021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7F2DC-81B3-48F3-8931-2864F026A3E2}">
  <dimension ref="A1:K93"/>
  <sheetViews>
    <sheetView workbookViewId="0">
      <selection activeCell="E57" sqref="E57"/>
    </sheetView>
  </sheetViews>
  <sheetFormatPr defaultRowHeight="14.5"/>
  <cols>
    <col min="3" max="5" width="10.81640625" bestFit="1" customWidth="1"/>
    <col min="6" max="6" width="10.26953125" bestFit="1" customWidth="1"/>
    <col min="7" max="7" width="9" bestFit="1" customWidth="1"/>
    <col min="8" max="8" width="10.54296875" bestFit="1" customWidth="1"/>
  </cols>
  <sheetData>
    <row r="1" spans="1:9">
      <c r="A1" t="s">
        <v>995</v>
      </c>
      <c r="B1" t="s">
        <v>996</v>
      </c>
      <c r="C1" t="s">
        <v>1001</v>
      </c>
      <c r="D1" t="s">
        <v>1002</v>
      </c>
      <c r="E1" t="s">
        <v>1148</v>
      </c>
      <c r="F1" t="s">
        <v>1053</v>
      </c>
      <c r="G1" t="s">
        <v>1005</v>
      </c>
      <c r="H1" t="s">
        <v>1054</v>
      </c>
      <c r="I1" t="s">
        <v>1055</v>
      </c>
    </row>
    <row r="2" spans="1:9">
      <c r="A2" t="s">
        <v>15</v>
      </c>
      <c r="B2" s="8">
        <v>2022</v>
      </c>
      <c r="C2" s="8">
        <v>0</v>
      </c>
      <c r="D2" s="8">
        <v>0</v>
      </c>
      <c r="E2" s="8">
        <v>0</v>
      </c>
      <c r="F2" s="8">
        <v>3744.8060035705566</v>
      </c>
      <c r="G2" s="8">
        <v>12388571</v>
      </c>
      <c r="H2" s="8">
        <v>2022</v>
      </c>
      <c r="I2" t="s">
        <v>1048</v>
      </c>
    </row>
    <row r="3" spans="1:9">
      <c r="A3" t="s">
        <v>17</v>
      </c>
      <c r="B3" s="8">
        <v>2022</v>
      </c>
      <c r="C3" s="8">
        <v>17462550.920537949</v>
      </c>
      <c r="D3" s="8">
        <v>26570249.882231712</v>
      </c>
      <c r="E3" s="8">
        <v>0.70759141445159912</v>
      </c>
      <c r="F3" s="8">
        <v>74069958.813220978</v>
      </c>
      <c r="G3" s="8">
        <v>216422446</v>
      </c>
      <c r="H3" s="8">
        <v>2022</v>
      </c>
      <c r="I3" t="s">
        <v>1048</v>
      </c>
    </row>
    <row r="4" spans="1:9">
      <c r="A4" t="s">
        <v>23</v>
      </c>
      <c r="B4" s="8">
        <v>2022</v>
      </c>
      <c r="C4" s="8">
        <v>1251678.2050333023</v>
      </c>
      <c r="D4" s="8">
        <v>1104565.5149140358</v>
      </c>
      <c r="E4" s="8">
        <v>0.11485511809587479</v>
      </c>
      <c r="F4" s="8">
        <v>1732776.7648224831</v>
      </c>
      <c r="G4" s="8">
        <v>52085168</v>
      </c>
      <c r="H4" s="8">
        <v>2022</v>
      </c>
      <c r="I4" t="s">
        <v>1048</v>
      </c>
    </row>
    <row r="5" spans="1:9">
      <c r="A5" t="s">
        <v>29</v>
      </c>
      <c r="B5" s="8">
        <v>2023</v>
      </c>
      <c r="C5" s="8">
        <v>132116.76440429688</v>
      </c>
      <c r="D5" s="8">
        <v>184813.18109703064</v>
      </c>
      <c r="E5" s="8">
        <v>4.7713309526443481E-2</v>
      </c>
      <c r="F5" s="8">
        <v>220738.29983139038</v>
      </c>
      <c r="G5" s="8">
        <v>18190484</v>
      </c>
      <c r="H5" s="8">
        <v>2023</v>
      </c>
      <c r="I5" t="s">
        <v>1048</v>
      </c>
    </row>
    <row r="6" spans="1:9">
      <c r="A6" t="s">
        <v>31</v>
      </c>
      <c r="B6" s="8">
        <v>2022</v>
      </c>
      <c r="C6" s="8">
        <v>173985</v>
      </c>
      <c r="D6" s="8">
        <v>104409</v>
      </c>
      <c r="E6" s="8">
        <v>3.0324984341859818E-2</v>
      </c>
      <c r="F6" s="8">
        <v>163516</v>
      </c>
      <c r="G6" s="8">
        <v>18092026</v>
      </c>
      <c r="H6" s="8">
        <v>2022</v>
      </c>
      <c r="I6" t="s">
        <v>1048</v>
      </c>
    </row>
    <row r="7" spans="1:9">
      <c r="A7" t="s">
        <v>34</v>
      </c>
      <c r="B7" s="8">
        <v>2023</v>
      </c>
      <c r="C7" s="8">
        <v>450260.82363891602</v>
      </c>
      <c r="D7" s="8">
        <v>175842.50241088867</v>
      </c>
      <c r="E7" s="8">
        <v>0.11018392443656921</v>
      </c>
      <c r="F7" s="8">
        <v>257495.33038330078</v>
      </c>
      <c r="G7" s="8">
        <v>10593798</v>
      </c>
      <c r="H7" s="8">
        <v>2023</v>
      </c>
      <c r="I7" t="s">
        <v>1048</v>
      </c>
    </row>
    <row r="8" spans="1:9">
      <c r="A8" t="s">
        <v>42</v>
      </c>
      <c r="B8" s="8">
        <v>2022</v>
      </c>
      <c r="C8" s="8">
        <v>43928</v>
      </c>
      <c r="D8" s="8">
        <v>111067</v>
      </c>
      <c r="E8" s="8">
        <v>0.18030662834644318</v>
      </c>
      <c r="F8" s="8">
        <v>1119120</v>
      </c>
      <c r="G8" s="8">
        <v>4468087</v>
      </c>
      <c r="H8" s="8">
        <v>2022</v>
      </c>
      <c r="I8" t="s">
        <v>1048</v>
      </c>
    </row>
    <row r="9" spans="1:9">
      <c r="A9" t="s">
        <v>44</v>
      </c>
      <c r="B9" s="8">
        <v>2022</v>
      </c>
      <c r="C9" s="8">
        <v>248391.20077252388</v>
      </c>
      <c r="D9" s="8">
        <v>516986.86648130417</v>
      </c>
      <c r="E9" s="8">
        <v>9.2717580497264862E-2</v>
      </c>
      <c r="F9" s="8">
        <v>1073166.6305003166</v>
      </c>
      <c r="G9" s="8">
        <v>34352719</v>
      </c>
      <c r="H9" s="8">
        <v>2022</v>
      </c>
      <c r="I9" t="s">
        <v>1048</v>
      </c>
    </row>
    <row r="10" spans="1:9">
      <c r="A10" t="s">
        <v>50</v>
      </c>
      <c r="B10" s="8">
        <v>2022</v>
      </c>
      <c r="C10" s="8">
        <v>12886</v>
      </c>
      <c r="D10" s="8">
        <v>28905</v>
      </c>
      <c r="E10" s="8">
        <v>8.2296527922153473E-2</v>
      </c>
      <c r="F10" s="8">
        <v>115051</v>
      </c>
      <c r="G10" s="8">
        <v>3423109</v>
      </c>
      <c r="H10" s="8">
        <v>2022</v>
      </c>
      <c r="I10" t="s">
        <v>1048</v>
      </c>
    </row>
    <row r="11" spans="1:9">
      <c r="A11" t="s">
        <v>10</v>
      </c>
      <c r="B11" s="8">
        <v>2022</v>
      </c>
      <c r="C11" s="8">
        <v>789342</v>
      </c>
      <c r="D11" s="8">
        <v>1197359</v>
      </c>
      <c r="E11" s="8">
        <v>0.36904233694076538</v>
      </c>
      <c r="F11" s="8">
        <v>4455323</v>
      </c>
      <c r="G11" s="8">
        <v>45773884</v>
      </c>
      <c r="H11" s="8">
        <v>2022</v>
      </c>
      <c r="I11" t="s">
        <v>1146</v>
      </c>
    </row>
    <row r="12" spans="1:9">
      <c r="A12" t="s">
        <v>15</v>
      </c>
      <c r="B12" s="8">
        <v>2022</v>
      </c>
      <c r="C12" s="8">
        <v>494930.2582244873</v>
      </c>
      <c r="D12" s="8">
        <v>590203.46263313293</v>
      </c>
      <c r="E12" s="8">
        <v>0.41538441181182861</v>
      </c>
      <c r="F12" s="8">
        <v>2570631.3405590057</v>
      </c>
      <c r="G12" s="8">
        <v>12388571</v>
      </c>
      <c r="H12" s="8">
        <v>2022</v>
      </c>
      <c r="I12" t="s">
        <v>1146</v>
      </c>
    </row>
    <row r="13" spans="1:9">
      <c r="A13" t="s">
        <v>17</v>
      </c>
      <c r="B13" s="8">
        <v>2022</v>
      </c>
      <c r="C13" s="8">
        <v>9524607.7487888336</v>
      </c>
      <c r="D13" s="8">
        <v>12443033.212780952</v>
      </c>
      <c r="E13" s="8">
        <v>0.35291743278503418</v>
      </c>
      <c r="F13" s="8">
        <v>24347703.806501389</v>
      </c>
      <c r="G13" s="8">
        <v>216422446</v>
      </c>
      <c r="H13" s="8">
        <v>2022</v>
      </c>
      <c r="I13" t="s">
        <v>1146</v>
      </c>
    </row>
    <row r="14" spans="1:9">
      <c r="A14" t="s">
        <v>21</v>
      </c>
      <c r="B14" s="8">
        <v>2022</v>
      </c>
      <c r="C14" s="8">
        <v>199780</v>
      </c>
      <c r="D14" s="8">
        <v>481348</v>
      </c>
      <c r="E14" s="8">
        <v>0.30823186039924622</v>
      </c>
      <c r="F14" s="8">
        <v>3280421</v>
      </c>
      <c r="G14" s="8">
        <v>19629590</v>
      </c>
      <c r="H14" s="8">
        <v>2022</v>
      </c>
      <c r="I14" t="s">
        <v>1146</v>
      </c>
    </row>
    <row r="15" spans="1:9">
      <c r="A15" t="s">
        <v>23</v>
      </c>
      <c r="B15" s="8">
        <v>2022</v>
      </c>
      <c r="C15" s="8">
        <v>3536831.4038939476</v>
      </c>
      <c r="D15" s="8">
        <v>3342762.9207553864</v>
      </c>
      <c r="E15" s="8">
        <v>0.33534589409828186</v>
      </c>
      <c r="F15" s="8">
        <v>5231857.8354277611</v>
      </c>
      <c r="G15" s="8">
        <v>52085168</v>
      </c>
      <c r="H15" s="8">
        <v>2022</v>
      </c>
      <c r="I15" t="s">
        <v>1146</v>
      </c>
    </row>
    <row r="16" spans="1:9">
      <c r="A16" t="s">
        <v>25</v>
      </c>
      <c r="B16" s="8">
        <v>2023</v>
      </c>
      <c r="C16" s="8">
        <v>125124</v>
      </c>
      <c r="D16" s="8">
        <v>238919</v>
      </c>
      <c r="E16" s="8">
        <v>0.3323003351688385</v>
      </c>
      <c r="F16" s="8">
        <v>651600</v>
      </c>
      <c r="G16" s="8">
        <v>5212173</v>
      </c>
      <c r="H16" s="8">
        <v>2023</v>
      </c>
      <c r="I16" t="s">
        <v>1146</v>
      </c>
    </row>
    <row r="17" spans="1:9">
      <c r="A17" t="s">
        <v>27</v>
      </c>
      <c r="B17" s="8">
        <v>2022</v>
      </c>
      <c r="C17" s="8">
        <v>400795.66735839844</v>
      </c>
      <c r="D17" s="8">
        <v>815161.25811767578</v>
      </c>
      <c r="E17" s="8">
        <v>0.39337617158889771</v>
      </c>
      <c r="F17" s="8">
        <v>1712966.2698669434</v>
      </c>
      <c r="G17" s="8">
        <v>11332973</v>
      </c>
      <c r="H17" s="8">
        <v>2022</v>
      </c>
      <c r="I17" t="s">
        <v>1146</v>
      </c>
    </row>
    <row r="18" spans="1:9">
      <c r="A18" t="s">
        <v>29</v>
      </c>
      <c r="B18" s="8">
        <v>2023</v>
      </c>
      <c r="C18" s="8">
        <v>1425734.5659637451</v>
      </c>
      <c r="D18" s="8">
        <v>1669300.9781665802</v>
      </c>
      <c r="E18" s="8">
        <v>0.41583707928657532</v>
      </c>
      <c r="F18" s="8">
        <v>2559730.7829904556</v>
      </c>
      <c r="G18" s="8">
        <v>18190484</v>
      </c>
      <c r="H18" s="8">
        <v>2023</v>
      </c>
      <c r="I18" t="s">
        <v>1146</v>
      </c>
    </row>
    <row r="19" spans="1:9">
      <c r="A19" t="s">
        <v>31</v>
      </c>
      <c r="B19" s="8">
        <v>2022</v>
      </c>
      <c r="C19" s="8">
        <v>2313149</v>
      </c>
      <c r="D19" s="8">
        <v>1469116</v>
      </c>
      <c r="E19" s="8">
        <v>0.41112026572227478</v>
      </c>
      <c r="F19" s="8">
        <v>1853914</v>
      </c>
      <c r="G19" s="8">
        <v>18092026</v>
      </c>
      <c r="H19" s="8">
        <v>2022</v>
      </c>
      <c r="I19" t="s">
        <v>1146</v>
      </c>
    </row>
    <row r="20" spans="1:9">
      <c r="A20" t="s">
        <v>33</v>
      </c>
      <c r="B20" s="8">
        <v>2021</v>
      </c>
      <c r="C20" s="8">
        <v>69553.385246276855</v>
      </c>
      <c r="D20" s="8">
        <v>45176.890760421753</v>
      </c>
      <c r="E20" s="8">
        <v>0.31700813770294189</v>
      </c>
      <c r="F20" s="8">
        <v>48842.117547988892</v>
      </c>
      <c r="G20" s="8">
        <v>813834</v>
      </c>
      <c r="H20" s="8">
        <v>2021</v>
      </c>
      <c r="I20" t="s">
        <v>1146</v>
      </c>
    </row>
    <row r="21" spans="1:9">
      <c r="A21" t="s">
        <v>34</v>
      </c>
      <c r="B21" s="8">
        <v>2023</v>
      </c>
      <c r="C21" s="8">
        <v>1245139.2812805176</v>
      </c>
      <c r="D21" s="8">
        <v>803742.21473693848</v>
      </c>
      <c r="E21" s="8">
        <v>0.36056956648826599</v>
      </c>
      <c r="F21" s="8">
        <v>859959.70976257324</v>
      </c>
      <c r="G21" s="8">
        <v>10593798</v>
      </c>
      <c r="H21" s="8">
        <v>2023</v>
      </c>
      <c r="I21" t="s">
        <v>1146</v>
      </c>
    </row>
    <row r="22" spans="1:9">
      <c r="A22" t="s">
        <v>38</v>
      </c>
      <c r="B22" s="8">
        <v>2022</v>
      </c>
      <c r="C22" s="8">
        <v>4884086</v>
      </c>
      <c r="D22" s="8">
        <v>9386379</v>
      </c>
      <c r="E22" s="8">
        <v>0.346282958984375</v>
      </c>
      <c r="F22" s="8">
        <v>18435182</v>
      </c>
      <c r="G22" s="8">
        <v>128455567</v>
      </c>
      <c r="H22" s="8">
        <v>2022</v>
      </c>
      <c r="I22" t="s">
        <v>1146</v>
      </c>
    </row>
    <row r="23" spans="1:9">
      <c r="A23" t="s">
        <v>42</v>
      </c>
      <c r="B23" s="8">
        <v>2022</v>
      </c>
      <c r="C23" s="8">
        <v>197703</v>
      </c>
      <c r="D23" s="8">
        <v>189986</v>
      </c>
      <c r="E23" s="8">
        <v>0.45100095868110657</v>
      </c>
      <c r="F23" s="8">
        <v>853538</v>
      </c>
      <c r="G23" s="8">
        <v>4468087</v>
      </c>
      <c r="H23" s="8">
        <v>2022</v>
      </c>
      <c r="I23" t="s">
        <v>1146</v>
      </c>
    </row>
    <row r="24" spans="1:9">
      <c r="A24" t="s">
        <v>44</v>
      </c>
      <c r="B24" s="8">
        <v>2022</v>
      </c>
      <c r="C24" s="8">
        <v>1631737.0506466627</v>
      </c>
      <c r="D24" s="8">
        <v>2936144.2047864199</v>
      </c>
      <c r="E24" s="8">
        <v>0.34852868318557739</v>
      </c>
      <c r="F24" s="8">
        <v>4699861.8975607157</v>
      </c>
      <c r="G24" s="8">
        <v>34352719</v>
      </c>
      <c r="H24" s="8">
        <v>2022</v>
      </c>
      <c r="I24" t="s">
        <v>1146</v>
      </c>
    </row>
    <row r="25" spans="1:9">
      <c r="A25" t="s">
        <v>45</v>
      </c>
      <c r="B25" s="8">
        <v>2022</v>
      </c>
      <c r="C25" s="8">
        <v>386311</v>
      </c>
      <c r="D25" s="8">
        <v>540005</v>
      </c>
      <c r="E25" s="8">
        <v>0.40252083539962769</v>
      </c>
      <c r="F25" s="8">
        <v>1264655</v>
      </c>
      <c r="G25" s="8">
        <v>6861524</v>
      </c>
      <c r="H25" s="8">
        <v>2022</v>
      </c>
      <c r="I25" t="s">
        <v>1146</v>
      </c>
    </row>
    <row r="26" spans="1:9">
      <c r="A26" t="s">
        <v>46</v>
      </c>
      <c r="B26" s="8">
        <v>2023</v>
      </c>
      <c r="C26" s="8">
        <v>294442.77695655823</v>
      </c>
      <c r="D26" s="8">
        <v>443100.32026004791</v>
      </c>
      <c r="E26" s="8">
        <v>0.31968012452125549</v>
      </c>
      <c r="F26" s="8">
        <v>708735.41822147369</v>
      </c>
      <c r="G26" s="8">
        <v>6364943</v>
      </c>
      <c r="H26" s="8">
        <v>2023</v>
      </c>
      <c r="I26" t="s">
        <v>1146</v>
      </c>
    </row>
    <row r="27" spans="1:9">
      <c r="A27" t="s">
        <v>50</v>
      </c>
      <c r="B27" s="8">
        <v>2022</v>
      </c>
      <c r="C27" s="8">
        <v>69005</v>
      </c>
      <c r="D27" s="8">
        <v>137788</v>
      </c>
      <c r="E27" s="8">
        <v>0.40722513198852539</v>
      </c>
      <c r="F27" s="8">
        <v>542902</v>
      </c>
      <c r="G27" s="8">
        <v>3423109</v>
      </c>
      <c r="H27" s="8">
        <v>2022</v>
      </c>
      <c r="I27" t="s">
        <v>1146</v>
      </c>
    </row>
    <row r="28" spans="1:9">
      <c r="A28" t="s">
        <v>51</v>
      </c>
      <c r="B28" s="8">
        <v>2021</v>
      </c>
      <c r="C28" s="8">
        <v>4753813.3663101196</v>
      </c>
      <c r="D28" s="8">
        <v>1349187.4993057251</v>
      </c>
      <c r="E28" s="8">
        <v>0.30718731880187988</v>
      </c>
      <c r="F28" s="8">
        <v>1818458.9574241638</v>
      </c>
      <c r="G28" s="8">
        <v>28838499</v>
      </c>
      <c r="H28" s="8">
        <v>2021</v>
      </c>
      <c r="I28" t="s">
        <v>1146</v>
      </c>
    </row>
    <row r="29" spans="1:9">
      <c r="A29" t="s">
        <v>10</v>
      </c>
      <c r="B29" s="8">
        <v>2022</v>
      </c>
      <c r="C29" s="8">
        <v>53464</v>
      </c>
      <c r="D29" s="8">
        <v>148023</v>
      </c>
      <c r="E29" s="8">
        <v>3.7427488714456558E-2</v>
      </c>
      <c r="F29" s="8">
        <v>2814752</v>
      </c>
      <c r="G29" s="8">
        <v>45773884</v>
      </c>
      <c r="H29" s="8">
        <v>2022</v>
      </c>
      <c r="I29" t="s">
        <v>1147</v>
      </c>
    </row>
    <row r="30" spans="1:9">
      <c r="A30" t="s">
        <v>15</v>
      </c>
      <c r="B30" s="8">
        <v>2022</v>
      </c>
      <c r="C30" s="8">
        <v>39664.615909576416</v>
      </c>
      <c r="D30" s="8">
        <v>158992.9629650116</v>
      </c>
      <c r="E30" s="8">
        <v>7.6045244932174683E-2</v>
      </c>
      <c r="F30" s="8">
        <v>794113.74802207947</v>
      </c>
      <c r="G30" s="8">
        <v>12388571</v>
      </c>
      <c r="H30" s="8">
        <v>2022</v>
      </c>
      <c r="I30" t="s">
        <v>1147</v>
      </c>
    </row>
    <row r="31" spans="1:9">
      <c r="A31" t="s">
        <v>17</v>
      </c>
      <c r="B31" s="8">
        <v>2022</v>
      </c>
      <c r="C31" s="8">
        <v>298390.86721801758</v>
      </c>
      <c r="D31" s="8">
        <v>1875201.0301570892</v>
      </c>
      <c r="E31" s="8">
        <v>3.4919474273920059E-2</v>
      </c>
      <c r="F31" s="8">
        <v>20046638.657063484</v>
      </c>
      <c r="G31" s="8">
        <v>216422446</v>
      </c>
      <c r="H31" s="8">
        <v>2022</v>
      </c>
      <c r="I31" t="s">
        <v>1147</v>
      </c>
    </row>
    <row r="32" spans="1:9">
      <c r="A32" t="s">
        <v>21</v>
      </c>
      <c r="B32" s="8">
        <v>2022</v>
      </c>
      <c r="C32" s="8">
        <v>27238</v>
      </c>
      <c r="D32" s="8">
        <v>124911</v>
      </c>
      <c r="E32" s="8">
        <v>6.8852216005325317E-2</v>
      </c>
      <c r="F32" s="8">
        <v>2439176</v>
      </c>
      <c r="G32" s="8">
        <v>19629590</v>
      </c>
      <c r="H32" s="8">
        <v>2022</v>
      </c>
      <c r="I32" t="s">
        <v>1147</v>
      </c>
    </row>
    <row r="33" spans="1:9">
      <c r="A33" t="s">
        <v>23</v>
      </c>
      <c r="B33" s="8">
        <v>2022</v>
      </c>
      <c r="C33" s="8">
        <v>950789.07740879059</v>
      </c>
      <c r="D33" s="8">
        <v>844282.43327665329</v>
      </c>
      <c r="E33" s="8">
        <v>8.7500773370265961E-2</v>
      </c>
      <c r="F33" s="8">
        <v>3308981.7417783737</v>
      </c>
      <c r="G33" s="8">
        <v>52085168</v>
      </c>
      <c r="H33" s="8">
        <v>2022</v>
      </c>
      <c r="I33" t="s">
        <v>1147</v>
      </c>
    </row>
    <row r="34" spans="1:9">
      <c r="A34" t="s">
        <v>25</v>
      </c>
      <c r="B34" s="8">
        <v>2023</v>
      </c>
      <c r="C34" s="8">
        <v>28682</v>
      </c>
      <c r="D34" s="8">
        <v>80289</v>
      </c>
      <c r="E34" s="8">
        <v>9.9469296634197235E-2</v>
      </c>
      <c r="F34" s="8">
        <v>626760</v>
      </c>
      <c r="G34" s="8">
        <v>5212173</v>
      </c>
      <c r="H34" s="8">
        <v>2023</v>
      </c>
      <c r="I34" t="s">
        <v>1147</v>
      </c>
    </row>
    <row r="35" spans="1:9">
      <c r="A35" t="s">
        <v>27</v>
      </c>
      <c r="B35" s="8">
        <v>2022</v>
      </c>
      <c r="C35" s="8">
        <v>85339.995834350586</v>
      </c>
      <c r="D35" s="8">
        <v>196094.15728759766</v>
      </c>
      <c r="E35" s="8">
        <v>9.1047212481498718E-2</v>
      </c>
      <c r="F35" s="8">
        <v>830113.4704284668</v>
      </c>
      <c r="G35" s="8">
        <v>11332973</v>
      </c>
      <c r="H35" s="8">
        <v>2022</v>
      </c>
      <c r="I35" t="s">
        <v>1147</v>
      </c>
    </row>
    <row r="36" spans="1:9">
      <c r="A36" t="s">
        <v>29</v>
      </c>
      <c r="B36" s="8">
        <v>2023</v>
      </c>
      <c r="C36" s="8">
        <v>150002.57514572144</v>
      </c>
      <c r="D36" s="8">
        <v>349067.94465255737</v>
      </c>
      <c r="E36" s="8">
        <v>6.705319881439209E-2</v>
      </c>
      <c r="F36" s="8">
        <v>1265027.9589176178</v>
      </c>
      <c r="G36" s="8">
        <v>18190484</v>
      </c>
      <c r="H36" s="8">
        <v>2023</v>
      </c>
      <c r="I36" t="s">
        <v>1147</v>
      </c>
    </row>
    <row r="37" spans="1:9">
      <c r="A37" t="s">
        <v>31</v>
      </c>
      <c r="B37" s="8">
        <v>2022</v>
      </c>
      <c r="C37" s="8">
        <v>381489</v>
      </c>
      <c r="D37" s="8">
        <v>196898</v>
      </c>
      <c r="E37" s="8">
        <v>6.2868840992450714E-2</v>
      </c>
      <c r="F37" s="8">
        <v>511809</v>
      </c>
      <c r="G37" s="8">
        <v>18092026</v>
      </c>
      <c r="H37" s="8">
        <v>2022</v>
      </c>
      <c r="I37" t="s">
        <v>1147</v>
      </c>
    </row>
    <row r="38" spans="1:9">
      <c r="A38" t="s">
        <v>33</v>
      </c>
      <c r="B38" s="8">
        <v>2021</v>
      </c>
      <c r="C38" s="8">
        <v>11617.241565704346</v>
      </c>
      <c r="D38" s="8">
        <v>20297.356628417969</v>
      </c>
      <c r="E38" s="8">
        <v>8.8182367384433746E-2</v>
      </c>
      <c r="F38" s="8">
        <v>35639.845067977905</v>
      </c>
      <c r="G38" s="8">
        <v>813834</v>
      </c>
      <c r="H38" s="8">
        <v>2021</v>
      </c>
      <c r="I38" t="s">
        <v>1147</v>
      </c>
    </row>
    <row r="39" spans="1:9">
      <c r="A39" t="s">
        <v>34</v>
      </c>
      <c r="B39" s="8">
        <v>2023</v>
      </c>
      <c r="C39" s="8">
        <v>310415.18148803711</v>
      </c>
      <c r="D39" s="8">
        <v>208021.56825256348</v>
      </c>
      <c r="E39" s="8">
        <v>9.1236375272274017E-2</v>
      </c>
      <c r="F39" s="8">
        <v>377656.8050994873</v>
      </c>
      <c r="G39" s="8">
        <v>10593798</v>
      </c>
      <c r="H39" s="8">
        <v>2023</v>
      </c>
      <c r="I39" t="s">
        <v>1147</v>
      </c>
    </row>
    <row r="40" spans="1:9">
      <c r="A40" t="s">
        <v>38</v>
      </c>
      <c r="B40" s="8">
        <v>2022</v>
      </c>
      <c r="C40" s="8">
        <v>1658308</v>
      </c>
      <c r="D40" s="8">
        <v>2516272</v>
      </c>
      <c r="E40" s="8">
        <v>0.10129914432764053</v>
      </c>
      <c r="F40" s="8">
        <v>8320188</v>
      </c>
      <c r="G40" s="8">
        <v>128455567</v>
      </c>
      <c r="H40" s="8">
        <v>2022</v>
      </c>
      <c r="I40" t="s">
        <v>1147</v>
      </c>
    </row>
    <row r="41" spans="1:9">
      <c r="A41" t="s">
        <v>42</v>
      </c>
      <c r="B41" s="8">
        <v>2022</v>
      </c>
      <c r="C41" s="8">
        <v>17300</v>
      </c>
      <c r="D41" s="8">
        <v>45621</v>
      </c>
      <c r="E41" s="8">
        <v>7.3196381330490112E-2</v>
      </c>
      <c r="F41" s="8">
        <v>469995</v>
      </c>
      <c r="G41" s="8">
        <v>4468087</v>
      </c>
      <c r="H41" s="8">
        <v>2022</v>
      </c>
      <c r="I41" t="s">
        <v>1147</v>
      </c>
    </row>
    <row r="42" spans="1:9">
      <c r="A42" t="s">
        <v>44</v>
      </c>
      <c r="B42" s="8">
        <v>2022</v>
      </c>
      <c r="C42" s="8">
        <v>423915.98300755024</v>
      </c>
      <c r="D42" s="8">
        <v>974178.9079324007</v>
      </c>
      <c r="E42" s="8">
        <v>0.1066744327545166</v>
      </c>
      <c r="F42" s="8">
        <v>2469584.9567884207</v>
      </c>
      <c r="G42" s="8">
        <v>34352719</v>
      </c>
      <c r="H42" s="8">
        <v>2022</v>
      </c>
      <c r="I42" t="s">
        <v>1147</v>
      </c>
    </row>
    <row r="43" spans="1:9">
      <c r="A43" t="s">
        <v>45</v>
      </c>
      <c r="B43" s="8">
        <v>2022</v>
      </c>
      <c r="C43" s="8">
        <v>46411</v>
      </c>
      <c r="D43" s="8">
        <v>116625</v>
      </c>
      <c r="E43" s="8">
        <v>7.0845574140548706E-2</v>
      </c>
      <c r="F43" s="8">
        <v>355788</v>
      </c>
      <c r="G43" s="8">
        <v>6861524</v>
      </c>
      <c r="H43" s="8">
        <v>2022</v>
      </c>
      <c r="I43" t="s">
        <v>1147</v>
      </c>
    </row>
    <row r="44" spans="1:9">
      <c r="A44" t="s">
        <v>46</v>
      </c>
      <c r="B44" s="8">
        <v>2023</v>
      </c>
      <c r="C44" s="8">
        <v>120642.6169834137</v>
      </c>
      <c r="D44" s="8">
        <v>110319.97630691528</v>
      </c>
      <c r="E44" s="8">
        <v>0.10010825097560883</v>
      </c>
      <c r="F44" s="8">
        <v>358860.05911827087</v>
      </c>
      <c r="G44" s="8">
        <v>6364943</v>
      </c>
      <c r="H44" s="8">
        <v>2023</v>
      </c>
      <c r="I44" t="s">
        <v>1147</v>
      </c>
    </row>
    <row r="45" spans="1:9">
      <c r="A45" t="s">
        <v>50</v>
      </c>
      <c r="B45" s="8">
        <v>2022</v>
      </c>
      <c r="C45" s="8">
        <v>1967</v>
      </c>
      <c r="D45" s="8">
        <v>14140</v>
      </c>
      <c r="E45" s="8">
        <v>3.1718555837869644E-2</v>
      </c>
      <c r="F45" s="8">
        <v>516989</v>
      </c>
      <c r="G45" s="8">
        <v>3423109</v>
      </c>
      <c r="H45" s="8">
        <v>2022</v>
      </c>
      <c r="I45" t="s">
        <v>1147</v>
      </c>
    </row>
    <row r="46" spans="1:9">
      <c r="A46" t="s">
        <v>51</v>
      </c>
      <c r="B46" s="8">
        <v>2021</v>
      </c>
      <c r="C46" s="8">
        <v>1292345.5077056885</v>
      </c>
      <c r="D46" s="8">
        <v>377908.77994155884</v>
      </c>
      <c r="E46" s="8">
        <v>8.4070265293121338E-2</v>
      </c>
      <c r="F46" s="8">
        <v>659681.16845703125</v>
      </c>
      <c r="G46" s="8">
        <v>28838499</v>
      </c>
      <c r="H46" s="8">
        <v>2021</v>
      </c>
      <c r="I46" t="s">
        <v>1147</v>
      </c>
    </row>
    <row r="47" spans="1:9">
      <c r="A47" t="s">
        <v>21</v>
      </c>
      <c r="B47" s="8">
        <v>2022</v>
      </c>
      <c r="C47" s="8">
        <v>169314</v>
      </c>
      <c r="D47" s="8">
        <v>425576</v>
      </c>
      <c r="E47" s="8">
        <v>0.29631677269935608</v>
      </c>
      <c r="F47" s="8">
        <v>4724599</v>
      </c>
      <c r="G47" s="8">
        <v>19629590</v>
      </c>
      <c r="H47" s="8">
        <v>2022</v>
      </c>
      <c r="I47" t="s">
        <v>1050</v>
      </c>
    </row>
    <row r="48" spans="1:9">
      <c r="A48" t="s">
        <v>23</v>
      </c>
      <c r="B48" s="8">
        <v>2022</v>
      </c>
      <c r="C48" s="8">
        <v>1771348.9100570679</v>
      </c>
      <c r="D48" s="8">
        <v>1640578.9907875061</v>
      </c>
      <c r="E48" s="8">
        <v>0.16631445288658142</v>
      </c>
      <c r="F48" s="8">
        <v>4315432.7300243378</v>
      </c>
      <c r="G48" s="8">
        <v>52085168</v>
      </c>
      <c r="H48" s="8">
        <v>2022</v>
      </c>
      <c r="I48" t="s">
        <v>1050</v>
      </c>
    </row>
    <row r="49" spans="1:11">
      <c r="A49" t="s">
        <v>25</v>
      </c>
      <c r="B49" s="8">
        <v>2023</v>
      </c>
      <c r="C49" s="8">
        <v>24771</v>
      </c>
      <c r="D49" s="8">
        <v>61780</v>
      </c>
      <c r="E49" s="8">
        <v>7.9004205763339996E-2</v>
      </c>
      <c r="F49" s="8">
        <v>294224</v>
      </c>
      <c r="G49" s="8">
        <v>5212173</v>
      </c>
      <c r="H49" s="8">
        <v>2023</v>
      </c>
      <c r="I49" t="s">
        <v>1050</v>
      </c>
    </row>
    <row r="50" spans="1:11">
      <c r="A50" t="s">
        <v>38</v>
      </c>
      <c r="B50" s="8">
        <v>2022</v>
      </c>
      <c r="C50" s="8">
        <v>2573552</v>
      </c>
      <c r="D50" s="8">
        <v>4594039</v>
      </c>
      <c r="E50" s="8">
        <v>0.17422810196876526</v>
      </c>
      <c r="F50" s="8">
        <v>13919422</v>
      </c>
      <c r="G50" s="8">
        <v>128455567</v>
      </c>
      <c r="H50" s="8">
        <v>2022</v>
      </c>
      <c r="I50" t="s">
        <v>1050</v>
      </c>
    </row>
    <row r="51" spans="1:11">
      <c r="A51" t="s">
        <v>42</v>
      </c>
      <c r="B51" s="8">
        <v>2022</v>
      </c>
      <c r="C51" s="8">
        <v>28995</v>
      </c>
      <c r="D51" s="8">
        <v>59716</v>
      </c>
      <c r="E51" s="8">
        <v>0.10319804400205612</v>
      </c>
      <c r="F51" s="8">
        <v>441836</v>
      </c>
      <c r="G51" s="8">
        <v>4468087</v>
      </c>
      <c r="H51" s="8">
        <v>2022</v>
      </c>
      <c r="I51" t="s">
        <v>1050</v>
      </c>
    </row>
    <row r="52" spans="1:11">
      <c r="A52" t="s">
        <v>44</v>
      </c>
      <c r="B52" s="8">
        <v>2022</v>
      </c>
      <c r="C52" s="8">
        <v>233521.65459108353</v>
      </c>
      <c r="D52" s="8">
        <v>435326.81529891491</v>
      </c>
      <c r="E52" s="8">
        <v>5.331527441740036E-2</v>
      </c>
      <c r="F52" s="8">
        <v>890201.7332136631</v>
      </c>
      <c r="G52" s="8">
        <v>34352719</v>
      </c>
      <c r="H52" s="8">
        <v>2022</v>
      </c>
      <c r="I52" t="s">
        <v>1050</v>
      </c>
    </row>
    <row r="53" spans="1:11">
      <c r="A53" t="s">
        <v>15</v>
      </c>
      <c r="B53" s="8">
        <v>2022</v>
      </c>
      <c r="C53" s="8">
        <v>492125.95886421204</v>
      </c>
      <c r="D53" s="8">
        <v>464986.10189628601</v>
      </c>
      <c r="E53" s="8">
        <v>0.36653655767440796</v>
      </c>
      <c r="F53" s="8">
        <v>1876232.3605060577</v>
      </c>
      <c r="G53" s="8">
        <v>12388571</v>
      </c>
      <c r="H53" s="8">
        <v>2022</v>
      </c>
      <c r="I53" t="s">
        <v>1049</v>
      </c>
    </row>
    <row r="54" spans="1:11">
      <c r="A54" t="s">
        <v>17</v>
      </c>
      <c r="B54" s="8">
        <v>2022</v>
      </c>
      <c r="C54" s="8">
        <v>169840.16617012024</v>
      </c>
      <c r="D54" s="8">
        <v>238514.39378738403</v>
      </c>
      <c r="E54" s="8">
        <v>6.5621123649179935E-3</v>
      </c>
      <c r="F54" s="8">
        <v>529993.77425003052</v>
      </c>
      <c r="G54" s="8">
        <v>216422446</v>
      </c>
      <c r="H54" s="8">
        <v>2022</v>
      </c>
      <c r="I54" t="s">
        <v>1049</v>
      </c>
    </row>
    <row r="55" spans="1:11">
      <c r="A55" t="s">
        <v>21</v>
      </c>
      <c r="B55" s="8">
        <v>2022</v>
      </c>
      <c r="C55" s="8">
        <v>110139</v>
      </c>
      <c r="D55" s="8">
        <v>224162</v>
      </c>
      <c r="E55" s="8">
        <v>0.15128172934055328</v>
      </c>
      <c r="F55" s="8">
        <v>1675306</v>
      </c>
      <c r="G55" s="8">
        <v>19629590</v>
      </c>
      <c r="H55" s="8">
        <v>2022</v>
      </c>
      <c r="I55" t="s">
        <v>1049</v>
      </c>
    </row>
    <row r="56" spans="1:11">
      <c r="A56" t="s">
        <v>23</v>
      </c>
      <c r="B56" s="8">
        <v>2022</v>
      </c>
      <c r="C56" s="8">
        <v>1105072.0432462692</v>
      </c>
      <c r="D56" s="8">
        <v>535656.20746803284</v>
      </c>
      <c r="E56" s="8">
        <v>7.9977311193943024E-2</v>
      </c>
      <c r="F56" s="8">
        <v>570845.9740562439</v>
      </c>
      <c r="G56" s="8">
        <v>52085168</v>
      </c>
      <c r="H56" s="8">
        <v>2022</v>
      </c>
      <c r="I56" t="s">
        <v>1049</v>
      </c>
    </row>
    <row r="57" spans="1:11">
      <c r="A57" t="s">
        <v>29</v>
      </c>
      <c r="B57" s="8">
        <v>2023</v>
      </c>
      <c r="C57" s="8">
        <v>1071509.4584884644</v>
      </c>
      <c r="D57" s="8">
        <v>410477.97107696533</v>
      </c>
      <c r="E57" s="8">
        <v>0.22311089932918549</v>
      </c>
      <c r="F57" s="8">
        <v>694865.24517059326</v>
      </c>
      <c r="G57" s="8">
        <v>18190484</v>
      </c>
      <c r="H57" s="8">
        <v>2023</v>
      </c>
      <c r="I57" t="s">
        <v>1049</v>
      </c>
      <c r="J57">
        <f>D57/SUM(C57:E57)</f>
        <v>0.27697799663558675</v>
      </c>
      <c r="K57">
        <f>E57/SUM(C57:E57)</f>
        <v>1.5054841983755289E-7</v>
      </c>
    </row>
    <row r="58" spans="1:11">
      <c r="A58" t="s">
        <v>31</v>
      </c>
      <c r="B58" s="8">
        <v>2022</v>
      </c>
      <c r="C58" s="8">
        <v>2788560</v>
      </c>
      <c r="D58" s="8">
        <v>1408609</v>
      </c>
      <c r="E58" s="8">
        <v>0.45719048380851746</v>
      </c>
      <c r="F58" s="8">
        <v>2061223</v>
      </c>
      <c r="G58" s="8">
        <v>18092026</v>
      </c>
      <c r="H58" s="8">
        <v>2022</v>
      </c>
      <c r="I58" t="s">
        <v>1049</v>
      </c>
    </row>
    <row r="59" spans="1:11">
      <c r="A59" t="s">
        <v>34</v>
      </c>
      <c r="B59" s="8">
        <v>2023</v>
      </c>
      <c r="C59" s="8">
        <v>6230.3423156738281</v>
      </c>
      <c r="D59" s="8">
        <v>20019.588256835938</v>
      </c>
      <c r="E59" s="8">
        <v>4.6195574104785919E-3</v>
      </c>
      <c r="F59" s="8">
        <v>15513.087493896484</v>
      </c>
      <c r="G59" s="8">
        <v>10593798</v>
      </c>
      <c r="H59" s="8">
        <v>2023</v>
      </c>
      <c r="I59" t="s">
        <v>1049</v>
      </c>
    </row>
    <row r="60" spans="1:11">
      <c r="A60" t="s">
        <v>38</v>
      </c>
      <c r="B60" s="8">
        <v>2022</v>
      </c>
      <c r="C60" s="8">
        <v>6217403</v>
      </c>
      <c r="D60" s="8">
        <v>9290586</v>
      </c>
      <c r="E60" s="8">
        <v>0.39569145441055298</v>
      </c>
      <c r="F60" s="8">
        <v>18887362</v>
      </c>
      <c r="G60" s="8">
        <v>128455567</v>
      </c>
      <c r="H60" s="8">
        <v>2022</v>
      </c>
      <c r="I60" t="s">
        <v>1049</v>
      </c>
    </row>
    <row r="61" spans="1:11">
      <c r="A61" t="s">
        <v>42</v>
      </c>
      <c r="B61" s="8">
        <v>2022</v>
      </c>
      <c r="C61" s="8">
        <v>223455</v>
      </c>
      <c r="D61" s="8">
        <v>133138</v>
      </c>
      <c r="E61" s="8">
        <v>0.41482681035995483</v>
      </c>
      <c r="F61" s="8">
        <v>255982</v>
      </c>
      <c r="G61" s="8">
        <v>4468087</v>
      </c>
      <c r="H61" s="8">
        <v>2022</v>
      </c>
      <c r="I61" t="s">
        <v>1049</v>
      </c>
    </row>
    <row r="62" spans="1:11">
      <c r="A62" t="s">
        <v>44</v>
      </c>
      <c r="B62" s="8">
        <v>2022</v>
      </c>
      <c r="C62" s="8">
        <v>1124152.726246357</v>
      </c>
      <c r="D62" s="8">
        <v>1954842.9590808153</v>
      </c>
      <c r="E62" s="8">
        <v>0.3729882538318634</v>
      </c>
      <c r="F62" s="8">
        <v>3960269.2194355726</v>
      </c>
      <c r="G62" s="8">
        <v>34352719</v>
      </c>
      <c r="H62" s="8">
        <v>2022</v>
      </c>
      <c r="I62" t="s">
        <v>1049</v>
      </c>
    </row>
    <row r="63" spans="1:11">
      <c r="A63" t="s">
        <v>50</v>
      </c>
      <c r="B63" s="8">
        <v>2022</v>
      </c>
      <c r="C63" s="8">
        <v>2555</v>
      </c>
      <c r="D63" s="8">
        <v>4105</v>
      </c>
      <c r="E63" s="8">
        <v>1.3115141540765762E-2</v>
      </c>
      <c r="F63" s="8">
        <v>40474</v>
      </c>
      <c r="G63" s="8">
        <v>3423109</v>
      </c>
      <c r="H63" s="8">
        <v>2022</v>
      </c>
      <c r="I63" t="s">
        <v>1049</v>
      </c>
    </row>
    <row r="64" spans="1:11">
      <c r="A64" t="s">
        <v>10</v>
      </c>
      <c r="B64" s="8">
        <v>2022</v>
      </c>
      <c r="C64" s="8">
        <v>97748</v>
      </c>
      <c r="D64" s="8">
        <v>145469</v>
      </c>
      <c r="E64" s="8">
        <v>4.5205462723970413E-2</v>
      </c>
      <c r="F64" s="8">
        <v>1030569</v>
      </c>
      <c r="G64" s="8">
        <v>45773884</v>
      </c>
      <c r="H64" s="8">
        <v>2022</v>
      </c>
      <c r="I64" t="s">
        <v>1047</v>
      </c>
    </row>
    <row r="65" spans="1:9">
      <c r="A65" t="s">
        <v>15</v>
      </c>
      <c r="B65" s="8">
        <v>2022</v>
      </c>
      <c r="C65" s="8">
        <v>0</v>
      </c>
      <c r="D65" s="8">
        <v>1128.1672973632813</v>
      </c>
      <c r="E65" s="8">
        <v>4.3185747927054763E-4</v>
      </c>
      <c r="F65" s="8">
        <v>19687.284881591797</v>
      </c>
      <c r="G65" s="8">
        <v>12388571</v>
      </c>
      <c r="H65" s="8">
        <v>2022</v>
      </c>
      <c r="I65" t="s">
        <v>1047</v>
      </c>
    </row>
    <row r="66" spans="1:9">
      <c r="A66" t="s">
        <v>21</v>
      </c>
      <c r="B66" s="8">
        <v>2022</v>
      </c>
      <c r="C66" s="8">
        <v>33854</v>
      </c>
      <c r="D66" s="8">
        <v>121722</v>
      </c>
      <c r="E66" s="8">
        <v>7.0403039455413818E-2</v>
      </c>
      <c r="F66" s="8">
        <v>1559947</v>
      </c>
      <c r="G66" s="8">
        <v>19629590</v>
      </c>
      <c r="H66" s="8">
        <v>2022</v>
      </c>
      <c r="I66" t="s">
        <v>1047</v>
      </c>
    </row>
    <row r="67" spans="1:9">
      <c r="A67" t="s">
        <v>23</v>
      </c>
      <c r="B67" s="8">
        <v>2022</v>
      </c>
      <c r="C67" s="8">
        <v>509727.44450187683</v>
      </c>
      <c r="D67" s="8">
        <v>744030.3501086235</v>
      </c>
      <c r="E67" s="8">
        <v>1</v>
      </c>
      <c r="F67" s="8">
        <v>1199493.9646625519</v>
      </c>
      <c r="G67" s="8">
        <v>52085168</v>
      </c>
      <c r="H67" s="8">
        <v>2022</v>
      </c>
      <c r="I67" t="s">
        <v>1047</v>
      </c>
    </row>
    <row r="68" spans="1:9">
      <c r="A68" t="s">
        <v>25</v>
      </c>
      <c r="B68" s="8">
        <v>2023</v>
      </c>
      <c r="C68" s="8">
        <v>39576</v>
      </c>
      <c r="D68" s="8">
        <v>76595</v>
      </c>
      <c r="E68" s="8">
        <v>0.10604149103164673</v>
      </c>
      <c r="F68" s="8">
        <v>352645</v>
      </c>
      <c r="G68" s="8">
        <v>5212173</v>
      </c>
      <c r="H68" s="8">
        <v>2023</v>
      </c>
      <c r="I68" t="s">
        <v>1047</v>
      </c>
    </row>
    <row r="69" spans="1:9">
      <c r="A69" t="s">
        <v>27</v>
      </c>
      <c r="B69" s="8">
        <v>2022</v>
      </c>
      <c r="C69" s="8">
        <v>57573.896209716797</v>
      </c>
      <c r="D69" s="8">
        <v>117508.45054626465</v>
      </c>
      <c r="E69" s="8">
        <v>5.6641168892383575E-2</v>
      </c>
      <c r="F69" s="8">
        <v>328237.86056518555</v>
      </c>
      <c r="G69" s="8">
        <v>11332973</v>
      </c>
      <c r="H69" s="8">
        <v>2022</v>
      </c>
      <c r="I69" t="s">
        <v>1047</v>
      </c>
    </row>
    <row r="70" spans="1:9">
      <c r="A70" t="s">
        <v>29</v>
      </c>
      <c r="B70" s="8">
        <v>2023</v>
      </c>
      <c r="C70" s="8">
        <v>18833.847702026367</v>
      </c>
      <c r="D70" s="8">
        <v>82231.969921112061</v>
      </c>
      <c r="E70" s="8">
        <v>1.3578814454376698E-2</v>
      </c>
      <c r="F70" s="8">
        <v>197359.96338558197</v>
      </c>
      <c r="G70" s="8">
        <v>18190484</v>
      </c>
      <c r="H70" s="8">
        <v>2023</v>
      </c>
      <c r="I70" t="s">
        <v>1047</v>
      </c>
    </row>
    <row r="71" spans="1:9">
      <c r="A71" t="s">
        <v>33</v>
      </c>
      <c r="B71" s="8">
        <v>2021</v>
      </c>
      <c r="C71" s="8">
        <v>1932.4616279602051</v>
      </c>
      <c r="D71" s="8">
        <v>1728.2336349487305</v>
      </c>
      <c r="E71" s="8">
        <v>1.0614869184792042E-2</v>
      </c>
      <c r="F71" s="8">
        <v>3482.0026721954346</v>
      </c>
      <c r="G71" s="8">
        <v>813834</v>
      </c>
      <c r="H71" s="8">
        <v>2021</v>
      </c>
      <c r="I71" t="s">
        <v>1047</v>
      </c>
    </row>
    <row r="72" spans="1:9">
      <c r="A72" t="s">
        <v>42</v>
      </c>
      <c r="B72" s="8">
        <v>2022</v>
      </c>
      <c r="C72" s="8">
        <v>4360</v>
      </c>
      <c r="D72" s="8">
        <v>5710</v>
      </c>
      <c r="E72" s="8">
        <v>1.1714491993188858E-2</v>
      </c>
      <c r="F72" s="8">
        <v>162215</v>
      </c>
      <c r="G72" s="8">
        <v>4468087</v>
      </c>
      <c r="H72" s="8">
        <v>2022</v>
      </c>
      <c r="I72" t="s">
        <v>1047</v>
      </c>
    </row>
    <row r="73" spans="1:9">
      <c r="A73" t="s">
        <v>44</v>
      </c>
      <c r="B73" s="8">
        <v>2022</v>
      </c>
      <c r="C73" s="8">
        <v>9133.5053269863129</v>
      </c>
      <c r="D73" s="8">
        <v>53583.131859779358</v>
      </c>
      <c r="E73" s="8">
        <v>5.0166458822786808E-3</v>
      </c>
      <c r="F73" s="8">
        <v>222560.67105853558</v>
      </c>
      <c r="G73" s="8">
        <v>34352719</v>
      </c>
      <c r="H73" s="8">
        <v>2022</v>
      </c>
      <c r="I73" t="s">
        <v>1047</v>
      </c>
    </row>
    <row r="74" spans="1:9">
      <c r="A74" t="s">
        <v>45</v>
      </c>
      <c r="B74" s="8">
        <v>2022</v>
      </c>
      <c r="C74" s="8">
        <v>19624</v>
      </c>
      <c r="D74" s="8">
        <v>37315</v>
      </c>
      <c r="E74" s="8">
        <v>2.4756366387009621E-2</v>
      </c>
      <c r="F74" s="8">
        <v>154700</v>
      </c>
      <c r="G74" s="8">
        <v>6861524</v>
      </c>
      <c r="H74" s="8">
        <v>2022</v>
      </c>
      <c r="I74" t="s">
        <v>1047</v>
      </c>
    </row>
    <row r="75" spans="1:9">
      <c r="A75" t="s">
        <v>51</v>
      </c>
      <c r="B75" s="8">
        <v>2021</v>
      </c>
      <c r="C75" s="8">
        <v>125645.84001922607</v>
      </c>
      <c r="D75" s="8">
        <v>46623.515312194824</v>
      </c>
      <c r="E75" s="8">
        <v>8.6709735915064812E-3</v>
      </c>
      <c r="F75" s="8">
        <v>140156.09610366821</v>
      </c>
      <c r="G75" s="8">
        <v>28838499</v>
      </c>
      <c r="H75" s="8">
        <v>2021</v>
      </c>
      <c r="I75" t="s">
        <v>1047</v>
      </c>
    </row>
    <row r="76" spans="1:9">
      <c r="A76" t="s">
        <v>10</v>
      </c>
      <c r="B76" s="8">
        <v>2022</v>
      </c>
      <c r="C76" s="8">
        <v>1083579</v>
      </c>
      <c r="D76" s="8">
        <v>1748243</v>
      </c>
      <c r="E76" s="8">
        <v>0.52602893114089966</v>
      </c>
      <c r="F76" s="8">
        <v>10356377</v>
      </c>
      <c r="G76" s="8">
        <v>45773884</v>
      </c>
      <c r="H76" s="8">
        <v>2022</v>
      </c>
      <c r="I76" t="s">
        <v>1046</v>
      </c>
    </row>
    <row r="77" spans="1:9">
      <c r="A77" t="s">
        <v>15</v>
      </c>
      <c r="B77" s="8">
        <v>2022</v>
      </c>
      <c r="C77" s="8">
        <v>573766.6974697113</v>
      </c>
      <c r="D77" s="8">
        <v>771394.89332962036</v>
      </c>
      <c r="E77" s="8">
        <v>0.51492190361022949</v>
      </c>
      <c r="F77" s="8">
        <v>4758877.2344017029</v>
      </c>
      <c r="G77" s="8">
        <v>12388571</v>
      </c>
      <c r="H77" s="8">
        <v>2022</v>
      </c>
      <c r="I77" t="s">
        <v>1046</v>
      </c>
    </row>
    <row r="78" spans="1:9">
      <c r="A78" t="s">
        <v>17</v>
      </c>
      <c r="B78" s="8">
        <v>2022</v>
      </c>
      <c r="C78" s="8">
        <v>12071594.552636147</v>
      </c>
      <c r="D78" s="8">
        <v>20567646.824250221</v>
      </c>
      <c r="E78" s="8">
        <v>0.52436023950576782</v>
      </c>
      <c r="F78" s="8">
        <v>75532462.843449593</v>
      </c>
      <c r="G78" s="8">
        <v>216422446</v>
      </c>
      <c r="H78" s="8">
        <v>2022</v>
      </c>
      <c r="I78" t="s">
        <v>1046</v>
      </c>
    </row>
    <row r="79" spans="1:9">
      <c r="A79" t="s">
        <v>21</v>
      </c>
      <c r="B79" s="8">
        <v>2022</v>
      </c>
      <c r="C79" s="8">
        <v>343791</v>
      </c>
      <c r="D79" s="8">
        <v>865048</v>
      </c>
      <c r="E79" s="8">
        <v>0.54703772068023682</v>
      </c>
      <c r="F79" s="8">
        <v>8782548</v>
      </c>
      <c r="G79" s="8">
        <v>19629590</v>
      </c>
      <c r="H79" s="8">
        <v>2022</v>
      </c>
      <c r="I79" t="s">
        <v>1046</v>
      </c>
    </row>
    <row r="80" spans="1:9">
      <c r="A80" t="s">
        <v>23</v>
      </c>
      <c r="B80" s="8">
        <v>2022</v>
      </c>
      <c r="C80" s="8">
        <v>5130846.5663638115</v>
      </c>
      <c r="D80" s="8">
        <v>5566397.5380330086</v>
      </c>
      <c r="E80" s="8">
        <v>0.52143722772598267</v>
      </c>
      <c r="F80" s="8">
        <v>14825964.873521805</v>
      </c>
      <c r="G80" s="8">
        <v>52085168</v>
      </c>
      <c r="H80" s="8">
        <v>2022</v>
      </c>
      <c r="I80" t="s">
        <v>1046</v>
      </c>
    </row>
    <row r="81" spans="1:9">
      <c r="A81" t="s">
        <v>25</v>
      </c>
      <c r="B81" s="8">
        <v>2023</v>
      </c>
      <c r="C81" s="8">
        <v>197273</v>
      </c>
      <c r="D81" s="8">
        <v>401100</v>
      </c>
      <c r="E81" s="8">
        <v>0.54619801044464111</v>
      </c>
      <c r="F81" s="8">
        <v>2161830</v>
      </c>
      <c r="G81" s="8">
        <v>5212173</v>
      </c>
      <c r="H81" s="8">
        <v>2023</v>
      </c>
      <c r="I81" t="s">
        <v>1046</v>
      </c>
    </row>
    <row r="82" spans="1:9">
      <c r="A82" t="s">
        <v>27</v>
      </c>
      <c r="B82" s="8">
        <v>2022</v>
      </c>
      <c r="C82" s="8">
        <v>505136.21423339844</v>
      </c>
      <c r="D82" s="8">
        <v>1180126.9654388428</v>
      </c>
      <c r="E82" s="8">
        <v>0.54520219564437866</v>
      </c>
      <c r="F82" s="8">
        <v>3778442.9301452637</v>
      </c>
      <c r="G82" s="8">
        <v>11332973</v>
      </c>
      <c r="H82" s="8">
        <v>2022</v>
      </c>
      <c r="I82" t="s">
        <v>1046</v>
      </c>
    </row>
    <row r="83" spans="1:9">
      <c r="A83" t="s">
        <v>29</v>
      </c>
      <c r="B83" s="8">
        <v>2023</v>
      </c>
      <c r="C83" s="8">
        <v>1475294.7051506042</v>
      </c>
      <c r="D83" s="8">
        <v>2359771.3899745941</v>
      </c>
      <c r="E83" s="8">
        <v>0.51526474952697754</v>
      </c>
      <c r="F83" s="8">
        <v>5577268.4234695435</v>
      </c>
      <c r="G83" s="8">
        <v>18190484</v>
      </c>
      <c r="H83" s="8">
        <v>2023</v>
      </c>
      <c r="I83" t="s">
        <v>1046</v>
      </c>
    </row>
    <row r="84" spans="1:9">
      <c r="A84" t="s">
        <v>31</v>
      </c>
      <c r="B84" s="8">
        <v>2022</v>
      </c>
      <c r="C84" s="8">
        <v>2897128</v>
      </c>
      <c r="D84" s="8">
        <v>2063569</v>
      </c>
      <c r="E84" s="8">
        <v>0.53921210765838623</v>
      </c>
      <c r="F84" s="8">
        <v>3804926</v>
      </c>
      <c r="G84" s="8">
        <v>18092026</v>
      </c>
      <c r="H84" s="8">
        <v>2022</v>
      </c>
      <c r="I84" t="s">
        <v>1046</v>
      </c>
    </row>
    <row r="85" spans="1:9">
      <c r="A85" t="s">
        <v>33</v>
      </c>
      <c r="B85" s="8">
        <v>2021</v>
      </c>
      <c r="C85" s="8">
        <v>105084.12001609802</v>
      </c>
      <c r="D85" s="8">
        <v>85262.909788131714</v>
      </c>
      <c r="E85" s="8">
        <v>0.52585387229919434</v>
      </c>
      <c r="F85" s="8">
        <v>132973.11543655396</v>
      </c>
      <c r="G85" s="8">
        <v>813834</v>
      </c>
      <c r="H85" s="8">
        <v>2021</v>
      </c>
      <c r="I85" t="s">
        <v>1046</v>
      </c>
    </row>
    <row r="86" spans="1:9">
      <c r="A86" t="s">
        <v>34</v>
      </c>
      <c r="B86" s="8">
        <v>2023</v>
      </c>
      <c r="C86" s="8">
        <v>1799161.1537017822</v>
      </c>
      <c r="D86" s="8">
        <v>1217419.5681610107</v>
      </c>
      <c r="E86" s="8">
        <v>0.5308687686920166</v>
      </c>
      <c r="F86" s="8">
        <v>1950533.7782592773</v>
      </c>
      <c r="G86" s="8">
        <v>10593798</v>
      </c>
      <c r="H86" s="8">
        <v>2023</v>
      </c>
      <c r="I86" t="s">
        <v>1046</v>
      </c>
    </row>
    <row r="87" spans="1:9">
      <c r="A87" t="s">
        <v>38</v>
      </c>
      <c r="B87" s="8">
        <v>2022</v>
      </c>
      <c r="C87" s="8">
        <v>7044126</v>
      </c>
      <c r="D87" s="8">
        <v>14906730</v>
      </c>
      <c r="E87" s="8">
        <v>0.5326530933380127</v>
      </c>
      <c r="F87" s="8">
        <v>45174301</v>
      </c>
      <c r="G87" s="8">
        <v>128455567</v>
      </c>
      <c r="H87" s="8">
        <v>2022</v>
      </c>
      <c r="I87" t="s">
        <v>1046</v>
      </c>
    </row>
    <row r="88" spans="1:9">
      <c r="A88" t="s">
        <v>42</v>
      </c>
      <c r="B88" s="8">
        <v>2022</v>
      </c>
      <c r="C88" s="8">
        <v>204640</v>
      </c>
      <c r="D88" s="8">
        <v>242674</v>
      </c>
      <c r="E88" s="8">
        <v>0.52036309242248535</v>
      </c>
      <c r="F88" s="8">
        <v>1814771</v>
      </c>
      <c r="G88" s="8">
        <v>4468087</v>
      </c>
      <c r="H88" s="8">
        <v>2022</v>
      </c>
      <c r="I88" t="s">
        <v>1046</v>
      </c>
    </row>
    <row r="89" spans="1:9">
      <c r="A89" t="s">
        <v>44</v>
      </c>
      <c r="B89" s="8">
        <v>2022</v>
      </c>
      <c r="C89" s="8">
        <v>2269603.0132535696</v>
      </c>
      <c r="D89" s="8">
        <v>4661043.259976387</v>
      </c>
      <c r="E89" s="8">
        <v>0.52880728244781494</v>
      </c>
      <c r="F89" s="8">
        <v>11002783.691085696</v>
      </c>
      <c r="G89" s="8">
        <v>34352719</v>
      </c>
      <c r="H89" s="8">
        <v>2022</v>
      </c>
      <c r="I89" t="s">
        <v>1046</v>
      </c>
    </row>
    <row r="90" spans="1:9">
      <c r="A90" t="s">
        <v>45</v>
      </c>
      <c r="B90" s="8">
        <v>2022</v>
      </c>
      <c r="C90" s="8">
        <v>474951</v>
      </c>
      <c r="D90" s="8">
        <v>707306</v>
      </c>
      <c r="E90" s="8">
        <v>0.51373732089996338</v>
      </c>
      <c r="F90" s="8">
        <v>2469635</v>
      </c>
      <c r="G90" s="8">
        <v>6861524</v>
      </c>
      <c r="H90" s="8">
        <v>2022</v>
      </c>
      <c r="I90" t="s">
        <v>1046</v>
      </c>
    </row>
    <row r="91" spans="1:9">
      <c r="A91" t="s">
        <v>46</v>
      </c>
      <c r="B91" s="8">
        <v>2023</v>
      </c>
      <c r="C91" s="8">
        <v>509443.85450839996</v>
      </c>
      <c r="D91" s="8">
        <v>753603.31658267975</v>
      </c>
      <c r="E91" s="8">
        <v>0.54745417833328247</v>
      </c>
      <c r="F91" s="8">
        <v>1911347.2375965118</v>
      </c>
      <c r="G91" s="8">
        <v>6364943</v>
      </c>
      <c r="H91" s="8">
        <v>2023</v>
      </c>
      <c r="I91" t="s">
        <v>1046</v>
      </c>
    </row>
    <row r="92" spans="1:9">
      <c r="A92" t="s">
        <v>50</v>
      </c>
      <c r="B92" s="8">
        <v>2022</v>
      </c>
      <c r="C92" s="8">
        <v>76463</v>
      </c>
      <c r="D92" s="8">
        <v>195113</v>
      </c>
      <c r="E92" s="8">
        <v>0.53479844331741333</v>
      </c>
      <c r="F92" s="8">
        <v>1554942</v>
      </c>
      <c r="G92" s="8">
        <v>3423109</v>
      </c>
      <c r="H92" s="8">
        <v>2022</v>
      </c>
      <c r="I92" t="s">
        <v>1046</v>
      </c>
    </row>
    <row r="93" spans="1:9">
      <c r="A93" t="s">
        <v>51</v>
      </c>
      <c r="B93" s="8">
        <v>2021</v>
      </c>
      <c r="C93" s="8">
        <v>7842580.632232666</v>
      </c>
      <c r="D93" s="8">
        <v>2441419.1790046692</v>
      </c>
      <c r="E93" s="8">
        <v>0.51763290166854858</v>
      </c>
      <c r="F93" s="8">
        <v>3941802.0591087341</v>
      </c>
      <c r="G93" s="8">
        <v>28838499</v>
      </c>
      <c r="H93" s="8">
        <v>2021</v>
      </c>
      <c r="I93" t="s">
        <v>1046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ACD45-99DA-4CEA-A852-3F6E63415CB7}">
  <sheetPr>
    <tabColor rgb="FF002060"/>
  </sheetPr>
  <dimension ref="A1:AQ158"/>
  <sheetViews>
    <sheetView showGridLines="0" topLeftCell="N1" zoomScale="70" zoomScaleNormal="70" workbookViewId="0">
      <selection activeCell="AD2" sqref="AD2"/>
    </sheetView>
  </sheetViews>
  <sheetFormatPr defaultRowHeight="14.5"/>
  <cols>
    <col min="1" max="1" width="8.7265625" customWidth="1"/>
    <col min="3" max="3" width="8.7265625" style="13"/>
    <col min="4" max="4" width="11.81640625" style="13" customWidth="1"/>
    <col min="5" max="5" width="8.7265625" style="13"/>
    <col min="6" max="6" width="10.81640625" style="13" customWidth="1"/>
    <col min="7" max="7" width="13.1796875" customWidth="1"/>
    <col min="10" max="10" width="9.81640625" customWidth="1"/>
    <col min="11" max="14" width="6.453125" style="115" customWidth="1"/>
    <col min="17" max="17" width="15.81640625" customWidth="1"/>
    <col min="18" max="18" width="11.453125" bestFit="1" customWidth="1"/>
    <col min="36" max="36" width="13.453125" customWidth="1"/>
    <col min="37" max="37" width="11.81640625" style="26" customWidth="1"/>
    <col min="38" max="41" width="11.81640625" style="8" customWidth="1"/>
  </cols>
  <sheetData>
    <row r="1" spans="1:43">
      <c r="A1" t="s">
        <v>995</v>
      </c>
      <c r="B1" s="8" t="s">
        <v>996</v>
      </c>
      <c r="C1" s="13" t="s">
        <v>1001</v>
      </c>
      <c r="D1" s="13" t="s">
        <v>1002</v>
      </c>
      <c r="E1" s="13" t="s">
        <v>1148</v>
      </c>
      <c r="F1" s="13" t="s">
        <v>1053</v>
      </c>
      <c r="G1" s="8" t="s">
        <v>1005</v>
      </c>
      <c r="H1" s="8" t="s">
        <v>1054</v>
      </c>
      <c r="I1" t="s">
        <v>1055</v>
      </c>
      <c r="J1" s="81" t="s">
        <v>1056</v>
      </c>
      <c r="K1" s="81" t="s">
        <v>1001</v>
      </c>
      <c r="L1" s="81" t="s">
        <v>1002</v>
      </c>
      <c r="M1" s="81" t="s">
        <v>1148</v>
      </c>
      <c r="N1" s="81" t="s">
        <v>1053</v>
      </c>
      <c r="P1" s="76"/>
      <c r="R1" s="114"/>
    </row>
    <row r="2" spans="1:43">
      <c r="A2" t="s">
        <v>15</v>
      </c>
      <c r="B2" s="8">
        <v>2022</v>
      </c>
      <c r="C2" s="8">
        <v>0</v>
      </c>
      <c r="D2" s="8">
        <v>0</v>
      </c>
      <c r="E2" s="8">
        <v>0</v>
      </c>
      <c r="F2" s="8">
        <v>3.9927244186401367E-2</v>
      </c>
      <c r="G2" s="8">
        <v>12388571</v>
      </c>
      <c r="H2" s="8">
        <v>2022</v>
      </c>
      <c r="I2" t="s">
        <v>1048</v>
      </c>
      <c r="J2" s="81">
        <f>IFERROR(SUMIF(I:I,I2,G:G),"")</f>
        <v>370016408</v>
      </c>
      <c r="K2" s="116">
        <f>IFERROR($G2/$J2*C2,"")</f>
        <v>0</v>
      </c>
      <c r="L2" s="116">
        <f t="shared" ref="K2:L33" si="0">IFERROR($G2/$J2*D2,"")</f>
        <v>0</v>
      </c>
      <c r="M2" s="116">
        <f>IFERROR($G2/$J2*E2,"")</f>
        <v>0</v>
      </c>
      <c r="N2" s="116">
        <f t="shared" ref="N2" si="1">IFERROR($G2/$J2*F2,"")</f>
        <v>1.3368096353110119E-3</v>
      </c>
      <c r="P2" s="76" t="s">
        <v>1151</v>
      </c>
      <c r="AP2" s="8"/>
    </row>
    <row r="3" spans="1:43" ht="15" thickBot="1">
      <c r="A3" t="s">
        <v>17</v>
      </c>
      <c r="B3" s="8">
        <v>2022</v>
      </c>
      <c r="C3" s="8">
        <v>76.0184326171875</v>
      </c>
      <c r="D3" s="8">
        <v>67.681694030761719</v>
      </c>
      <c r="E3" s="8">
        <v>70.759140014648438</v>
      </c>
      <c r="F3" s="8">
        <v>49.661224365234375</v>
      </c>
      <c r="G3" s="8">
        <v>216422446</v>
      </c>
      <c r="H3" s="8">
        <v>2022</v>
      </c>
      <c r="I3" t="s">
        <v>1048</v>
      </c>
      <c r="J3" s="81">
        <f t="shared" ref="J3:J60" si="2">SUMIF(I:I,I3,G:G)</f>
        <v>370016408</v>
      </c>
      <c r="K3" s="116">
        <f t="shared" si="0"/>
        <v>44.463150207376486</v>
      </c>
      <c r="L3" s="116">
        <f t="shared" si="0"/>
        <v>39.586995211198989</v>
      </c>
      <c r="M3" s="116">
        <f t="shared" ref="M3:M60" si="3">IFERROR($G3/$J3*E3,"")</f>
        <v>41.386992110973338</v>
      </c>
      <c r="N3" s="116">
        <f t="shared" ref="N3:N60" si="4">IFERROR($G3/$J3*F3,"")</f>
        <v>29.046829859714819</v>
      </c>
      <c r="P3" s="117"/>
      <c r="Q3" s="117"/>
      <c r="R3" s="118" t="s">
        <v>1057</v>
      </c>
      <c r="S3" s="118" t="s">
        <v>1023</v>
      </c>
      <c r="T3" s="118" t="s">
        <v>1058</v>
      </c>
      <c r="U3" s="118" t="s">
        <v>1148</v>
      </c>
      <c r="AJ3" s="212" t="s">
        <v>1154</v>
      </c>
      <c r="AK3" s="219"/>
      <c r="AL3" s="85"/>
      <c r="AM3" s="85"/>
      <c r="AN3" s="85"/>
      <c r="AO3" s="85"/>
    </row>
    <row r="4" spans="1:43" ht="15" thickTop="1">
      <c r="A4" t="s">
        <v>23</v>
      </c>
      <c r="B4" s="8">
        <v>2022</v>
      </c>
      <c r="C4" s="8">
        <v>12.889556884765625</v>
      </c>
      <c r="D4" s="8">
        <v>10.223550796508789</v>
      </c>
      <c r="E4" s="8">
        <v>11.485511779785156</v>
      </c>
      <c r="F4" s="8">
        <v>5.9236969947814941</v>
      </c>
      <c r="G4" s="8">
        <v>52085168</v>
      </c>
      <c r="H4" s="8">
        <v>2022</v>
      </c>
      <c r="I4" t="s">
        <v>1048</v>
      </c>
      <c r="J4" s="81">
        <f t="shared" si="2"/>
        <v>370016408</v>
      </c>
      <c r="K4" s="116">
        <f t="shared" si="0"/>
        <v>1.8143917979674411</v>
      </c>
      <c r="L4" s="116">
        <f t="shared" si="0"/>
        <v>1.4391128319712083</v>
      </c>
      <c r="M4" s="116">
        <f t="shared" si="3"/>
        <v>1.6167521160739684</v>
      </c>
      <c r="N4" s="116">
        <f t="shared" si="4"/>
        <v>0.83384613893740966</v>
      </c>
      <c r="P4" s="118" t="s">
        <v>1048</v>
      </c>
      <c r="Q4" s="118" t="s">
        <v>1154</v>
      </c>
      <c r="R4" s="7557">
        <f>SUMIF($I:$I,$P4,K:K)</f>
        <v>48.194125785265364</v>
      </c>
      <c r="S4" s="7557">
        <f>SUMIF($I:$I,$P4,L:L)</f>
        <v>42.800188951129392</v>
      </c>
      <c r="T4" s="7557">
        <f>SUMIF($I:$I,$P4,M:M)</f>
        <v>44.856708400153096</v>
      </c>
      <c r="U4" s="7557">
        <f t="shared" ref="T4:U10" si="5">SUMIF($I:$I,$P4,N:N)</f>
        <v>31.302223410059888</v>
      </c>
      <c r="AJ4" s="213" t="s">
        <v>904</v>
      </c>
      <c r="AK4" s="216" t="s">
        <v>938</v>
      </c>
      <c r="AL4" s="2650" t="s">
        <v>1141</v>
      </c>
      <c r="AM4" s="2650" t="s">
        <v>1142</v>
      </c>
      <c r="AN4" s="2650" t="s">
        <v>1152</v>
      </c>
      <c r="AO4" s="2650" t="s">
        <v>1102</v>
      </c>
    </row>
    <row r="5" spans="1:43">
      <c r="A5" t="s">
        <v>29</v>
      </c>
      <c r="B5" s="8">
        <v>2023</v>
      </c>
      <c r="C5" s="8">
        <v>5.1416878700256348</v>
      </c>
      <c r="D5" s="8">
        <v>4.5376768112182617</v>
      </c>
      <c r="E5" s="8">
        <v>4.7713308334350586</v>
      </c>
      <c r="F5" s="8">
        <v>2.1280224323272705</v>
      </c>
      <c r="G5" s="8">
        <v>18190484</v>
      </c>
      <c r="H5" s="8">
        <v>2023</v>
      </c>
      <c r="I5" t="s">
        <v>1048</v>
      </c>
      <c r="J5" s="81">
        <f t="shared" si="2"/>
        <v>370016408</v>
      </c>
      <c r="K5" s="116">
        <f t="shared" si="0"/>
        <v>0.25277200932315247</v>
      </c>
      <c r="L5" s="116">
        <f t="shared" si="0"/>
        <v>0.22307804639743653</v>
      </c>
      <c r="M5" s="116">
        <f t="shared" si="3"/>
        <v>0.2345647795821722</v>
      </c>
      <c r="N5" s="116">
        <f t="shared" si="4"/>
        <v>0.10461632827615119</v>
      </c>
      <c r="P5" s="118" t="s">
        <v>1049</v>
      </c>
      <c r="Q5" s="118" t="s">
        <v>1059</v>
      </c>
      <c r="R5" s="7557">
        <f t="shared" ref="R5:R10" si="6">SUMIF($I:$I,$P5,K:K)</f>
        <v>22.209165085907014</v>
      </c>
      <c r="S5" s="7557">
        <f t="shared" ref="S5:S10" si="7">SUMIF($I:$I,$P5,L:L)</f>
        <v>14.832204461783819</v>
      </c>
      <c r="T5" s="7557">
        <f t="shared" si="5"/>
        <v>17.567120386098868</v>
      </c>
      <c r="U5" s="7557">
        <f t="shared" si="5"/>
        <v>9.5404315227076584</v>
      </c>
      <c r="AJ5" t="str">
        <f>A3</f>
        <v>BRA</v>
      </c>
      <c r="AK5" s="26">
        <f t="shared" ref="AJ5:AO12" si="8">B3</f>
        <v>2022</v>
      </c>
      <c r="AL5" s="8">
        <f t="shared" si="8"/>
        <v>76.0184326171875</v>
      </c>
      <c r="AM5" s="8">
        <f t="shared" si="8"/>
        <v>67.681694030761719</v>
      </c>
      <c r="AN5" s="8">
        <f t="shared" si="8"/>
        <v>70.759140014648438</v>
      </c>
      <c r="AO5" s="8">
        <f t="shared" si="8"/>
        <v>49.661224365234375</v>
      </c>
    </row>
    <row r="6" spans="1:43">
      <c r="A6" t="s">
        <v>31</v>
      </c>
      <c r="B6" s="8">
        <v>2022</v>
      </c>
      <c r="C6" s="8">
        <v>3.2853200435638428</v>
      </c>
      <c r="D6" s="8">
        <v>2.6878225803375244</v>
      </c>
      <c r="E6" s="8">
        <v>3.0324983596801758</v>
      </c>
      <c r="F6" s="8">
        <v>2.2114639282226563</v>
      </c>
      <c r="G6" s="8">
        <v>18092026</v>
      </c>
      <c r="H6" s="8">
        <v>2022</v>
      </c>
      <c r="I6" t="s">
        <v>1048</v>
      </c>
      <c r="J6" s="81">
        <f t="shared" si="2"/>
        <v>370016408</v>
      </c>
      <c r="K6" s="116">
        <f t="shared" si="0"/>
        <v>0.1606363781750948</v>
      </c>
      <c r="L6" s="116">
        <f t="shared" si="0"/>
        <v>0.13142162065108631</v>
      </c>
      <c r="M6" s="116">
        <f t="shared" si="3"/>
        <v>0.14827461156341773</v>
      </c>
      <c r="N6" s="116">
        <f t="shared" si="4"/>
        <v>0.10812996943494038</v>
      </c>
      <c r="P6" s="118" t="s">
        <v>1050</v>
      </c>
      <c r="Q6" s="118" t="s">
        <v>1060</v>
      </c>
      <c r="R6" s="7557">
        <f>SUMIF($I:$I,$P6,K:K)</f>
        <v>16.923918276456117</v>
      </c>
      <c r="S6" s="7557">
        <f t="shared" si="7"/>
        <v>15.03573805225685</v>
      </c>
      <c r="T6" s="7557">
        <f t="shared" si="5"/>
        <v>15.714427440954513</v>
      </c>
      <c r="U6" s="7557">
        <f t="shared" si="5"/>
        <v>14.322950622543095</v>
      </c>
      <c r="AJ6" t="str">
        <f t="shared" si="8"/>
        <v>COL</v>
      </c>
      <c r="AK6" s="26">
        <f t="shared" si="8"/>
        <v>2022</v>
      </c>
      <c r="AL6" s="8">
        <f t="shared" si="8"/>
        <v>12.889556884765625</v>
      </c>
      <c r="AM6" s="8">
        <f t="shared" si="8"/>
        <v>10.223550796508789</v>
      </c>
      <c r="AN6" s="8">
        <f t="shared" si="8"/>
        <v>11.485511779785156</v>
      </c>
      <c r="AO6" s="8">
        <f t="shared" si="8"/>
        <v>5.9236969947814941</v>
      </c>
    </row>
    <row r="7" spans="1:43">
      <c r="A7" t="s">
        <v>34</v>
      </c>
      <c r="B7" s="8">
        <v>2023</v>
      </c>
      <c r="C7" s="8">
        <v>13.580778121948242</v>
      </c>
      <c r="D7" s="8">
        <v>7.4291696548461914</v>
      </c>
      <c r="E7" s="8">
        <v>11.018392562866211</v>
      </c>
      <c r="F7" s="8">
        <v>6.8470110893249512</v>
      </c>
      <c r="G7" s="8">
        <v>10593798</v>
      </c>
      <c r="H7" s="8">
        <v>2023</v>
      </c>
      <c r="I7" t="s">
        <v>1048</v>
      </c>
      <c r="J7" s="81">
        <f t="shared" si="2"/>
        <v>370016408</v>
      </c>
      <c r="K7" s="116">
        <f t="shared" si="0"/>
        <v>0.38882605472657589</v>
      </c>
      <c r="L7" s="116">
        <f t="shared" si="0"/>
        <v>0.21270170978788128</v>
      </c>
      <c r="M7" s="116">
        <f t="shared" si="3"/>
        <v>0.31546337560172988</v>
      </c>
      <c r="N7" s="116">
        <f t="shared" si="4"/>
        <v>0.19603415096140409</v>
      </c>
      <c r="P7" s="118" t="s">
        <v>1047</v>
      </c>
      <c r="Q7" s="118" t="s">
        <v>1061</v>
      </c>
      <c r="R7" s="7557">
        <f t="shared" si="6"/>
        <v>1.7312434755905231</v>
      </c>
      <c r="S7" s="7557">
        <f t="shared" si="7"/>
        <v>2.1194622366817923</v>
      </c>
      <c r="T7" s="7557">
        <f t="shared" si="5"/>
        <v>1.9583486014112645</v>
      </c>
      <c r="U7" s="7557">
        <f t="shared" si="5"/>
        <v>2.1148320836194556</v>
      </c>
      <c r="AJ7" t="str">
        <f t="shared" si="8"/>
        <v>ECU</v>
      </c>
      <c r="AK7" s="26">
        <f t="shared" si="8"/>
        <v>2023</v>
      </c>
      <c r="AL7" s="8">
        <f t="shared" si="8"/>
        <v>5.1416878700256348</v>
      </c>
      <c r="AM7" s="8">
        <f t="shared" si="8"/>
        <v>4.5376768112182617</v>
      </c>
      <c r="AN7" s="8">
        <f t="shared" si="8"/>
        <v>4.7713308334350586</v>
      </c>
      <c r="AO7" s="8">
        <f t="shared" si="8"/>
        <v>2.1280224323272705</v>
      </c>
    </row>
    <row r="8" spans="1:43">
      <c r="A8" t="s">
        <v>42</v>
      </c>
      <c r="B8" s="8">
        <v>2022</v>
      </c>
      <c r="C8" s="8">
        <v>11.103191375732422</v>
      </c>
      <c r="D8" s="8">
        <v>23.937627792358398</v>
      </c>
      <c r="E8" s="8">
        <v>18.030662536621094</v>
      </c>
      <c r="F8" s="8">
        <v>31.410297393798828</v>
      </c>
      <c r="G8" s="8">
        <v>4468087</v>
      </c>
      <c r="H8" s="8">
        <v>2022</v>
      </c>
      <c r="I8" t="s">
        <v>1048</v>
      </c>
      <c r="J8" s="81">
        <f t="shared" si="2"/>
        <v>370016408</v>
      </c>
      <c r="K8" s="116">
        <f t="shared" si="0"/>
        <v>0.13407520307700016</v>
      </c>
      <c r="L8" s="116">
        <f t="shared" si="0"/>
        <v>0.28905583978825949</v>
      </c>
      <c r="M8" s="116">
        <f t="shared" si="3"/>
        <v>0.21772701734152214</v>
      </c>
      <c r="N8" s="116">
        <f t="shared" si="4"/>
        <v>0.37929112984461599</v>
      </c>
      <c r="P8" s="118" t="s">
        <v>1046</v>
      </c>
      <c r="Q8" s="118" t="s">
        <v>1062</v>
      </c>
      <c r="R8" s="7557">
        <f t="shared" si="6"/>
        <v>52.776115455988929</v>
      </c>
      <c r="S8" s="7557">
        <f t="shared" si="7"/>
        <v>52.630229686113537</v>
      </c>
      <c r="T8" s="7557">
        <f t="shared" si="5"/>
        <v>52.73953700321141</v>
      </c>
      <c r="U8" s="7557">
        <f t="shared" si="5"/>
        <v>50.806675335637188</v>
      </c>
      <c r="AJ8" t="str">
        <f t="shared" si="8"/>
        <v>GTM</v>
      </c>
      <c r="AK8" s="26">
        <f t="shared" si="8"/>
        <v>2022</v>
      </c>
      <c r="AL8" s="8">
        <f t="shared" si="8"/>
        <v>3.2853200435638428</v>
      </c>
      <c r="AM8" s="8">
        <f t="shared" si="8"/>
        <v>2.6878225803375244</v>
      </c>
      <c r="AN8" s="8">
        <f t="shared" si="8"/>
        <v>3.0324983596801758</v>
      </c>
      <c r="AO8" s="8">
        <f t="shared" si="8"/>
        <v>2.2114639282226563</v>
      </c>
    </row>
    <row r="9" spans="1:43">
      <c r="A9" t="s">
        <v>44</v>
      </c>
      <c r="B9" s="8">
        <v>2022</v>
      </c>
      <c r="C9" s="8">
        <v>9.653386116027832</v>
      </c>
      <c r="D9" s="8">
        <v>9.098933219909668</v>
      </c>
      <c r="E9" s="8">
        <v>9.2717580795288086</v>
      </c>
      <c r="F9" s="8">
        <v>6.4317011833190918</v>
      </c>
      <c r="G9" s="8">
        <v>34352719</v>
      </c>
      <c r="H9" s="8">
        <v>2022</v>
      </c>
      <c r="I9" t="s">
        <v>1048</v>
      </c>
      <c r="J9" s="81">
        <f t="shared" si="2"/>
        <v>370016408</v>
      </c>
      <c r="K9" s="116">
        <f t="shared" si="0"/>
        <v>0.89623068997093103</v>
      </c>
      <c r="L9" s="116">
        <f t="shared" si="0"/>
        <v>0.84475469018477167</v>
      </c>
      <c r="M9" s="116">
        <f t="shared" si="3"/>
        <v>0.86079993496405394</v>
      </c>
      <c r="N9" s="116">
        <f t="shared" si="4"/>
        <v>0.59712601567260304</v>
      </c>
      <c r="P9" s="118" t="s">
        <v>1146</v>
      </c>
      <c r="Q9" s="118" t="s">
        <v>1149</v>
      </c>
      <c r="R9" s="7557">
        <f t="shared" si="6"/>
        <v>39.102776883701168</v>
      </c>
      <c r="S9" s="7557">
        <f t="shared" si="7"/>
        <v>33.052259168231139</v>
      </c>
      <c r="T9" s="7557">
        <f t="shared" si="5"/>
        <v>35.41226398490646</v>
      </c>
      <c r="U9" s="7557">
        <f t="shared" si="5"/>
        <v>19.584050870476805</v>
      </c>
      <c r="AJ9" t="str">
        <f t="shared" si="8"/>
        <v>HND</v>
      </c>
      <c r="AK9" s="26">
        <f t="shared" si="8"/>
        <v>2023</v>
      </c>
      <c r="AL9" s="8">
        <f t="shared" si="8"/>
        <v>13.580778121948242</v>
      </c>
      <c r="AM9" s="8">
        <f t="shared" si="8"/>
        <v>7.4291696548461914</v>
      </c>
      <c r="AN9" s="8">
        <f t="shared" si="8"/>
        <v>11.018392562866211</v>
      </c>
      <c r="AO9" s="8">
        <f t="shared" si="8"/>
        <v>6.8470110893249512</v>
      </c>
    </row>
    <row r="10" spans="1:43">
      <c r="A10" s="84" t="s">
        <v>50</v>
      </c>
      <c r="B10" s="8">
        <v>2022</v>
      </c>
      <c r="C10" s="8">
        <v>9.084564208984375</v>
      </c>
      <c r="D10" s="8">
        <v>7.8982963562011719</v>
      </c>
      <c r="E10" s="8">
        <v>8.2296524047851563</v>
      </c>
      <c r="F10" s="8">
        <v>3.784684419631958</v>
      </c>
      <c r="G10" s="8">
        <v>3423109</v>
      </c>
      <c r="H10" s="8">
        <v>2022</v>
      </c>
      <c r="I10" s="84" t="s">
        <v>1048</v>
      </c>
      <c r="J10" s="81">
        <f t="shared" si="2"/>
        <v>370016408</v>
      </c>
      <c r="K10" s="116">
        <f t="shared" si="0"/>
        <v>8.4043444648682436E-2</v>
      </c>
      <c r="L10" s="116">
        <f t="shared" si="0"/>
        <v>7.3069001149752899E-2</v>
      </c>
      <c r="M10" s="116">
        <f t="shared" si="3"/>
        <v>7.6134454052890849E-2</v>
      </c>
      <c r="N10" s="116">
        <f t="shared" si="4"/>
        <v>3.501300758263113E-2</v>
      </c>
      <c r="P10" s="118" t="s">
        <v>1147</v>
      </c>
      <c r="Q10" s="118" t="s">
        <v>1150</v>
      </c>
      <c r="R10" s="7557">
        <f t="shared" si="6"/>
        <v>6.1675348374556771</v>
      </c>
      <c r="S10" s="7557">
        <f t="shared" si="7"/>
        <v>6.9893065484107506</v>
      </c>
      <c r="T10" s="7557">
        <f t="shared" si="5"/>
        <v>6.6946645280353252</v>
      </c>
      <c r="U10" s="7557">
        <f t="shared" si="5"/>
        <v>11.615437988062199</v>
      </c>
      <c r="AJ10" t="str">
        <f t="shared" si="8"/>
        <v>PAN</v>
      </c>
      <c r="AK10" s="26">
        <f t="shared" si="8"/>
        <v>2022</v>
      </c>
      <c r="AL10" s="8">
        <f t="shared" si="8"/>
        <v>11.103191375732422</v>
      </c>
      <c r="AM10" s="8">
        <f t="shared" si="8"/>
        <v>23.937627792358398</v>
      </c>
      <c r="AN10" s="8">
        <f t="shared" si="8"/>
        <v>18.030662536621094</v>
      </c>
      <c r="AO10" s="8">
        <f t="shared" si="8"/>
        <v>31.410297393798828</v>
      </c>
    </row>
    <row r="11" spans="1:43">
      <c r="A11" t="s">
        <v>10</v>
      </c>
      <c r="B11" s="8">
        <v>2022</v>
      </c>
      <c r="C11" s="8">
        <v>37.885204315185547</v>
      </c>
      <c r="D11" s="8">
        <v>36.284862518310547</v>
      </c>
      <c r="E11" s="8">
        <v>36.904232025146484</v>
      </c>
      <c r="F11" s="8">
        <v>21.976228713989258</v>
      </c>
      <c r="G11" s="8">
        <v>45773884</v>
      </c>
      <c r="H11" s="8">
        <v>2022</v>
      </c>
      <c r="I11" t="s">
        <v>1146</v>
      </c>
      <c r="J11" s="81">
        <f t="shared" si="2"/>
        <v>623299395</v>
      </c>
      <c r="K11" s="116">
        <f t="shared" si="0"/>
        <v>2.7822150343008154</v>
      </c>
      <c r="L11" s="116">
        <f t="shared" si="0"/>
        <v>2.6646890742916489</v>
      </c>
      <c r="M11" s="116">
        <f t="shared" si="3"/>
        <v>2.7101743550194528</v>
      </c>
      <c r="N11" s="116">
        <f t="shared" si="4"/>
        <v>1.6138910962870634</v>
      </c>
      <c r="AJ11" t="str">
        <f t="shared" si="8"/>
        <v>PER</v>
      </c>
      <c r="AK11" s="26">
        <f t="shared" si="8"/>
        <v>2022</v>
      </c>
      <c r="AL11" s="8">
        <f t="shared" si="8"/>
        <v>9.653386116027832</v>
      </c>
      <c r="AM11" s="8">
        <f t="shared" si="8"/>
        <v>9.098933219909668</v>
      </c>
      <c r="AN11" s="8">
        <f t="shared" si="8"/>
        <v>9.2717580795288086</v>
      </c>
      <c r="AO11" s="8">
        <f t="shared" si="8"/>
        <v>6.4317011833190918</v>
      </c>
    </row>
    <row r="12" spans="1:43">
      <c r="A12" t="s">
        <v>15</v>
      </c>
      <c r="B12" s="8">
        <v>2022</v>
      </c>
      <c r="C12" s="8">
        <v>44.990425109863281</v>
      </c>
      <c r="D12" s="8">
        <v>39.027366638183594</v>
      </c>
      <c r="E12" s="8">
        <v>41.538440704345703</v>
      </c>
      <c r="F12" s="8">
        <v>27.350742340087891</v>
      </c>
      <c r="G12" s="8">
        <v>12388571</v>
      </c>
      <c r="H12" s="8">
        <v>2022</v>
      </c>
      <c r="I12" t="s">
        <v>1146</v>
      </c>
      <c r="J12" s="81">
        <f t="shared" si="2"/>
        <v>623299395</v>
      </c>
      <c r="K12" s="116">
        <f t="shared" si="0"/>
        <v>0.89422046654437082</v>
      </c>
      <c r="L12" s="116">
        <f t="shared" si="0"/>
        <v>0.77569993877527954</v>
      </c>
      <c r="M12" s="116">
        <f t="shared" si="3"/>
        <v>0.82560953214959687</v>
      </c>
      <c r="N12" s="116">
        <f t="shared" si="4"/>
        <v>0.54361774790890816</v>
      </c>
      <c r="R12" s="7471"/>
      <c r="AJ12" s="84" t="str">
        <f t="shared" si="8"/>
        <v>URY</v>
      </c>
      <c r="AK12" s="215">
        <f t="shared" si="8"/>
        <v>2022</v>
      </c>
      <c r="AL12" s="7558">
        <f t="shared" si="8"/>
        <v>9.084564208984375</v>
      </c>
      <c r="AM12" s="7558">
        <f t="shared" si="8"/>
        <v>7.8982963562011719</v>
      </c>
      <c r="AN12" s="7558">
        <f t="shared" si="8"/>
        <v>8.2296524047851563</v>
      </c>
      <c r="AO12" s="7558">
        <f t="shared" si="8"/>
        <v>3.784684419631958</v>
      </c>
      <c r="AP12" s="3"/>
      <c r="AQ12" s="3"/>
    </row>
    <row r="13" spans="1:43">
      <c r="A13" t="s">
        <v>17</v>
      </c>
      <c r="B13" s="8">
        <v>2022</v>
      </c>
      <c r="C13" s="8">
        <v>41.454280853271484</v>
      </c>
      <c r="D13" s="8">
        <v>31.686120986938477</v>
      </c>
      <c r="E13" s="8">
        <v>35.291744232177734</v>
      </c>
      <c r="F13" s="8">
        <v>16.316905975341797</v>
      </c>
      <c r="G13" s="8">
        <v>216422446</v>
      </c>
      <c r="H13" s="8">
        <v>2022</v>
      </c>
      <c r="I13" t="s">
        <v>1146</v>
      </c>
      <c r="J13" s="81">
        <f t="shared" si="2"/>
        <v>623299395</v>
      </c>
      <c r="K13" s="116">
        <f t="shared" si="0"/>
        <v>14.393784000762558</v>
      </c>
      <c r="L13" s="116">
        <f t="shared" si="0"/>
        <v>11.002076792077039</v>
      </c>
      <c r="M13" s="116">
        <f t="shared" si="3"/>
        <v>12.254023783119983</v>
      </c>
      <c r="N13" s="116">
        <f t="shared" si="4"/>
        <v>5.6655673512012434</v>
      </c>
      <c r="P13" s="117"/>
      <c r="Q13" s="117"/>
      <c r="R13" s="118" t="s">
        <v>1063</v>
      </c>
      <c r="AJ13" s="3" t="s">
        <v>1261</v>
      </c>
      <c r="AK13" s="217"/>
      <c r="AL13" s="7497">
        <f>AVERAGE(AL5:AL12)</f>
        <v>17.594614654779434</v>
      </c>
      <c r="AM13" s="7497">
        <f t="shared" ref="AM13:AN13" si="9">AVERAGE(AM5:AM12)</f>
        <v>16.686846405267715</v>
      </c>
      <c r="AN13" s="7497">
        <f t="shared" si="9"/>
        <v>17.074868321418762</v>
      </c>
      <c r="AO13" s="7497">
        <f>AVERAGE(AO5:AO12)</f>
        <v>13.549762725830078</v>
      </c>
      <c r="AP13" s="3"/>
      <c r="AQ13" s="3"/>
    </row>
    <row r="14" spans="1:43" ht="15" thickBot="1">
      <c r="A14" t="s">
        <v>21</v>
      </c>
      <c r="B14" s="8">
        <v>2022</v>
      </c>
      <c r="C14" s="8">
        <v>31.529193878173828</v>
      </c>
      <c r="D14" s="8">
        <v>30.539363861083984</v>
      </c>
      <c r="E14" s="8">
        <v>30.823186874389648</v>
      </c>
      <c r="F14" s="8">
        <v>18.759449005126953</v>
      </c>
      <c r="G14" s="8">
        <v>19629590</v>
      </c>
      <c r="H14" s="8">
        <v>2022</v>
      </c>
      <c r="I14" t="s">
        <v>1146</v>
      </c>
      <c r="J14" s="81">
        <f t="shared" si="2"/>
        <v>623299395</v>
      </c>
      <c r="K14" s="116">
        <f t="shared" si="0"/>
        <v>0.99295002341380767</v>
      </c>
      <c r="L14" s="116">
        <f t="shared" si="0"/>
        <v>0.9617772715051256</v>
      </c>
      <c r="M14" s="116">
        <f t="shared" si="3"/>
        <v>0.9707157197507793</v>
      </c>
      <c r="N14" s="116">
        <f t="shared" si="4"/>
        <v>0.59079199426553264</v>
      </c>
      <c r="P14" s="118" t="s">
        <v>1046</v>
      </c>
      <c r="Q14" s="118" t="s">
        <v>900</v>
      </c>
      <c r="R14" s="119">
        <f>SUMIF($I:$I,$P14,K:K)</f>
        <v>52.776115455988929</v>
      </c>
      <c r="AJ14" s="212" t="s">
        <v>1145</v>
      </c>
      <c r="AK14" s="218"/>
      <c r="AL14" s="2559">
        <f>SUMIF($I:$I,$P4,K:K)</f>
        <v>48.194125785265364</v>
      </c>
      <c r="AM14" s="2559">
        <f>SUMIF($I:$I,$P4,L:L)</f>
        <v>42.800188951129392</v>
      </c>
      <c r="AN14" s="2559">
        <f>SUMIF($I:$I,$P4,M:M)</f>
        <v>44.856708400153096</v>
      </c>
      <c r="AO14" s="2559">
        <f>SUMIF($I:$I,$P4,N:N)</f>
        <v>31.302223410059888</v>
      </c>
    </row>
    <row r="15" spans="1:43" ht="15" thickTop="1">
      <c r="A15" t="s">
        <v>23</v>
      </c>
      <c r="B15" s="8">
        <v>2022</v>
      </c>
      <c r="C15" s="8">
        <v>36.421653747558594</v>
      </c>
      <c r="D15" s="8">
        <v>30.93968391418457</v>
      </c>
      <c r="E15" s="8">
        <v>33.534587860107422</v>
      </c>
      <c r="F15" s="8">
        <v>17.885707855224609</v>
      </c>
      <c r="G15" s="8">
        <v>52085168</v>
      </c>
      <c r="H15" s="8">
        <v>2022</v>
      </c>
      <c r="I15" t="s">
        <v>1146</v>
      </c>
      <c r="J15" s="81">
        <f t="shared" si="2"/>
        <v>623299395</v>
      </c>
      <c r="K15" s="116">
        <f t="shared" si="0"/>
        <v>3.0435260638740376</v>
      </c>
      <c r="L15" s="116">
        <f t="shared" si="0"/>
        <v>2.5854326948884672</v>
      </c>
      <c r="M15" s="116">
        <f t="shared" si="3"/>
        <v>2.8022723213207286</v>
      </c>
      <c r="N15" s="116">
        <f t="shared" si="4"/>
        <v>1.4945949024036731</v>
      </c>
      <c r="P15" s="118" t="s">
        <v>1046</v>
      </c>
      <c r="Q15" s="118" t="s">
        <v>1014</v>
      </c>
      <c r="R15" s="119">
        <f>SUMIF($I:$I,$P15,L:L)</f>
        <v>52.630229686113537</v>
      </c>
    </row>
    <row r="16" spans="1:43" ht="15" thickBot="1">
      <c r="A16" s="141" t="s">
        <v>25</v>
      </c>
      <c r="B16" s="8">
        <v>2023</v>
      </c>
      <c r="C16" s="8">
        <v>36.181095123291016</v>
      </c>
      <c r="D16" s="8">
        <v>31.868740081787109</v>
      </c>
      <c r="E16" s="8">
        <v>33.230033874511719</v>
      </c>
      <c r="F16" s="8">
        <v>15.691619873046875</v>
      </c>
      <c r="G16" s="8">
        <v>5212173</v>
      </c>
      <c r="H16" s="8">
        <v>2023</v>
      </c>
      <c r="I16" s="141" t="s">
        <v>1146</v>
      </c>
      <c r="J16" s="81">
        <f t="shared" si="2"/>
        <v>623299395</v>
      </c>
      <c r="K16" s="116">
        <f t="shared" si="0"/>
        <v>0.30255464488626543</v>
      </c>
      <c r="L16" s="116">
        <f t="shared" si="0"/>
        <v>0.26649373949465899</v>
      </c>
      <c r="M16" s="116">
        <f t="shared" si="3"/>
        <v>0.27787719150572154</v>
      </c>
      <c r="N16" s="116">
        <f t="shared" si="4"/>
        <v>0.13121693697225287</v>
      </c>
      <c r="P16" s="118" t="s">
        <v>1046</v>
      </c>
      <c r="Q16" s="118" t="s">
        <v>1058</v>
      </c>
      <c r="R16" s="119">
        <f>SUMIF($I:$I,$P16,N:N)</f>
        <v>50.806675335637188</v>
      </c>
      <c r="AJ16" s="212" t="s">
        <v>1153</v>
      </c>
      <c r="AK16" s="219"/>
      <c r="AL16" s="85"/>
      <c r="AM16" s="85"/>
      <c r="AN16" s="85"/>
      <c r="AO16" s="85"/>
    </row>
    <row r="17" spans="1:41" ht="15" thickTop="1">
      <c r="A17" s="141" t="s">
        <v>27</v>
      </c>
      <c r="B17" s="8">
        <v>2022</v>
      </c>
      <c r="C17" s="8">
        <v>42.003875732421875</v>
      </c>
      <c r="D17" s="8">
        <v>38.147048950195313</v>
      </c>
      <c r="E17" s="8">
        <v>39.337615966796875</v>
      </c>
      <c r="F17" s="8">
        <v>22.992437362670898</v>
      </c>
      <c r="G17" s="8">
        <v>11332973</v>
      </c>
      <c r="H17" s="8">
        <v>2022</v>
      </c>
      <c r="I17" s="141" t="s">
        <v>1146</v>
      </c>
      <c r="J17" s="81">
        <f t="shared" si="2"/>
        <v>623299395</v>
      </c>
      <c r="K17" s="116">
        <f t="shared" si="0"/>
        <v>0.76372413223807523</v>
      </c>
      <c r="L17" s="116">
        <f t="shared" si="0"/>
        <v>0.69359842035823216</v>
      </c>
      <c r="M17" s="116">
        <f t="shared" si="3"/>
        <v>0.71524558376328573</v>
      </c>
      <c r="N17" s="116">
        <f t="shared" si="4"/>
        <v>0.41805378591028552</v>
      </c>
      <c r="P17" s="117"/>
      <c r="Q17" s="117"/>
      <c r="R17" s="119"/>
      <c r="AJ17" s="213" t="s">
        <v>904</v>
      </c>
      <c r="AK17" s="216" t="s">
        <v>938</v>
      </c>
      <c r="AL17" s="2650" t="s">
        <v>1141</v>
      </c>
      <c r="AM17" s="2650" t="s">
        <v>1142</v>
      </c>
      <c r="AN17" s="2650" t="s">
        <v>1152</v>
      </c>
      <c r="AO17" s="2650" t="s">
        <v>1102</v>
      </c>
    </row>
    <row r="18" spans="1:41">
      <c r="A18" s="141" t="s">
        <v>29</v>
      </c>
      <c r="B18" s="8">
        <v>2023</v>
      </c>
      <c r="C18" s="8">
        <v>48.799037933349609</v>
      </c>
      <c r="D18" s="8">
        <v>36.921154022216797</v>
      </c>
      <c r="E18" s="8">
        <v>41.583709716796875</v>
      </c>
      <c r="F18" s="8">
        <v>23.283191680908203</v>
      </c>
      <c r="G18" s="8">
        <v>18190484</v>
      </c>
      <c r="H18" s="8">
        <v>2023</v>
      </c>
      <c r="I18" s="141" t="s">
        <v>1146</v>
      </c>
      <c r="J18" s="81">
        <f t="shared" si="2"/>
        <v>623299395</v>
      </c>
      <c r="K18" s="116">
        <f t="shared" si="0"/>
        <v>1.4241600840026312</v>
      </c>
      <c r="L18" s="116">
        <f t="shared" si="0"/>
        <v>1.077513738807127</v>
      </c>
      <c r="M18" s="116">
        <f t="shared" si="3"/>
        <v>1.2135866203817478</v>
      </c>
      <c r="N18" s="116">
        <f t="shared" si="4"/>
        <v>0.67950094150258844</v>
      </c>
      <c r="P18" s="118" t="s">
        <v>1146</v>
      </c>
      <c r="Q18" s="118" t="s">
        <v>900</v>
      </c>
      <c r="R18" s="119">
        <f>SUMIF($I:$I,$P18,K:K)</f>
        <v>39.102776883701168</v>
      </c>
      <c r="AJ18" t="str">
        <f t="shared" ref="AJ18:AJ35" si="10">A11</f>
        <v>ARG</v>
      </c>
      <c r="AK18" s="26">
        <f t="shared" ref="AK18:AK35" si="11">B11</f>
        <v>2022</v>
      </c>
      <c r="AL18" s="8">
        <f t="shared" ref="AL18:AL35" si="12">C11</f>
        <v>37.885204315185547</v>
      </c>
      <c r="AM18" s="8">
        <f t="shared" ref="AM18:AM35" si="13">D11</f>
        <v>36.284862518310547</v>
      </c>
      <c r="AN18" s="8">
        <f t="shared" ref="AN18:AN35" si="14">E11</f>
        <v>36.904232025146484</v>
      </c>
      <c r="AO18" s="8">
        <f t="shared" ref="AO18:AO35" si="15">F11</f>
        <v>21.976228713989258</v>
      </c>
    </row>
    <row r="19" spans="1:41">
      <c r="A19" t="s">
        <v>31</v>
      </c>
      <c r="B19" s="8">
        <v>2022</v>
      </c>
      <c r="C19" s="8">
        <v>43.624038696289063</v>
      </c>
      <c r="D19" s="8">
        <v>37.694435119628906</v>
      </c>
      <c r="E19" s="8">
        <v>41.112026214599609</v>
      </c>
      <c r="F19" s="8">
        <v>24.996883392333984</v>
      </c>
      <c r="G19" s="8">
        <v>18092026</v>
      </c>
      <c r="H19" s="8">
        <v>2022</v>
      </c>
      <c r="I19" t="s">
        <v>1146</v>
      </c>
      <c r="J19" s="81">
        <f t="shared" si="2"/>
        <v>623299395</v>
      </c>
      <c r="K19" s="116">
        <f t="shared" si="0"/>
        <v>1.2662409889203692</v>
      </c>
      <c r="L19" s="116">
        <f t="shared" si="0"/>
        <v>1.0941270049518326</v>
      </c>
      <c r="M19" s="116">
        <f t="shared" si="3"/>
        <v>1.1933267594254888</v>
      </c>
      <c r="N19" s="116">
        <f t="shared" si="4"/>
        <v>0.72556506212086835</v>
      </c>
      <c r="P19" s="118" t="s">
        <v>1146</v>
      </c>
      <c r="Q19" s="118" t="s">
        <v>1014</v>
      </c>
      <c r="R19" s="119">
        <f>SUMIF($I:$I,$P19,L:L)</f>
        <v>33.052259168231139</v>
      </c>
      <c r="AJ19" t="str">
        <f t="shared" si="10"/>
        <v>BOL</v>
      </c>
      <c r="AK19" s="26">
        <f t="shared" si="11"/>
        <v>2022</v>
      </c>
      <c r="AL19" s="8">
        <f t="shared" si="12"/>
        <v>44.990425109863281</v>
      </c>
      <c r="AM19" s="8">
        <f t="shared" si="13"/>
        <v>39.027366638183594</v>
      </c>
      <c r="AN19" s="8">
        <f t="shared" si="14"/>
        <v>41.538440704345703</v>
      </c>
      <c r="AO19" s="8">
        <f t="shared" si="15"/>
        <v>27.350742340087891</v>
      </c>
    </row>
    <row r="20" spans="1:41">
      <c r="A20" t="s">
        <v>33</v>
      </c>
      <c r="B20" s="8">
        <v>2021</v>
      </c>
      <c r="C20" s="8">
        <v>34.792510986328125</v>
      </c>
      <c r="D20" s="8">
        <v>27.885801315307617</v>
      </c>
      <c r="E20" s="8">
        <v>31.700813293457031</v>
      </c>
      <c r="F20" s="8">
        <v>18.587486267089844</v>
      </c>
      <c r="G20" s="8">
        <v>813834</v>
      </c>
      <c r="H20" s="8">
        <v>2021</v>
      </c>
      <c r="I20" t="s">
        <v>1146</v>
      </c>
      <c r="J20" s="81">
        <f t="shared" si="2"/>
        <v>623299395</v>
      </c>
      <c r="K20" s="116">
        <f t="shared" si="0"/>
        <v>4.5428133916361919E-2</v>
      </c>
      <c r="L20" s="116">
        <f t="shared" si="0"/>
        <v>3.6410131968188514E-2</v>
      </c>
      <c r="M20" s="116">
        <f t="shared" si="3"/>
        <v>4.1391344019942954E-2</v>
      </c>
      <c r="N20" s="116">
        <f t="shared" si="4"/>
        <v>2.4269441652018282E-2</v>
      </c>
      <c r="P20" s="118" t="s">
        <v>1146</v>
      </c>
      <c r="Q20" s="118" t="s">
        <v>1058</v>
      </c>
      <c r="R20" s="119">
        <f>SUMIF($I:$I,$P20,N:N)</f>
        <v>19.584050870476805</v>
      </c>
      <c r="AJ20" t="str">
        <f t="shared" si="10"/>
        <v>BRA</v>
      </c>
      <c r="AK20" s="26">
        <f t="shared" si="11"/>
        <v>2022</v>
      </c>
      <c r="AL20" s="8">
        <f t="shared" si="12"/>
        <v>41.454280853271484</v>
      </c>
      <c r="AM20" s="8">
        <f t="shared" si="13"/>
        <v>31.686120986938477</v>
      </c>
      <c r="AN20" s="8">
        <f t="shared" si="14"/>
        <v>35.291744232177734</v>
      </c>
      <c r="AO20" s="8">
        <f t="shared" si="15"/>
        <v>16.316905975341797</v>
      </c>
    </row>
    <row r="21" spans="1:41">
      <c r="A21" t="s">
        <v>34</v>
      </c>
      <c r="B21" s="8">
        <v>2023</v>
      </c>
      <c r="C21" s="8">
        <v>37.555919647216797</v>
      </c>
      <c r="D21" s="8">
        <v>33.957305908203125</v>
      </c>
      <c r="E21" s="8">
        <v>36.056957244873047</v>
      </c>
      <c r="F21" s="8">
        <v>22.867033004760742</v>
      </c>
      <c r="G21" s="8">
        <v>10593798</v>
      </c>
      <c r="H21" s="8">
        <v>2023</v>
      </c>
      <c r="I21" t="s">
        <v>1146</v>
      </c>
      <c r="J21" s="81">
        <f t="shared" si="2"/>
        <v>623299395</v>
      </c>
      <c r="K21" s="116">
        <f t="shared" si="0"/>
        <v>0.63831255033842282</v>
      </c>
      <c r="L21" s="116">
        <f t="shared" si="0"/>
        <v>0.57714934797218997</v>
      </c>
      <c r="M21" s="116">
        <f t="shared" si="3"/>
        <v>0.61283570080606542</v>
      </c>
      <c r="N21" s="116">
        <f t="shared" si="4"/>
        <v>0.38865548475587458</v>
      </c>
      <c r="P21" s="118"/>
      <c r="Q21" s="118"/>
      <c r="R21" s="119"/>
      <c r="AJ21" t="str">
        <f t="shared" si="10"/>
        <v>CHL</v>
      </c>
      <c r="AK21" s="26">
        <f t="shared" si="11"/>
        <v>2022</v>
      </c>
      <c r="AL21" s="8">
        <f t="shared" si="12"/>
        <v>31.529193878173828</v>
      </c>
      <c r="AM21" s="8">
        <f t="shared" si="13"/>
        <v>30.539363861083984</v>
      </c>
      <c r="AN21" s="8">
        <f t="shared" si="14"/>
        <v>30.823186874389648</v>
      </c>
      <c r="AO21" s="8">
        <f t="shared" si="15"/>
        <v>18.759449005126953</v>
      </c>
    </row>
    <row r="22" spans="1:41">
      <c r="A22" t="s">
        <v>38</v>
      </c>
      <c r="B22" s="8">
        <v>2022</v>
      </c>
      <c r="C22" s="8">
        <v>36.903034210205078</v>
      </c>
      <c r="D22" s="8">
        <v>33.552143096923828</v>
      </c>
      <c r="E22" s="8">
        <v>34.6282958984375</v>
      </c>
      <c r="F22" s="8">
        <v>21.027444839477539</v>
      </c>
      <c r="G22" s="8">
        <v>128455567</v>
      </c>
      <c r="H22" s="8">
        <v>2022</v>
      </c>
      <c r="I22" t="s">
        <v>1146</v>
      </c>
      <c r="J22" s="81">
        <f t="shared" si="2"/>
        <v>623299395</v>
      </c>
      <c r="K22" s="116">
        <f t="shared" si="0"/>
        <v>7.605334164478518</v>
      </c>
      <c r="L22" s="116">
        <f t="shared" si="0"/>
        <v>6.9147501187298381</v>
      </c>
      <c r="M22" s="116">
        <f t="shared" si="3"/>
        <v>7.1365340951077991</v>
      </c>
      <c r="N22" s="116">
        <f t="shared" si="4"/>
        <v>4.333539180502993</v>
      </c>
      <c r="P22" s="118" t="s">
        <v>1147</v>
      </c>
      <c r="Q22" s="118" t="s">
        <v>900</v>
      </c>
      <c r="R22" s="119">
        <f>SUMIF($I:$I,$P22,K:K)</f>
        <v>6.1675348374556771</v>
      </c>
      <c r="AJ22" t="str">
        <f t="shared" si="10"/>
        <v>COL</v>
      </c>
      <c r="AK22" s="26">
        <f t="shared" si="11"/>
        <v>2022</v>
      </c>
      <c r="AL22" s="8">
        <f t="shared" si="12"/>
        <v>36.421653747558594</v>
      </c>
      <c r="AM22" s="8">
        <f t="shared" si="13"/>
        <v>30.93968391418457</v>
      </c>
      <c r="AN22" s="8">
        <f t="shared" si="14"/>
        <v>33.534587860107422</v>
      </c>
      <c r="AO22" s="8">
        <f t="shared" si="15"/>
        <v>17.885707855224609</v>
      </c>
    </row>
    <row r="23" spans="1:41">
      <c r="A23" t="s">
        <v>42</v>
      </c>
      <c r="B23" s="8">
        <v>2022</v>
      </c>
      <c r="C23" s="8">
        <v>49.971183776855469</v>
      </c>
      <c r="D23" s="8">
        <v>40.946582794189453</v>
      </c>
      <c r="E23" s="8">
        <v>45.10009765625</v>
      </c>
      <c r="F23" s="8">
        <v>23.956218719482422</v>
      </c>
      <c r="G23" s="8">
        <v>4468087</v>
      </c>
      <c r="H23" s="8">
        <v>2022</v>
      </c>
      <c r="I23" t="s">
        <v>1146</v>
      </c>
      <c r="J23" s="81">
        <f t="shared" si="2"/>
        <v>623299395</v>
      </c>
      <c r="K23" s="116">
        <f t="shared" si="0"/>
        <v>0.358215647887768</v>
      </c>
      <c r="L23" s="116">
        <f t="shared" si="0"/>
        <v>0.29352329834547902</v>
      </c>
      <c r="M23" s="116">
        <f t="shared" si="3"/>
        <v>0.32329753831482716</v>
      </c>
      <c r="N23" s="116">
        <f t="shared" si="4"/>
        <v>0.17172881971059198</v>
      </c>
      <c r="P23" s="118" t="s">
        <v>1147</v>
      </c>
      <c r="Q23" s="118" t="s">
        <v>1014</v>
      </c>
      <c r="R23" s="119">
        <f>SUMIF($I:$I,$P23,L:L)</f>
        <v>6.9893065484107506</v>
      </c>
      <c r="AJ23" t="str">
        <f t="shared" si="10"/>
        <v>CRI</v>
      </c>
      <c r="AK23" s="26">
        <f t="shared" si="11"/>
        <v>2023</v>
      </c>
      <c r="AL23" s="8">
        <f t="shared" si="12"/>
        <v>36.181095123291016</v>
      </c>
      <c r="AM23" s="8">
        <f t="shared" si="13"/>
        <v>31.868740081787109</v>
      </c>
      <c r="AN23" s="8">
        <f t="shared" si="14"/>
        <v>33.230033874511719</v>
      </c>
      <c r="AO23" s="8">
        <f t="shared" si="15"/>
        <v>15.691619873046875</v>
      </c>
    </row>
    <row r="24" spans="1:41">
      <c r="A24" t="s">
        <v>44</v>
      </c>
      <c r="B24" s="8">
        <v>2022</v>
      </c>
      <c r="C24" s="8">
        <v>37.630363464355469</v>
      </c>
      <c r="D24" s="8">
        <v>33.479560852050781</v>
      </c>
      <c r="E24" s="8">
        <v>34.852867126464844</v>
      </c>
      <c r="F24" s="8">
        <v>21.670051574707031</v>
      </c>
      <c r="G24" s="8">
        <v>34352719</v>
      </c>
      <c r="H24" s="8">
        <v>2022</v>
      </c>
      <c r="I24" t="s">
        <v>1146</v>
      </c>
      <c r="J24" s="81">
        <f t="shared" si="2"/>
        <v>623299395</v>
      </c>
      <c r="K24" s="116">
        <f t="shared" si="0"/>
        <v>2.0739716937457802</v>
      </c>
      <c r="L24" s="116">
        <f t="shared" si="0"/>
        <v>1.8452030523692406</v>
      </c>
      <c r="M24" s="116">
        <f t="shared" si="3"/>
        <v>1.9208918865383855</v>
      </c>
      <c r="N24" s="116">
        <f t="shared" si="4"/>
        <v>1.1943300417633458</v>
      </c>
      <c r="P24" s="118" t="s">
        <v>1147</v>
      </c>
      <c r="Q24" s="118" t="s">
        <v>1058</v>
      </c>
      <c r="R24" s="119">
        <f>SUMIF($I:$I,$P24,N:N)</f>
        <v>11.615437988062199</v>
      </c>
      <c r="AJ24" t="str">
        <f t="shared" si="10"/>
        <v>DOM</v>
      </c>
      <c r="AK24" s="26">
        <f t="shared" si="11"/>
        <v>2022</v>
      </c>
      <c r="AL24" s="8">
        <f t="shared" si="12"/>
        <v>42.003875732421875</v>
      </c>
      <c r="AM24" s="8">
        <f t="shared" si="13"/>
        <v>38.147048950195313</v>
      </c>
      <c r="AN24" s="8">
        <f t="shared" si="14"/>
        <v>39.337615966796875</v>
      </c>
      <c r="AO24" s="8">
        <f t="shared" si="15"/>
        <v>22.992437362670898</v>
      </c>
    </row>
    <row r="25" spans="1:41">
      <c r="A25" t="s">
        <v>45</v>
      </c>
      <c r="B25" s="8">
        <v>2022</v>
      </c>
      <c r="C25" s="8">
        <v>42.518245697021484</v>
      </c>
      <c r="D25" s="8">
        <v>38.773685455322266</v>
      </c>
      <c r="E25" s="8">
        <v>40.252082824707031</v>
      </c>
      <c r="F25" s="8">
        <v>25.065147399902344</v>
      </c>
      <c r="G25" s="8">
        <v>6861524</v>
      </c>
      <c r="H25" s="8">
        <v>2022</v>
      </c>
      <c r="I25" t="s">
        <v>1146</v>
      </c>
      <c r="J25" s="81">
        <f t="shared" si="2"/>
        <v>623299395</v>
      </c>
      <c r="K25" s="116">
        <f t="shared" si="0"/>
        <v>0.46805751076977964</v>
      </c>
      <c r="L25" s="116">
        <f t="shared" si="0"/>
        <v>0.4268359242032389</v>
      </c>
      <c r="M25" s="116">
        <f t="shared" si="3"/>
        <v>0.44311070180280709</v>
      </c>
      <c r="N25" s="116">
        <f t="shared" si="4"/>
        <v>0.27592696515928355</v>
      </c>
      <c r="AJ25" t="str">
        <f t="shared" si="10"/>
        <v>ECU</v>
      </c>
      <c r="AK25" s="26">
        <f t="shared" si="11"/>
        <v>2023</v>
      </c>
      <c r="AL25" s="8">
        <f t="shared" si="12"/>
        <v>48.799037933349609</v>
      </c>
      <c r="AM25" s="8">
        <f t="shared" si="13"/>
        <v>36.921154022216797</v>
      </c>
      <c r="AN25" s="8">
        <f t="shared" si="14"/>
        <v>41.583709716796875</v>
      </c>
      <c r="AO25" s="8">
        <f t="shared" si="15"/>
        <v>23.283191680908203</v>
      </c>
    </row>
    <row r="26" spans="1:41">
      <c r="A26" t="s">
        <v>46</v>
      </c>
      <c r="B26" s="8">
        <v>2023</v>
      </c>
      <c r="C26" s="8">
        <v>31.693401336669922</v>
      </c>
      <c r="D26" s="8">
        <v>32.15313720703125</v>
      </c>
      <c r="E26" s="8">
        <v>31.968011856079102</v>
      </c>
      <c r="F26" s="8">
        <v>19.359367370605469</v>
      </c>
      <c r="G26" s="8">
        <v>6364943</v>
      </c>
      <c r="H26" s="8">
        <v>2023</v>
      </c>
      <c r="I26" t="s">
        <v>1146</v>
      </c>
      <c r="J26" s="81">
        <f t="shared" si="2"/>
        <v>623299395</v>
      </c>
      <c r="K26" s="116">
        <f t="shared" si="0"/>
        <v>0.32364333192402323</v>
      </c>
      <c r="L26" s="116">
        <f t="shared" si="0"/>
        <v>0.32833801418006048</v>
      </c>
      <c r="M26" s="116">
        <f t="shared" si="3"/>
        <v>0.32644757065305302</v>
      </c>
      <c r="N26" s="116">
        <f t="shared" si="4"/>
        <v>0.19769194518464708</v>
      </c>
      <c r="P26" s="118" t="s">
        <v>1048</v>
      </c>
      <c r="Q26" s="118" t="s">
        <v>900</v>
      </c>
      <c r="R26" s="119">
        <f>SUMIF($I:$I,$P26,K:K)</f>
        <v>48.194125785265364</v>
      </c>
      <c r="AJ26" t="str">
        <f t="shared" si="10"/>
        <v>GTM</v>
      </c>
      <c r="AK26" s="26">
        <f t="shared" si="11"/>
        <v>2022</v>
      </c>
      <c r="AL26" s="8">
        <f t="shared" si="12"/>
        <v>43.624038696289063</v>
      </c>
      <c r="AM26" s="8">
        <f t="shared" si="13"/>
        <v>37.694435119628906</v>
      </c>
      <c r="AN26" s="8">
        <f t="shared" si="14"/>
        <v>41.112026214599609</v>
      </c>
      <c r="AO26" s="8">
        <f t="shared" si="15"/>
        <v>24.996883392333984</v>
      </c>
    </row>
    <row r="27" spans="1:41">
      <c r="A27" s="141" t="s">
        <v>50</v>
      </c>
      <c r="B27" s="8">
        <v>2022</v>
      </c>
      <c r="C27" s="8">
        <v>48.648174285888672</v>
      </c>
      <c r="D27" s="8">
        <v>37.650592803955078</v>
      </c>
      <c r="E27" s="8">
        <v>40.722511291503906</v>
      </c>
      <c r="F27" s="8">
        <v>17.857666015625</v>
      </c>
      <c r="G27" s="8">
        <v>3423109</v>
      </c>
      <c r="H27" s="8">
        <v>2022</v>
      </c>
      <c r="I27" s="141" t="s">
        <v>1146</v>
      </c>
      <c r="J27" s="81">
        <f t="shared" si="2"/>
        <v>623299395</v>
      </c>
      <c r="K27" s="116">
        <f t="shared" si="0"/>
        <v>0.26717177100997203</v>
      </c>
      <c r="L27" s="116">
        <f t="shared" si="0"/>
        <v>0.20677395825573339</v>
      </c>
      <c r="M27" s="116">
        <f t="shared" si="3"/>
        <v>0.22364468187001635</v>
      </c>
      <c r="N27" s="116">
        <f t="shared" si="4"/>
        <v>9.8072832650639874E-2</v>
      </c>
      <c r="P27" s="117" t="s">
        <v>1048</v>
      </c>
      <c r="Q27" s="118" t="s">
        <v>1014</v>
      </c>
      <c r="R27" s="119">
        <f>SUMIF($I:$I,$P27,L:L)</f>
        <v>42.800188951129392</v>
      </c>
      <c r="AJ27" t="str">
        <f t="shared" si="10"/>
        <v>GUY</v>
      </c>
      <c r="AK27" s="26">
        <f t="shared" si="11"/>
        <v>2021</v>
      </c>
      <c r="AL27" s="8">
        <f t="shared" si="12"/>
        <v>34.792510986328125</v>
      </c>
      <c r="AM27" s="8">
        <f t="shared" si="13"/>
        <v>27.885801315307617</v>
      </c>
      <c r="AN27" s="8">
        <f t="shared" si="14"/>
        <v>31.700813293457031</v>
      </c>
      <c r="AO27" s="8">
        <f t="shared" si="15"/>
        <v>18.587486267089844</v>
      </c>
    </row>
    <row r="28" spans="1:41">
      <c r="A28" s="84" t="s">
        <v>51</v>
      </c>
      <c r="B28" s="8">
        <v>2021</v>
      </c>
      <c r="C28" s="8">
        <v>31.539783477783203</v>
      </c>
      <c r="D28" s="8">
        <v>28.137826919555664</v>
      </c>
      <c r="E28" s="8">
        <v>30.718730926513672</v>
      </c>
      <c r="F28" s="8">
        <v>22.413930892944336</v>
      </c>
      <c r="G28" s="8">
        <v>28838499</v>
      </c>
      <c r="H28" s="8">
        <v>2021</v>
      </c>
      <c r="I28" s="84" t="s">
        <v>1146</v>
      </c>
      <c r="J28" s="81">
        <f t="shared" si="2"/>
        <v>623299395</v>
      </c>
      <c r="K28" s="116">
        <f t="shared" si="0"/>
        <v>1.4592666406876065</v>
      </c>
      <c r="L28" s="116">
        <f t="shared" si="0"/>
        <v>1.301866647057758</v>
      </c>
      <c r="M28" s="116">
        <f t="shared" si="3"/>
        <v>1.4212785993567885</v>
      </c>
      <c r="N28" s="116">
        <f t="shared" si="4"/>
        <v>1.0370363405249965</v>
      </c>
      <c r="P28" s="117" t="s">
        <v>1048</v>
      </c>
      <c r="Q28" s="118" t="s">
        <v>1058</v>
      </c>
      <c r="R28" s="119">
        <f>SUMIF($I:$I,$P28,N:N)</f>
        <v>31.302223410059888</v>
      </c>
      <c r="AJ28" t="str">
        <f t="shared" si="10"/>
        <v>HND</v>
      </c>
      <c r="AK28" s="26">
        <f t="shared" si="11"/>
        <v>2023</v>
      </c>
      <c r="AL28" s="8">
        <f t="shared" si="12"/>
        <v>37.555919647216797</v>
      </c>
      <c r="AM28" s="8">
        <f t="shared" si="13"/>
        <v>33.957305908203125</v>
      </c>
      <c r="AN28" s="8">
        <f t="shared" si="14"/>
        <v>36.056957244873047</v>
      </c>
      <c r="AO28" s="8">
        <f t="shared" si="15"/>
        <v>22.867033004760742</v>
      </c>
    </row>
    <row r="29" spans="1:41">
      <c r="A29" t="s">
        <v>10</v>
      </c>
      <c r="B29" s="8">
        <v>2022</v>
      </c>
      <c r="C29" s="8">
        <v>2.5660543441772461</v>
      </c>
      <c r="D29" s="8">
        <v>4.4857001304626465</v>
      </c>
      <c r="E29" s="8">
        <v>3.7427489757537842</v>
      </c>
      <c r="F29" s="8">
        <v>13.883983612060547</v>
      </c>
      <c r="G29" s="8">
        <v>45773884</v>
      </c>
      <c r="H29" s="8">
        <v>2022</v>
      </c>
      <c r="I29" t="s">
        <v>1147</v>
      </c>
      <c r="J29" s="81">
        <f t="shared" si="2"/>
        <v>623299395</v>
      </c>
      <c r="K29" s="116">
        <f t="shared" si="0"/>
        <v>0.18844599373959817</v>
      </c>
      <c r="L29" s="116">
        <f t="shared" si="0"/>
        <v>0.32942101192089562</v>
      </c>
      <c r="M29" s="116">
        <f t="shared" si="3"/>
        <v>0.27486013757044081</v>
      </c>
      <c r="N29" s="116">
        <f t="shared" si="4"/>
        <v>1.0196125014951449</v>
      </c>
      <c r="P29" s="117"/>
      <c r="Q29" s="117"/>
      <c r="R29" s="119"/>
      <c r="AJ29" t="str">
        <f t="shared" si="10"/>
        <v>MEX</v>
      </c>
      <c r="AK29" s="26">
        <f t="shared" si="11"/>
        <v>2022</v>
      </c>
      <c r="AL29" s="8">
        <f t="shared" si="12"/>
        <v>36.903034210205078</v>
      </c>
      <c r="AM29" s="8">
        <f t="shared" si="13"/>
        <v>33.552143096923828</v>
      </c>
      <c r="AN29" s="8">
        <f t="shared" si="14"/>
        <v>34.6282958984375</v>
      </c>
      <c r="AO29" s="8">
        <f t="shared" si="15"/>
        <v>21.027444839477539</v>
      </c>
    </row>
    <row r="30" spans="1:41">
      <c r="A30" t="s">
        <v>15</v>
      </c>
      <c r="B30" s="8">
        <v>2022</v>
      </c>
      <c r="C30" s="8">
        <v>3.6056146621704102</v>
      </c>
      <c r="D30" s="8">
        <v>10.513453483581543</v>
      </c>
      <c r="E30" s="8">
        <v>7.6045246124267578</v>
      </c>
      <c r="F30" s="8">
        <v>8.4491310119628906</v>
      </c>
      <c r="G30" s="8">
        <v>12388571</v>
      </c>
      <c r="H30" s="8">
        <v>2022</v>
      </c>
      <c r="I30" t="s">
        <v>1147</v>
      </c>
      <c r="J30" s="81">
        <f t="shared" si="2"/>
        <v>623299395</v>
      </c>
      <c r="K30" s="116">
        <f t="shared" si="0"/>
        <v>7.1664457882137267E-2</v>
      </c>
      <c r="L30" s="116">
        <f t="shared" si="0"/>
        <v>0.20896324620457443</v>
      </c>
      <c r="M30" s="116">
        <f t="shared" si="3"/>
        <v>0.15114597228559218</v>
      </c>
      <c r="N30" s="116">
        <f t="shared" si="4"/>
        <v>0.16793319594029787</v>
      </c>
      <c r="P30" s="118" t="s">
        <v>1049</v>
      </c>
      <c r="Q30" s="118" t="s">
        <v>900</v>
      </c>
      <c r="R30" s="119">
        <f>SUMIF($I:$I,$P30,K:K)</f>
        <v>22.209165085907014</v>
      </c>
      <c r="AJ30" t="str">
        <f t="shared" si="10"/>
        <v>PAN</v>
      </c>
      <c r="AK30" s="26">
        <f t="shared" si="11"/>
        <v>2022</v>
      </c>
      <c r="AL30" s="8">
        <f t="shared" si="12"/>
        <v>49.971183776855469</v>
      </c>
      <c r="AM30" s="8">
        <f t="shared" si="13"/>
        <v>40.946582794189453</v>
      </c>
      <c r="AN30" s="8">
        <f t="shared" si="14"/>
        <v>45.10009765625</v>
      </c>
      <c r="AO30" s="8">
        <f t="shared" si="15"/>
        <v>23.956218719482422</v>
      </c>
    </row>
    <row r="31" spans="1:41">
      <c r="A31" t="s">
        <v>17</v>
      </c>
      <c r="B31" s="8">
        <v>2022</v>
      </c>
      <c r="C31" s="8">
        <v>1.2986968755722046</v>
      </c>
      <c r="D31" s="8">
        <v>4.7751898765563965</v>
      </c>
      <c r="E31" s="8">
        <v>3.4919474124908447</v>
      </c>
      <c r="F31" s="8">
        <v>13.434494972229004</v>
      </c>
      <c r="G31" s="8">
        <v>216422446</v>
      </c>
      <c r="H31" s="8">
        <v>2022</v>
      </c>
      <c r="I31" t="s">
        <v>1147</v>
      </c>
      <c r="J31" s="81">
        <f t="shared" si="2"/>
        <v>623299395</v>
      </c>
      <c r="K31" s="116">
        <f t="shared" si="0"/>
        <v>0.4509344252193509</v>
      </c>
      <c r="L31" s="116">
        <f t="shared" si="0"/>
        <v>1.6580447237539406</v>
      </c>
      <c r="M31" s="116">
        <f t="shared" si="3"/>
        <v>1.2124763899612634</v>
      </c>
      <c r="N31" s="116">
        <f t="shared" si="4"/>
        <v>4.6647346138760541</v>
      </c>
      <c r="P31" s="118" t="s">
        <v>1049</v>
      </c>
      <c r="Q31" s="118" t="s">
        <v>1014</v>
      </c>
      <c r="R31" s="119">
        <f>SUMIF($I:$I,$P31,L:L)</f>
        <v>14.832204461783819</v>
      </c>
      <c r="AJ31" t="str">
        <f t="shared" si="10"/>
        <v>PER</v>
      </c>
      <c r="AK31" s="26">
        <f t="shared" si="11"/>
        <v>2022</v>
      </c>
      <c r="AL31" s="8">
        <f t="shared" si="12"/>
        <v>37.630363464355469</v>
      </c>
      <c r="AM31" s="8">
        <f t="shared" si="13"/>
        <v>33.479560852050781</v>
      </c>
      <c r="AN31" s="8">
        <f t="shared" si="14"/>
        <v>34.852867126464844</v>
      </c>
      <c r="AO31" s="8">
        <f t="shared" si="15"/>
        <v>21.670051574707031</v>
      </c>
    </row>
    <row r="32" spans="1:41">
      <c r="A32" t="s">
        <v>21</v>
      </c>
      <c r="B32" s="8">
        <v>2022</v>
      </c>
      <c r="C32" s="8">
        <v>4.2986893653869629</v>
      </c>
      <c r="D32" s="8">
        <v>7.9250402450561523</v>
      </c>
      <c r="E32" s="8">
        <v>6.8852214813232422</v>
      </c>
      <c r="F32" s="8">
        <v>13.948697090148926</v>
      </c>
      <c r="G32" s="8">
        <v>19629590</v>
      </c>
      <c r="H32" s="8">
        <v>2022</v>
      </c>
      <c r="I32" t="s">
        <v>1147</v>
      </c>
      <c r="J32" s="81">
        <f t="shared" si="2"/>
        <v>623299395</v>
      </c>
      <c r="K32" s="116">
        <f t="shared" si="0"/>
        <v>0.13537877696785872</v>
      </c>
      <c r="L32" s="116">
        <f t="shared" si="0"/>
        <v>0.24958357410879853</v>
      </c>
      <c r="M32" s="116">
        <f t="shared" si="3"/>
        <v>0.21683652482538973</v>
      </c>
      <c r="N32" s="116">
        <f t="shared" si="4"/>
        <v>0.43928681322370999</v>
      </c>
      <c r="P32" s="118" t="s">
        <v>1049</v>
      </c>
      <c r="Q32" s="118" t="s">
        <v>1058</v>
      </c>
      <c r="R32" s="119">
        <f>SUMIF($I:$I,$P32,N:N)</f>
        <v>9.5404315227076584</v>
      </c>
      <c r="AJ32" t="str">
        <f t="shared" si="10"/>
        <v>PRY</v>
      </c>
      <c r="AK32" s="26">
        <f t="shared" si="11"/>
        <v>2022</v>
      </c>
      <c r="AL32" s="8">
        <f t="shared" si="12"/>
        <v>42.518245697021484</v>
      </c>
      <c r="AM32" s="8">
        <f t="shared" si="13"/>
        <v>38.773685455322266</v>
      </c>
      <c r="AN32" s="8">
        <f t="shared" si="14"/>
        <v>40.252082824707031</v>
      </c>
      <c r="AO32" s="8">
        <f t="shared" si="15"/>
        <v>25.065147399902344</v>
      </c>
    </row>
    <row r="33" spans="1:41">
      <c r="A33" t="s">
        <v>23</v>
      </c>
      <c r="B33" s="8">
        <v>2022</v>
      </c>
      <c r="C33" s="8">
        <v>9.7910547256469727</v>
      </c>
      <c r="D33" s="8">
        <v>7.8144431114196777</v>
      </c>
      <c r="E33" s="8">
        <v>8.7500772476196289</v>
      </c>
      <c r="F33" s="8">
        <v>11.312135696411133</v>
      </c>
      <c r="G33" s="8">
        <v>52085168</v>
      </c>
      <c r="H33" s="8">
        <v>2022</v>
      </c>
      <c r="I33" t="s">
        <v>1147</v>
      </c>
      <c r="J33" s="81">
        <f t="shared" si="2"/>
        <v>623299395</v>
      </c>
      <c r="K33" s="116">
        <f t="shared" si="0"/>
        <v>0.81817619970979838</v>
      </c>
      <c r="L33" s="116">
        <f t="shared" si="0"/>
        <v>0.6530033328280973</v>
      </c>
      <c r="M33" s="116">
        <f t="shared" si="3"/>
        <v>0.73118832957514102</v>
      </c>
      <c r="N33" s="116">
        <f t="shared" si="4"/>
        <v>0.94528326661759543</v>
      </c>
      <c r="AJ33" t="str">
        <f t="shared" si="10"/>
        <v>SLV</v>
      </c>
      <c r="AK33" s="26">
        <f t="shared" si="11"/>
        <v>2023</v>
      </c>
      <c r="AL33" s="8">
        <f t="shared" si="12"/>
        <v>31.693401336669922</v>
      </c>
      <c r="AM33" s="8">
        <f t="shared" si="13"/>
        <v>32.15313720703125</v>
      </c>
      <c r="AN33" s="8">
        <f t="shared" si="14"/>
        <v>31.968011856079102</v>
      </c>
      <c r="AO33" s="8">
        <f t="shared" si="15"/>
        <v>19.359367370605469</v>
      </c>
    </row>
    <row r="34" spans="1:41">
      <c r="A34" t="s">
        <v>25</v>
      </c>
      <c r="B34" s="8">
        <v>2023</v>
      </c>
      <c r="C34" s="8">
        <v>8.2937421798706055</v>
      </c>
      <c r="D34" s="8">
        <v>10.709526062011719</v>
      </c>
      <c r="E34" s="8">
        <v>9.946929931640625</v>
      </c>
      <c r="F34" s="8">
        <v>15.093430519104004</v>
      </c>
      <c r="G34" s="8">
        <v>5212173</v>
      </c>
      <c r="H34" s="8">
        <v>2023</v>
      </c>
      <c r="I34" t="s">
        <v>1147</v>
      </c>
      <c r="J34" s="81">
        <f t="shared" si="2"/>
        <v>623299395</v>
      </c>
      <c r="K34" s="116">
        <f t="shared" ref="K34:L60" si="16">IFERROR($G34/$J34*C34,"")</f>
        <v>6.9354181001383311E-2</v>
      </c>
      <c r="L34" s="116">
        <f t="shared" si="16"/>
        <v>8.9555521842298286E-2</v>
      </c>
      <c r="M34" s="116">
        <f t="shared" si="3"/>
        <v>8.3178517480494443E-2</v>
      </c>
      <c r="N34" s="116">
        <f t="shared" si="4"/>
        <v>0.12621473991491661</v>
      </c>
      <c r="P34" s="118" t="s">
        <v>1050</v>
      </c>
      <c r="Q34" s="118" t="s">
        <v>900</v>
      </c>
      <c r="R34" s="119">
        <f>SUMIF($I:$I,$P34,K:K)</f>
        <v>16.923918276456117</v>
      </c>
      <c r="AJ34" t="str">
        <f t="shared" si="10"/>
        <v>URY</v>
      </c>
      <c r="AK34" s="26">
        <f t="shared" si="11"/>
        <v>2022</v>
      </c>
      <c r="AL34" s="8">
        <f t="shared" si="12"/>
        <v>48.648174285888672</v>
      </c>
      <c r="AM34" s="8">
        <f t="shared" si="13"/>
        <v>37.650592803955078</v>
      </c>
      <c r="AN34" s="8">
        <f t="shared" si="14"/>
        <v>40.722511291503906</v>
      </c>
      <c r="AO34" s="8">
        <f t="shared" si="15"/>
        <v>17.857666015625</v>
      </c>
    </row>
    <row r="35" spans="1:41">
      <c r="A35" t="s">
        <v>27</v>
      </c>
      <c r="B35" s="8">
        <v>2022</v>
      </c>
      <c r="C35" s="8">
        <v>8.9437360763549805</v>
      </c>
      <c r="D35" s="8">
        <v>9.1766061782836914</v>
      </c>
      <c r="E35" s="8">
        <v>9.1047210693359375</v>
      </c>
      <c r="F35" s="8">
        <v>11.142269134521484</v>
      </c>
      <c r="G35" s="8">
        <v>11332973</v>
      </c>
      <c r="H35" s="8">
        <v>2022</v>
      </c>
      <c r="I35" t="s">
        <v>1147</v>
      </c>
      <c r="J35" s="81">
        <f t="shared" si="2"/>
        <v>623299395</v>
      </c>
      <c r="K35" s="116">
        <f t="shared" si="16"/>
        <v>0.16261706699146872</v>
      </c>
      <c r="L35" s="116">
        <f t="shared" si="16"/>
        <v>0.16685116476027104</v>
      </c>
      <c r="M35" s="116">
        <f t="shared" si="3"/>
        <v>0.16554413317105066</v>
      </c>
      <c r="N35" s="116">
        <f t="shared" si="4"/>
        <v>0.20259130086315155</v>
      </c>
      <c r="P35" s="118" t="s">
        <v>1050</v>
      </c>
      <c r="Q35" s="118" t="s">
        <v>1014</v>
      </c>
      <c r="R35" s="119">
        <f>SUMIF($I:$I,$P35,L:L)</f>
        <v>15.03573805225685</v>
      </c>
      <c r="AJ35" s="84" t="str">
        <f t="shared" si="10"/>
        <v>VEN</v>
      </c>
      <c r="AK35" s="215">
        <f t="shared" si="11"/>
        <v>2021</v>
      </c>
      <c r="AL35" s="7558">
        <f t="shared" si="12"/>
        <v>31.539783477783203</v>
      </c>
      <c r="AM35" s="7558">
        <f t="shared" si="13"/>
        <v>28.137826919555664</v>
      </c>
      <c r="AN35" s="7558">
        <f t="shared" si="14"/>
        <v>30.718730926513672</v>
      </c>
      <c r="AO35" s="7558">
        <f t="shared" si="15"/>
        <v>22.413930892944336</v>
      </c>
    </row>
    <row r="36" spans="1:41">
      <c r="A36" t="s">
        <v>29</v>
      </c>
      <c r="B36" s="8">
        <v>2023</v>
      </c>
      <c r="C36" s="8">
        <v>5.1341824531555176</v>
      </c>
      <c r="D36" s="8">
        <v>7.7205910682678223</v>
      </c>
      <c r="E36" s="8">
        <v>6.705319881439209</v>
      </c>
      <c r="F36" s="8">
        <v>11.506635665893555</v>
      </c>
      <c r="G36" s="8">
        <v>18190484</v>
      </c>
      <c r="H36" s="8">
        <v>2023</v>
      </c>
      <c r="I36" t="s">
        <v>1147</v>
      </c>
      <c r="J36" s="81">
        <f t="shared" si="2"/>
        <v>623299395</v>
      </c>
      <c r="K36" s="116">
        <f t="shared" si="16"/>
        <v>0.14983692350159622</v>
      </c>
      <c r="L36" s="116">
        <f t="shared" si="16"/>
        <v>0.22531914746663398</v>
      </c>
      <c r="M36" s="116">
        <f t="shared" si="3"/>
        <v>0.1956892867162206</v>
      </c>
      <c r="N36" s="116">
        <f t="shared" si="4"/>
        <v>0.33581176823421444</v>
      </c>
      <c r="P36" s="118" t="s">
        <v>1050</v>
      </c>
      <c r="Q36" s="118" t="s">
        <v>1058</v>
      </c>
      <c r="R36" s="119">
        <f>SUMIF($I:$I,$P36,N:N)</f>
        <v>14.322950622543095</v>
      </c>
      <c r="AJ36" s="3" t="s">
        <v>1261</v>
      </c>
      <c r="AL36" s="7497">
        <f>AVERAGE(AL18:AL35)</f>
        <v>39.674523459540474</v>
      </c>
      <c r="AM36" s="7497">
        <f t="shared" ref="AM36:AO36" si="17">AVERAGE(AM18:AM35)</f>
        <v>34.424745135837128</v>
      </c>
      <c r="AN36" s="7497">
        <f t="shared" si="17"/>
        <v>36.630885865953232</v>
      </c>
      <c r="AO36" s="7497">
        <f t="shared" si="17"/>
        <v>21.225417349073624</v>
      </c>
    </row>
    <row r="37" spans="1:41" ht="15" thickBot="1">
      <c r="A37" t="s">
        <v>31</v>
      </c>
      <c r="B37" s="8">
        <v>2022</v>
      </c>
      <c r="C37" s="8">
        <v>7.1945610046386719</v>
      </c>
      <c r="D37" s="8">
        <v>5.0519895553588867</v>
      </c>
      <c r="E37" s="8">
        <v>6.2868843078613281</v>
      </c>
      <c r="F37" s="8">
        <v>6.9008750915527344</v>
      </c>
      <c r="G37" s="8">
        <v>18092026</v>
      </c>
      <c r="H37" s="8">
        <v>2022</v>
      </c>
      <c r="I37" t="s">
        <v>1147</v>
      </c>
      <c r="J37" s="81">
        <f t="shared" si="2"/>
        <v>623299395</v>
      </c>
      <c r="K37" s="116">
        <f t="shared" si="16"/>
        <v>0.20883091785210053</v>
      </c>
      <c r="L37" s="116">
        <f t="shared" si="16"/>
        <v>0.14664016541726535</v>
      </c>
      <c r="M37" s="116">
        <f t="shared" si="3"/>
        <v>0.18248449343805179</v>
      </c>
      <c r="N37" s="116">
        <f t="shared" si="4"/>
        <v>0.20030632562883274</v>
      </c>
      <c r="P37" s="117"/>
      <c r="Q37" s="117"/>
      <c r="R37" s="119"/>
      <c r="AJ37" s="212" t="s">
        <v>1145</v>
      </c>
      <c r="AK37" s="219"/>
      <c r="AL37" s="2559">
        <f>SUMIF($I:$I,$P9,K:K)</f>
        <v>39.102776883701168</v>
      </c>
      <c r="AM37" s="2559">
        <f t="shared" ref="AM37:AO37" si="18">SUMIF($I:$I,$P9,L:L)</f>
        <v>33.052259168231139</v>
      </c>
      <c r="AN37" s="2559">
        <f t="shared" si="18"/>
        <v>35.41226398490646</v>
      </c>
      <c r="AO37" s="2559">
        <f t="shared" si="18"/>
        <v>19.584050870476805</v>
      </c>
    </row>
    <row r="38" spans="1:41" ht="15" thickTop="1">
      <c r="A38" t="s">
        <v>33</v>
      </c>
      <c r="B38" s="8">
        <v>2021</v>
      </c>
      <c r="C38" s="8">
        <v>5.8112630844116211</v>
      </c>
      <c r="D38" s="8">
        <v>12.528707504272461</v>
      </c>
      <c r="E38" s="8">
        <v>8.8182363510131836</v>
      </c>
      <c r="F38" s="8">
        <v>13.56319522857666</v>
      </c>
      <c r="G38" s="8">
        <v>813834</v>
      </c>
      <c r="H38" s="8">
        <v>2021</v>
      </c>
      <c r="I38" t="s">
        <v>1147</v>
      </c>
      <c r="J38" s="81">
        <f t="shared" si="2"/>
        <v>623299395</v>
      </c>
      <c r="K38" s="116">
        <f t="shared" si="16"/>
        <v>7.5876914352516695E-3</v>
      </c>
      <c r="L38" s="116">
        <f t="shared" si="16"/>
        <v>1.635857218027955E-2</v>
      </c>
      <c r="M38" s="116">
        <f t="shared" si="3"/>
        <v>1.1513857738447609E-2</v>
      </c>
      <c r="N38" s="116">
        <f t="shared" si="4"/>
        <v>1.7709289491053427E-2</v>
      </c>
      <c r="P38" s="118" t="s">
        <v>1047</v>
      </c>
      <c r="Q38" s="118" t="s">
        <v>900</v>
      </c>
      <c r="R38" s="119">
        <f>SUMIF($I:$I,$P38,K:K)</f>
        <v>1.7312434755905231</v>
      </c>
    </row>
    <row r="39" spans="1:41" ht="15" thickBot="1">
      <c r="A39" t="s">
        <v>34</v>
      </c>
      <c r="B39" s="8">
        <v>2023</v>
      </c>
      <c r="C39" s="8">
        <v>9.3627500534057617</v>
      </c>
      <c r="D39" s="8">
        <v>8.7887029647827148</v>
      </c>
      <c r="E39" s="8">
        <v>9.1236371994018555</v>
      </c>
      <c r="F39" s="8">
        <v>10.042203903198242</v>
      </c>
      <c r="G39" s="8">
        <v>10593798</v>
      </c>
      <c r="H39" s="8">
        <v>2023</v>
      </c>
      <c r="I39" t="s">
        <v>1147</v>
      </c>
      <c r="J39" s="81">
        <f t="shared" si="2"/>
        <v>623299395</v>
      </c>
      <c r="K39" s="116">
        <f t="shared" si="16"/>
        <v>0.15913232643241992</v>
      </c>
      <c r="L39" s="116">
        <f t="shared" si="16"/>
        <v>0.14937563655249367</v>
      </c>
      <c r="M39" s="116">
        <f t="shared" si="3"/>
        <v>0.15506828707213646</v>
      </c>
      <c r="N39" s="116">
        <f t="shared" si="4"/>
        <v>0.1706805436980951</v>
      </c>
      <c r="P39" s="118" t="s">
        <v>1047</v>
      </c>
      <c r="Q39" s="118" t="s">
        <v>1014</v>
      </c>
      <c r="R39" s="119">
        <f>SUMIF($I:$I,$P39,L:L)</f>
        <v>2.1194622366817923</v>
      </c>
      <c r="AJ39" s="212" t="s">
        <v>1150</v>
      </c>
      <c r="AK39" s="219"/>
      <c r="AL39" s="85"/>
      <c r="AM39" s="85"/>
      <c r="AN39" s="85"/>
      <c r="AO39" s="85"/>
    </row>
    <row r="40" spans="1:41" ht="15" thickTop="1">
      <c r="A40" t="s">
        <v>38</v>
      </c>
      <c r="B40" s="8">
        <v>2022</v>
      </c>
      <c r="C40" s="8">
        <v>12.529794692993164</v>
      </c>
      <c r="D40" s="8">
        <v>8.9945573806762695</v>
      </c>
      <c r="E40" s="8">
        <v>10.129914283752441</v>
      </c>
      <c r="F40" s="8">
        <v>9.4901304244995117</v>
      </c>
      <c r="G40" s="8">
        <v>128455567</v>
      </c>
      <c r="H40" s="8">
        <v>2022</v>
      </c>
      <c r="I40" t="s">
        <v>1147</v>
      </c>
      <c r="J40" s="81">
        <f t="shared" si="2"/>
        <v>623299395</v>
      </c>
      <c r="K40" s="116">
        <f t="shared" si="16"/>
        <v>2.5822612609499291</v>
      </c>
      <c r="L40" s="116">
        <f t="shared" si="16"/>
        <v>1.8536853677658471</v>
      </c>
      <c r="M40" s="116">
        <f t="shared" si="3"/>
        <v>2.0876706979329231</v>
      </c>
      <c r="N40" s="116">
        <f t="shared" si="4"/>
        <v>1.9558178531250388</v>
      </c>
      <c r="P40" s="118" t="s">
        <v>1047</v>
      </c>
      <c r="Q40" s="118" t="s">
        <v>1058</v>
      </c>
      <c r="R40" s="119">
        <f>SUMIF($I:$I,$P40,N:N)</f>
        <v>2.1148320836194556</v>
      </c>
      <c r="AJ40" s="213" t="s">
        <v>904</v>
      </c>
      <c r="AK40" s="216" t="s">
        <v>938</v>
      </c>
      <c r="AL40" s="2650" t="s">
        <v>1141</v>
      </c>
      <c r="AM40" s="2650" t="s">
        <v>1142</v>
      </c>
      <c r="AN40" s="2650" t="s">
        <v>1152</v>
      </c>
      <c r="AO40" s="2650" t="s">
        <v>1102</v>
      </c>
    </row>
    <row r="41" spans="1:41">
      <c r="A41" t="s">
        <v>42</v>
      </c>
      <c r="B41" s="8">
        <v>2022</v>
      </c>
      <c r="C41" s="8">
        <v>4.3727283477783203</v>
      </c>
      <c r="D41" s="8">
        <v>9.8324298858642578</v>
      </c>
      <c r="E41" s="8">
        <v>7.3196382522583008</v>
      </c>
      <c r="F41" s="8">
        <v>13.19133186340332</v>
      </c>
      <c r="G41" s="8">
        <v>4468087</v>
      </c>
      <c r="H41" s="8">
        <v>2022</v>
      </c>
      <c r="I41" t="s">
        <v>1147</v>
      </c>
      <c r="J41" s="81">
        <f t="shared" si="2"/>
        <v>623299395</v>
      </c>
      <c r="K41" s="116">
        <f t="shared" si="16"/>
        <v>3.1345659633184454E-2</v>
      </c>
      <c r="L41" s="116">
        <f t="shared" si="16"/>
        <v>7.0483226044911487E-2</v>
      </c>
      <c r="M41" s="116">
        <f t="shared" si="3"/>
        <v>5.2470419162877632E-2</v>
      </c>
      <c r="N41" s="116">
        <f t="shared" si="4"/>
        <v>9.4561327805489287E-2</v>
      </c>
      <c r="AJ41" t="str">
        <f t="shared" ref="AJ41:AJ58" si="19">A29</f>
        <v>ARG</v>
      </c>
      <c r="AK41" s="26">
        <f t="shared" ref="AK41:AK58" si="20">B29</f>
        <v>2022</v>
      </c>
      <c r="AL41" s="8">
        <f t="shared" ref="AL41:AL58" si="21">C29</f>
        <v>2.5660543441772461</v>
      </c>
      <c r="AM41" s="8">
        <f t="shared" ref="AM41:AM58" si="22">D29</f>
        <v>4.4857001304626465</v>
      </c>
      <c r="AN41" s="8">
        <f t="shared" ref="AN41:AN58" si="23">E29</f>
        <v>3.7427489757537842</v>
      </c>
      <c r="AO41" s="8">
        <f t="shared" ref="AO41:AO58" si="24">F29</f>
        <v>13.883983612060547</v>
      </c>
    </row>
    <row r="42" spans="1:41">
      <c r="A42" s="141" t="s">
        <v>44</v>
      </c>
      <c r="B42" s="8">
        <v>2022</v>
      </c>
      <c r="C42" s="8">
        <v>9.7761545181274414</v>
      </c>
      <c r="D42" s="8">
        <v>11.108133316040039</v>
      </c>
      <c r="E42" s="8">
        <v>10.66744327545166</v>
      </c>
      <c r="F42" s="8">
        <v>11.386725425720215</v>
      </c>
      <c r="G42" s="8">
        <v>34352719</v>
      </c>
      <c r="H42" s="8">
        <v>2022</v>
      </c>
      <c r="I42" s="141" t="s">
        <v>1147</v>
      </c>
      <c r="J42" s="81">
        <f t="shared" si="2"/>
        <v>623299395</v>
      </c>
      <c r="K42" s="116">
        <f t="shared" si="16"/>
        <v>0.53880605653694302</v>
      </c>
      <c r="L42" s="116">
        <f t="shared" si="16"/>
        <v>0.61221715516098274</v>
      </c>
      <c r="M42" s="116">
        <f t="shared" si="3"/>
        <v>0.58792882558474246</v>
      </c>
      <c r="N42" s="116">
        <f t="shared" si="4"/>
        <v>0.62757156836310091</v>
      </c>
      <c r="AJ42" t="str">
        <f t="shared" si="19"/>
        <v>BOL</v>
      </c>
      <c r="AK42" s="26">
        <f t="shared" si="20"/>
        <v>2022</v>
      </c>
      <c r="AL42" s="8">
        <f t="shared" si="21"/>
        <v>3.6056146621704102</v>
      </c>
      <c r="AM42" s="8">
        <f t="shared" si="22"/>
        <v>10.513453483581543</v>
      </c>
      <c r="AN42" s="8">
        <f t="shared" si="23"/>
        <v>7.6045246124267578</v>
      </c>
      <c r="AO42" s="8">
        <f t="shared" si="24"/>
        <v>8.4491310119628906</v>
      </c>
    </row>
    <row r="43" spans="1:41">
      <c r="A43" t="s">
        <v>45</v>
      </c>
      <c r="B43" s="8">
        <v>2022</v>
      </c>
      <c r="C43" s="8">
        <v>5.1080975532531738</v>
      </c>
      <c r="D43" s="8">
        <v>8.3739614486694336</v>
      </c>
      <c r="E43" s="8">
        <v>7.0845575332641602</v>
      </c>
      <c r="F43" s="8">
        <v>7.0516295433044434</v>
      </c>
      <c r="G43" s="8">
        <v>6861524</v>
      </c>
      <c r="H43" s="8">
        <v>2022</v>
      </c>
      <c r="I43" t="s">
        <v>1147</v>
      </c>
      <c r="J43" s="81">
        <f t="shared" si="2"/>
        <v>623299395</v>
      </c>
      <c r="K43" s="116">
        <f t="shared" si="16"/>
        <v>5.6231939637913383E-2</v>
      </c>
      <c r="L43" s="116">
        <f t="shared" si="16"/>
        <v>9.2183849232069418E-2</v>
      </c>
      <c r="M43" s="116">
        <f t="shared" si="3"/>
        <v>7.7989585637048206E-2</v>
      </c>
      <c r="N43" s="116">
        <f t="shared" si="4"/>
        <v>7.7627101419683681E-2</v>
      </c>
      <c r="AJ43" t="str">
        <f t="shared" si="19"/>
        <v>BRA</v>
      </c>
      <c r="AK43" s="26">
        <f t="shared" si="20"/>
        <v>2022</v>
      </c>
      <c r="AL43" s="8">
        <f t="shared" si="21"/>
        <v>1.2986968755722046</v>
      </c>
      <c r="AM43" s="8">
        <f t="shared" si="22"/>
        <v>4.7751898765563965</v>
      </c>
      <c r="AN43" s="8">
        <f t="shared" si="23"/>
        <v>3.4919474124908447</v>
      </c>
      <c r="AO43" s="8">
        <f t="shared" si="24"/>
        <v>13.434494972229004</v>
      </c>
    </row>
    <row r="44" spans="1:41">
      <c r="A44" t="s">
        <v>46</v>
      </c>
      <c r="B44" s="8">
        <v>2023</v>
      </c>
      <c r="C44" s="8">
        <v>12.985799789428711</v>
      </c>
      <c r="D44" s="8">
        <v>8.0052595138549805</v>
      </c>
      <c r="E44" s="8">
        <v>10.010825157165527</v>
      </c>
      <c r="F44" s="8">
        <v>9.802393913269043</v>
      </c>
      <c r="G44" s="8">
        <v>6364943</v>
      </c>
      <c r="H44" s="8">
        <v>2023</v>
      </c>
      <c r="I44" t="s">
        <v>1147</v>
      </c>
      <c r="J44" s="81">
        <f t="shared" si="2"/>
        <v>623299395</v>
      </c>
      <c r="K44" s="116">
        <f t="shared" si="16"/>
        <v>0.1326070202091657</v>
      </c>
      <c r="L44" s="116">
        <f t="shared" si="16"/>
        <v>8.1747264500224112E-2</v>
      </c>
      <c r="M44" s="116">
        <f t="shared" si="3"/>
        <v>0.10222748813726126</v>
      </c>
      <c r="N44" s="116">
        <f t="shared" si="4"/>
        <v>0.10009905195159768</v>
      </c>
      <c r="AJ44" t="str">
        <f t="shared" si="19"/>
        <v>CHL</v>
      </c>
      <c r="AK44" s="26">
        <f t="shared" si="20"/>
        <v>2022</v>
      </c>
      <c r="AL44" s="8">
        <f t="shared" si="21"/>
        <v>4.2986893653869629</v>
      </c>
      <c r="AM44" s="8">
        <f t="shared" si="22"/>
        <v>7.9250402450561523</v>
      </c>
      <c r="AN44" s="8">
        <f t="shared" si="23"/>
        <v>6.8852214813232422</v>
      </c>
      <c r="AO44" s="8">
        <f t="shared" si="24"/>
        <v>13.948697090148926</v>
      </c>
    </row>
    <row r="45" spans="1:41">
      <c r="A45" t="s">
        <v>50</v>
      </c>
      <c r="B45" s="8">
        <v>2022</v>
      </c>
      <c r="C45" s="8">
        <v>1.3867249488830566</v>
      </c>
      <c r="D45" s="8">
        <v>3.8637573719024658</v>
      </c>
      <c r="E45" s="8">
        <v>3.1718556880950928</v>
      </c>
      <c r="F45" s="8">
        <v>17.00531005859375</v>
      </c>
      <c r="G45" s="8">
        <v>3423109</v>
      </c>
      <c r="H45" s="8">
        <v>2022</v>
      </c>
      <c r="I45" t="s">
        <v>1147</v>
      </c>
      <c r="J45" s="81">
        <f t="shared" si="2"/>
        <v>623299395</v>
      </c>
      <c r="K45" s="116">
        <f t="shared" si="16"/>
        <v>7.6157793367441521E-3</v>
      </c>
      <c r="L45" s="116">
        <f t="shared" si="16"/>
        <v>2.1219437624475278E-2</v>
      </c>
      <c r="M45" s="116">
        <f t="shared" si="3"/>
        <v>1.7419570498090255E-2</v>
      </c>
      <c r="N45" s="116">
        <f t="shared" si="4"/>
        <v>9.3391763855895926E-2</v>
      </c>
      <c r="AJ45" t="str">
        <f t="shared" si="19"/>
        <v>COL</v>
      </c>
      <c r="AK45" s="26">
        <f t="shared" si="20"/>
        <v>2022</v>
      </c>
      <c r="AL45" s="8">
        <f t="shared" si="21"/>
        <v>9.7910547256469727</v>
      </c>
      <c r="AM45" s="8">
        <f t="shared" si="22"/>
        <v>7.8144431114196777</v>
      </c>
      <c r="AN45" s="8">
        <f t="shared" si="23"/>
        <v>8.7500772476196289</v>
      </c>
      <c r="AO45" s="8">
        <f t="shared" si="24"/>
        <v>11.312135696411133</v>
      </c>
    </row>
    <row r="46" spans="1:41">
      <c r="A46" t="s">
        <v>51</v>
      </c>
      <c r="B46" s="8">
        <v>2021</v>
      </c>
      <c r="C46" s="8">
        <v>8.5742311477661133</v>
      </c>
      <c r="D46" s="8">
        <v>7.8814334869384766</v>
      </c>
      <c r="E46" s="8">
        <v>8.4070262908935547</v>
      </c>
      <c r="F46" s="8">
        <v>8.1310863494873047</v>
      </c>
      <c r="G46" s="8">
        <v>28838499</v>
      </c>
      <c r="H46" s="8">
        <v>2021</v>
      </c>
      <c r="I46" t="s">
        <v>1147</v>
      </c>
      <c r="J46" s="81">
        <f t="shared" si="2"/>
        <v>623299395</v>
      </c>
      <c r="K46" s="116">
        <f t="shared" si="16"/>
        <v>0.39670816041883356</v>
      </c>
      <c r="L46" s="116">
        <f t="shared" si="16"/>
        <v>0.36465415104669208</v>
      </c>
      <c r="M46" s="116">
        <f t="shared" si="3"/>
        <v>0.38897201124815384</v>
      </c>
      <c r="N46" s="116">
        <f t="shared" si="4"/>
        <v>0.37620496255832769</v>
      </c>
      <c r="AJ46" t="str">
        <f t="shared" si="19"/>
        <v>CRI</v>
      </c>
      <c r="AK46" s="26">
        <f t="shared" si="20"/>
        <v>2023</v>
      </c>
      <c r="AL46" s="8">
        <f t="shared" si="21"/>
        <v>8.2937421798706055</v>
      </c>
      <c r="AM46" s="8">
        <f t="shared" si="22"/>
        <v>10.709526062011719</v>
      </c>
      <c r="AN46" s="8">
        <f t="shared" si="23"/>
        <v>9.946929931640625</v>
      </c>
      <c r="AO46" s="8">
        <f t="shared" si="24"/>
        <v>15.093430519104004</v>
      </c>
    </row>
    <row r="47" spans="1:41">
      <c r="A47" t="s">
        <v>15</v>
      </c>
      <c r="B47" s="8">
        <v>2021</v>
      </c>
      <c r="C47" s="8">
        <v>3.6835060119628906</v>
      </c>
      <c r="D47" s="8">
        <v>7.5706577301025391</v>
      </c>
      <c r="E47" s="8">
        <v>6.1175441741943359</v>
      </c>
      <c r="F47" s="8">
        <v>5.4328947067260742</v>
      </c>
      <c r="G47" s="8">
        <v>12388571</v>
      </c>
      <c r="H47" s="8">
        <v>2021</v>
      </c>
      <c r="I47" t="s">
        <v>1050</v>
      </c>
      <c r="J47" s="81">
        <f t="shared" si="2"/>
        <v>256591875</v>
      </c>
      <c r="K47" s="116">
        <f t="shared" si="16"/>
        <v>0.1778441961894901</v>
      </c>
      <c r="L47" s="116">
        <f t="shared" si="16"/>
        <v>0.36552065729312022</v>
      </c>
      <c r="M47" s="116">
        <f t="shared" si="3"/>
        <v>0.29536254937005663</v>
      </c>
      <c r="N47" s="116">
        <f t="shared" si="4"/>
        <v>0.26230683185038556</v>
      </c>
      <c r="AJ47" t="str">
        <f t="shared" si="19"/>
        <v>DOM</v>
      </c>
      <c r="AK47" s="26">
        <f t="shared" si="20"/>
        <v>2022</v>
      </c>
      <c r="AL47" s="8">
        <f t="shared" si="21"/>
        <v>8.9437360763549805</v>
      </c>
      <c r="AM47" s="8">
        <f t="shared" si="22"/>
        <v>9.1766061782836914</v>
      </c>
      <c r="AN47" s="8">
        <f t="shared" si="23"/>
        <v>9.1047210693359375</v>
      </c>
      <c r="AO47" s="8">
        <f t="shared" si="24"/>
        <v>11.142269134521484</v>
      </c>
    </row>
    <row r="48" spans="1:41">
      <c r="A48" t="s">
        <v>21</v>
      </c>
      <c r="B48" s="8">
        <v>2022</v>
      </c>
      <c r="C48" s="8">
        <v>29.316156387329102</v>
      </c>
      <c r="D48" s="8">
        <v>29.759103775024414</v>
      </c>
      <c r="E48" s="8">
        <v>29.631677627563477</v>
      </c>
      <c r="F48" s="8">
        <v>28.649410247802734</v>
      </c>
      <c r="G48" s="8">
        <v>19629590</v>
      </c>
      <c r="H48" s="8">
        <v>2022</v>
      </c>
      <c r="I48" t="s">
        <v>1050</v>
      </c>
      <c r="J48" s="81">
        <f t="shared" si="2"/>
        <v>256591875</v>
      </c>
      <c r="K48" s="116">
        <f t="shared" si="16"/>
        <v>2.2427215602955135</v>
      </c>
      <c r="L48" s="116">
        <f t="shared" si="16"/>
        <v>2.2766075732958475</v>
      </c>
      <c r="M48" s="116">
        <f t="shared" si="3"/>
        <v>2.2668593182899643</v>
      </c>
      <c r="N48" s="116">
        <f t="shared" si="4"/>
        <v>2.1917146710361193</v>
      </c>
      <c r="AJ48" t="str">
        <f t="shared" si="19"/>
        <v>ECU</v>
      </c>
      <c r="AK48" s="26">
        <f t="shared" si="20"/>
        <v>2023</v>
      </c>
      <c r="AL48" s="8">
        <f t="shared" si="21"/>
        <v>5.1341824531555176</v>
      </c>
      <c r="AM48" s="8">
        <f t="shared" si="22"/>
        <v>7.7205910682678223</v>
      </c>
      <c r="AN48" s="8">
        <f t="shared" si="23"/>
        <v>6.705319881439209</v>
      </c>
      <c r="AO48" s="8">
        <f t="shared" si="24"/>
        <v>11.506635665893555</v>
      </c>
    </row>
    <row r="49" spans="1:41">
      <c r="A49" t="s">
        <v>23</v>
      </c>
      <c r="B49" s="8">
        <v>2022</v>
      </c>
      <c r="C49" s="8">
        <v>18.241031646728516</v>
      </c>
      <c r="D49" s="8">
        <v>15.184741973876953</v>
      </c>
      <c r="E49" s="8">
        <v>16.631444931030273</v>
      </c>
      <c r="F49" s="8">
        <v>14.752803802490234</v>
      </c>
      <c r="G49" s="8">
        <v>52085168</v>
      </c>
      <c r="H49" s="8">
        <v>2022</v>
      </c>
      <c r="I49" t="s">
        <v>1050</v>
      </c>
      <c r="J49" s="81">
        <f t="shared" si="2"/>
        <v>256591875</v>
      </c>
      <c r="K49" s="116">
        <f t="shared" si="16"/>
        <v>3.7027173904597386</v>
      </c>
      <c r="L49" s="116">
        <f t="shared" si="16"/>
        <v>3.0823261131944757</v>
      </c>
      <c r="M49" s="116">
        <f t="shared" si="3"/>
        <v>3.3759899970155338</v>
      </c>
      <c r="N49" s="116">
        <f t="shared" si="4"/>
        <v>2.9946476852540349</v>
      </c>
      <c r="AJ49" t="str">
        <f t="shared" si="19"/>
        <v>GTM</v>
      </c>
      <c r="AK49" s="26">
        <f t="shared" si="20"/>
        <v>2022</v>
      </c>
      <c r="AL49" s="8">
        <f t="shared" si="21"/>
        <v>7.1945610046386719</v>
      </c>
      <c r="AM49" s="8">
        <f t="shared" si="22"/>
        <v>5.0519895553588867</v>
      </c>
      <c r="AN49" s="8">
        <f t="shared" si="23"/>
        <v>6.2868843078613281</v>
      </c>
      <c r="AO49" s="8">
        <f t="shared" si="24"/>
        <v>6.9008750915527344</v>
      </c>
    </row>
    <row r="50" spans="1:41">
      <c r="A50" t="s">
        <v>25</v>
      </c>
      <c r="B50" s="8">
        <v>2023</v>
      </c>
      <c r="C50" s="8">
        <v>7.1628303527832031</v>
      </c>
      <c r="D50" s="8">
        <v>8.2406625747680664</v>
      </c>
      <c r="E50" s="8">
        <v>7.9004206657409668</v>
      </c>
      <c r="F50" s="8">
        <v>7.0854067802429199</v>
      </c>
      <c r="G50" s="8">
        <v>5212173</v>
      </c>
      <c r="H50" s="8">
        <v>2023</v>
      </c>
      <c r="I50" t="s">
        <v>1050</v>
      </c>
      <c r="J50" s="81">
        <f t="shared" si="2"/>
        <v>256591875</v>
      </c>
      <c r="K50" s="116">
        <f t="shared" si="16"/>
        <v>0.14549919387882834</v>
      </c>
      <c r="L50" s="116">
        <f t="shared" si="16"/>
        <v>0.16739329323781824</v>
      </c>
      <c r="M50" s="116">
        <f t="shared" si="3"/>
        <v>0.16048192984527315</v>
      </c>
      <c r="N50" s="116">
        <f t="shared" si="4"/>
        <v>0.1439264821382169</v>
      </c>
      <c r="P50" s="118"/>
      <c r="Q50" s="117"/>
      <c r="R50" s="117"/>
      <c r="AJ50" t="str">
        <f t="shared" si="19"/>
        <v>GUY</v>
      </c>
      <c r="AK50" s="26">
        <f t="shared" si="20"/>
        <v>2021</v>
      </c>
      <c r="AL50" s="8">
        <f t="shared" si="21"/>
        <v>5.8112630844116211</v>
      </c>
      <c r="AM50" s="8">
        <f t="shared" si="22"/>
        <v>12.528707504272461</v>
      </c>
      <c r="AN50" s="8">
        <f t="shared" si="23"/>
        <v>8.8182363510131836</v>
      </c>
      <c r="AO50" s="8">
        <f t="shared" si="24"/>
        <v>13.56319522857666</v>
      </c>
    </row>
    <row r="51" spans="1:41">
      <c r="A51" t="s">
        <v>38</v>
      </c>
      <c r="B51" s="8">
        <v>2022</v>
      </c>
      <c r="C51" s="8">
        <v>19.489412307739258</v>
      </c>
      <c r="D51" s="8">
        <v>16.445899963378906</v>
      </c>
      <c r="E51" s="8">
        <v>17.422809600830078</v>
      </c>
      <c r="F51" s="8">
        <v>15.89234733581543</v>
      </c>
      <c r="G51" s="8">
        <v>128455567</v>
      </c>
      <c r="H51" s="8">
        <v>2022</v>
      </c>
      <c r="I51" t="s">
        <v>1050</v>
      </c>
      <c r="J51" s="81">
        <f t="shared" si="2"/>
        <v>256591875</v>
      </c>
      <c r="K51" s="116">
        <f t="shared" si="16"/>
        <v>9.7568307978864297</v>
      </c>
      <c r="L51" s="116">
        <f t="shared" si="16"/>
        <v>8.2331812128545252</v>
      </c>
      <c r="M51" s="116">
        <f t="shared" si="3"/>
        <v>8.7222437811316951</v>
      </c>
      <c r="N51" s="116">
        <f t="shared" si="4"/>
        <v>7.9560605260127994</v>
      </c>
      <c r="AJ51" t="str">
        <f t="shared" si="19"/>
        <v>HND</v>
      </c>
      <c r="AK51" s="26">
        <f t="shared" si="20"/>
        <v>2023</v>
      </c>
      <c r="AL51" s="8">
        <f t="shared" si="21"/>
        <v>9.3627500534057617</v>
      </c>
      <c r="AM51" s="8">
        <f t="shared" si="22"/>
        <v>8.7887029647827148</v>
      </c>
      <c r="AN51" s="8">
        <f t="shared" si="23"/>
        <v>9.1236371994018555</v>
      </c>
      <c r="AO51" s="8">
        <f t="shared" si="24"/>
        <v>10.042203903198242</v>
      </c>
    </row>
    <row r="52" spans="1:41">
      <c r="A52" t="s">
        <v>42</v>
      </c>
      <c r="B52" s="8">
        <v>2022</v>
      </c>
      <c r="C52" s="8">
        <v>7.3287434577941895</v>
      </c>
      <c r="D52" s="8">
        <v>12.870243072509766</v>
      </c>
      <c r="E52" s="8">
        <v>10.319804191589355</v>
      </c>
      <c r="F52" s="8">
        <v>12.400993347167969</v>
      </c>
      <c r="G52" s="8">
        <v>4468087</v>
      </c>
      <c r="H52" s="8">
        <v>2022</v>
      </c>
      <c r="I52" t="s">
        <v>1050</v>
      </c>
      <c r="J52" s="81">
        <f t="shared" si="2"/>
        <v>256591875</v>
      </c>
      <c r="K52" s="116">
        <f t="shared" si="16"/>
        <v>0.12761691448766749</v>
      </c>
      <c r="L52" s="116">
        <f t="shared" si="16"/>
        <v>0.22411218499853489</v>
      </c>
      <c r="M52" s="116">
        <f t="shared" si="3"/>
        <v>0.17970086913697444</v>
      </c>
      <c r="N52" s="116">
        <f t="shared" si="4"/>
        <v>0.21594104318995949</v>
      </c>
      <c r="AJ52" t="str">
        <f t="shared" si="19"/>
        <v>MEX</v>
      </c>
      <c r="AK52" s="26">
        <f t="shared" si="20"/>
        <v>2022</v>
      </c>
      <c r="AL52" s="8">
        <f t="shared" si="21"/>
        <v>12.529794692993164</v>
      </c>
      <c r="AM52" s="8">
        <f t="shared" si="22"/>
        <v>8.9945573806762695</v>
      </c>
      <c r="AN52" s="8">
        <f t="shared" si="23"/>
        <v>10.129914283752441</v>
      </c>
      <c r="AO52" s="8">
        <f t="shared" si="24"/>
        <v>9.4901304244995117</v>
      </c>
    </row>
    <row r="53" spans="1:41">
      <c r="A53" s="2553" t="s">
        <v>44</v>
      </c>
      <c r="B53" s="8">
        <v>2022</v>
      </c>
      <c r="C53" s="8">
        <v>5.7565264701843262</v>
      </c>
      <c r="D53" s="8">
        <v>5.1284213066101074</v>
      </c>
      <c r="E53" s="8">
        <v>5.3315272331237793</v>
      </c>
      <c r="F53" s="8">
        <v>4.1705269813537598</v>
      </c>
      <c r="G53" s="8">
        <v>34352719</v>
      </c>
      <c r="H53" s="8">
        <v>2022</v>
      </c>
      <c r="I53" s="2553" t="s">
        <v>1050</v>
      </c>
      <c r="J53" s="81">
        <f t="shared" si="2"/>
        <v>256591875</v>
      </c>
      <c r="K53" s="116">
        <f t="shared" si="16"/>
        <v>0.77068822325844899</v>
      </c>
      <c r="L53" s="116">
        <f t="shared" si="16"/>
        <v>0.68659701738252565</v>
      </c>
      <c r="M53" s="116">
        <f t="shared" si="3"/>
        <v>0.71378899616501368</v>
      </c>
      <c r="N53" s="116">
        <f t="shared" si="4"/>
        <v>0.55835338306157956</v>
      </c>
      <c r="AJ53" t="str">
        <f t="shared" si="19"/>
        <v>PAN</v>
      </c>
      <c r="AK53" s="26">
        <f t="shared" si="20"/>
        <v>2022</v>
      </c>
      <c r="AL53" s="8">
        <f t="shared" si="21"/>
        <v>4.3727283477783203</v>
      </c>
      <c r="AM53" s="8">
        <f t="shared" si="22"/>
        <v>9.8324298858642578</v>
      </c>
      <c r="AN53" s="8">
        <f t="shared" si="23"/>
        <v>7.3196382522583008</v>
      </c>
      <c r="AO53" s="8">
        <f t="shared" si="24"/>
        <v>13.19133186340332</v>
      </c>
    </row>
    <row r="54" spans="1:41">
      <c r="A54" t="s">
        <v>15</v>
      </c>
      <c r="B54" s="8">
        <v>2022</v>
      </c>
      <c r="C54" s="8">
        <v>44.735504150390625</v>
      </c>
      <c r="D54" s="8">
        <v>30.770286560058594</v>
      </c>
      <c r="E54" s="8">
        <v>36.653656005859375</v>
      </c>
      <c r="F54" s="8">
        <v>20.004449844360352</v>
      </c>
      <c r="G54" s="8">
        <v>12388571</v>
      </c>
      <c r="H54" s="8">
        <v>2022</v>
      </c>
      <c r="I54" t="s">
        <v>1049</v>
      </c>
      <c r="J54" s="81">
        <f t="shared" si="2"/>
        <v>518101565</v>
      </c>
      <c r="K54" s="116">
        <f t="shared" si="16"/>
        <v>1.0696917493154241</v>
      </c>
      <c r="L54" s="116">
        <f t="shared" si="16"/>
        <v>0.7357628416730061</v>
      </c>
      <c r="M54" s="116">
        <f t="shared" si="3"/>
        <v>0.8764428647077438</v>
      </c>
      <c r="N54" s="116">
        <f t="shared" si="4"/>
        <v>0.4783358398324799</v>
      </c>
      <c r="AJ54" t="str">
        <f t="shared" si="19"/>
        <v>PER</v>
      </c>
      <c r="AK54" s="26">
        <f t="shared" si="20"/>
        <v>2022</v>
      </c>
      <c r="AL54" s="8">
        <f t="shared" si="21"/>
        <v>9.7761545181274414</v>
      </c>
      <c r="AM54" s="8">
        <f t="shared" si="22"/>
        <v>11.108133316040039</v>
      </c>
      <c r="AN54" s="8">
        <f t="shared" si="23"/>
        <v>10.66744327545166</v>
      </c>
      <c r="AO54" s="8">
        <f t="shared" si="24"/>
        <v>11.386725425720215</v>
      </c>
    </row>
    <row r="55" spans="1:41">
      <c r="A55" t="s">
        <v>17</v>
      </c>
      <c r="B55" s="8">
        <v>2022</v>
      </c>
      <c r="C55" s="8">
        <v>0.73935258388519287</v>
      </c>
      <c r="D55" s="8">
        <v>0.60756134986877441</v>
      </c>
      <c r="E55" s="8">
        <v>0.656211256980896</v>
      </c>
      <c r="F55" s="8">
        <v>0.35534164309501648</v>
      </c>
      <c r="G55" s="8">
        <v>216422446</v>
      </c>
      <c r="H55" s="8">
        <v>2022</v>
      </c>
      <c r="I55" t="s">
        <v>1049</v>
      </c>
      <c r="J55" s="81">
        <f t="shared" si="2"/>
        <v>518101565</v>
      </c>
      <c r="K55" s="116">
        <f t="shared" si="16"/>
        <v>0.30884387438755107</v>
      </c>
      <c r="L55" s="116">
        <f t="shared" si="16"/>
        <v>0.2537917704102321</v>
      </c>
      <c r="M55" s="116">
        <f t="shared" si="3"/>
        <v>0.2741139091686397</v>
      </c>
      <c r="N55" s="116">
        <f t="shared" si="4"/>
        <v>0.148434038342043</v>
      </c>
      <c r="AJ55" t="str">
        <f t="shared" si="19"/>
        <v>PRY</v>
      </c>
      <c r="AK55" s="26">
        <f t="shared" si="20"/>
        <v>2022</v>
      </c>
      <c r="AL55" s="8">
        <f t="shared" si="21"/>
        <v>5.1080975532531738</v>
      </c>
      <c r="AM55" s="8">
        <f t="shared" si="22"/>
        <v>8.3739614486694336</v>
      </c>
      <c r="AN55" s="8">
        <f t="shared" si="23"/>
        <v>7.0845575332641602</v>
      </c>
      <c r="AO55" s="8">
        <f t="shared" si="24"/>
        <v>7.0516295433044434</v>
      </c>
    </row>
    <row r="56" spans="1:41">
      <c r="A56" t="s">
        <v>21</v>
      </c>
      <c r="B56" s="8">
        <v>2022</v>
      </c>
      <c r="C56" s="8">
        <v>17.382089614868164</v>
      </c>
      <c r="D56" s="8">
        <v>14.222068786621094</v>
      </c>
      <c r="E56" s="8">
        <v>15.128172874450684</v>
      </c>
      <c r="F56" s="8">
        <v>9.5804214477539063</v>
      </c>
      <c r="G56" s="8">
        <v>19629590</v>
      </c>
      <c r="H56" s="8">
        <v>2022</v>
      </c>
      <c r="I56" t="s">
        <v>1049</v>
      </c>
      <c r="J56" s="81">
        <f t="shared" si="2"/>
        <v>518101565</v>
      </c>
      <c r="K56" s="116">
        <f t="shared" si="16"/>
        <v>0.65856448915208343</v>
      </c>
      <c r="L56" s="116">
        <f t="shared" si="16"/>
        <v>0.53883909660294027</v>
      </c>
      <c r="M56" s="116">
        <f t="shared" si="3"/>
        <v>0.57316914488491921</v>
      </c>
      <c r="N56" s="116">
        <f t="shared" si="4"/>
        <v>0.36297853114305034</v>
      </c>
      <c r="AJ56" t="str">
        <f t="shared" si="19"/>
        <v>SLV</v>
      </c>
      <c r="AK56" s="26">
        <f t="shared" si="20"/>
        <v>2023</v>
      </c>
      <c r="AL56" s="8">
        <f t="shared" si="21"/>
        <v>12.985799789428711</v>
      </c>
      <c r="AM56" s="8">
        <f t="shared" si="22"/>
        <v>8.0052595138549805</v>
      </c>
      <c r="AN56" s="8">
        <f t="shared" si="23"/>
        <v>10.010825157165527</v>
      </c>
      <c r="AO56" s="8">
        <f t="shared" si="24"/>
        <v>9.802393913269043</v>
      </c>
    </row>
    <row r="57" spans="1:41">
      <c r="A57" t="s">
        <v>23</v>
      </c>
      <c r="B57" s="8">
        <v>2022</v>
      </c>
      <c r="C57" s="8">
        <v>11.379833221435547</v>
      </c>
      <c r="D57" s="8">
        <v>4.9578847885131836</v>
      </c>
      <c r="E57" s="8">
        <v>7.9977312088012695</v>
      </c>
      <c r="F57" s="8">
        <v>1.9515026807785034</v>
      </c>
      <c r="G57" s="8">
        <v>52085168</v>
      </c>
      <c r="H57" s="8">
        <v>2022</v>
      </c>
      <c r="I57" t="s">
        <v>1049</v>
      </c>
      <c r="J57" s="81">
        <f t="shared" si="2"/>
        <v>518101565</v>
      </c>
      <c r="K57" s="116">
        <f t="shared" si="16"/>
        <v>1.1440238076687756</v>
      </c>
      <c r="L57" s="116">
        <f t="shared" si="16"/>
        <v>0.49842015461650579</v>
      </c>
      <c r="M57" s="116">
        <f t="shared" si="3"/>
        <v>0.80401836583770436</v>
      </c>
      <c r="N57" s="116">
        <f t="shared" si="4"/>
        <v>0.19618613771374868</v>
      </c>
      <c r="AJ57" t="str">
        <f t="shared" si="19"/>
        <v>URY</v>
      </c>
      <c r="AK57" s="26">
        <f t="shared" si="20"/>
        <v>2022</v>
      </c>
      <c r="AL57" s="8">
        <f t="shared" si="21"/>
        <v>1.3867249488830566</v>
      </c>
      <c r="AM57" s="8">
        <f t="shared" si="22"/>
        <v>3.8637573719024658</v>
      </c>
      <c r="AN57" s="8">
        <f t="shared" si="23"/>
        <v>3.1718556880950928</v>
      </c>
      <c r="AO57" s="8">
        <f t="shared" si="24"/>
        <v>17.00531005859375</v>
      </c>
    </row>
    <row r="58" spans="1:41">
      <c r="A58" t="s">
        <v>29</v>
      </c>
      <c r="B58" s="8">
        <v>2023</v>
      </c>
      <c r="C58" s="8">
        <v>41.700740814208984</v>
      </c>
      <c r="D58" s="8">
        <v>10.078373908996582</v>
      </c>
      <c r="E58" s="8">
        <v>22.311090469360352</v>
      </c>
      <c r="F58" s="8">
        <v>6.6988325119018555</v>
      </c>
      <c r="G58" s="8">
        <v>18190484</v>
      </c>
      <c r="H58" s="8">
        <v>2023</v>
      </c>
      <c r="I58" t="s">
        <v>1049</v>
      </c>
      <c r="J58" s="81">
        <f t="shared" si="2"/>
        <v>518101565</v>
      </c>
      <c r="K58" s="116">
        <f t="shared" si="16"/>
        <v>1.4641080240107276</v>
      </c>
      <c r="L58" s="116">
        <f t="shared" si="16"/>
        <v>0.35385050291755016</v>
      </c>
      <c r="M58" s="116">
        <f t="shared" si="3"/>
        <v>0.78333971873922437</v>
      </c>
      <c r="N58" s="116">
        <f t="shared" si="4"/>
        <v>0.23519520854261561</v>
      </c>
      <c r="AJ58" s="84" t="str">
        <f t="shared" si="19"/>
        <v>VEN</v>
      </c>
      <c r="AK58" s="215">
        <f t="shared" si="20"/>
        <v>2021</v>
      </c>
      <c r="AL58" s="7558">
        <f t="shared" si="21"/>
        <v>8.5742311477661133</v>
      </c>
      <c r="AM58" s="7558">
        <f t="shared" si="22"/>
        <v>7.8814334869384766</v>
      </c>
      <c r="AN58" s="7558">
        <f t="shared" si="23"/>
        <v>8.4070262908935547</v>
      </c>
      <c r="AO58" s="7558">
        <f t="shared" si="24"/>
        <v>8.1310863494873047</v>
      </c>
    </row>
    <row r="59" spans="1:41">
      <c r="A59" t="s">
        <v>31</v>
      </c>
      <c r="B59" s="8">
        <v>2022</v>
      </c>
      <c r="C59" s="8">
        <v>52.655757904052734</v>
      </c>
      <c r="D59" s="8">
        <v>36.262111663818359</v>
      </c>
      <c r="E59" s="8">
        <v>45.719047546386719</v>
      </c>
      <c r="F59" s="8">
        <v>27.876907348632813</v>
      </c>
      <c r="G59" s="8">
        <v>18092026</v>
      </c>
      <c r="H59" s="8">
        <v>2022</v>
      </c>
      <c r="I59" t="s">
        <v>1049</v>
      </c>
      <c r="J59" s="81">
        <f t="shared" si="2"/>
        <v>518101565</v>
      </c>
      <c r="K59" s="116">
        <f t="shared" si="16"/>
        <v>1.8387308693997624</v>
      </c>
      <c r="L59" s="116">
        <f t="shared" si="16"/>
        <v>1.2662672945925284</v>
      </c>
      <c r="M59" s="116">
        <f t="shared" si="3"/>
        <v>1.5965020235066549</v>
      </c>
      <c r="N59" s="116">
        <f t="shared" si="4"/>
        <v>0.97345726518130837</v>
      </c>
      <c r="AJ59" s="3" t="s">
        <v>1261</v>
      </c>
      <c r="AL59" s="7497">
        <f>AVERAGE(AL41:AL58)</f>
        <v>6.7241042123900518</v>
      </c>
      <c r="AM59" s="7497">
        <f t="shared" ref="AM59" si="25">AVERAGE(AM41:AM58)</f>
        <v>8.1971934768888683</v>
      </c>
      <c r="AN59" s="7497">
        <f t="shared" ref="AN59" si="26">AVERAGE(AN41:AN58)</f>
        <v>7.6250838306215076</v>
      </c>
      <c r="AO59" s="7497">
        <f t="shared" ref="AO59" si="27">AVERAGE(AO41:AO58)</f>
        <v>11.407536639107597</v>
      </c>
    </row>
    <row r="60" spans="1:41" ht="15" thickBot="1">
      <c r="A60" t="s">
        <v>34</v>
      </c>
      <c r="B60" s="8">
        <v>2023</v>
      </c>
      <c r="C60" s="8">
        <v>0.1879197359085083</v>
      </c>
      <c r="D60" s="8">
        <v>0.84580761194229126</v>
      </c>
      <c r="E60" s="8">
        <v>0.461955726146698</v>
      </c>
      <c r="F60" s="8">
        <v>0.41250568628311157</v>
      </c>
      <c r="G60" s="8">
        <v>10593798</v>
      </c>
      <c r="H60" s="8">
        <v>2023</v>
      </c>
      <c r="I60" t="s">
        <v>1049</v>
      </c>
      <c r="J60" s="81">
        <f t="shared" si="2"/>
        <v>518101565</v>
      </c>
      <c r="K60" s="116">
        <f t="shared" si="16"/>
        <v>3.8424584230470011E-3</v>
      </c>
      <c r="L60" s="116">
        <f t="shared" si="16"/>
        <v>1.7294514421663677E-2</v>
      </c>
      <c r="M60" s="116">
        <f t="shared" si="3"/>
        <v>9.4457650359373781E-3</v>
      </c>
      <c r="N60" s="116">
        <f t="shared" si="4"/>
        <v>8.4346433393511465E-3</v>
      </c>
      <c r="AJ60" s="212" t="s">
        <v>1145</v>
      </c>
      <c r="AK60" s="219"/>
      <c r="AL60" s="2559">
        <f>SUMIF($I:$I,$P10,K:K)</f>
        <v>6.1675348374556771</v>
      </c>
      <c r="AM60" s="2559">
        <f t="shared" ref="AM60:AO60" si="28">SUMIF($I:$I,$P10,L:L)</f>
        <v>6.9893065484107506</v>
      </c>
      <c r="AN60" s="2559">
        <f t="shared" si="28"/>
        <v>6.6946645280353252</v>
      </c>
      <c r="AO60" s="2559">
        <f t="shared" si="28"/>
        <v>11.615437988062199</v>
      </c>
    </row>
    <row r="61" spans="1:41" ht="15" thickTop="1">
      <c r="A61" t="s">
        <v>38</v>
      </c>
      <c r="B61" s="8">
        <v>2022</v>
      </c>
      <c r="C61" s="8">
        <v>49.713005065917969</v>
      </c>
      <c r="D61" s="8">
        <v>34.815067291259766</v>
      </c>
      <c r="E61" s="8">
        <v>39.569145202636719</v>
      </c>
      <c r="F61" s="8">
        <v>22.154689788818359</v>
      </c>
      <c r="G61" s="8">
        <v>128455567</v>
      </c>
      <c r="H61" s="8">
        <v>2022</v>
      </c>
      <c r="I61" t="s">
        <v>1049</v>
      </c>
      <c r="J61" s="81">
        <f t="shared" ref="J61:J96" si="29">SUMIF(I:I,I61,G:G)</f>
        <v>518101565</v>
      </c>
      <c r="K61" s="116">
        <f t="shared" ref="K61:K96" si="30">IFERROR($G61/$J61*C61,"")</f>
        <v>12.325599234614096</v>
      </c>
      <c r="L61" s="116">
        <f t="shared" ref="L61:L96" si="31">IFERROR($G61/$J61*D61,"")</f>
        <v>8.6318774370849987</v>
      </c>
      <c r="M61" s="116">
        <f t="shared" ref="M61:M96" si="32">IFERROR($G61/$J61*E61,"")</f>
        <v>9.8105802531401913</v>
      </c>
      <c r="N61" s="116">
        <f t="shared" ref="N61:N96" si="33">IFERROR($G61/$J61*F61,"")</f>
        <v>5.4929253852606532</v>
      </c>
    </row>
    <row r="62" spans="1:41" ht="15" thickBot="1">
      <c r="A62" t="s">
        <v>42</v>
      </c>
      <c r="B62" s="8">
        <v>2022</v>
      </c>
      <c r="C62" s="8">
        <v>56.480228424072266</v>
      </c>
      <c r="D62" s="8">
        <v>28.694461822509766</v>
      </c>
      <c r="E62" s="8">
        <v>41.482681274414063</v>
      </c>
      <c r="F62" s="8">
        <v>7.1846365928649902</v>
      </c>
      <c r="G62" s="8">
        <v>4468087</v>
      </c>
      <c r="H62" s="8">
        <v>2022</v>
      </c>
      <c r="I62" t="s">
        <v>1049</v>
      </c>
      <c r="J62" s="81">
        <f t="shared" si="29"/>
        <v>518101565</v>
      </c>
      <c r="K62" s="116">
        <f t="shared" si="30"/>
        <v>0.4870832119154625</v>
      </c>
      <c r="L62" s="116">
        <f t="shared" si="31"/>
        <v>0.24745988142528036</v>
      </c>
      <c r="M62" s="116">
        <f t="shared" si="32"/>
        <v>0.35774497019199875</v>
      </c>
      <c r="N62" s="116">
        <f t="shared" si="33"/>
        <v>6.1960016199341827E-2</v>
      </c>
      <c r="AJ62" s="212" t="s">
        <v>1060</v>
      </c>
      <c r="AK62" s="219"/>
      <c r="AL62" s="85"/>
      <c r="AM62" s="85"/>
      <c r="AN62" s="85"/>
      <c r="AO62" s="85"/>
    </row>
    <row r="63" spans="1:41" ht="15" thickTop="1">
      <c r="A63" t="s">
        <v>44</v>
      </c>
      <c r="B63" s="8">
        <v>2022</v>
      </c>
      <c r="C63" s="8">
        <v>43.688663482666016</v>
      </c>
      <c r="D63" s="8">
        <v>34.405101776123047</v>
      </c>
      <c r="E63" s="8">
        <v>37.298824310302734</v>
      </c>
      <c r="F63" s="8">
        <v>23.73468017578125</v>
      </c>
      <c r="G63" s="8">
        <v>34352719</v>
      </c>
      <c r="H63" s="8">
        <v>2022</v>
      </c>
      <c r="I63" t="s">
        <v>1049</v>
      </c>
      <c r="J63" s="81">
        <f t="shared" si="29"/>
        <v>518101565</v>
      </c>
      <c r="K63" s="116">
        <f t="shared" si="30"/>
        <v>2.8967763880535409</v>
      </c>
      <c r="L63" s="116">
        <f t="shared" si="31"/>
        <v>2.281229923483354</v>
      </c>
      <c r="M63" s="116">
        <f t="shared" si="32"/>
        <v>2.473098166692854</v>
      </c>
      <c r="N63" s="116">
        <f t="shared" si="33"/>
        <v>1.5737277277544681</v>
      </c>
      <c r="AJ63" s="213" t="s">
        <v>904</v>
      </c>
      <c r="AK63" s="216" t="s">
        <v>938</v>
      </c>
      <c r="AL63" s="2650" t="s">
        <v>1141</v>
      </c>
      <c r="AM63" s="2650" t="s">
        <v>1142</v>
      </c>
      <c r="AN63" s="2650" t="s">
        <v>1152</v>
      </c>
      <c r="AO63" s="2650" t="s">
        <v>1102</v>
      </c>
    </row>
    <row r="64" spans="1:41">
      <c r="A64" t="s">
        <v>50</v>
      </c>
      <c r="B64" s="8">
        <v>2022</v>
      </c>
      <c r="C64" s="8">
        <v>1.8012619018554688</v>
      </c>
      <c r="D64" s="8">
        <v>1.1216919422149658</v>
      </c>
      <c r="E64" s="8">
        <v>1.311514139175415</v>
      </c>
      <c r="F64" s="8">
        <v>1.3314210176467896</v>
      </c>
      <c r="G64" s="8">
        <v>3423109</v>
      </c>
      <c r="H64" s="8">
        <v>2022</v>
      </c>
      <c r="I64" t="s">
        <v>1049</v>
      </c>
      <c r="J64" s="81">
        <f t="shared" si="29"/>
        <v>518101565</v>
      </c>
      <c r="K64" s="116">
        <f t="shared" si="30"/>
        <v>1.1900978966544082E-2</v>
      </c>
      <c r="L64" s="116">
        <f t="shared" si="31"/>
        <v>7.4110445557591196E-3</v>
      </c>
      <c r="M64" s="116">
        <f t="shared" si="32"/>
        <v>8.6652041930014544E-3</v>
      </c>
      <c r="N64" s="116">
        <f t="shared" si="33"/>
        <v>8.79672939859945E-3</v>
      </c>
      <c r="AJ64" t="str">
        <f t="shared" ref="AJ64:AO70" si="34">A47</f>
        <v>BOL</v>
      </c>
      <c r="AK64" s="26">
        <f t="shared" si="34"/>
        <v>2021</v>
      </c>
      <c r="AL64" s="8">
        <f t="shared" si="34"/>
        <v>3.6835060119628906</v>
      </c>
      <c r="AM64" s="8">
        <f t="shared" si="34"/>
        <v>7.5706577301025391</v>
      </c>
      <c r="AN64" s="8">
        <f t="shared" si="34"/>
        <v>6.1175441741943359</v>
      </c>
      <c r="AO64" s="8">
        <f t="shared" si="34"/>
        <v>5.4328947067260742</v>
      </c>
    </row>
    <row r="65" spans="1:41">
      <c r="A65" t="s">
        <v>10</v>
      </c>
      <c r="B65" s="8">
        <v>2022</v>
      </c>
      <c r="C65" s="8">
        <v>4.6915063858032227</v>
      </c>
      <c r="D65" s="8">
        <v>4.412501335144043</v>
      </c>
      <c r="E65" s="8">
        <v>4.5205464363098145</v>
      </c>
      <c r="F65" s="8">
        <v>5.0857548713684082</v>
      </c>
      <c r="G65" s="8">
        <v>45773884</v>
      </c>
      <c r="H65" s="8">
        <v>2022</v>
      </c>
      <c r="I65" t="s">
        <v>1047</v>
      </c>
      <c r="J65" s="81">
        <f t="shared" si="29"/>
        <v>466963750</v>
      </c>
      <c r="K65" s="116">
        <f t="shared" si="30"/>
        <v>0.4598825264038503</v>
      </c>
      <c r="L65" s="116">
        <f t="shared" si="31"/>
        <v>0.43253319827230391</v>
      </c>
      <c r="M65" s="116">
        <f t="shared" si="32"/>
        <v>0.44312426434013097</v>
      </c>
      <c r="N65" s="116">
        <f t="shared" si="33"/>
        <v>0.4985285336055581</v>
      </c>
      <c r="AJ65" t="str">
        <f t="shared" si="34"/>
        <v>CHL</v>
      </c>
      <c r="AK65" s="26">
        <f t="shared" si="34"/>
        <v>2022</v>
      </c>
      <c r="AL65" s="8">
        <f t="shared" si="34"/>
        <v>29.316156387329102</v>
      </c>
      <c r="AM65" s="8">
        <f t="shared" si="34"/>
        <v>29.759103775024414</v>
      </c>
      <c r="AN65" s="8">
        <f t="shared" si="34"/>
        <v>29.631677627563477</v>
      </c>
      <c r="AO65" s="8">
        <f t="shared" si="34"/>
        <v>28.649410247802734</v>
      </c>
    </row>
    <row r="66" spans="1:41">
      <c r="A66" t="s">
        <v>15</v>
      </c>
      <c r="B66" s="8">
        <v>2022</v>
      </c>
      <c r="C66" s="8">
        <v>0</v>
      </c>
      <c r="D66" s="8">
        <v>7.4600368738174438E-2</v>
      </c>
      <c r="E66" s="8">
        <v>4.3185748159885406E-2</v>
      </c>
      <c r="F66" s="8">
        <v>0.20946678519248962</v>
      </c>
      <c r="G66" s="8">
        <v>12388571</v>
      </c>
      <c r="H66" s="8">
        <v>2022</v>
      </c>
      <c r="I66" t="s">
        <v>1047</v>
      </c>
      <c r="J66" s="81">
        <f t="shared" si="29"/>
        <v>466963750</v>
      </c>
      <c r="K66" s="116">
        <f t="shared" si="30"/>
        <v>0</v>
      </c>
      <c r="L66" s="116">
        <f t="shared" si="31"/>
        <v>1.9791514110871658E-3</v>
      </c>
      <c r="M66" s="116">
        <f t="shared" si="32"/>
        <v>1.1457199991795075E-3</v>
      </c>
      <c r="N66" s="116">
        <f t="shared" si="33"/>
        <v>5.5571639993445025E-3</v>
      </c>
      <c r="AJ66" t="str">
        <f t="shared" si="34"/>
        <v>COL</v>
      </c>
      <c r="AK66" s="26">
        <f t="shared" si="34"/>
        <v>2022</v>
      </c>
      <c r="AL66" s="8">
        <f t="shared" si="34"/>
        <v>18.241031646728516</v>
      </c>
      <c r="AM66" s="8">
        <f t="shared" si="34"/>
        <v>15.184741973876953</v>
      </c>
      <c r="AN66" s="8">
        <f t="shared" si="34"/>
        <v>16.631444931030273</v>
      </c>
      <c r="AO66" s="8">
        <f t="shared" si="34"/>
        <v>14.752803802490234</v>
      </c>
    </row>
    <row r="67" spans="1:41">
      <c r="A67" t="s">
        <v>17</v>
      </c>
      <c r="B67" s="8">
        <v>2015</v>
      </c>
      <c r="C67" s="8">
        <v>7.7651321887969971E-2</v>
      </c>
      <c r="D67" s="8">
        <v>0.20880410075187683</v>
      </c>
      <c r="E67" s="8">
        <v>0.15655915439128876</v>
      </c>
      <c r="F67" s="8">
        <v>0.46408763527870178</v>
      </c>
      <c r="G67" s="8">
        <v>216422446</v>
      </c>
      <c r="H67" s="8">
        <v>2015</v>
      </c>
      <c r="I67" t="s">
        <v>1047</v>
      </c>
      <c r="J67" s="81">
        <f t="shared" si="29"/>
        <v>466963750</v>
      </c>
      <c r="K67" s="116">
        <f t="shared" si="30"/>
        <v>3.5988851421824071E-2</v>
      </c>
      <c r="L67" s="116">
        <f t="shared" si="31"/>
        <v>9.6773880669648607E-2</v>
      </c>
      <c r="M67" s="116">
        <f t="shared" si="32"/>
        <v>7.2560054473295527E-2</v>
      </c>
      <c r="N67" s="116">
        <f t="shared" si="33"/>
        <v>0.21508946076729196</v>
      </c>
      <c r="AJ67" t="str">
        <f t="shared" si="34"/>
        <v>CRI</v>
      </c>
      <c r="AK67" s="26">
        <f t="shared" si="34"/>
        <v>2023</v>
      </c>
      <c r="AL67" s="8">
        <f t="shared" si="34"/>
        <v>7.1628303527832031</v>
      </c>
      <c r="AM67" s="8">
        <f t="shared" si="34"/>
        <v>8.2406625747680664</v>
      </c>
      <c r="AN67" s="8">
        <f t="shared" si="34"/>
        <v>7.9004206657409668</v>
      </c>
      <c r="AO67" s="8">
        <f t="shared" si="34"/>
        <v>7.0854067802429199</v>
      </c>
    </row>
    <row r="68" spans="1:41">
      <c r="A68" t="s">
        <v>21</v>
      </c>
      <c r="B68" s="8">
        <v>2022</v>
      </c>
      <c r="C68" s="8">
        <v>5.3428235054016113</v>
      </c>
      <c r="D68" s="8">
        <v>7.7227129936218262</v>
      </c>
      <c r="E68" s="8">
        <v>7.0403041839599609</v>
      </c>
      <c r="F68" s="8">
        <v>8.9207286834716797</v>
      </c>
      <c r="G68" s="8">
        <v>19629590</v>
      </c>
      <c r="H68" s="8">
        <v>2022</v>
      </c>
      <c r="I68" t="s">
        <v>1047</v>
      </c>
      <c r="J68" s="81">
        <f t="shared" si="29"/>
        <v>466963750</v>
      </c>
      <c r="K68" s="116">
        <f t="shared" si="30"/>
        <v>0.22459438201230056</v>
      </c>
      <c r="L68" s="116">
        <f t="shared" si="31"/>
        <v>0.32463695469395443</v>
      </c>
      <c r="M68" s="116">
        <f t="shared" si="32"/>
        <v>0.29595077692094646</v>
      </c>
      <c r="N68" s="116">
        <f t="shared" si="33"/>
        <v>0.3749975165262589</v>
      </c>
      <c r="AJ68" t="str">
        <f t="shared" si="34"/>
        <v>MEX</v>
      </c>
      <c r="AK68" s="26">
        <f t="shared" si="34"/>
        <v>2022</v>
      </c>
      <c r="AL68" s="8">
        <f t="shared" si="34"/>
        <v>19.489412307739258</v>
      </c>
      <c r="AM68" s="8">
        <f t="shared" si="34"/>
        <v>16.445899963378906</v>
      </c>
      <c r="AN68" s="8">
        <f t="shared" si="34"/>
        <v>17.422809600830078</v>
      </c>
      <c r="AO68" s="8">
        <f t="shared" si="34"/>
        <v>15.89234733581543</v>
      </c>
    </row>
    <row r="69" spans="1:41">
      <c r="A69" t="s">
        <v>23</v>
      </c>
      <c r="B69" s="8">
        <v>2022</v>
      </c>
      <c r="C69" s="8">
        <v>5.2490811347961426</v>
      </c>
      <c r="D69" s="8">
        <v>6.886538028717041</v>
      </c>
      <c r="E69" s="8">
        <v>6.1114435195922852</v>
      </c>
      <c r="F69" s="8">
        <v>4.1006083488464355</v>
      </c>
      <c r="G69" s="8">
        <v>52085168</v>
      </c>
      <c r="H69" s="8">
        <v>2022</v>
      </c>
      <c r="I69" t="s">
        <v>1047</v>
      </c>
      <c r="J69" s="81">
        <f t="shared" si="29"/>
        <v>466963750</v>
      </c>
      <c r="K69" s="116">
        <f t="shared" si="30"/>
        <v>0.58548286189557053</v>
      </c>
      <c r="L69" s="116">
        <f t="shared" si="31"/>
        <v>0.76812491368787383</v>
      </c>
      <c r="M69" s="116">
        <f t="shared" si="32"/>
        <v>0.68167082014498015</v>
      </c>
      <c r="N69" s="116">
        <f t="shared" si="33"/>
        <v>0.45738213030855007</v>
      </c>
      <c r="AJ69" t="str">
        <f t="shared" si="34"/>
        <v>PAN</v>
      </c>
      <c r="AK69" s="26">
        <f t="shared" si="34"/>
        <v>2022</v>
      </c>
      <c r="AL69" s="8">
        <f t="shared" si="34"/>
        <v>7.3287434577941895</v>
      </c>
      <c r="AM69" s="8">
        <f t="shared" si="34"/>
        <v>12.870243072509766</v>
      </c>
      <c r="AN69" s="8">
        <f t="shared" si="34"/>
        <v>10.319804191589355</v>
      </c>
      <c r="AO69" s="8">
        <f t="shared" si="34"/>
        <v>12.400993347167969</v>
      </c>
    </row>
    <row r="70" spans="1:41">
      <c r="A70" t="s">
        <v>25</v>
      </c>
      <c r="B70" s="8">
        <v>2023</v>
      </c>
      <c r="C70" s="8">
        <v>11.443872451782227</v>
      </c>
      <c r="D70" s="8">
        <v>10.216794013977051</v>
      </c>
      <c r="E70" s="8">
        <v>10.604148864746094</v>
      </c>
      <c r="F70" s="8">
        <v>8.4922828674316406</v>
      </c>
      <c r="G70" s="8">
        <v>5212173</v>
      </c>
      <c r="H70" s="8">
        <v>2023</v>
      </c>
      <c r="I70" t="s">
        <v>1047</v>
      </c>
      <c r="J70" s="81">
        <f t="shared" si="29"/>
        <v>466963750</v>
      </c>
      <c r="K70" s="116">
        <f t="shared" si="30"/>
        <v>0.12773463252473694</v>
      </c>
      <c r="L70" s="116">
        <f t="shared" si="31"/>
        <v>0.11403818370529363</v>
      </c>
      <c r="M70" s="116">
        <f t="shared" si="32"/>
        <v>0.11836177519306422</v>
      </c>
      <c r="N70" s="116">
        <f t="shared" si="33"/>
        <v>9.4789472351954035E-2</v>
      </c>
      <c r="AJ70" s="84" t="str">
        <f t="shared" si="34"/>
        <v>PER</v>
      </c>
      <c r="AK70" s="215">
        <f t="shared" si="34"/>
        <v>2022</v>
      </c>
      <c r="AL70" s="7558">
        <f t="shared" si="34"/>
        <v>5.7565264701843262</v>
      </c>
      <c r="AM70" s="7558">
        <f t="shared" si="34"/>
        <v>5.1284213066101074</v>
      </c>
      <c r="AN70" s="7558">
        <f t="shared" si="34"/>
        <v>5.3315272331237793</v>
      </c>
      <c r="AO70" s="7558">
        <f t="shared" si="34"/>
        <v>4.1705269813537598</v>
      </c>
    </row>
    <row r="71" spans="1:41">
      <c r="A71" t="s">
        <v>27</v>
      </c>
      <c r="B71" s="8">
        <v>2022</v>
      </c>
      <c r="C71" s="8">
        <v>6.0338149070739746</v>
      </c>
      <c r="D71" s="8">
        <v>5.4990353584289551</v>
      </c>
      <c r="E71" s="8">
        <v>5.6641168594360352</v>
      </c>
      <c r="F71" s="8">
        <v>4.4058008193969727</v>
      </c>
      <c r="G71" s="8">
        <v>11332973</v>
      </c>
      <c r="H71" s="8">
        <v>2022</v>
      </c>
      <c r="I71" t="s">
        <v>1047</v>
      </c>
      <c r="J71" s="81">
        <f t="shared" si="29"/>
        <v>466963750</v>
      </c>
      <c r="K71" s="116">
        <f t="shared" si="30"/>
        <v>0.14643762268241778</v>
      </c>
      <c r="L71" s="116">
        <f t="shared" si="31"/>
        <v>0.13345879469899039</v>
      </c>
      <c r="M71" s="116">
        <f t="shared" si="32"/>
        <v>0.13746523886882736</v>
      </c>
      <c r="N71" s="116">
        <f t="shared" si="33"/>
        <v>0.10692654778792524</v>
      </c>
      <c r="AJ71" s="3" t="s">
        <v>1261</v>
      </c>
      <c r="AL71" s="7497">
        <f>AVERAGE(AL64:AL70)</f>
        <v>12.996886662074498</v>
      </c>
      <c r="AM71" s="7497">
        <f t="shared" ref="AM71:AO71" si="35">AVERAGE(AM64:AM70)</f>
        <v>13.599961485181536</v>
      </c>
      <c r="AN71" s="7497">
        <f t="shared" si="35"/>
        <v>13.336461203438896</v>
      </c>
      <c r="AO71" s="7497">
        <f t="shared" si="35"/>
        <v>12.626340457371303</v>
      </c>
    </row>
    <row r="72" spans="1:41" ht="15" thickBot="1">
      <c r="A72" t="s">
        <v>29</v>
      </c>
      <c r="B72" s="8">
        <v>2023</v>
      </c>
      <c r="C72" s="8">
        <v>0.64463162422180176</v>
      </c>
      <c r="D72" s="8">
        <v>1.8187847137451172</v>
      </c>
      <c r="E72" s="8">
        <v>1.3578814268112183</v>
      </c>
      <c r="F72" s="8">
        <v>1.7951769828796387</v>
      </c>
      <c r="G72" s="8">
        <v>18190484</v>
      </c>
      <c r="H72" s="8">
        <v>2023</v>
      </c>
      <c r="I72" t="s">
        <v>1047</v>
      </c>
      <c r="J72" s="81">
        <f t="shared" si="29"/>
        <v>466963750</v>
      </c>
      <c r="K72" s="116">
        <f t="shared" si="30"/>
        <v>2.5111502223246873E-2</v>
      </c>
      <c r="L72" s="116">
        <f t="shared" si="31"/>
        <v>7.0850412338913107E-2</v>
      </c>
      <c r="M72" s="116">
        <f t="shared" si="32"/>
        <v>5.2896012524112711E-2</v>
      </c>
      <c r="N72" s="116">
        <f t="shared" si="33"/>
        <v>6.9930777676512026E-2</v>
      </c>
      <c r="AJ72" s="212" t="s">
        <v>1145</v>
      </c>
      <c r="AK72" s="219"/>
      <c r="AL72" s="2559">
        <f>SUMIF($I:$I,$P6,K:K)</f>
        <v>16.923918276456117</v>
      </c>
      <c r="AM72" s="2559">
        <f t="shared" ref="AM72:AO72" si="36">SUMIF($I:$I,$P6,L:L)</f>
        <v>15.03573805225685</v>
      </c>
      <c r="AN72" s="2559">
        <f t="shared" si="36"/>
        <v>15.714427440954513</v>
      </c>
      <c r="AO72" s="2559">
        <f t="shared" si="36"/>
        <v>14.322950622543095</v>
      </c>
    </row>
    <row r="73" spans="1:41" ht="15" thickTop="1">
      <c r="A73" t="s">
        <v>33</v>
      </c>
      <c r="B73" s="8">
        <v>2021</v>
      </c>
      <c r="C73" s="8">
        <v>1.0357660055160522</v>
      </c>
      <c r="D73" s="8">
        <v>1.0918033123016357</v>
      </c>
      <c r="E73" s="8">
        <v>1.0614869594573975</v>
      </c>
      <c r="F73" s="8">
        <v>1.362324595451355</v>
      </c>
      <c r="G73" s="8">
        <v>813834</v>
      </c>
      <c r="H73" s="8">
        <v>2021</v>
      </c>
      <c r="I73" t="s">
        <v>1047</v>
      </c>
      <c r="J73" s="81">
        <f t="shared" si="29"/>
        <v>466963750</v>
      </c>
      <c r="K73" s="116">
        <f t="shared" si="30"/>
        <v>1.805154235919064E-3</v>
      </c>
      <c r="L73" s="116">
        <f t="shared" si="31"/>
        <v>1.9028172033989563E-3</v>
      </c>
      <c r="M73" s="116">
        <f t="shared" si="32"/>
        <v>1.8499812419337724E-3</v>
      </c>
      <c r="N73" s="116">
        <f t="shared" si="33"/>
        <v>2.3742872435270576E-3</v>
      </c>
    </row>
    <row r="74" spans="1:41" ht="15" thickBot="1">
      <c r="A74" t="s">
        <v>34</v>
      </c>
      <c r="B74" s="8">
        <v>2018</v>
      </c>
      <c r="C74" s="8">
        <v>0.60990113019943237</v>
      </c>
      <c r="D74" s="8">
        <v>0.76312357187271118</v>
      </c>
      <c r="E74" s="8">
        <v>0.6736605167388916</v>
      </c>
      <c r="F74" s="8">
        <v>0.73580729961395264</v>
      </c>
      <c r="G74" s="8">
        <v>10593798</v>
      </c>
      <c r="H74" s="8">
        <v>2018</v>
      </c>
      <c r="I74" t="s">
        <v>1047</v>
      </c>
      <c r="J74" s="81">
        <f t="shared" si="29"/>
        <v>466963750</v>
      </c>
      <c r="K74" s="116">
        <f t="shared" si="30"/>
        <v>1.3836554493372316E-2</v>
      </c>
      <c r="L74" s="116">
        <f t="shared" si="31"/>
        <v>1.7312643581986791E-2</v>
      </c>
      <c r="M74" s="116">
        <f t="shared" si="32"/>
        <v>1.5283035213991315E-2</v>
      </c>
      <c r="N74" s="116">
        <f t="shared" si="33"/>
        <v>1.6692931515638405E-2</v>
      </c>
      <c r="AJ74" s="212" t="s">
        <v>1059</v>
      </c>
      <c r="AK74" s="219"/>
      <c r="AL74" s="85"/>
      <c r="AM74" s="85"/>
      <c r="AN74" s="85"/>
      <c r="AO74" s="85"/>
    </row>
    <row r="75" spans="1:41" ht="15" thickTop="1">
      <c r="A75" t="s">
        <v>42</v>
      </c>
      <c r="B75" s="8">
        <v>2022</v>
      </c>
      <c r="C75" s="8">
        <v>1.1020286083221436</v>
      </c>
      <c r="D75" s="8">
        <v>1.2306432723999023</v>
      </c>
      <c r="E75" s="8">
        <v>1.1714491844177246</v>
      </c>
      <c r="F75" s="8">
        <v>4.552882194519043</v>
      </c>
      <c r="G75" s="8">
        <v>4468087</v>
      </c>
      <c r="H75" s="8">
        <v>2022</v>
      </c>
      <c r="I75" t="s">
        <v>1047</v>
      </c>
      <c r="J75" s="81">
        <f t="shared" si="29"/>
        <v>466963750</v>
      </c>
      <c r="K75" s="116">
        <f t="shared" si="30"/>
        <v>1.0544629424601507E-2</v>
      </c>
      <c r="L75" s="116">
        <f t="shared" si="31"/>
        <v>1.1775263512526321E-2</v>
      </c>
      <c r="M75" s="116">
        <f t="shared" si="32"/>
        <v>1.1208871935043005E-2</v>
      </c>
      <c r="N75" s="116">
        <f t="shared" si="33"/>
        <v>4.3563710771686255E-2</v>
      </c>
      <c r="AJ75" s="213" t="s">
        <v>904</v>
      </c>
      <c r="AK75" s="216" t="s">
        <v>938</v>
      </c>
      <c r="AL75" s="2650" t="s">
        <v>1141</v>
      </c>
      <c r="AM75" s="2650" t="s">
        <v>1142</v>
      </c>
      <c r="AN75" s="2650" t="s">
        <v>1152</v>
      </c>
      <c r="AO75" s="2650" t="s">
        <v>1102</v>
      </c>
    </row>
    <row r="76" spans="1:41">
      <c r="A76" t="s">
        <v>44</v>
      </c>
      <c r="B76" s="8">
        <v>2022</v>
      </c>
      <c r="C76" s="8">
        <v>0.2257302850484848</v>
      </c>
      <c r="D76" s="8">
        <v>0.63370710611343384</v>
      </c>
      <c r="E76" s="8">
        <v>0.50166457891464233</v>
      </c>
      <c r="F76" s="8">
        <v>1.049444317817688</v>
      </c>
      <c r="G76" s="8">
        <v>34352719</v>
      </c>
      <c r="H76" s="8">
        <v>2022</v>
      </c>
      <c r="I76" t="s">
        <v>1047</v>
      </c>
      <c r="J76" s="81">
        <f t="shared" si="29"/>
        <v>466963750</v>
      </c>
      <c r="K76" s="116">
        <f t="shared" si="30"/>
        <v>1.6606104975087466E-2</v>
      </c>
      <c r="L76" s="116">
        <f t="shared" si="31"/>
        <v>4.6619383505931616E-2</v>
      </c>
      <c r="M76" s="116">
        <f t="shared" si="32"/>
        <v>3.6905524918600281E-2</v>
      </c>
      <c r="N76" s="116">
        <f t="shared" si="33"/>
        <v>7.7203563994288057E-2</v>
      </c>
      <c r="AJ76" t="str">
        <f t="shared" ref="AJ76:AJ86" si="37">A54</f>
        <v>BOL</v>
      </c>
      <c r="AK76" s="26">
        <f t="shared" ref="AK76:AK86" si="38">B54</f>
        <v>2022</v>
      </c>
      <c r="AL76" s="8">
        <f t="shared" ref="AL76:AL86" si="39">C54</f>
        <v>44.735504150390625</v>
      </c>
      <c r="AM76" s="8">
        <f t="shared" ref="AM76:AM86" si="40">D54</f>
        <v>30.770286560058594</v>
      </c>
      <c r="AN76" s="8">
        <f t="shared" ref="AN76:AN86" si="41">E54</f>
        <v>36.653656005859375</v>
      </c>
      <c r="AO76" s="8">
        <f t="shared" ref="AO76:AO86" si="42">F54</f>
        <v>20.004449844360352</v>
      </c>
    </row>
    <row r="77" spans="1:41">
      <c r="A77" t="s">
        <v>45</v>
      </c>
      <c r="B77" s="8">
        <v>2022</v>
      </c>
      <c r="C77" s="8">
        <v>2.1598608493804932</v>
      </c>
      <c r="D77" s="8">
        <v>2.6818370819091797</v>
      </c>
      <c r="E77" s="8">
        <v>2.4756367206573486</v>
      </c>
      <c r="F77" s="8">
        <v>3.0698347091674805</v>
      </c>
      <c r="G77" s="8">
        <v>6861524</v>
      </c>
      <c r="H77" s="8">
        <v>2022</v>
      </c>
      <c r="I77" t="s">
        <v>1047</v>
      </c>
      <c r="J77" s="81">
        <f t="shared" si="29"/>
        <v>466963750</v>
      </c>
      <c r="K77" s="116">
        <f t="shared" si="30"/>
        <v>3.1736804098143889E-2</v>
      </c>
      <c r="L77" s="116">
        <f t="shared" si="31"/>
        <v>3.9406676645906247E-2</v>
      </c>
      <c r="M77" s="116">
        <f t="shared" si="32"/>
        <v>3.637678679356094E-2</v>
      </c>
      <c r="N77" s="116">
        <f t="shared" si="33"/>
        <v>4.5107879429582463E-2</v>
      </c>
      <c r="AJ77" t="str">
        <f t="shared" si="37"/>
        <v>BRA</v>
      </c>
      <c r="AK77" s="26">
        <f t="shared" si="38"/>
        <v>2022</v>
      </c>
      <c r="AL77" s="8">
        <f t="shared" si="39"/>
        <v>0.73935258388519287</v>
      </c>
      <c r="AM77" s="8">
        <f t="shared" si="40"/>
        <v>0.60756134986877441</v>
      </c>
      <c r="AN77" s="8">
        <f t="shared" si="41"/>
        <v>0.656211256980896</v>
      </c>
      <c r="AO77" s="8">
        <f t="shared" si="42"/>
        <v>0.35534164309501648</v>
      </c>
    </row>
    <row r="78" spans="1:41">
      <c r="A78" t="s">
        <v>51</v>
      </c>
      <c r="B78" s="8">
        <v>2021</v>
      </c>
      <c r="C78" s="8">
        <v>0.83361333608627319</v>
      </c>
      <c r="D78" s="8">
        <v>0.97235143184661865</v>
      </c>
      <c r="E78" s="8">
        <v>0.86709737777709961</v>
      </c>
      <c r="F78" s="8">
        <v>1.7275336980819702</v>
      </c>
      <c r="G78" s="8">
        <v>28838499</v>
      </c>
      <c r="H78" s="8">
        <v>2021</v>
      </c>
      <c r="I78" t="s">
        <v>1047</v>
      </c>
      <c r="J78" s="81">
        <f t="shared" si="29"/>
        <v>466963750</v>
      </c>
      <c r="K78" s="116">
        <f t="shared" si="30"/>
        <v>5.1481849199452104E-2</v>
      </c>
      <c r="L78" s="116">
        <f t="shared" si="31"/>
        <v>6.0049962753976685E-2</v>
      </c>
      <c r="M78" s="116">
        <f t="shared" si="32"/>
        <v>5.354973884359869E-2</v>
      </c>
      <c r="N78" s="116">
        <f t="shared" si="33"/>
        <v>0.10668810764133875</v>
      </c>
      <c r="AJ78" t="str">
        <f t="shared" si="37"/>
        <v>CHL</v>
      </c>
      <c r="AK78" s="26">
        <f t="shared" si="38"/>
        <v>2022</v>
      </c>
      <c r="AL78" s="8">
        <f t="shared" si="39"/>
        <v>17.382089614868164</v>
      </c>
      <c r="AM78" s="8">
        <f t="shared" si="40"/>
        <v>14.222068786621094</v>
      </c>
      <c r="AN78" s="8">
        <f t="shared" si="41"/>
        <v>15.128172874450684</v>
      </c>
      <c r="AO78" s="8">
        <f t="shared" si="42"/>
        <v>9.5804214477539063</v>
      </c>
    </row>
    <row r="79" spans="1:41">
      <c r="A79" t="s">
        <v>10</v>
      </c>
      <c r="B79" s="8">
        <v>2022</v>
      </c>
      <c r="C79" s="8">
        <v>52.007381439208984</v>
      </c>
      <c r="D79" s="8">
        <v>52.978889465332031</v>
      </c>
      <c r="E79" s="8">
        <v>52.602893829345703</v>
      </c>
      <c r="F79" s="8">
        <v>51.083637237548828</v>
      </c>
      <c r="G79" s="8">
        <v>45773884</v>
      </c>
      <c r="H79" s="8">
        <v>2022</v>
      </c>
      <c r="I79" t="s">
        <v>1046</v>
      </c>
      <c r="J79" s="81">
        <f t="shared" si="29"/>
        <v>623299395</v>
      </c>
      <c r="K79" s="116">
        <f t="shared" si="30"/>
        <v>3.8193199997283886</v>
      </c>
      <c r="L79" s="116">
        <f t="shared" si="31"/>
        <v>3.8906656420465966</v>
      </c>
      <c r="M79" s="116">
        <f t="shared" si="32"/>
        <v>3.8630532606385506</v>
      </c>
      <c r="N79" s="116">
        <f t="shared" si="33"/>
        <v>3.7514820389158894</v>
      </c>
      <c r="AJ79" t="str">
        <f t="shared" si="37"/>
        <v>COL</v>
      </c>
      <c r="AK79" s="26">
        <f t="shared" si="38"/>
        <v>2022</v>
      </c>
      <c r="AL79" s="8">
        <f t="shared" si="39"/>
        <v>11.379833221435547</v>
      </c>
      <c r="AM79" s="8">
        <f t="shared" si="40"/>
        <v>4.9578847885131836</v>
      </c>
      <c r="AN79" s="8">
        <f t="shared" si="41"/>
        <v>7.9977312088012695</v>
      </c>
      <c r="AO79" s="8">
        <f t="shared" si="42"/>
        <v>1.9515026807785034</v>
      </c>
    </row>
    <row r="80" spans="1:41">
      <c r="A80" t="s">
        <v>15</v>
      </c>
      <c r="B80" s="8">
        <v>2022</v>
      </c>
      <c r="C80" s="8">
        <v>52.156852722167969</v>
      </c>
      <c r="D80" s="8">
        <v>51.008693695068359</v>
      </c>
      <c r="E80" s="8">
        <v>51.492191314697266</v>
      </c>
      <c r="F80" s="8">
        <v>50.633018493652344</v>
      </c>
      <c r="G80" s="8">
        <v>12388571</v>
      </c>
      <c r="H80" s="8">
        <v>2022</v>
      </c>
      <c r="I80" t="s">
        <v>1046</v>
      </c>
      <c r="J80" s="81">
        <f t="shared" si="29"/>
        <v>623299395</v>
      </c>
      <c r="K80" s="116">
        <f t="shared" si="30"/>
        <v>1.0366589126644687</v>
      </c>
      <c r="L80" s="116">
        <f t="shared" si="31"/>
        <v>1.0138383392119397</v>
      </c>
      <c r="M80" s="116">
        <f t="shared" si="32"/>
        <v>1.0234482387837236</v>
      </c>
      <c r="N80" s="116">
        <f t="shared" si="33"/>
        <v>1.006371495921194</v>
      </c>
      <c r="AJ80" t="str">
        <f t="shared" si="37"/>
        <v>ECU</v>
      </c>
      <c r="AK80" s="26">
        <f t="shared" si="38"/>
        <v>2023</v>
      </c>
      <c r="AL80" s="8">
        <f t="shared" si="39"/>
        <v>41.700740814208984</v>
      </c>
      <c r="AM80" s="8">
        <f t="shared" si="40"/>
        <v>10.078373908996582</v>
      </c>
      <c r="AN80" s="8">
        <f t="shared" si="41"/>
        <v>22.311090469360352</v>
      </c>
      <c r="AO80" s="8">
        <f t="shared" si="42"/>
        <v>6.6988325119018555</v>
      </c>
    </row>
    <row r="81" spans="1:41">
      <c r="A81" t="s">
        <v>17</v>
      </c>
      <c r="B81" s="8">
        <v>2022</v>
      </c>
      <c r="C81" s="8">
        <v>52.539615631103516</v>
      </c>
      <c r="D81" s="8">
        <v>52.375411987304688</v>
      </c>
      <c r="E81" s="8">
        <v>52.436023712158203</v>
      </c>
      <c r="F81" s="8">
        <v>50.618980407714844</v>
      </c>
      <c r="G81" s="8">
        <v>216422446</v>
      </c>
      <c r="H81" s="8">
        <v>2022</v>
      </c>
      <c r="I81" t="s">
        <v>1046</v>
      </c>
      <c r="J81" s="81">
        <f t="shared" si="29"/>
        <v>623299395</v>
      </c>
      <c r="K81" s="116">
        <f t="shared" si="30"/>
        <v>18.24284159105153</v>
      </c>
      <c r="L81" s="116">
        <f t="shared" si="31"/>
        <v>18.185826688553423</v>
      </c>
      <c r="M81" s="116">
        <f t="shared" si="32"/>
        <v>18.206872333478326</v>
      </c>
      <c r="N81" s="116">
        <f t="shared" si="33"/>
        <v>17.575957303574349</v>
      </c>
      <c r="AJ81" t="str">
        <f t="shared" si="37"/>
        <v>GTM</v>
      </c>
      <c r="AK81" s="26">
        <f t="shared" si="38"/>
        <v>2022</v>
      </c>
      <c r="AL81" s="8">
        <f t="shared" si="39"/>
        <v>52.655757904052734</v>
      </c>
      <c r="AM81" s="8">
        <f t="shared" si="40"/>
        <v>36.262111663818359</v>
      </c>
      <c r="AN81" s="8">
        <f t="shared" si="41"/>
        <v>45.719047546386719</v>
      </c>
      <c r="AO81" s="8">
        <f t="shared" si="42"/>
        <v>27.876907348632813</v>
      </c>
    </row>
    <row r="82" spans="1:41">
      <c r="A82" t="s">
        <v>21</v>
      </c>
      <c r="B82" s="8">
        <v>2022</v>
      </c>
      <c r="C82" s="8">
        <v>54.256946563720703</v>
      </c>
      <c r="D82" s="8">
        <v>54.883403778076172</v>
      </c>
      <c r="E82" s="8">
        <v>54.703773498535156</v>
      </c>
      <c r="F82" s="8">
        <v>50.223964691162109</v>
      </c>
      <c r="G82" s="8">
        <v>19629590</v>
      </c>
      <c r="H82" s="8">
        <v>2022</v>
      </c>
      <c r="I82" t="s">
        <v>1046</v>
      </c>
      <c r="J82" s="81">
        <f t="shared" si="29"/>
        <v>623299395</v>
      </c>
      <c r="K82" s="116">
        <f t="shared" si="30"/>
        <v>1.7087159465279864</v>
      </c>
      <c r="L82" s="116">
        <f t="shared" si="31"/>
        <v>1.7284449858451831</v>
      </c>
      <c r="M82" s="116">
        <f t="shared" si="32"/>
        <v>1.7227878830671906</v>
      </c>
      <c r="N82" s="116">
        <f t="shared" si="33"/>
        <v>1.5817051050755293</v>
      </c>
      <c r="AJ82" t="str">
        <f t="shared" si="37"/>
        <v>HND</v>
      </c>
      <c r="AK82" s="26">
        <f t="shared" si="38"/>
        <v>2023</v>
      </c>
      <c r="AL82" s="8">
        <f t="shared" si="39"/>
        <v>0.1879197359085083</v>
      </c>
      <c r="AM82" s="8">
        <f t="shared" si="40"/>
        <v>0.84580761194229126</v>
      </c>
      <c r="AN82" s="8">
        <f t="shared" si="41"/>
        <v>0.461955726146698</v>
      </c>
      <c r="AO82" s="8">
        <f t="shared" si="42"/>
        <v>0.41250568628311157</v>
      </c>
    </row>
    <row r="83" spans="1:41">
      <c r="A83" t="s">
        <v>23</v>
      </c>
      <c r="B83" s="8">
        <v>2022</v>
      </c>
      <c r="C83" s="8">
        <v>52.836532592773438</v>
      </c>
      <c r="D83" s="8">
        <v>51.521026611328125</v>
      </c>
      <c r="E83" s="8">
        <v>52.143722534179688</v>
      </c>
      <c r="F83" s="8">
        <v>50.684268951416016</v>
      </c>
      <c r="G83" s="8">
        <v>52085168</v>
      </c>
      <c r="H83" s="8">
        <v>2022</v>
      </c>
      <c r="I83" t="s">
        <v>1046</v>
      </c>
      <c r="J83" s="81">
        <f t="shared" si="29"/>
        <v>623299395</v>
      </c>
      <c r="K83" s="116">
        <f t="shared" si="30"/>
        <v>4.415213136268294</v>
      </c>
      <c r="L83" s="116">
        <f t="shared" si="31"/>
        <v>4.3052846643361438</v>
      </c>
      <c r="M83" s="116">
        <f t="shared" si="32"/>
        <v>4.3573194040050929</v>
      </c>
      <c r="N83" s="116">
        <f t="shared" si="33"/>
        <v>4.2353621461347437</v>
      </c>
      <c r="AJ83" t="str">
        <f t="shared" si="37"/>
        <v>MEX</v>
      </c>
      <c r="AK83" s="26">
        <f t="shared" si="38"/>
        <v>2022</v>
      </c>
      <c r="AL83" s="8">
        <f t="shared" si="39"/>
        <v>49.713005065917969</v>
      </c>
      <c r="AM83" s="8">
        <f t="shared" si="40"/>
        <v>34.815067291259766</v>
      </c>
      <c r="AN83" s="8">
        <f t="shared" si="41"/>
        <v>39.569145202636719</v>
      </c>
      <c r="AO83" s="8">
        <f t="shared" si="42"/>
        <v>22.154689788818359</v>
      </c>
    </row>
    <row r="84" spans="1:41">
      <c r="A84" t="s">
        <v>25</v>
      </c>
      <c r="B84" s="8">
        <v>2023</v>
      </c>
      <c r="C84" s="8">
        <v>57.043838500976563</v>
      </c>
      <c r="D84" s="8">
        <v>53.501613616943359</v>
      </c>
      <c r="E84" s="8">
        <v>54.619800567626953</v>
      </c>
      <c r="F84" s="8">
        <v>52.060489654541016</v>
      </c>
      <c r="G84" s="8">
        <v>5212173</v>
      </c>
      <c r="H84" s="8">
        <v>2023</v>
      </c>
      <c r="I84" t="s">
        <v>1046</v>
      </c>
      <c r="J84" s="81">
        <f t="shared" si="29"/>
        <v>623299395</v>
      </c>
      <c r="K84" s="116">
        <f t="shared" si="30"/>
        <v>0.47701370679358757</v>
      </c>
      <c r="L84" s="116">
        <f t="shared" si="31"/>
        <v>0.44739280703242862</v>
      </c>
      <c r="M84" s="116">
        <f t="shared" si="32"/>
        <v>0.45674334367670916</v>
      </c>
      <c r="N84" s="116">
        <f t="shared" si="33"/>
        <v>0.43534179676875512</v>
      </c>
      <c r="AJ84" t="str">
        <f t="shared" si="37"/>
        <v>PAN</v>
      </c>
      <c r="AK84" s="26">
        <f t="shared" si="38"/>
        <v>2022</v>
      </c>
      <c r="AL84" s="8">
        <f t="shared" si="39"/>
        <v>56.480228424072266</v>
      </c>
      <c r="AM84" s="8">
        <f t="shared" si="40"/>
        <v>28.694461822509766</v>
      </c>
      <c r="AN84" s="8">
        <f t="shared" si="41"/>
        <v>41.482681274414063</v>
      </c>
      <c r="AO84" s="8">
        <f t="shared" si="42"/>
        <v>7.1846365928649902</v>
      </c>
    </row>
    <row r="85" spans="1:41">
      <c r="A85" t="s">
        <v>27</v>
      </c>
      <c r="B85" s="8">
        <v>2022</v>
      </c>
      <c r="C85" s="8">
        <v>52.938896179199219</v>
      </c>
      <c r="D85" s="8">
        <v>55.226325988769531</v>
      </c>
      <c r="E85" s="8">
        <v>54.520217895507813</v>
      </c>
      <c r="F85" s="8">
        <v>50.716472625732422</v>
      </c>
      <c r="G85" s="8">
        <v>11332973</v>
      </c>
      <c r="H85" s="8">
        <v>2022</v>
      </c>
      <c r="I85" t="s">
        <v>1046</v>
      </c>
      <c r="J85" s="81">
        <f t="shared" si="29"/>
        <v>623299395</v>
      </c>
      <c r="K85" s="116">
        <f t="shared" si="30"/>
        <v>0.96254718977974918</v>
      </c>
      <c r="L85" s="116">
        <f t="shared" si="31"/>
        <v>1.004137764837592</v>
      </c>
      <c r="M85" s="116">
        <f t="shared" si="32"/>
        <v>0.9912991450343166</v>
      </c>
      <c r="N85" s="116">
        <f t="shared" si="33"/>
        <v>0.92213857342612149</v>
      </c>
      <c r="AJ85" t="str">
        <f t="shared" si="37"/>
        <v>PER</v>
      </c>
      <c r="AK85" s="26">
        <f t="shared" si="38"/>
        <v>2022</v>
      </c>
      <c r="AL85" s="8">
        <f t="shared" si="39"/>
        <v>43.688663482666016</v>
      </c>
      <c r="AM85" s="8">
        <f t="shared" si="40"/>
        <v>34.405101776123047</v>
      </c>
      <c r="AN85" s="8">
        <f t="shared" si="41"/>
        <v>37.298824310302734</v>
      </c>
      <c r="AO85" s="8">
        <f t="shared" si="42"/>
        <v>23.73468017578125</v>
      </c>
    </row>
    <row r="86" spans="1:41">
      <c r="A86" t="s">
        <v>29</v>
      </c>
      <c r="B86" s="8">
        <v>2023</v>
      </c>
      <c r="C86" s="8">
        <v>50.495346069335938</v>
      </c>
      <c r="D86" s="8">
        <v>52.192790985107422</v>
      </c>
      <c r="E86" s="8">
        <v>51.526473999023438</v>
      </c>
      <c r="F86" s="8">
        <v>50.730575561523438</v>
      </c>
      <c r="G86" s="8">
        <v>18190484</v>
      </c>
      <c r="H86" s="8">
        <v>2023</v>
      </c>
      <c r="I86" t="s">
        <v>1046</v>
      </c>
      <c r="J86" s="81">
        <f t="shared" si="29"/>
        <v>623299395</v>
      </c>
      <c r="K86" s="116">
        <f t="shared" si="30"/>
        <v>1.4736654521359167</v>
      </c>
      <c r="L86" s="116">
        <f t="shared" si="31"/>
        <v>1.5232039962591988</v>
      </c>
      <c r="M86" s="116">
        <f t="shared" si="32"/>
        <v>1.5037580789816938</v>
      </c>
      <c r="N86" s="116">
        <f t="shared" si="33"/>
        <v>1.4805304328310525</v>
      </c>
      <c r="AJ86" s="84" t="str">
        <f t="shared" si="37"/>
        <v>URY</v>
      </c>
      <c r="AK86" s="215">
        <f t="shared" si="38"/>
        <v>2022</v>
      </c>
      <c r="AL86" s="7558">
        <f t="shared" si="39"/>
        <v>1.8012619018554688</v>
      </c>
      <c r="AM86" s="7558">
        <f t="shared" si="40"/>
        <v>1.1216919422149658</v>
      </c>
      <c r="AN86" s="7558">
        <f t="shared" si="41"/>
        <v>1.311514139175415</v>
      </c>
      <c r="AO86" s="7558">
        <f t="shared" si="42"/>
        <v>1.3314210176467896</v>
      </c>
    </row>
    <row r="87" spans="1:41">
      <c r="A87" t="s">
        <v>31</v>
      </c>
      <c r="B87" s="8">
        <v>2022</v>
      </c>
      <c r="C87" s="8">
        <v>54.63739013671875</v>
      </c>
      <c r="D87" s="8">
        <v>52.946846008300781</v>
      </c>
      <c r="E87" s="8">
        <v>53.921211242675781</v>
      </c>
      <c r="F87" s="8">
        <v>51.302963256835938</v>
      </c>
      <c r="G87" s="8">
        <v>18092026</v>
      </c>
      <c r="H87" s="8">
        <v>2022</v>
      </c>
      <c r="I87" t="s">
        <v>1046</v>
      </c>
      <c r="J87" s="81">
        <f t="shared" si="29"/>
        <v>623299395</v>
      </c>
      <c r="K87" s="116">
        <f t="shared" si="30"/>
        <v>1.5859169619852738</v>
      </c>
      <c r="L87" s="116">
        <f t="shared" si="31"/>
        <v>1.5368468544721978</v>
      </c>
      <c r="M87" s="116">
        <f t="shared" si="32"/>
        <v>1.5651289951179601</v>
      </c>
      <c r="N87" s="116">
        <f t="shared" si="33"/>
        <v>1.4891311503995932</v>
      </c>
      <c r="AJ87" s="3" t="s">
        <v>1261</v>
      </c>
      <c r="AL87" s="7497">
        <f>AVERAGE(AL76:AL86)</f>
        <v>29.133123354478315</v>
      </c>
      <c r="AM87" s="7497">
        <f t="shared" ref="AM87:AO87" si="43">AVERAGE(AM76:AM86)</f>
        <v>17.889128863811493</v>
      </c>
      <c r="AN87" s="7497">
        <f t="shared" si="43"/>
        <v>22.599093637683175</v>
      </c>
      <c r="AO87" s="7497">
        <f t="shared" si="43"/>
        <v>11.025944430719722</v>
      </c>
    </row>
    <row r="88" spans="1:41" ht="15" thickBot="1">
      <c r="A88" t="s">
        <v>33</v>
      </c>
      <c r="B88" s="8">
        <v>2021</v>
      </c>
      <c r="C88" s="8">
        <v>52.565956115722656</v>
      </c>
      <c r="D88" s="8">
        <v>52.609348297119141</v>
      </c>
      <c r="E88" s="8">
        <v>52.58538818359375</v>
      </c>
      <c r="F88" s="8">
        <v>50.604606628417969</v>
      </c>
      <c r="G88" s="8">
        <v>813834</v>
      </c>
      <c r="H88" s="8">
        <v>2021</v>
      </c>
      <c r="I88" t="s">
        <v>1046</v>
      </c>
      <c r="J88" s="81">
        <f t="shared" si="29"/>
        <v>623299395</v>
      </c>
      <c r="K88" s="116">
        <f t="shared" si="30"/>
        <v>6.8634692529234737E-2</v>
      </c>
      <c r="L88" s="116">
        <f t="shared" si="31"/>
        <v>6.8691349142152885E-2</v>
      </c>
      <c r="M88" s="116">
        <f t="shared" si="32"/>
        <v>6.8660064730219794E-2</v>
      </c>
      <c r="N88" s="116">
        <f t="shared" si="33"/>
        <v>6.6073783740527955E-2</v>
      </c>
      <c r="AJ88" s="212" t="s">
        <v>1145</v>
      </c>
      <c r="AK88" s="219"/>
      <c r="AL88" s="2559">
        <f>SUMIF($I:$I,$P5,K:K)</f>
        <v>22.209165085907014</v>
      </c>
      <c r="AM88" s="2559">
        <f t="shared" ref="AM88:AO88" si="44">SUMIF($I:$I,$P5,L:L)</f>
        <v>14.832204461783819</v>
      </c>
      <c r="AN88" s="2559">
        <f t="shared" si="44"/>
        <v>17.567120386098868</v>
      </c>
      <c r="AO88" s="2559">
        <f t="shared" si="44"/>
        <v>9.5404315227076584</v>
      </c>
    </row>
    <row r="89" spans="1:41" ht="15" thickTop="1">
      <c r="A89" t="s">
        <v>34</v>
      </c>
      <c r="B89" s="8">
        <v>2023</v>
      </c>
      <c r="C89" s="8">
        <v>54.266345977783203</v>
      </c>
      <c r="D89" s="8">
        <v>51.434761047363281</v>
      </c>
      <c r="E89" s="8">
        <v>53.086875915527344</v>
      </c>
      <c r="F89" s="8">
        <v>51.866294860839844</v>
      </c>
      <c r="G89" s="8">
        <v>10593798</v>
      </c>
      <c r="H89" s="8">
        <v>2023</v>
      </c>
      <c r="I89" t="s">
        <v>1046</v>
      </c>
      <c r="J89" s="81">
        <f t="shared" si="29"/>
        <v>623299395</v>
      </c>
      <c r="K89" s="116">
        <f t="shared" si="30"/>
        <v>0.92232835792620615</v>
      </c>
      <c r="L89" s="116">
        <f t="shared" si="31"/>
        <v>0.87420182513418776</v>
      </c>
      <c r="M89" s="116">
        <f t="shared" si="32"/>
        <v>0.90228170348241998</v>
      </c>
      <c r="N89" s="116">
        <f t="shared" si="33"/>
        <v>0.88153631332206805</v>
      </c>
    </row>
    <row r="90" spans="1:41" ht="15" thickBot="1">
      <c r="A90" t="s">
        <v>38</v>
      </c>
      <c r="B90" s="8">
        <v>2022</v>
      </c>
      <c r="C90" s="8">
        <v>53.223800659179688</v>
      </c>
      <c r="D90" s="8">
        <v>53.284950256347656</v>
      </c>
      <c r="E90" s="8">
        <v>53.265308380126953</v>
      </c>
      <c r="F90" s="8">
        <v>51.526481628417969</v>
      </c>
      <c r="G90" s="8">
        <v>128455567</v>
      </c>
      <c r="H90" s="8">
        <v>2022</v>
      </c>
      <c r="I90" t="s">
        <v>1046</v>
      </c>
      <c r="J90" s="81">
        <f t="shared" si="29"/>
        <v>623299395</v>
      </c>
      <c r="K90" s="116">
        <f t="shared" si="30"/>
        <v>10.96887554586813</v>
      </c>
      <c r="L90" s="116">
        <f t="shared" si="31"/>
        <v>10.981477846205729</v>
      </c>
      <c r="M90" s="116">
        <f t="shared" si="32"/>
        <v>10.977429858405461</v>
      </c>
      <c r="N90" s="116">
        <f t="shared" si="33"/>
        <v>10.619075625917322</v>
      </c>
      <c r="AJ90" s="212" t="s">
        <v>1061</v>
      </c>
      <c r="AK90" s="219"/>
      <c r="AL90" s="85"/>
      <c r="AM90" s="85"/>
      <c r="AN90" s="85"/>
      <c r="AO90" s="85"/>
    </row>
    <row r="91" spans="1:41" ht="15" thickTop="1">
      <c r="A91" t="s">
        <v>42</v>
      </c>
      <c r="B91" s="8">
        <v>2022</v>
      </c>
      <c r="C91" s="8">
        <v>51.724571228027344</v>
      </c>
      <c r="D91" s="8">
        <v>52.3021240234375</v>
      </c>
      <c r="E91" s="8">
        <v>52.036308288574219</v>
      </c>
      <c r="F91" s="8">
        <v>50.935108184814453</v>
      </c>
      <c r="G91" s="8">
        <v>4468087</v>
      </c>
      <c r="H91" s="8">
        <v>2022</v>
      </c>
      <c r="I91" t="s">
        <v>1046</v>
      </c>
      <c r="J91" s="81">
        <f t="shared" si="29"/>
        <v>623299395</v>
      </c>
      <c r="K91" s="116">
        <f t="shared" si="30"/>
        <v>0.37078470818108689</v>
      </c>
      <c r="L91" s="116">
        <f t="shared" si="31"/>
        <v>0.37492486322966634</v>
      </c>
      <c r="M91" s="116">
        <f t="shared" si="32"/>
        <v>0.37301937793822293</v>
      </c>
      <c r="N91" s="116">
        <f t="shared" si="33"/>
        <v>0.36512548632293002</v>
      </c>
      <c r="AJ91" s="213" t="s">
        <v>904</v>
      </c>
      <c r="AK91" s="216" t="s">
        <v>938</v>
      </c>
      <c r="AL91" s="2650" t="s">
        <v>1141</v>
      </c>
      <c r="AM91" s="2650" t="s">
        <v>1142</v>
      </c>
      <c r="AN91" s="2650" t="s">
        <v>1152</v>
      </c>
      <c r="AO91" s="2650" t="s">
        <v>1102</v>
      </c>
    </row>
    <row r="92" spans="1:41">
      <c r="A92" t="s">
        <v>44</v>
      </c>
      <c r="B92" s="8">
        <v>2022</v>
      </c>
      <c r="C92" s="8">
        <v>52.340538024902344</v>
      </c>
      <c r="D92" s="8">
        <v>53.147823333740234</v>
      </c>
      <c r="E92" s="8">
        <v>52.880729675292969</v>
      </c>
      <c r="F92" s="8">
        <v>50.731468200683594</v>
      </c>
      <c r="G92" s="8">
        <v>34352719</v>
      </c>
      <c r="H92" s="8">
        <v>2022</v>
      </c>
      <c r="I92" t="s">
        <v>1046</v>
      </c>
      <c r="J92" s="81">
        <f t="shared" si="29"/>
        <v>623299395</v>
      </c>
      <c r="K92" s="116">
        <f t="shared" si="30"/>
        <v>2.8847128835706397</v>
      </c>
      <c r="L92" s="116">
        <f t="shared" si="31"/>
        <v>2.9292058601238038</v>
      </c>
      <c r="M92" s="116">
        <f t="shared" si="32"/>
        <v>2.9144851761813446</v>
      </c>
      <c r="N92" s="116">
        <f t="shared" si="33"/>
        <v>2.7960301029259287</v>
      </c>
      <c r="AJ92" t="str">
        <f t="shared" ref="AJ92:AJ105" si="45">A65</f>
        <v>ARG</v>
      </c>
      <c r="AK92" s="26">
        <f t="shared" ref="AK92:AK105" si="46">B65</f>
        <v>2022</v>
      </c>
      <c r="AL92" s="8">
        <f t="shared" ref="AL92:AL105" si="47">C65</f>
        <v>4.6915063858032227</v>
      </c>
      <c r="AM92" s="8">
        <f t="shared" ref="AM92:AM105" si="48">D65</f>
        <v>4.412501335144043</v>
      </c>
      <c r="AN92" s="8">
        <f t="shared" ref="AN92:AN105" si="49">E65</f>
        <v>4.5205464363098145</v>
      </c>
      <c r="AO92" s="8">
        <f t="shared" ref="AO92:AO105" si="50">F65</f>
        <v>5.0857548713684082</v>
      </c>
    </row>
    <row r="93" spans="1:41">
      <c r="A93" t="s">
        <v>45</v>
      </c>
      <c r="B93" s="8">
        <v>2022</v>
      </c>
      <c r="C93" s="8">
        <v>52.274162292480469</v>
      </c>
      <c r="D93" s="8">
        <v>50.786312103271484</v>
      </c>
      <c r="E93" s="8">
        <v>51.373733520507813</v>
      </c>
      <c r="F93" s="8">
        <v>48.947551727294922</v>
      </c>
      <c r="G93" s="8">
        <v>6861524</v>
      </c>
      <c r="H93" s="8">
        <v>2022</v>
      </c>
      <c r="I93" t="s">
        <v>1046</v>
      </c>
      <c r="J93" s="81">
        <f t="shared" si="29"/>
        <v>623299395</v>
      </c>
      <c r="K93" s="116">
        <f t="shared" si="30"/>
        <v>0.57545446382111398</v>
      </c>
      <c r="L93" s="116">
        <f t="shared" si="31"/>
        <v>0.55907562587653048</v>
      </c>
      <c r="M93" s="116">
        <f t="shared" si="32"/>
        <v>0.56554219103737269</v>
      </c>
      <c r="N93" s="116">
        <f t="shared" si="33"/>
        <v>0.53883383108060867</v>
      </c>
      <c r="AJ93" t="str">
        <f t="shared" si="45"/>
        <v>BOL</v>
      </c>
      <c r="AK93" s="26">
        <f t="shared" si="46"/>
        <v>2022</v>
      </c>
      <c r="AL93" s="8">
        <f t="shared" si="47"/>
        <v>0</v>
      </c>
      <c r="AM93" s="8">
        <f t="shared" si="48"/>
        <v>7.4600368738174438E-2</v>
      </c>
      <c r="AN93" s="8">
        <f t="shared" si="49"/>
        <v>4.3185748159885406E-2</v>
      </c>
      <c r="AO93" s="8">
        <f t="shared" si="50"/>
        <v>0.20946678519248962</v>
      </c>
    </row>
    <row r="94" spans="1:41">
      <c r="A94" t="s">
        <v>46</v>
      </c>
      <c r="B94" s="8">
        <v>2023</v>
      </c>
      <c r="C94" s="8">
        <v>54.8358154296875</v>
      </c>
      <c r="D94" s="8">
        <v>54.684478759765625</v>
      </c>
      <c r="E94" s="8">
        <v>54.745418548583984</v>
      </c>
      <c r="F94" s="8">
        <v>52.209152221679688</v>
      </c>
      <c r="G94" s="8">
        <v>6364943</v>
      </c>
      <c r="H94" s="8">
        <v>2023</v>
      </c>
      <c r="I94" t="s">
        <v>1046</v>
      </c>
      <c r="J94" s="81">
        <f t="shared" si="29"/>
        <v>623299395</v>
      </c>
      <c r="K94" s="116">
        <f t="shared" si="30"/>
        <v>0.55996659449425823</v>
      </c>
      <c r="L94" s="116">
        <f t="shared" si="31"/>
        <v>0.55842119065528517</v>
      </c>
      <c r="M94" s="116">
        <f t="shared" si="32"/>
        <v>0.55904348916122371</v>
      </c>
      <c r="N94" s="116">
        <f t="shared" si="33"/>
        <v>0.5331439122756001</v>
      </c>
      <c r="AJ94" t="str">
        <f t="shared" si="45"/>
        <v>BRA</v>
      </c>
      <c r="AK94" s="26">
        <f t="shared" si="46"/>
        <v>2015</v>
      </c>
      <c r="AL94" s="8">
        <f t="shared" si="47"/>
        <v>7.7651321887969971E-2</v>
      </c>
      <c r="AM94" s="8">
        <f t="shared" si="48"/>
        <v>0.20880410075187683</v>
      </c>
      <c r="AN94" s="8">
        <f t="shared" si="49"/>
        <v>0.15655915439128876</v>
      </c>
      <c r="AO94" s="8">
        <f t="shared" si="50"/>
        <v>0.46408763527870178</v>
      </c>
    </row>
    <row r="95" spans="1:41">
      <c r="A95" t="s">
        <v>50</v>
      </c>
      <c r="B95" s="8">
        <v>2022</v>
      </c>
      <c r="C95" s="8">
        <v>53.906024932861328</v>
      </c>
      <c r="D95" s="8">
        <v>53.314662933349609</v>
      </c>
      <c r="E95" s="8">
        <v>53.479843139648438</v>
      </c>
      <c r="F95" s="8">
        <v>51.146678924560547</v>
      </c>
      <c r="G95" s="8">
        <v>3423109</v>
      </c>
      <c r="H95" s="8">
        <v>2022</v>
      </c>
      <c r="I95" t="s">
        <v>1046</v>
      </c>
      <c r="J95" s="81">
        <f t="shared" si="29"/>
        <v>623299395</v>
      </c>
      <c r="K95" s="116">
        <f t="shared" si="30"/>
        <v>0.29604745421243672</v>
      </c>
      <c r="L95" s="116">
        <f t="shared" si="31"/>
        <v>0.29279974276104576</v>
      </c>
      <c r="M95" s="116">
        <f t="shared" si="32"/>
        <v>0.29370689886506118</v>
      </c>
      <c r="N95" s="116">
        <f t="shared" si="33"/>
        <v>0.28089335293959899</v>
      </c>
      <c r="AJ95" t="str">
        <f t="shared" si="45"/>
        <v>CHL</v>
      </c>
      <c r="AK95" s="26">
        <f t="shared" si="46"/>
        <v>2022</v>
      </c>
      <c r="AL95" s="8">
        <f t="shared" si="47"/>
        <v>5.3428235054016113</v>
      </c>
      <c r="AM95" s="8">
        <f t="shared" si="48"/>
        <v>7.7227129936218262</v>
      </c>
      <c r="AN95" s="8">
        <f t="shared" si="49"/>
        <v>7.0403041839599609</v>
      </c>
      <c r="AO95" s="8">
        <f t="shared" si="50"/>
        <v>8.9207286834716797</v>
      </c>
    </row>
    <row r="96" spans="1:41">
      <c r="A96" t="s">
        <v>51</v>
      </c>
      <c r="B96" s="8">
        <v>2021</v>
      </c>
      <c r="C96" s="8">
        <v>52.032600402832031</v>
      </c>
      <c r="D96" s="8">
        <v>50.916736602783203</v>
      </c>
      <c r="E96" s="8">
        <v>51.763290405273438</v>
      </c>
      <c r="F96" s="8">
        <v>48.585796356201172</v>
      </c>
      <c r="G96" s="8">
        <v>28838499</v>
      </c>
      <c r="H96" s="8">
        <v>2021</v>
      </c>
      <c r="I96" t="s">
        <v>1046</v>
      </c>
      <c r="J96" s="81">
        <f t="shared" si="29"/>
        <v>623299395</v>
      </c>
      <c r="K96" s="116">
        <f t="shared" si="30"/>
        <v>2.4074178584506267</v>
      </c>
      <c r="L96" s="116">
        <f t="shared" si="31"/>
        <v>2.3557896403904368</v>
      </c>
      <c r="M96" s="116">
        <f t="shared" si="32"/>
        <v>2.3949575606265232</v>
      </c>
      <c r="N96" s="116">
        <f t="shared" si="33"/>
        <v>2.2479428840653877</v>
      </c>
      <c r="AJ96" t="str">
        <f t="shared" si="45"/>
        <v>COL</v>
      </c>
      <c r="AK96" s="26">
        <f t="shared" si="46"/>
        <v>2022</v>
      </c>
      <c r="AL96" s="8">
        <f t="shared" si="47"/>
        <v>5.2490811347961426</v>
      </c>
      <c r="AM96" s="8">
        <f t="shared" si="48"/>
        <v>6.886538028717041</v>
      </c>
      <c r="AN96" s="8">
        <f t="shared" si="49"/>
        <v>6.1114435195922852</v>
      </c>
      <c r="AO96" s="8">
        <f t="shared" si="50"/>
        <v>4.1006083488464355</v>
      </c>
    </row>
    <row r="97" spans="11:41">
      <c r="K97" s="116" t="str">
        <f t="shared" ref="K97:L97" si="51">IFERROR($G97/$J97*C97,"")</f>
        <v/>
      </c>
      <c r="L97" s="116" t="str">
        <f t="shared" si="51"/>
        <v/>
      </c>
      <c r="M97" s="116"/>
      <c r="N97" s="116" t="str">
        <f t="shared" ref="N97:N128" si="52">IFERROR($G97/$J97*E97,"")</f>
        <v/>
      </c>
      <c r="AJ97" t="str">
        <f t="shared" si="45"/>
        <v>CRI</v>
      </c>
      <c r="AK97" s="26">
        <f t="shared" si="46"/>
        <v>2023</v>
      </c>
      <c r="AL97" s="8">
        <f t="shared" si="47"/>
        <v>11.443872451782227</v>
      </c>
      <c r="AM97" s="8">
        <f t="shared" si="48"/>
        <v>10.216794013977051</v>
      </c>
      <c r="AN97" s="8">
        <f t="shared" si="49"/>
        <v>10.604148864746094</v>
      </c>
      <c r="AO97" s="8">
        <f t="shared" si="50"/>
        <v>8.4922828674316406</v>
      </c>
    </row>
    <row r="98" spans="11:41">
      <c r="K98" s="116" t="str">
        <f t="shared" ref="K98:L129" si="53">IFERROR($G98/$J98*C98,"")</f>
        <v/>
      </c>
      <c r="L98" s="116" t="str">
        <f t="shared" si="53"/>
        <v/>
      </c>
      <c r="M98" s="116"/>
      <c r="N98" s="116" t="str">
        <f t="shared" si="52"/>
        <v/>
      </c>
      <c r="AJ98" t="str">
        <f t="shared" si="45"/>
        <v>DOM</v>
      </c>
      <c r="AK98" s="26">
        <f t="shared" si="46"/>
        <v>2022</v>
      </c>
      <c r="AL98" s="8">
        <f t="shared" si="47"/>
        <v>6.0338149070739746</v>
      </c>
      <c r="AM98" s="8">
        <f t="shared" si="48"/>
        <v>5.4990353584289551</v>
      </c>
      <c r="AN98" s="8">
        <f t="shared" si="49"/>
        <v>5.6641168594360352</v>
      </c>
      <c r="AO98" s="8">
        <f t="shared" si="50"/>
        <v>4.4058008193969727</v>
      </c>
    </row>
    <row r="99" spans="11:41">
      <c r="K99" s="116" t="str">
        <f t="shared" si="53"/>
        <v/>
      </c>
      <c r="L99" s="116" t="str">
        <f t="shared" si="53"/>
        <v/>
      </c>
      <c r="M99" s="116"/>
      <c r="N99" s="116" t="str">
        <f t="shared" si="52"/>
        <v/>
      </c>
      <c r="AJ99" t="str">
        <f t="shared" si="45"/>
        <v>ECU</v>
      </c>
      <c r="AK99" s="26">
        <f t="shared" si="46"/>
        <v>2023</v>
      </c>
      <c r="AL99" s="8">
        <f t="shared" si="47"/>
        <v>0.64463162422180176</v>
      </c>
      <c r="AM99" s="8">
        <f t="shared" si="48"/>
        <v>1.8187847137451172</v>
      </c>
      <c r="AN99" s="8">
        <f t="shared" si="49"/>
        <v>1.3578814268112183</v>
      </c>
      <c r="AO99" s="8">
        <f t="shared" si="50"/>
        <v>1.7951769828796387</v>
      </c>
    </row>
    <row r="100" spans="11:41">
      <c r="K100" s="116" t="str">
        <f t="shared" si="53"/>
        <v/>
      </c>
      <c r="L100" s="116" t="str">
        <f t="shared" si="53"/>
        <v/>
      </c>
      <c r="M100" s="116"/>
      <c r="N100" s="116" t="str">
        <f t="shared" si="52"/>
        <v/>
      </c>
      <c r="AJ100" t="str">
        <f t="shared" si="45"/>
        <v>GUY</v>
      </c>
      <c r="AK100" s="26">
        <f t="shared" si="46"/>
        <v>2021</v>
      </c>
      <c r="AL100" s="8">
        <f t="shared" si="47"/>
        <v>1.0357660055160522</v>
      </c>
      <c r="AM100" s="8">
        <f t="shared" si="48"/>
        <v>1.0918033123016357</v>
      </c>
      <c r="AN100" s="8">
        <f t="shared" si="49"/>
        <v>1.0614869594573975</v>
      </c>
      <c r="AO100" s="8">
        <f t="shared" si="50"/>
        <v>1.362324595451355</v>
      </c>
    </row>
    <row r="101" spans="11:41">
      <c r="K101" s="116" t="str">
        <f t="shared" si="53"/>
        <v/>
      </c>
      <c r="L101" s="116" t="str">
        <f t="shared" si="53"/>
        <v/>
      </c>
      <c r="M101" s="116"/>
      <c r="N101" s="116" t="str">
        <f t="shared" si="52"/>
        <v/>
      </c>
      <c r="AJ101" t="str">
        <f t="shared" si="45"/>
        <v>HND</v>
      </c>
      <c r="AK101" s="26">
        <f t="shared" si="46"/>
        <v>2018</v>
      </c>
      <c r="AL101" s="8">
        <f t="shared" si="47"/>
        <v>0.60990113019943237</v>
      </c>
      <c r="AM101" s="8">
        <f t="shared" si="48"/>
        <v>0.76312357187271118</v>
      </c>
      <c r="AN101" s="8">
        <f t="shared" si="49"/>
        <v>0.6736605167388916</v>
      </c>
      <c r="AO101" s="8">
        <f t="shared" si="50"/>
        <v>0.73580729961395264</v>
      </c>
    </row>
    <row r="102" spans="11:41">
      <c r="K102" s="116" t="str">
        <f t="shared" si="53"/>
        <v/>
      </c>
      <c r="L102" s="116" t="str">
        <f t="shared" si="53"/>
        <v/>
      </c>
      <c r="M102" s="116"/>
      <c r="N102" s="116" t="str">
        <f t="shared" si="52"/>
        <v/>
      </c>
      <c r="AJ102" t="str">
        <f t="shared" si="45"/>
        <v>PAN</v>
      </c>
      <c r="AK102" s="26">
        <f t="shared" si="46"/>
        <v>2022</v>
      </c>
      <c r="AL102" s="8">
        <f t="shared" si="47"/>
        <v>1.1020286083221436</v>
      </c>
      <c r="AM102" s="8">
        <f t="shared" si="48"/>
        <v>1.2306432723999023</v>
      </c>
      <c r="AN102" s="8">
        <f t="shared" si="49"/>
        <v>1.1714491844177246</v>
      </c>
      <c r="AO102" s="8">
        <f t="shared" si="50"/>
        <v>4.552882194519043</v>
      </c>
    </row>
    <row r="103" spans="11:41">
      <c r="K103" s="116" t="str">
        <f t="shared" si="53"/>
        <v/>
      </c>
      <c r="L103" s="116" t="str">
        <f t="shared" si="53"/>
        <v/>
      </c>
      <c r="M103" s="116"/>
      <c r="N103" s="116" t="str">
        <f t="shared" si="52"/>
        <v/>
      </c>
      <c r="AJ103" t="str">
        <f t="shared" si="45"/>
        <v>PER</v>
      </c>
      <c r="AK103" s="26">
        <f t="shared" si="46"/>
        <v>2022</v>
      </c>
      <c r="AL103" s="8">
        <f t="shared" si="47"/>
        <v>0.2257302850484848</v>
      </c>
      <c r="AM103" s="8">
        <f t="shared" si="48"/>
        <v>0.63370710611343384</v>
      </c>
      <c r="AN103" s="8">
        <f t="shared" si="49"/>
        <v>0.50166457891464233</v>
      </c>
      <c r="AO103" s="8">
        <f t="shared" si="50"/>
        <v>1.049444317817688</v>
      </c>
    </row>
    <row r="104" spans="11:41">
      <c r="K104" s="116" t="str">
        <f t="shared" si="53"/>
        <v/>
      </c>
      <c r="L104" s="116" t="str">
        <f t="shared" si="53"/>
        <v/>
      </c>
      <c r="M104" s="116"/>
      <c r="N104" s="116" t="str">
        <f t="shared" si="52"/>
        <v/>
      </c>
      <c r="AJ104" t="str">
        <f t="shared" si="45"/>
        <v>PRY</v>
      </c>
      <c r="AK104" s="26">
        <f t="shared" si="46"/>
        <v>2022</v>
      </c>
      <c r="AL104" s="8">
        <f t="shared" si="47"/>
        <v>2.1598608493804932</v>
      </c>
      <c r="AM104" s="8">
        <f t="shared" si="48"/>
        <v>2.6818370819091797</v>
      </c>
      <c r="AN104" s="8">
        <f t="shared" si="49"/>
        <v>2.4756367206573486</v>
      </c>
      <c r="AO104" s="8">
        <f t="shared" si="50"/>
        <v>3.0698347091674805</v>
      </c>
    </row>
    <row r="105" spans="11:41">
      <c r="K105" s="116" t="str">
        <f t="shared" si="53"/>
        <v/>
      </c>
      <c r="L105" s="116" t="str">
        <f t="shared" si="53"/>
        <v/>
      </c>
      <c r="M105" s="116"/>
      <c r="N105" s="116" t="str">
        <f t="shared" si="52"/>
        <v/>
      </c>
      <c r="AJ105" s="84" t="str">
        <f t="shared" si="45"/>
        <v>VEN</v>
      </c>
      <c r="AK105" s="215">
        <f t="shared" si="46"/>
        <v>2021</v>
      </c>
      <c r="AL105" s="7558">
        <f t="shared" si="47"/>
        <v>0.83361333608627319</v>
      </c>
      <c r="AM105" s="7558">
        <f t="shared" si="48"/>
        <v>0.97235143184661865</v>
      </c>
      <c r="AN105" s="7558">
        <f t="shared" si="49"/>
        <v>0.86709737777709961</v>
      </c>
      <c r="AO105" s="7558">
        <f t="shared" si="50"/>
        <v>1.7275336980819702</v>
      </c>
    </row>
    <row r="106" spans="11:41">
      <c r="K106" s="116" t="str">
        <f t="shared" si="53"/>
        <v/>
      </c>
      <c r="L106" s="116" t="str">
        <f t="shared" si="53"/>
        <v/>
      </c>
      <c r="M106" s="116"/>
      <c r="N106" s="116" t="str">
        <f t="shared" si="52"/>
        <v/>
      </c>
      <c r="AJ106" s="3" t="s">
        <v>1261</v>
      </c>
      <c r="AL106" s="7497">
        <f>AVERAGE(AL92:AL105)</f>
        <v>2.8178772532514165</v>
      </c>
      <c r="AM106" s="7497">
        <f>AVERAGE(AM92:AM105)</f>
        <v>3.1580883349691118</v>
      </c>
      <c r="AN106" s="7497">
        <f t="shared" ref="AN106:AO106" si="54">AVERAGE(AN92:AN105)</f>
        <v>3.0177986808121204</v>
      </c>
      <c r="AO106" s="7497">
        <f t="shared" si="54"/>
        <v>3.2836952720369612</v>
      </c>
    </row>
    <row r="107" spans="11:41" ht="15" thickBot="1">
      <c r="K107" s="116" t="str">
        <f t="shared" si="53"/>
        <v/>
      </c>
      <c r="L107" s="116" t="str">
        <f t="shared" si="53"/>
        <v/>
      </c>
      <c r="M107" s="116"/>
      <c r="N107" s="116" t="str">
        <f t="shared" si="52"/>
        <v/>
      </c>
      <c r="AJ107" s="212" t="s">
        <v>1145</v>
      </c>
      <c r="AK107" s="219"/>
      <c r="AL107" s="2559">
        <f>SUMIF($I:$I,$P7,K:K)</f>
        <v>1.7312434755905231</v>
      </c>
      <c r="AM107" s="2559">
        <f t="shared" ref="AM107:AO107" si="55">SUMIF($I:$I,$P7,L:L)</f>
        <v>2.1194622366817923</v>
      </c>
      <c r="AN107" s="2559">
        <f t="shared" si="55"/>
        <v>1.9583486014112645</v>
      </c>
      <c r="AO107" s="2559">
        <f t="shared" si="55"/>
        <v>2.1148320836194556</v>
      </c>
    </row>
    <row r="108" spans="11:41" ht="15" thickTop="1">
      <c r="K108" s="116" t="str">
        <f t="shared" si="53"/>
        <v/>
      </c>
      <c r="L108" s="116" t="str">
        <f t="shared" si="53"/>
        <v/>
      </c>
      <c r="M108" s="116"/>
      <c r="N108" s="116" t="str">
        <f t="shared" si="52"/>
        <v/>
      </c>
    </row>
    <row r="109" spans="11:41">
      <c r="K109" s="116" t="str">
        <f t="shared" si="53"/>
        <v/>
      </c>
      <c r="L109" s="116" t="str">
        <f t="shared" si="53"/>
        <v/>
      </c>
      <c r="M109" s="116"/>
      <c r="N109" s="116" t="str">
        <f t="shared" si="52"/>
        <v/>
      </c>
    </row>
    <row r="110" spans="11:41" ht="15" thickBot="1">
      <c r="K110" s="116" t="str">
        <f t="shared" si="53"/>
        <v/>
      </c>
      <c r="L110" s="116" t="str">
        <f t="shared" si="53"/>
        <v/>
      </c>
      <c r="M110" s="116"/>
      <c r="N110" s="116" t="str">
        <f t="shared" si="52"/>
        <v/>
      </c>
      <c r="AJ110" s="212" t="s">
        <v>1062</v>
      </c>
      <c r="AK110" s="219"/>
      <c r="AL110" s="85"/>
      <c r="AM110" s="85"/>
      <c r="AN110" s="85"/>
      <c r="AO110" s="85"/>
    </row>
    <row r="111" spans="11:41" ht="15" thickTop="1">
      <c r="K111" s="116" t="str">
        <f t="shared" si="53"/>
        <v/>
      </c>
      <c r="L111" s="116" t="str">
        <f t="shared" si="53"/>
        <v/>
      </c>
      <c r="M111" s="116"/>
      <c r="N111" s="116" t="str">
        <f t="shared" si="52"/>
        <v/>
      </c>
      <c r="AJ111" s="213" t="s">
        <v>904</v>
      </c>
      <c r="AK111" s="216" t="s">
        <v>938</v>
      </c>
      <c r="AL111" s="2650" t="s">
        <v>1141</v>
      </c>
      <c r="AM111" s="2650" t="s">
        <v>1142</v>
      </c>
      <c r="AN111" s="2650" t="s">
        <v>1152</v>
      </c>
      <c r="AO111" s="2650" t="s">
        <v>1102</v>
      </c>
    </row>
    <row r="112" spans="11:41">
      <c r="K112" s="116" t="str">
        <f t="shared" si="53"/>
        <v/>
      </c>
      <c r="L112" s="116" t="str">
        <f t="shared" si="53"/>
        <v/>
      </c>
      <c r="M112" s="116"/>
      <c r="N112" s="116" t="str">
        <f t="shared" si="52"/>
        <v/>
      </c>
      <c r="AJ112" t="str">
        <f t="shared" ref="AJ112:AJ129" si="56">A79</f>
        <v>ARG</v>
      </c>
      <c r="AK112" s="26">
        <f t="shared" ref="AK112:AK129" si="57">B79</f>
        <v>2022</v>
      </c>
      <c r="AL112" s="8">
        <f t="shared" ref="AL112:AL129" si="58">C79</f>
        <v>52.007381439208984</v>
      </c>
      <c r="AM112" s="8">
        <f t="shared" ref="AM112:AM129" si="59">D79</f>
        <v>52.978889465332031</v>
      </c>
      <c r="AN112" s="8">
        <f t="shared" ref="AN112:AN129" si="60">E79</f>
        <v>52.602893829345703</v>
      </c>
      <c r="AO112" s="8">
        <f t="shared" ref="AO112:AO129" si="61">F79</f>
        <v>51.083637237548828</v>
      </c>
    </row>
    <row r="113" spans="11:41">
      <c r="K113" s="116" t="str">
        <f t="shared" si="53"/>
        <v/>
      </c>
      <c r="L113" s="116" t="str">
        <f t="shared" si="53"/>
        <v/>
      </c>
      <c r="M113" s="116"/>
      <c r="N113" s="116" t="str">
        <f t="shared" si="52"/>
        <v/>
      </c>
      <c r="AJ113" t="str">
        <f t="shared" si="56"/>
        <v>BOL</v>
      </c>
      <c r="AK113" s="26">
        <f t="shared" si="57"/>
        <v>2022</v>
      </c>
      <c r="AL113" s="8">
        <f t="shared" si="58"/>
        <v>52.156852722167969</v>
      </c>
      <c r="AM113" s="8">
        <f t="shared" si="59"/>
        <v>51.008693695068359</v>
      </c>
      <c r="AN113" s="8">
        <f t="shared" si="60"/>
        <v>51.492191314697266</v>
      </c>
      <c r="AO113" s="8">
        <f t="shared" si="61"/>
        <v>50.633018493652344</v>
      </c>
    </row>
    <row r="114" spans="11:41">
      <c r="K114" s="116" t="str">
        <f t="shared" si="53"/>
        <v/>
      </c>
      <c r="L114" s="116" t="str">
        <f t="shared" si="53"/>
        <v/>
      </c>
      <c r="M114" s="116"/>
      <c r="N114" s="116" t="str">
        <f t="shared" si="52"/>
        <v/>
      </c>
      <c r="AJ114" t="str">
        <f t="shared" si="56"/>
        <v>BRA</v>
      </c>
      <c r="AK114" s="26">
        <f t="shared" si="57"/>
        <v>2022</v>
      </c>
      <c r="AL114" s="8">
        <f t="shared" si="58"/>
        <v>52.539615631103516</v>
      </c>
      <c r="AM114" s="8">
        <f t="shared" si="59"/>
        <v>52.375411987304688</v>
      </c>
      <c r="AN114" s="8">
        <f t="shared" si="60"/>
        <v>52.436023712158203</v>
      </c>
      <c r="AO114" s="8">
        <f t="shared" si="61"/>
        <v>50.618980407714844</v>
      </c>
    </row>
    <row r="115" spans="11:41">
      <c r="K115" s="116" t="str">
        <f t="shared" si="53"/>
        <v/>
      </c>
      <c r="L115" s="116" t="str">
        <f t="shared" si="53"/>
        <v/>
      </c>
      <c r="M115" s="116"/>
      <c r="N115" s="116" t="str">
        <f t="shared" si="52"/>
        <v/>
      </c>
      <c r="AJ115" t="str">
        <f t="shared" si="56"/>
        <v>CHL</v>
      </c>
      <c r="AK115" s="26">
        <f t="shared" si="57"/>
        <v>2022</v>
      </c>
      <c r="AL115" s="8">
        <f t="shared" si="58"/>
        <v>54.256946563720703</v>
      </c>
      <c r="AM115" s="8">
        <f t="shared" si="59"/>
        <v>54.883403778076172</v>
      </c>
      <c r="AN115" s="8">
        <f t="shared" si="60"/>
        <v>54.703773498535156</v>
      </c>
      <c r="AO115" s="8">
        <f t="shared" si="61"/>
        <v>50.223964691162109</v>
      </c>
    </row>
    <row r="116" spans="11:41">
      <c r="K116" s="116" t="str">
        <f t="shared" si="53"/>
        <v/>
      </c>
      <c r="L116" s="116" t="str">
        <f t="shared" si="53"/>
        <v/>
      </c>
      <c r="M116" s="116"/>
      <c r="N116" s="116" t="str">
        <f t="shared" si="52"/>
        <v/>
      </c>
      <c r="AJ116" t="str">
        <f t="shared" si="56"/>
        <v>COL</v>
      </c>
      <c r="AK116" s="26">
        <f t="shared" si="57"/>
        <v>2022</v>
      </c>
      <c r="AL116" s="8">
        <f t="shared" si="58"/>
        <v>52.836532592773438</v>
      </c>
      <c r="AM116" s="8">
        <f t="shared" si="59"/>
        <v>51.521026611328125</v>
      </c>
      <c r="AN116" s="8">
        <f t="shared" si="60"/>
        <v>52.143722534179688</v>
      </c>
      <c r="AO116" s="8">
        <f t="shared" si="61"/>
        <v>50.684268951416016</v>
      </c>
    </row>
    <row r="117" spans="11:41">
      <c r="K117" s="116" t="str">
        <f t="shared" si="53"/>
        <v/>
      </c>
      <c r="L117" s="116" t="str">
        <f t="shared" si="53"/>
        <v/>
      </c>
      <c r="M117" s="116"/>
      <c r="N117" s="116" t="str">
        <f t="shared" si="52"/>
        <v/>
      </c>
      <c r="AJ117" t="str">
        <f t="shared" si="56"/>
        <v>CRI</v>
      </c>
      <c r="AK117" s="26">
        <f t="shared" si="57"/>
        <v>2023</v>
      </c>
      <c r="AL117" s="8">
        <f t="shared" si="58"/>
        <v>57.043838500976563</v>
      </c>
      <c r="AM117" s="8">
        <f t="shared" si="59"/>
        <v>53.501613616943359</v>
      </c>
      <c r="AN117" s="8">
        <f t="shared" si="60"/>
        <v>54.619800567626953</v>
      </c>
      <c r="AO117" s="8">
        <f t="shared" si="61"/>
        <v>52.060489654541016</v>
      </c>
    </row>
    <row r="118" spans="11:41">
      <c r="K118" s="116" t="str">
        <f t="shared" si="53"/>
        <v/>
      </c>
      <c r="L118" s="116" t="str">
        <f t="shared" si="53"/>
        <v/>
      </c>
      <c r="M118" s="116"/>
      <c r="N118" s="116" t="str">
        <f t="shared" si="52"/>
        <v/>
      </c>
      <c r="AJ118" t="str">
        <f t="shared" si="56"/>
        <v>DOM</v>
      </c>
      <c r="AK118" s="26">
        <f t="shared" si="57"/>
        <v>2022</v>
      </c>
      <c r="AL118" s="8">
        <f t="shared" si="58"/>
        <v>52.938896179199219</v>
      </c>
      <c r="AM118" s="8">
        <f t="shared" si="59"/>
        <v>55.226325988769531</v>
      </c>
      <c r="AN118" s="8">
        <f t="shared" si="60"/>
        <v>54.520217895507813</v>
      </c>
      <c r="AO118" s="8">
        <f t="shared" si="61"/>
        <v>50.716472625732422</v>
      </c>
    </row>
    <row r="119" spans="11:41">
      <c r="K119" s="116" t="str">
        <f t="shared" si="53"/>
        <v/>
      </c>
      <c r="L119" s="116" t="str">
        <f t="shared" si="53"/>
        <v/>
      </c>
      <c r="M119" s="116"/>
      <c r="N119" s="116" t="str">
        <f t="shared" si="52"/>
        <v/>
      </c>
      <c r="AJ119" t="str">
        <f t="shared" si="56"/>
        <v>ECU</v>
      </c>
      <c r="AK119" s="26">
        <f t="shared" si="57"/>
        <v>2023</v>
      </c>
      <c r="AL119" s="8">
        <f t="shared" si="58"/>
        <v>50.495346069335938</v>
      </c>
      <c r="AM119" s="8">
        <f t="shared" si="59"/>
        <v>52.192790985107422</v>
      </c>
      <c r="AN119" s="8">
        <f t="shared" si="60"/>
        <v>51.526473999023438</v>
      </c>
      <c r="AO119" s="8">
        <f t="shared" si="61"/>
        <v>50.730575561523438</v>
      </c>
    </row>
    <row r="120" spans="11:41">
      <c r="K120" s="116" t="str">
        <f t="shared" si="53"/>
        <v/>
      </c>
      <c r="L120" s="116" t="str">
        <f t="shared" si="53"/>
        <v/>
      </c>
      <c r="M120" s="116"/>
      <c r="N120" s="116" t="str">
        <f t="shared" si="52"/>
        <v/>
      </c>
      <c r="AJ120" t="str">
        <f t="shared" si="56"/>
        <v>GTM</v>
      </c>
      <c r="AK120" s="26">
        <f t="shared" si="57"/>
        <v>2022</v>
      </c>
      <c r="AL120" s="8">
        <f t="shared" si="58"/>
        <v>54.63739013671875</v>
      </c>
      <c r="AM120" s="8">
        <f t="shared" si="59"/>
        <v>52.946846008300781</v>
      </c>
      <c r="AN120" s="8">
        <f t="shared" si="60"/>
        <v>53.921211242675781</v>
      </c>
      <c r="AO120" s="8">
        <f t="shared" si="61"/>
        <v>51.302963256835938</v>
      </c>
    </row>
    <row r="121" spans="11:41">
      <c r="K121" s="116" t="str">
        <f t="shared" si="53"/>
        <v/>
      </c>
      <c r="L121" s="116" t="str">
        <f t="shared" si="53"/>
        <v/>
      </c>
      <c r="M121" s="116"/>
      <c r="N121" s="116" t="str">
        <f t="shared" si="52"/>
        <v/>
      </c>
      <c r="AJ121" t="str">
        <f t="shared" si="56"/>
        <v>GUY</v>
      </c>
      <c r="AK121" s="26">
        <f t="shared" si="57"/>
        <v>2021</v>
      </c>
      <c r="AL121" s="8">
        <f t="shared" si="58"/>
        <v>52.565956115722656</v>
      </c>
      <c r="AM121" s="8">
        <f t="shared" si="59"/>
        <v>52.609348297119141</v>
      </c>
      <c r="AN121" s="8">
        <f t="shared" si="60"/>
        <v>52.58538818359375</v>
      </c>
      <c r="AO121" s="8">
        <f t="shared" si="61"/>
        <v>50.604606628417969</v>
      </c>
    </row>
    <row r="122" spans="11:41">
      <c r="K122" s="116" t="str">
        <f t="shared" si="53"/>
        <v/>
      </c>
      <c r="L122" s="116" t="str">
        <f t="shared" si="53"/>
        <v/>
      </c>
      <c r="M122" s="116"/>
      <c r="N122" s="116" t="str">
        <f t="shared" si="52"/>
        <v/>
      </c>
      <c r="AJ122" t="str">
        <f t="shared" si="56"/>
        <v>HND</v>
      </c>
      <c r="AK122" s="26">
        <f t="shared" si="57"/>
        <v>2023</v>
      </c>
      <c r="AL122" s="8">
        <f t="shared" si="58"/>
        <v>54.266345977783203</v>
      </c>
      <c r="AM122" s="8">
        <f t="shared" si="59"/>
        <v>51.434761047363281</v>
      </c>
      <c r="AN122" s="8">
        <f t="shared" si="60"/>
        <v>53.086875915527344</v>
      </c>
      <c r="AO122" s="8">
        <f t="shared" si="61"/>
        <v>51.866294860839844</v>
      </c>
    </row>
    <row r="123" spans="11:41">
      <c r="K123" s="116" t="str">
        <f t="shared" si="53"/>
        <v/>
      </c>
      <c r="L123" s="116" t="str">
        <f t="shared" si="53"/>
        <v/>
      </c>
      <c r="M123" s="116"/>
      <c r="N123" s="116" t="str">
        <f t="shared" si="52"/>
        <v/>
      </c>
      <c r="AJ123" t="str">
        <f t="shared" si="56"/>
        <v>MEX</v>
      </c>
      <c r="AK123" s="26">
        <f t="shared" si="57"/>
        <v>2022</v>
      </c>
      <c r="AL123" s="8">
        <f t="shared" si="58"/>
        <v>53.223800659179688</v>
      </c>
      <c r="AM123" s="8">
        <f t="shared" si="59"/>
        <v>53.284950256347656</v>
      </c>
      <c r="AN123" s="8">
        <f t="shared" si="60"/>
        <v>53.265308380126953</v>
      </c>
      <c r="AO123" s="8">
        <f t="shared" si="61"/>
        <v>51.526481628417969</v>
      </c>
    </row>
    <row r="124" spans="11:41">
      <c r="K124" s="116" t="str">
        <f t="shared" si="53"/>
        <v/>
      </c>
      <c r="L124" s="116" t="str">
        <f t="shared" si="53"/>
        <v/>
      </c>
      <c r="M124" s="116"/>
      <c r="N124" s="116" t="str">
        <f t="shared" si="52"/>
        <v/>
      </c>
      <c r="AJ124" t="str">
        <f t="shared" si="56"/>
        <v>PAN</v>
      </c>
      <c r="AK124" s="26">
        <f t="shared" si="57"/>
        <v>2022</v>
      </c>
      <c r="AL124" s="8">
        <f t="shared" si="58"/>
        <v>51.724571228027344</v>
      </c>
      <c r="AM124" s="8">
        <f t="shared" si="59"/>
        <v>52.3021240234375</v>
      </c>
      <c r="AN124" s="8">
        <f t="shared" si="60"/>
        <v>52.036308288574219</v>
      </c>
      <c r="AO124" s="8">
        <f t="shared" si="61"/>
        <v>50.935108184814453</v>
      </c>
    </row>
    <row r="125" spans="11:41">
      <c r="K125" s="116" t="str">
        <f t="shared" si="53"/>
        <v/>
      </c>
      <c r="L125" s="116" t="str">
        <f t="shared" si="53"/>
        <v/>
      </c>
      <c r="M125" s="116"/>
      <c r="N125" s="116" t="str">
        <f t="shared" si="52"/>
        <v/>
      </c>
      <c r="AJ125" t="str">
        <f t="shared" si="56"/>
        <v>PER</v>
      </c>
      <c r="AK125" s="26">
        <f t="shared" si="57"/>
        <v>2022</v>
      </c>
      <c r="AL125" s="8">
        <f t="shared" si="58"/>
        <v>52.340538024902344</v>
      </c>
      <c r="AM125" s="8">
        <f t="shared" si="59"/>
        <v>53.147823333740234</v>
      </c>
      <c r="AN125" s="8">
        <f t="shared" si="60"/>
        <v>52.880729675292969</v>
      </c>
      <c r="AO125" s="8">
        <f t="shared" si="61"/>
        <v>50.731468200683594</v>
      </c>
    </row>
    <row r="126" spans="11:41">
      <c r="K126" s="116" t="str">
        <f t="shared" si="53"/>
        <v/>
      </c>
      <c r="L126" s="116" t="str">
        <f t="shared" si="53"/>
        <v/>
      </c>
      <c r="M126" s="116"/>
      <c r="N126" s="116" t="str">
        <f t="shared" si="52"/>
        <v/>
      </c>
      <c r="AJ126" t="str">
        <f t="shared" si="56"/>
        <v>PRY</v>
      </c>
      <c r="AK126" s="26">
        <f t="shared" si="57"/>
        <v>2022</v>
      </c>
      <c r="AL126" s="8">
        <f t="shared" si="58"/>
        <v>52.274162292480469</v>
      </c>
      <c r="AM126" s="8">
        <f t="shared" si="59"/>
        <v>50.786312103271484</v>
      </c>
      <c r="AN126" s="8">
        <f t="shared" si="60"/>
        <v>51.373733520507813</v>
      </c>
      <c r="AO126" s="8">
        <f t="shared" si="61"/>
        <v>48.947551727294922</v>
      </c>
    </row>
    <row r="127" spans="11:41">
      <c r="K127" s="116" t="str">
        <f t="shared" si="53"/>
        <v/>
      </c>
      <c r="L127" s="116" t="str">
        <f t="shared" si="53"/>
        <v/>
      </c>
      <c r="M127" s="116"/>
      <c r="N127" s="116" t="str">
        <f t="shared" si="52"/>
        <v/>
      </c>
      <c r="AJ127" t="str">
        <f t="shared" si="56"/>
        <v>SLV</v>
      </c>
      <c r="AK127" s="26">
        <f t="shared" si="57"/>
        <v>2023</v>
      </c>
      <c r="AL127" s="8">
        <f t="shared" si="58"/>
        <v>54.8358154296875</v>
      </c>
      <c r="AM127" s="8">
        <f t="shared" si="59"/>
        <v>54.684478759765625</v>
      </c>
      <c r="AN127" s="8">
        <f t="shared" si="60"/>
        <v>54.745418548583984</v>
      </c>
      <c r="AO127" s="8">
        <f t="shared" si="61"/>
        <v>52.209152221679688</v>
      </c>
    </row>
    <row r="128" spans="11:41">
      <c r="K128" s="116" t="str">
        <f t="shared" si="53"/>
        <v/>
      </c>
      <c r="L128" s="116" t="str">
        <f t="shared" si="53"/>
        <v/>
      </c>
      <c r="M128" s="116"/>
      <c r="N128" s="116" t="str">
        <f t="shared" si="52"/>
        <v/>
      </c>
      <c r="AJ128" t="str">
        <f t="shared" si="56"/>
        <v>URY</v>
      </c>
      <c r="AK128" s="26">
        <f t="shared" si="57"/>
        <v>2022</v>
      </c>
      <c r="AL128" s="8">
        <f t="shared" si="58"/>
        <v>53.906024932861328</v>
      </c>
      <c r="AM128" s="8">
        <f t="shared" si="59"/>
        <v>53.314662933349609</v>
      </c>
      <c r="AN128" s="8">
        <f t="shared" si="60"/>
        <v>53.479843139648438</v>
      </c>
      <c r="AO128" s="8">
        <f t="shared" si="61"/>
        <v>51.146678924560547</v>
      </c>
    </row>
    <row r="129" spans="11:41">
      <c r="K129" s="116" t="str">
        <f t="shared" si="53"/>
        <v/>
      </c>
      <c r="L129" s="116" t="str">
        <f t="shared" si="53"/>
        <v/>
      </c>
      <c r="M129" s="116"/>
      <c r="N129" s="116" t="str">
        <f t="shared" ref="N129:N158" si="62">IFERROR($G129/$J129*E129,"")</f>
        <v/>
      </c>
      <c r="AJ129" s="84" t="str">
        <f t="shared" si="56"/>
        <v>VEN</v>
      </c>
      <c r="AK129" s="215">
        <f t="shared" si="57"/>
        <v>2021</v>
      </c>
      <c r="AL129" s="7558">
        <f t="shared" si="58"/>
        <v>52.032600402832031</v>
      </c>
      <c r="AM129" s="7558">
        <f t="shared" si="59"/>
        <v>50.916736602783203</v>
      </c>
      <c r="AN129" s="7558">
        <f t="shared" si="60"/>
        <v>51.763290405273438</v>
      </c>
      <c r="AO129" s="7558">
        <f t="shared" si="61"/>
        <v>48.585796356201172</v>
      </c>
    </row>
    <row r="130" spans="11:41">
      <c r="K130" s="116" t="str">
        <f t="shared" ref="K130:L158" si="63">IFERROR($G130/$J130*C130,"")</f>
        <v/>
      </c>
      <c r="L130" s="116" t="str">
        <f t="shared" si="63"/>
        <v/>
      </c>
      <c r="M130" s="116"/>
      <c r="N130" s="116" t="str">
        <f t="shared" si="62"/>
        <v/>
      </c>
      <c r="AJ130" s="3" t="s">
        <v>1261</v>
      </c>
      <c r="AL130" s="7497">
        <f>AVERAGE(AL112:AL129)</f>
        <v>53.115700827704536</v>
      </c>
      <c r="AM130" s="7497">
        <f t="shared" ref="AM130:AO130" si="64">AVERAGE(AM112:AM129)</f>
        <v>52.728677749633789</v>
      </c>
      <c r="AN130" s="7497">
        <f t="shared" si="64"/>
        <v>52.954622480604385</v>
      </c>
      <c r="AO130" s="7497">
        <f t="shared" si="64"/>
        <v>50.811528311835396</v>
      </c>
    </row>
    <row r="131" spans="11:41" ht="15" thickBot="1">
      <c r="K131" s="116" t="str">
        <f t="shared" si="63"/>
        <v/>
      </c>
      <c r="L131" s="116" t="str">
        <f t="shared" si="63"/>
        <v/>
      </c>
      <c r="M131" s="116"/>
      <c r="N131" s="116" t="str">
        <f t="shared" si="62"/>
        <v/>
      </c>
      <c r="AJ131" s="212" t="s">
        <v>1145</v>
      </c>
      <c r="AK131" s="219"/>
      <c r="AL131" s="2559">
        <f>SUMIF($I:$I,$P8,K:K)</f>
        <v>52.776115455988929</v>
      </c>
      <c r="AM131" s="2559">
        <f t="shared" ref="AM131:AO131" si="65">SUMIF($I:$I,$P8,L:L)</f>
        <v>52.630229686113537</v>
      </c>
      <c r="AN131" s="2559">
        <f t="shared" si="65"/>
        <v>52.73953700321141</v>
      </c>
      <c r="AO131" s="2559">
        <f t="shared" si="65"/>
        <v>50.806675335637188</v>
      </c>
    </row>
    <row r="132" spans="11:41" ht="15" thickTop="1">
      <c r="K132" s="116" t="str">
        <f t="shared" si="63"/>
        <v/>
      </c>
      <c r="L132" s="116" t="str">
        <f t="shared" si="63"/>
        <v/>
      </c>
      <c r="M132" s="116"/>
      <c r="N132" s="116" t="str">
        <f t="shared" si="62"/>
        <v/>
      </c>
    </row>
    <row r="133" spans="11:41">
      <c r="K133" s="116" t="str">
        <f t="shared" si="63"/>
        <v/>
      </c>
      <c r="L133" s="116" t="str">
        <f t="shared" si="63"/>
        <v/>
      </c>
      <c r="M133" s="116"/>
      <c r="N133" s="116" t="str">
        <f t="shared" si="62"/>
        <v/>
      </c>
    </row>
    <row r="134" spans="11:41">
      <c r="K134" s="116" t="str">
        <f t="shared" si="63"/>
        <v/>
      </c>
      <c r="L134" s="116" t="str">
        <f t="shared" si="63"/>
        <v/>
      </c>
      <c r="M134" s="116"/>
      <c r="N134" s="116" t="str">
        <f t="shared" si="62"/>
        <v/>
      </c>
    </row>
    <row r="135" spans="11:41">
      <c r="K135" s="116" t="str">
        <f t="shared" si="63"/>
        <v/>
      </c>
      <c r="L135" s="116" t="str">
        <f t="shared" si="63"/>
        <v/>
      </c>
      <c r="M135" s="116"/>
      <c r="N135" s="116" t="str">
        <f t="shared" si="62"/>
        <v/>
      </c>
    </row>
    <row r="136" spans="11:41">
      <c r="K136" s="116" t="str">
        <f t="shared" si="63"/>
        <v/>
      </c>
      <c r="L136" s="116" t="str">
        <f t="shared" si="63"/>
        <v/>
      </c>
      <c r="M136" s="116"/>
      <c r="N136" s="116" t="str">
        <f t="shared" si="62"/>
        <v/>
      </c>
    </row>
    <row r="137" spans="11:41">
      <c r="K137" s="116" t="str">
        <f t="shared" si="63"/>
        <v/>
      </c>
      <c r="L137" s="116" t="str">
        <f t="shared" si="63"/>
        <v/>
      </c>
      <c r="M137" s="116"/>
      <c r="N137" s="116" t="str">
        <f t="shared" si="62"/>
        <v/>
      </c>
    </row>
    <row r="138" spans="11:41">
      <c r="K138" s="116" t="str">
        <f t="shared" si="63"/>
        <v/>
      </c>
      <c r="L138" s="116" t="str">
        <f t="shared" si="63"/>
        <v/>
      </c>
      <c r="M138" s="116"/>
      <c r="N138" s="116" t="str">
        <f t="shared" si="62"/>
        <v/>
      </c>
    </row>
    <row r="139" spans="11:41">
      <c r="K139" s="116" t="str">
        <f t="shared" si="63"/>
        <v/>
      </c>
      <c r="L139" s="116" t="str">
        <f t="shared" si="63"/>
        <v/>
      </c>
      <c r="M139" s="116"/>
      <c r="N139" s="116" t="str">
        <f t="shared" si="62"/>
        <v/>
      </c>
    </row>
    <row r="140" spans="11:41">
      <c r="K140" s="116" t="str">
        <f t="shared" si="63"/>
        <v/>
      </c>
      <c r="L140" s="116" t="str">
        <f t="shared" si="63"/>
        <v/>
      </c>
      <c r="M140" s="116"/>
      <c r="N140" s="116" t="str">
        <f t="shared" si="62"/>
        <v/>
      </c>
    </row>
    <row r="141" spans="11:41">
      <c r="K141" s="116" t="str">
        <f t="shared" si="63"/>
        <v/>
      </c>
      <c r="L141" s="116" t="str">
        <f t="shared" si="63"/>
        <v/>
      </c>
      <c r="M141" s="116"/>
      <c r="N141" s="116" t="str">
        <f t="shared" si="62"/>
        <v/>
      </c>
    </row>
    <row r="142" spans="11:41">
      <c r="K142" s="116" t="str">
        <f t="shared" si="63"/>
        <v/>
      </c>
      <c r="L142" s="116" t="str">
        <f t="shared" si="63"/>
        <v/>
      </c>
      <c r="M142" s="116"/>
      <c r="N142" s="116" t="str">
        <f t="shared" si="62"/>
        <v/>
      </c>
    </row>
    <row r="143" spans="11:41">
      <c r="K143" s="116" t="str">
        <f t="shared" si="63"/>
        <v/>
      </c>
      <c r="L143" s="116" t="str">
        <f t="shared" si="63"/>
        <v/>
      </c>
      <c r="M143" s="116"/>
      <c r="N143" s="116" t="str">
        <f t="shared" si="62"/>
        <v/>
      </c>
    </row>
    <row r="144" spans="11:41">
      <c r="K144" s="116" t="str">
        <f t="shared" si="63"/>
        <v/>
      </c>
      <c r="L144" s="116" t="str">
        <f t="shared" si="63"/>
        <v/>
      </c>
      <c r="M144" s="116"/>
      <c r="N144" s="116" t="str">
        <f t="shared" si="62"/>
        <v/>
      </c>
    </row>
    <row r="145" spans="11:14">
      <c r="K145" s="116" t="str">
        <f t="shared" si="63"/>
        <v/>
      </c>
      <c r="L145" s="116" t="str">
        <f t="shared" si="63"/>
        <v/>
      </c>
      <c r="M145" s="116"/>
      <c r="N145" s="116" t="str">
        <f t="shared" si="62"/>
        <v/>
      </c>
    </row>
    <row r="146" spans="11:14">
      <c r="K146" s="116" t="str">
        <f t="shared" si="63"/>
        <v/>
      </c>
      <c r="L146" s="116" t="str">
        <f t="shared" si="63"/>
        <v/>
      </c>
      <c r="M146" s="116"/>
      <c r="N146" s="116" t="str">
        <f t="shared" si="62"/>
        <v/>
      </c>
    </row>
    <row r="147" spans="11:14">
      <c r="K147" s="116" t="str">
        <f t="shared" si="63"/>
        <v/>
      </c>
      <c r="L147" s="116" t="str">
        <f t="shared" si="63"/>
        <v/>
      </c>
      <c r="M147" s="116"/>
      <c r="N147" s="116" t="str">
        <f t="shared" si="62"/>
        <v/>
      </c>
    </row>
    <row r="148" spans="11:14">
      <c r="K148" s="116" t="str">
        <f t="shared" si="63"/>
        <v/>
      </c>
      <c r="L148" s="116" t="str">
        <f t="shared" si="63"/>
        <v/>
      </c>
      <c r="M148" s="116"/>
      <c r="N148" s="116" t="str">
        <f t="shared" si="62"/>
        <v/>
      </c>
    </row>
    <row r="149" spans="11:14">
      <c r="K149" s="116" t="str">
        <f t="shared" si="63"/>
        <v/>
      </c>
      <c r="L149" s="116" t="str">
        <f t="shared" si="63"/>
        <v/>
      </c>
      <c r="M149" s="116"/>
      <c r="N149" s="116" t="str">
        <f t="shared" si="62"/>
        <v/>
      </c>
    </row>
    <row r="150" spans="11:14">
      <c r="K150" s="116" t="str">
        <f t="shared" si="63"/>
        <v/>
      </c>
      <c r="L150" s="116" t="str">
        <f t="shared" si="63"/>
        <v/>
      </c>
      <c r="M150" s="116"/>
      <c r="N150" s="116" t="str">
        <f t="shared" si="62"/>
        <v/>
      </c>
    </row>
    <row r="151" spans="11:14">
      <c r="K151" s="116" t="str">
        <f t="shared" si="63"/>
        <v/>
      </c>
      <c r="L151" s="116" t="str">
        <f t="shared" si="63"/>
        <v/>
      </c>
      <c r="M151" s="116"/>
      <c r="N151" s="116" t="str">
        <f t="shared" si="62"/>
        <v/>
      </c>
    </row>
    <row r="152" spans="11:14">
      <c r="K152" s="116" t="str">
        <f t="shared" si="63"/>
        <v/>
      </c>
      <c r="L152" s="116" t="str">
        <f t="shared" si="63"/>
        <v/>
      </c>
      <c r="M152" s="116"/>
      <c r="N152" s="116" t="str">
        <f t="shared" si="62"/>
        <v/>
      </c>
    </row>
    <row r="153" spans="11:14">
      <c r="K153" s="116" t="str">
        <f t="shared" si="63"/>
        <v/>
      </c>
      <c r="L153" s="116" t="str">
        <f t="shared" si="63"/>
        <v/>
      </c>
      <c r="M153" s="116"/>
      <c r="N153" s="116" t="str">
        <f t="shared" si="62"/>
        <v/>
      </c>
    </row>
    <row r="154" spans="11:14">
      <c r="K154" s="116" t="str">
        <f t="shared" si="63"/>
        <v/>
      </c>
      <c r="L154" s="116" t="str">
        <f t="shared" si="63"/>
        <v/>
      </c>
      <c r="M154" s="116"/>
      <c r="N154" s="116" t="str">
        <f t="shared" si="62"/>
        <v/>
      </c>
    </row>
    <row r="155" spans="11:14">
      <c r="K155" s="116" t="str">
        <f t="shared" si="63"/>
        <v/>
      </c>
      <c r="L155" s="116" t="str">
        <f t="shared" si="63"/>
        <v/>
      </c>
      <c r="M155" s="116"/>
      <c r="N155" s="116" t="str">
        <f t="shared" si="62"/>
        <v/>
      </c>
    </row>
    <row r="156" spans="11:14">
      <c r="K156" s="116" t="str">
        <f t="shared" si="63"/>
        <v/>
      </c>
      <c r="L156" s="116" t="str">
        <f t="shared" si="63"/>
        <v/>
      </c>
      <c r="M156" s="116"/>
      <c r="N156" s="116" t="str">
        <f t="shared" si="62"/>
        <v/>
      </c>
    </row>
    <row r="157" spans="11:14">
      <c r="K157" s="116" t="str">
        <f t="shared" si="63"/>
        <v/>
      </c>
      <c r="L157" s="116" t="str">
        <f t="shared" si="63"/>
        <v/>
      </c>
      <c r="M157" s="116"/>
      <c r="N157" s="116" t="str">
        <f t="shared" si="62"/>
        <v/>
      </c>
    </row>
    <row r="158" spans="11:14">
      <c r="K158" s="116" t="str">
        <f t="shared" si="63"/>
        <v/>
      </c>
      <c r="L158" s="116" t="str">
        <f t="shared" si="63"/>
        <v/>
      </c>
      <c r="M158" s="116"/>
      <c r="N158" s="116" t="str">
        <f t="shared" si="62"/>
        <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5DADC-BBBD-4968-9140-D3A2A74247CD}">
  <dimension ref="D1:AK21"/>
  <sheetViews>
    <sheetView workbookViewId="0">
      <selection activeCell="M15" sqref="M15"/>
    </sheetView>
  </sheetViews>
  <sheetFormatPr defaultRowHeight="14.5"/>
  <cols>
    <col min="5" max="6" width="9.7265625" bestFit="1" customWidth="1"/>
    <col min="7" max="8" width="10.7265625" bestFit="1" customWidth="1"/>
    <col min="9" max="11" width="9.7265625" bestFit="1" customWidth="1"/>
    <col min="12" max="12" width="10.7265625" bestFit="1" customWidth="1"/>
    <col min="13" max="14" width="9.7265625" bestFit="1" customWidth="1"/>
    <col min="15" max="16" width="10.7265625" bestFit="1" customWidth="1"/>
    <col min="20" max="20" width="4.26953125" bestFit="1" customWidth="1"/>
    <col min="21" max="22" width="13.36328125" bestFit="1" customWidth="1"/>
    <col min="23" max="24" width="14.36328125" bestFit="1" customWidth="1"/>
    <col min="25" max="26" width="3.26953125" bestFit="1" customWidth="1"/>
    <col min="37" max="37" width="9.81640625" bestFit="1" customWidth="1"/>
  </cols>
  <sheetData>
    <row r="1" spans="4:37">
      <c r="I1" s="5">
        <f>SUM(I6:I13)</f>
        <v>19775797</v>
      </c>
      <c r="M1" s="5">
        <f>SUM(M6:M13)</f>
        <v>46973620</v>
      </c>
      <c r="O1" s="35">
        <f>I1/M1</f>
        <v>0.42099793458541196</v>
      </c>
    </row>
    <row r="3" spans="4:37">
      <c r="E3" t="s">
        <v>1311</v>
      </c>
      <c r="I3" t="s">
        <v>1313</v>
      </c>
      <c r="M3" t="s">
        <v>1312</v>
      </c>
      <c r="AB3" s="7" t="s">
        <v>995</v>
      </c>
      <c r="AC3" s="7" t="s">
        <v>996</v>
      </c>
      <c r="AD3" s="7" t="s">
        <v>997</v>
      </c>
      <c r="AE3" s="7" t="s">
        <v>998</v>
      </c>
      <c r="AF3" s="7" t="s">
        <v>999</v>
      </c>
      <c r="AG3" s="7" t="s">
        <v>1000</v>
      </c>
      <c r="AH3" s="7" t="s">
        <v>1001</v>
      </c>
      <c r="AI3" s="7" t="s">
        <v>1002</v>
      </c>
      <c r="AJ3" s="7" t="s">
        <v>1003</v>
      </c>
      <c r="AK3" s="7" t="s">
        <v>1004</v>
      </c>
    </row>
    <row r="4" spans="4:37">
      <c r="E4" s="7411">
        <v>1</v>
      </c>
      <c r="F4">
        <v>2</v>
      </c>
      <c r="G4">
        <v>3</v>
      </c>
      <c r="H4" t="s">
        <v>1312</v>
      </c>
      <c r="I4" s="7411">
        <v>1</v>
      </c>
      <c r="J4">
        <v>2</v>
      </c>
      <c r="K4">
        <v>3</v>
      </c>
      <c r="L4" t="s">
        <v>1312</v>
      </c>
      <c r="M4" s="7411">
        <v>1</v>
      </c>
      <c r="N4">
        <v>2</v>
      </c>
      <c r="O4">
        <v>3</v>
      </c>
      <c r="P4" t="s">
        <v>1312</v>
      </c>
      <c r="AB4" t="s">
        <v>10</v>
      </c>
      <c r="AC4" s="8">
        <v>2022</v>
      </c>
      <c r="AD4" s="8">
        <v>8.1207027435302734</v>
      </c>
      <c r="AE4" s="8">
        <v>12.861659049987793</v>
      </c>
      <c r="AF4" s="8">
        <v>20.98236083984375</v>
      </c>
      <c r="AG4" s="8">
        <v>79.01763916015625</v>
      </c>
      <c r="AH4" s="8">
        <v>2083510</v>
      </c>
      <c r="AI4" s="8">
        <v>3299886</v>
      </c>
      <c r="AJ4" s="8">
        <v>5383396</v>
      </c>
      <c r="AK4" s="8">
        <v>20273374</v>
      </c>
    </row>
    <row r="5" spans="4:37">
      <c r="AB5" t="s">
        <v>15</v>
      </c>
      <c r="AC5" s="8">
        <v>2022</v>
      </c>
      <c r="AD5" s="8">
        <v>9.1588373184204102</v>
      </c>
      <c r="AE5" s="8">
        <v>12.590672492980957</v>
      </c>
      <c r="AF5" s="8">
        <v>21.749509811401367</v>
      </c>
      <c r="AG5" s="8">
        <v>78.25048828125</v>
      </c>
      <c r="AH5" s="8">
        <v>1100079.1502017975</v>
      </c>
      <c r="AI5" s="8">
        <v>1512281.1119308472</v>
      </c>
      <c r="AJ5" s="8">
        <v>2612360.2621326447</v>
      </c>
      <c r="AK5" s="8">
        <v>9398762.369977951</v>
      </c>
    </row>
    <row r="6" spans="4:37">
      <c r="D6" t="s">
        <v>17</v>
      </c>
      <c r="E6" s="7521">
        <v>5508919</v>
      </c>
      <c r="F6" s="5">
        <v>12687412</v>
      </c>
      <c r="G6" s="5">
        <v>75080526</v>
      </c>
      <c r="H6" s="5">
        <v>93276857</v>
      </c>
      <c r="I6" s="7527">
        <v>17462551</v>
      </c>
      <c r="J6" s="7527">
        <v>26570250</v>
      </c>
      <c r="K6" s="7527">
        <v>74069959</v>
      </c>
      <c r="L6" s="5">
        <v>118102760</v>
      </c>
      <c r="M6" s="7521">
        <v>22971470</v>
      </c>
      <c r="N6" s="5">
        <v>39257662</v>
      </c>
      <c r="O6" s="5">
        <v>149150484</v>
      </c>
      <c r="P6" s="5">
        <v>211379617</v>
      </c>
      <c r="Q6" s="35">
        <f>I6/M6</f>
        <v>0.76018430688153604</v>
      </c>
      <c r="R6" s="35">
        <f>J6/N6</f>
        <v>0.67681692302511542</v>
      </c>
      <c r="S6" s="35">
        <f>K6/O6</f>
        <v>0.49661226040674467</v>
      </c>
      <c r="T6" s="35">
        <f t="shared" ref="T6:T14" si="0">L6/P6</f>
        <v>0.55872350265446835</v>
      </c>
      <c r="U6" s="231">
        <f>Q6/S6</f>
        <v>1.5307401115286918</v>
      </c>
      <c r="V6" s="35"/>
      <c r="W6" s="35"/>
      <c r="X6" s="35"/>
      <c r="Y6" s="35"/>
      <c r="Z6" s="35"/>
      <c r="AB6" t="s">
        <v>17</v>
      </c>
      <c r="AC6" s="8">
        <v>2022</v>
      </c>
      <c r="AD6" s="8">
        <v>10.865315437316895</v>
      </c>
      <c r="AE6" s="8">
        <v>18.57042121887207</v>
      </c>
      <c r="AF6" s="8">
        <v>29.435735702514648</v>
      </c>
      <c r="AG6" s="8">
        <v>70.564262390136719</v>
      </c>
      <c r="AH6" s="8">
        <v>22976175.011930466</v>
      </c>
      <c r="AI6" s="8">
        <v>39269662.676348686</v>
      </c>
      <c r="AJ6" s="8">
        <v>62245837.688279152</v>
      </c>
      <c r="AK6" s="8">
        <v>149217659.38134193</v>
      </c>
    </row>
    <row r="7" spans="4:37">
      <c r="D7" t="s">
        <v>23</v>
      </c>
      <c r="E7" s="7521">
        <v>8459115</v>
      </c>
      <c r="F7" s="5">
        <v>9699562</v>
      </c>
      <c r="G7" s="5">
        <v>27518834</v>
      </c>
      <c r="H7" s="5">
        <v>45677511</v>
      </c>
      <c r="I7" s="7521">
        <v>1251678</v>
      </c>
      <c r="J7" s="5">
        <v>1104566</v>
      </c>
      <c r="K7" s="5">
        <v>1732777</v>
      </c>
      <c r="L7" s="5">
        <v>4089020</v>
      </c>
      <c r="M7" s="7521">
        <v>9710793</v>
      </c>
      <c r="N7" s="5">
        <v>10804128</v>
      </c>
      <c r="O7" s="5">
        <v>29251611</v>
      </c>
      <c r="P7" s="5">
        <v>49766532</v>
      </c>
      <c r="Q7" s="35">
        <f t="shared" ref="Q7:Q14" si="1">I7/M7</f>
        <v>0.12889554951897336</v>
      </c>
      <c r="R7" s="35">
        <f t="shared" ref="R7:S14" si="2">J7/N7</f>
        <v>0.10223555292939884</v>
      </c>
      <c r="S7" s="35">
        <f t="shared" si="2"/>
        <v>5.923697672582888E-2</v>
      </c>
      <c r="T7" s="35">
        <f t="shared" si="0"/>
        <v>8.2164053545061164E-2</v>
      </c>
      <c r="U7" s="231">
        <f t="shared" ref="U7:U14" si="3">Q7/S7</f>
        <v>2.1759305866595908</v>
      </c>
      <c r="V7" s="35"/>
      <c r="W7" s="35"/>
      <c r="X7" s="35"/>
      <c r="Y7" s="35"/>
      <c r="Z7" s="35"/>
      <c r="AB7" t="s">
        <v>21</v>
      </c>
      <c r="AC7" s="8">
        <v>2022</v>
      </c>
      <c r="AD7" s="8">
        <v>3.2169833183288574</v>
      </c>
      <c r="AE7" s="8">
        <v>8.0021905899047852</v>
      </c>
      <c r="AF7" s="8">
        <v>11.219173431396484</v>
      </c>
      <c r="AG7" s="8">
        <v>88.78082275390625</v>
      </c>
      <c r="AH7" s="8">
        <v>633635</v>
      </c>
      <c r="AI7" s="8">
        <v>1576156</v>
      </c>
      <c r="AJ7" s="8">
        <v>2209791</v>
      </c>
      <c r="AK7" s="8">
        <v>17486767</v>
      </c>
    </row>
    <row r="8" spans="4:37">
      <c r="D8" t="s">
        <v>29</v>
      </c>
      <c r="E8" s="7521">
        <v>2437405</v>
      </c>
      <c r="F8" s="5">
        <v>3888046</v>
      </c>
      <c r="G8" s="5">
        <v>10152192</v>
      </c>
      <c r="H8" s="5">
        <v>16477643</v>
      </c>
      <c r="I8" s="7521">
        <v>132117</v>
      </c>
      <c r="J8" s="5">
        <v>184813</v>
      </c>
      <c r="K8" s="5">
        <v>220738</v>
      </c>
      <c r="L8" s="5">
        <v>537668</v>
      </c>
      <c r="M8" s="7521">
        <v>2569521</v>
      </c>
      <c r="N8" s="5">
        <v>4072859</v>
      </c>
      <c r="O8" s="5">
        <v>10372930</v>
      </c>
      <c r="P8" s="5">
        <v>17015311</v>
      </c>
      <c r="Q8" s="35">
        <f t="shared" si="1"/>
        <v>5.1416976160148134E-2</v>
      </c>
      <c r="R8" s="35">
        <f t="shared" si="2"/>
        <v>4.5376724310858783E-2</v>
      </c>
      <c r="S8" s="35">
        <f t="shared" si="2"/>
        <v>2.1280197591230249E-2</v>
      </c>
      <c r="T8" s="35">
        <f t="shared" si="0"/>
        <v>3.1599069802485537E-2</v>
      </c>
      <c r="U8" s="231">
        <f t="shared" si="3"/>
        <v>2.4161888506776603</v>
      </c>
      <c r="V8" s="35"/>
      <c r="W8" s="35"/>
      <c r="X8" s="35"/>
      <c r="Y8" s="35"/>
      <c r="Z8" s="35"/>
      <c r="AB8" t="s">
        <v>23</v>
      </c>
      <c r="AC8" s="8">
        <v>2022</v>
      </c>
      <c r="AD8" s="8">
        <v>19.512697219848633</v>
      </c>
      <c r="AE8" s="8">
        <v>21.709625244140625</v>
      </c>
      <c r="AF8" s="8">
        <v>41.222324371337891</v>
      </c>
      <c r="AG8" s="8">
        <v>58.777679443359375</v>
      </c>
      <c r="AH8" s="8">
        <v>9710793.3613915443</v>
      </c>
      <c r="AI8" s="8">
        <v>10804127.690700054</v>
      </c>
      <c r="AJ8" s="8">
        <v>20514921.052091599</v>
      </c>
      <c r="AK8" s="8">
        <v>29251610.621575832</v>
      </c>
    </row>
    <row r="9" spans="4:37">
      <c r="D9" t="s">
        <v>31</v>
      </c>
      <c r="E9" s="7521">
        <v>5121846</v>
      </c>
      <c r="F9" s="5">
        <v>3780111</v>
      </c>
      <c r="G9" s="5">
        <v>7230500</v>
      </c>
      <c r="H9" s="5">
        <v>16132457</v>
      </c>
      <c r="I9" s="7521">
        <v>173985</v>
      </c>
      <c r="J9" s="5">
        <v>104409</v>
      </c>
      <c r="K9" s="5">
        <v>163516</v>
      </c>
      <c r="L9" s="5">
        <v>441910</v>
      </c>
      <c r="M9" s="7521">
        <v>5295831</v>
      </c>
      <c r="N9" s="5">
        <v>3884520</v>
      </c>
      <c r="O9" s="5">
        <v>7394016</v>
      </c>
      <c r="P9" s="5">
        <v>16574367</v>
      </c>
      <c r="Q9" s="35">
        <f t="shared" si="1"/>
        <v>3.2853200942401677E-2</v>
      </c>
      <c r="R9" s="35">
        <f t="shared" si="2"/>
        <v>2.6878224336597572E-2</v>
      </c>
      <c r="S9" s="35">
        <f t="shared" si="2"/>
        <v>2.2114639730290007E-2</v>
      </c>
      <c r="T9" s="35">
        <f t="shared" si="0"/>
        <v>2.6662255035139502E-2</v>
      </c>
      <c r="U9" s="231">
        <f t="shared" si="3"/>
        <v>1.4855860797679314</v>
      </c>
      <c r="V9" s="35"/>
      <c r="W9" s="35"/>
      <c r="X9" s="35"/>
      <c r="Y9" s="35"/>
      <c r="Z9" s="35"/>
      <c r="AB9" t="s">
        <v>25</v>
      </c>
      <c r="AC9" s="2566">
        <v>2023</v>
      </c>
      <c r="AD9" s="8">
        <v>6.5896177291870117</v>
      </c>
      <c r="AE9" s="8">
        <v>14.285224914550781</v>
      </c>
      <c r="AF9" s="8">
        <v>20.874841690063477</v>
      </c>
      <c r="AG9" s="8">
        <v>79.125160217285156</v>
      </c>
      <c r="AH9" s="8">
        <v>345827</v>
      </c>
      <c r="AI9" s="8">
        <v>749697</v>
      </c>
      <c r="AJ9" s="8">
        <v>1095524</v>
      </c>
      <c r="AK9" s="8">
        <v>4152535</v>
      </c>
    </row>
    <row r="10" spans="4:37">
      <c r="D10" t="s">
        <v>34</v>
      </c>
      <c r="E10" s="7521">
        <v>2865166</v>
      </c>
      <c r="F10" s="5">
        <v>2191077</v>
      </c>
      <c r="G10" s="5">
        <v>3503201</v>
      </c>
      <c r="H10" s="5">
        <v>8559445</v>
      </c>
      <c r="I10" s="7521">
        <v>450261</v>
      </c>
      <c r="J10" s="5">
        <v>175843</v>
      </c>
      <c r="K10" s="5">
        <v>257495</v>
      </c>
      <c r="L10" s="5">
        <v>883599</v>
      </c>
      <c r="M10" s="7521">
        <v>3315427</v>
      </c>
      <c r="N10" s="5">
        <v>2366920</v>
      </c>
      <c r="O10" s="5">
        <v>3760697</v>
      </c>
      <c r="P10" s="5">
        <v>9443044</v>
      </c>
      <c r="Q10" s="35">
        <f t="shared" si="1"/>
        <v>0.13580784616883437</v>
      </c>
      <c r="R10" s="35">
        <f t="shared" si="2"/>
        <v>7.4291906781809275E-2</v>
      </c>
      <c r="S10" s="35">
        <f t="shared" si="2"/>
        <v>6.8470020318042113E-2</v>
      </c>
      <c r="T10" s="35">
        <f t="shared" si="0"/>
        <v>9.3571416166227758E-2</v>
      </c>
      <c r="U10" s="231">
        <f t="shared" si="3"/>
        <v>1.9834643766426412</v>
      </c>
      <c r="V10" s="35"/>
      <c r="W10" s="35"/>
      <c r="X10" s="35"/>
      <c r="Y10" s="35"/>
      <c r="Z10" s="35"/>
      <c r="AB10" t="s">
        <v>27</v>
      </c>
      <c r="AC10" s="8">
        <v>2022</v>
      </c>
      <c r="AD10" s="8">
        <v>9.0519723892211914</v>
      </c>
      <c r="AE10" s="8">
        <v>20.271793365478516</v>
      </c>
      <c r="AF10" s="8">
        <v>29.323764801025391</v>
      </c>
      <c r="AG10" s="8">
        <v>70.676239013671875</v>
      </c>
      <c r="AH10" s="8">
        <v>954187.31759643555</v>
      </c>
      <c r="AI10" s="8">
        <v>2136892.0094299316</v>
      </c>
      <c r="AJ10" s="8">
        <v>3091079.3270263672</v>
      </c>
      <c r="AK10" s="8">
        <v>7450129.5977935791</v>
      </c>
    </row>
    <row r="11" spans="4:37">
      <c r="D11" t="s">
        <v>42</v>
      </c>
      <c r="E11" s="7521">
        <v>351706</v>
      </c>
      <c r="F11" s="5">
        <v>352918</v>
      </c>
      <c r="G11" s="5">
        <v>2443788</v>
      </c>
      <c r="H11" s="5">
        <v>3148412</v>
      </c>
      <c r="I11" s="7521">
        <v>43928</v>
      </c>
      <c r="J11" s="5">
        <v>111067</v>
      </c>
      <c r="K11" s="5">
        <v>1119120</v>
      </c>
      <c r="L11" s="5">
        <v>1274115</v>
      </c>
      <c r="M11" s="7521">
        <v>395634</v>
      </c>
      <c r="N11" s="5">
        <v>463985</v>
      </c>
      <c r="O11" s="5">
        <v>3562908</v>
      </c>
      <c r="P11" s="5">
        <v>4422527</v>
      </c>
      <c r="Q11" s="35">
        <f t="shared" si="1"/>
        <v>0.11103191333404105</v>
      </c>
      <c r="R11" s="35">
        <f t="shared" si="2"/>
        <v>0.23937627293985797</v>
      </c>
      <c r="S11" s="35">
        <f t="shared" si="2"/>
        <v>0.31410297431199458</v>
      </c>
      <c r="T11" s="35">
        <f t="shared" si="0"/>
        <v>0.2880966017844549</v>
      </c>
      <c r="U11" s="231">
        <f t="shared" si="3"/>
        <v>0.35348889509003639</v>
      </c>
      <c r="V11" s="35"/>
      <c r="W11" s="35"/>
      <c r="X11" s="35"/>
      <c r="Y11" s="35"/>
      <c r="Z11" s="35"/>
      <c r="AB11" t="s">
        <v>29</v>
      </c>
      <c r="AC11" s="2566">
        <v>2023</v>
      </c>
      <c r="AD11" s="8">
        <v>15.846808433532715</v>
      </c>
      <c r="AE11" s="8">
        <v>24.52301025390625</v>
      </c>
      <c r="AF11" s="8">
        <v>40.369815826416016</v>
      </c>
      <c r="AG11" s="8">
        <v>59.630180358886719</v>
      </c>
      <c r="AH11" s="8">
        <v>2921644.8988609314</v>
      </c>
      <c r="AI11" s="8">
        <v>4521259.2337169647</v>
      </c>
      <c r="AJ11" s="8">
        <v>7442904.1325778961</v>
      </c>
      <c r="AK11" s="8">
        <v>10993899.782212257</v>
      </c>
    </row>
    <row r="12" spans="4:37">
      <c r="D12" t="s">
        <v>44</v>
      </c>
      <c r="E12" s="7521">
        <v>2324708</v>
      </c>
      <c r="F12" s="5">
        <v>5164854</v>
      </c>
      <c r="G12" s="5">
        <v>15612414</v>
      </c>
      <c r="H12" s="5">
        <v>23101976</v>
      </c>
      <c r="I12" s="7521">
        <v>248391</v>
      </c>
      <c r="J12" s="5">
        <v>516987</v>
      </c>
      <c r="K12" s="5">
        <v>1073167</v>
      </c>
      <c r="L12" s="5">
        <v>1838545</v>
      </c>
      <c r="M12" s="7521">
        <v>2573099</v>
      </c>
      <c r="N12" s="5">
        <v>5681841</v>
      </c>
      <c r="O12" s="5">
        <v>16685581</v>
      </c>
      <c r="P12" s="5">
        <v>24940521</v>
      </c>
      <c r="Q12" s="35">
        <f t="shared" si="1"/>
        <v>9.6533790577043477E-2</v>
      </c>
      <c r="R12" s="35">
        <f t="shared" si="2"/>
        <v>9.0989346586784106E-2</v>
      </c>
      <c r="S12" s="35">
        <f t="shared" si="2"/>
        <v>6.4317029176269025E-2</v>
      </c>
      <c r="T12" s="35">
        <f t="shared" si="0"/>
        <v>7.3717184977811809E-2</v>
      </c>
      <c r="U12" s="231">
        <f t="shared" si="3"/>
        <v>1.5009056203836826</v>
      </c>
      <c r="V12" s="35"/>
      <c r="W12" s="35"/>
      <c r="X12" s="35"/>
      <c r="Y12" s="35"/>
      <c r="Z12" s="35"/>
      <c r="AB12" t="s">
        <v>31</v>
      </c>
      <c r="AC12" s="8">
        <v>2022</v>
      </c>
      <c r="AD12" s="8">
        <v>31.91087532043457</v>
      </c>
      <c r="AE12" s="8">
        <v>23.455238342285156</v>
      </c>
      <c r="AF12" s="8">
        <v>55.366111755371094</v>
      </c>
      <c r="AG12" s="8">
        <v>44.633884429931641</v>
      </c>
      <c r="AH12" s="8">
        <v>5302464</v>
      </c>
      <c r="AI12" s="8">
        <v>3897435</v>
      </c>
      <c r="AJ12" s="8">
        <v>9199899</v>
      </c>
      <c r="AK12" s="8">
        <v>7416581</v>
      </c>
    </row>
    <row r="13" spans="4:37">
      <c r="D13" t="s">
        <v>50</v>
      </c>
      <c r="E13" s="7521">
        <v>128959</v>
      </c>
      <c r="F13" s="5">
        <v>337060</v>
      </c>
      <c r="G13" s="5">
        <v>2924859</v>
      </c>
      <c r="H13" s="5">
        <v>3390878</v>
      </c>
      <c r="I13" s="7521">
        <v>12886</v>
      </c>
      <c r="J13" s="5">
        <v>28905</v>
      </c>
      <c r="K13" s="5">
        <v>115051</v>
      </c>
      <c r="L13" s="5">
        <v>156842</v>
      </c>
      <c r="M13" s="7521">
        <v>141845</v>
      </c>
      <c r="N13" s="5">
        <v>365965</v>
      </c>
      <c r="O13" s="5">
        <v>3039910</v>
      </c>
      <c r="P13" s="5">
        <v>3547720</v>
      </c>
      <c r="Q13" s="35">
        <f t="shared" si="1"/>
        <v>9.0845641369100075E-2</v>
      </c>
      <c r="R13" s="35">
        <f t="shared" si="2"/>
        <v>7.8982962851638819E-2</v>
      </c>
      <c r="S13" s="35">
        <f t="shared" si="2"/>
        <v>3.7846844149991281E-2</v>
      </c>
      <c r="T13" s="35">
        <f t="shared" si="0"/>
        <v>4.4209238609585873E-2</v>
      </c>
      <c r="U13" s="231">
        <f t="shared" si="3"/>
        <v>2.4003491812704021</v>
      </c>
      <c r="V13" s="35"/>
      <c r="W13" s="35"/>
      <c r="X13" s="35"/>
      <c r="Y13" s="35"/>
      <c r="Z13" s="35"/>
      <c r="AB13" t="s">
        <v>33</v>
      </c>
      <c r="AC13" s="8">
        <v>2021</v>
      </c>
      <c r="AD13" s="8">
        <v>31.99846076965332</v>
      </c>
      <c r="AE13" s="8">
        <v>25.941425323486328</v>
      </c>
      <c r="AF13" s="8">
        <v>57.939888000488281</v>
      </c>
      <c r="AG13" s="8">
        <v>42.060111999511719</v>
      </c>
      <c r="AH13" s="8">
        <v>199909.07529640198</v>
      </c>
      <c r="AI13" s="8">
        <v>162067.98682594299</v>
      </c>
      <c r="AJ13" s="8">
        <v>361977.06212234497</v>
      </c>
      <c r="AK13" s="8">
        <v>262768.8157043457</v>
      </c>
    </row>
    <row r="14" spans="4:37">
      <c r="D14" t="s">
        <v>901</v>
      </c>
      <c r="E14" s="7521">
        <v>41438132</v>
      </c>
      <c r="F14" s="5">
        <v>67873882</v>
      </c>
      <c r="G14" s="5">
        <v>256580623</v>
      </c>
      <c r="H14" s="5">
        <v>365892638</v>
      </c>
      <c r="I14" s="7521">
        <v>19775797</v>
      </c>
      <c r="J14" s="5">
        <v>28796839</v>
      </c>
      <c r="K14" s="5">
        <v>78755568</v>
      </c>
      <c r="L14" s="5">
        <v>127328204</v>
      </c>
      <c r="M14" s="7521">
        <v>61213929</v>
      </c>
      <c r="N14" s="5">
        <v>96670721</v>
      </c>
      <c r="O14" s="5">
        <v>335336191</v>
      </c>
      <c r="P14" s="5">
        <v>493220841</v>
      </c>
      <c r="Q14" s="35">
        <f t="shared" si="1"/>
        <v>0.32306040999263419</v>
      </c>
      <c r="R14" s="35">
        <f t="shared" si="2"/>
        <v>0.29788584073972096</v>
      </c>
      <c r="S14" s="35">
        <f t="shared" si="2"/>
        <v>0.23485555723986856</v>
      </c>
      <c r="T14" s="35">
        <f t="shared" si="0"/>
        <v>0.25815657696427308</v>
      </c>
      <c r="U14" s="231">
        <f t="shared" si="3"/>
        <v>1.3755706434601334</v>
      </c>
      <c r="V14" s="35"/>
      <c r="W14" s="35"/>
      <c r="X14" s="35"/>
      <c r="Y14" s="35"/>
      <c r="Z14" s="35"/>
      <c r="AB14" t="s">
        <v>34</v>
      </c>
      <c r="AC14" s="2566">
        <v>2023</v>
      </c>
      <c r="AD14" s="8">
        <v>35.109729766845703</v>
      </c>
      <c r="AE14" s="8">
        <v>25.065221786499023</v>
      </c>
      <c r="AF14" s="8">
        <v>60.174953460693359</v>
      </c>
      <c r="AG14" s="8">
        <v>39.825046539306641</v>
      </c>
      <c r="AH14" s="8">
        <v>3315427.3031311035</v>
      </c>
      <c r="AI14" s="8">
        <v>2366919.9317779541</v>
      </c>
      <c r="AJ14" s="8">
        <v>5682347.2349090576</v>
      </c>
      <c r="AK14" s="8">
        <v>3760696.5480499268</v>
      </c>
    </row>
    <row r="15" spans="4:37">
      <c r="E15" s="35">
        <f>E6/SUM(E6:E13)</f>
        <v>0.20254999076396699</v>
      </c>
      <c r="I15" s="35">
        <f>I6/SUM(I6:I13)</f>
        <v>0.88302640849316971</v>
      </c>
      <c r="M15" s="35">
        <f>M6/SUM(M6:M13)</f>
        <v>0.48902916147403586</v>
      </c>
      <c r="AB15" t="s">
        <v>38</v>
      </c>
      <c r="AC15" s="8">
        <v>2022</v>
      </c>
      <c r="AD15" s="8">
        <v>10.268985748291016</v>
      </c>
      <c r="AE15" s="8">
        <v>21.706216812133789</v>
      </c>
      <c r="AF15" s="8">
        <v>31.975204467773438</v>
      </c>
      <c r="AG15" s="8">
        <v>68.024795532226563</v>
      </c>
      <c r="AH15" s="8">
        <v>13234918</v>
      </c>
      <c r="AI15" s="8">
        <v>27975498</v>
      </c>
      <c r="AJ15" s="8">
        <v>41210416</v>
      </c>
      <c r="AK15" s="8">
        <v>87672008</v>
      </c>
    </row>
    <row r="16" spans="4:37">
      <c r="AB16" t="s">
        <v>42</v>
      </c>
      <c r="AC16" s="8">
        <v>2022</v>
      </c>
      <c r="AD16" s="8">
        <v>8.9458808898925781</v>
      </c>
      <c r="AE16" s="8">
        <v>10.491399765014648</v>
      </c>
      <c r="AF16" s="8">
        <v>19.437280654907227</v>
      </c>
      <c r="AG16" s="8">
        <v>80.562713623046875</v>
      </c>
      <c r="AH16" s="8">
        <v>395634</v>
      </c>
      <c r="AI16" s="8">
        <v>463985</v>
      </c>
      <c r="AJ16" s="8">
        <v>859619</v>
      </c>
      <c r="AK16" s="8">
        <v>3562908</v>
      </c>
    </row>
    <row r="17" spans="4:37">
      <c r="D17" t="s">
        <v>38</v>
      </c>
      <c r="E17" s="5">
        <v>12506593</v>
      </c>
      <c r="F17" s="5">
        <v>26685533</v>
      </c>
      <c r="G17" s="5">
        <v>85252212</v>
      </c>
      <c r="H17" s="5">
        <v>124444338</v>
      </c>
      <c r="M17" s="5">
        <v>12506593</v>
      </c>
      <c r="N17" s="5">
        <v>26685533</v>
      </c>
      <c r="O17" s="5">
        <v>85252212</v>
      </c>
      <c r="P17" s="5">
        <v>124444338</v>
      </c>
      <c r="AB17" t="s">
        <v>44</v>
      </c>
      <c r="AC17" s="8">
        <v>2022</v>
      </c>
      <c r="AD17" s="8">
        <v>12.462396621704102</v>
      </c>
      <c r="AE17" s="8">
        <v>25.205045700073242</v>
      </c>
      <c r="AF17" s="8">
        <v>37.667442321777344</v>
      </c>
      <c r="AG17" s="8">
        <v>62.332557678222656</v>
      </c>
      <c r="AH17" s="8">
        <v>4336224.3855496645</v>
      </c>
      <c r="AI17" s="8">
        <v>8769960.6595569849</v>
      </c>
      <c r="AJ17" s="8">
        <v>13106185.045106649</v>
      </c>
      <c r="AK17" s="8">
        <v>21688280.870079875</v>
      </c>
    </row>
    <row r="18" spans="4:37">
      <c r="D18" t="s">
        <v>21</v>
      </c>
      <c r="E18" s="5">
        <v>633635</v>
      </c>
      <c r="F18" s="5">
        <v>1576156</v>
      </c>
      <c r="G18" s="5">
        <v>17486767</v>
      </c>
      <c r="H18" s="5">
        <v>19696558</v>
      </c>
      <c r="M18" s="5">
        <v>633635</v>
      </c>
      <c r="N18" s="5">
        <v>1576156</v>
      </c>
      <c r="O18" s="5">
        <v>17486767</v>
      </c>
      <c r="P18" s="5">
        <v>19696558</v>
      </c>
      <c r="AB18" t="s">
        <v>45</v>
      </c>
      <c r="AC18" s="8">
        <v>2022</v>
      </c>
      <c r="AD18" s="8">
        <v>12.367045402526855</v>
      </c>
      <c r="AE18" s="8">
        <v>18.956794738769531</v>
      </c>
      <c r="AF18" s="8">
        <v>31.323837280273438</v>
      </c>
      <c r="AG18" s="8">
        <v>68.676162719726563</v>
      </c>
      <c r="AH18" s="8">
        <v>908577</v>
      </c>
      <c r="AI18" s="8">
        <v>1392710</v>
      </c>
      <c r="AJ18" s="8">
        <v>2301287</v>
      </c>
      <c r="AK18" s="8">
        <v>5045472</v>
      </c>
    </row>
    <row r="19" spans="4:37">
      <c r="D19" t="s">
        <v>15</v>
      </c>
      <c r="E19" s="7521">
        <v>1100079</v>
      </c>
      <c r="F19" s="5">
        <v>1511153</v>
      </c>
      <c r="G19" s="5">
        <v>9375330</v>
      </c>
      <c r="H19" s="5">
        <v>11986562</v>
      </c>
      <c r="I19" s="7411"/>
      <c r="K19" s="7499">
        <v>3744.81</v>
      </c>
      <c r="L19" s="7499">
        <v>3744.81</v>
      </c>
      <c r="M19" s="7521">
        <v>1100079</v>
      </c>
      <c r="N19" s="5">
        <v>1511153</v>
      </c>
      <c r="O19" s="5">
        <v>9379075</v>
      </c>
      <c r="P19" s="5">
        <v>11990307</v>
      </c>
      <c r="AB19" t="s">
        <v>46</v>
      </c>
      <c r="AC19" s="2566">
        <v>2023</v>
      </c>
      <c r="AD19" s="8">
        <v>15.566752433776855</v>
      </c>
      <c r="AE19" s="8">
        <v>23.091104507446289</v>
      </c>
      <c r="AF19" s="8">
        <v>38.657855987548828</v>
      </c>
      <c r="AG19" s="8">
        <v>61.342144012451172</v>
      </c>
      <c r="AH19" s="8">
        <v>929034.90951728821</v>
      </c>
      <c r="AI19" s="8">
        <v>1378093.5914878845</v>
      </c>
      <c r="AJ19" s="8">
        <v>2307128.5010051727</v>
      </c>
      <c r="AK19" s="8">
        <v>3660942.9438619614</v>
      </c>
    </row>
    <row r="20" spans="4:37">
      <c r="AB20" t="s">
        <v>50</v>
      </c>
      <c r="AC20" s="8">
        <v>2022</v>
      </c>
      <c r="AD20" s="8">
        <v>3.9979178905487061</v>
      </c>
      <c r="AE20" s="8">
        <v>10.314765930175781</v>
      </c>
      <c r="AF20" s="8">
        <v>14.31268310546875</v>
      </c>
      <c r="AG20" s="8">
        <v>85.68731689453125</v>
      </c>
      <c r="AH20" s="8">
        <v>141845</v>
      </c>
      <c r="AI20" s="8">
        <v>365965</v>
      </c>
      <c r="AJ20" s="8">
        <v>507810</v>
      </c>
      <c r="AK20" s="8">
        <v>3040162</v>
      </c>
    </row>
    <row r="21" spans="4:37">
      <c r="AB21" t="s">
        <v>51</v>
      </c>
      <c r="AC21" s="8">
        <v>2021</v>
      </c>
      <c r="AD21" s="8">
        <v>53.867767333984375</v>
      </c>
      <c r="AE21" s="8">
        <v>17.13670539855957</v>
      </c>
      <c r="AF21" s="8">
        <v>71.004470825195313</v>
      </c>
      <c r="AG21" s="8">
        <v>28.995529174804688</v>
      </c>
      <c r="AH21" s="8">
        <v>15072435.735191345</v>
      </c>
      <c r="AI21" s="8">
        <v>4794924.3846130371</v>
      </c>
      <c r="AJ21" s="8">
        <v>19867360.119804382</v>
      </c>
      <c r="AK21" s="8">
        <v>8113074.7517471313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F216D-2A23-48FC-9541-65C6F4A6DFCB}">
  <dimension ref="A1:U27"/>
  <sheetViews>
    <sheetView workbookViewId="0">
      <selection activeCell="F23" sqref="F23"/>
    </sheetView>
  </sheetViews>
  <sheetFormatPr defaultRowHeight="14.5"/>
  <cols>
    <col min="3" max="3" width="9.7265625" bestFit="1" customWidth="1"/>
    <col min="7" max="7" width="9.7265625" bestFit="1" customWidth="1"/>
    <col min="11" max="11" width="9.7265625" bestFit="1" customWidth="1"/>
    <col min="14" max="14" width="10.7265625" bestFit="1" customWidth="1"/>
    <col min="18" max="19" width="9.81640625" bestFit="1" customWidth="1"/>
    <col min="20" max="20" width="10.81640625" bestFit="1" customWidth="1"/>
    <col min="21" max="21" width="9.81640625" bestFit="1" customWidth="1"/>
  </cols>
  <sheetData>
    <row r="1" spans="1:21">
      <c r="C1" s="76" t="s">
        <v>1315</v>
      </c>
      <c r="G1" s="76" t="s">
        <v>1049</v>
      </c>
    </row>
    <row r="2" spans="1:21">
      <c r="A2" t="s">
        <v>1314</v>
      </c>
      <c r="B2" t="s">
        <v>1126</v>
      </c>
      <c r="C2" s="7411">
        <v>1</v>
      </c>
      <c r="D2">
        <v>2</v>
      </c>
      <c r="E2">
        <v>3</v>
      </c>
      <c r="F2" t="s">
        <v>1312</v>
      </c>
      <c r="G2" s="7411">
        <v>1</v>
      </c>
      <c r="H2">
        <v>2</v>
      </c>
      <c r="I2">
        <v>3</v>
      </c>
      <c r="J2" t="s">
        <v>1312</v>
      </c>
      <c r="K2" s="7411">
        <v>1</v>
      </c>
      <c r="L2">
        <v>2</v>
      </c>
      <c r="M2">
        <v>3</v>
      </c>
      <c r="N2" t="s">
        <v>1312</v>
      </c>
    </row>
    <row r="3" spans="1:21">
      <c r="A3" t="s">
        <v>15</v>
      </c>
      <c r="C3" s="5">
        <v>607953</v>
      </c>
      <c r="D3" s="5">
        <v>1046167</v>
      </c>
      <c r="E3" s="5">
        <v>7502843</v>
      </c>
      <c r="F3" s="5">
        <v>9156963</v>
      </c>
      <c r="G3" s="5">
        <v>492126</v>
      </c>
      <c r="H3" s="5">
        <v>464986</v>
      </c>
      <c r="I3" s="5">
        <v>1876232</v>
      </c>
      <c r="J3" s="5">
        <v>2833344</v>
      </c>
      <c r="K3" s="5">
        <v>1100079</v>
      </c>
      <c r="L3" s="5">
        <v>1511153</v>
      </c>
      <c r="M3" s="5">
        <v>9379075</v>
      </c>
      <c r="N3" s="5">
        <v>11990307</v>
      </c>
      <c r="O3">
        <f>G3/K3</f>
        <v>0.44735514449416813</v>
      </c>
      <c r="Q3" s="76" t="s">
        <v>1319</v>
      </c>
      <c r="R3" s="76" t="s">
        <v>1320</v>
      </c>
    </row>
    <row r="4" spans="1:21" s="3" customFormat="1">
      <c r="A4" s="3" t="s">
        <v>17</v>
      </c>
      <c r="C4" s="7523">
        <v>22801630</v>
      </c>
      <c r="D4" s="7523">
        <v>39019148</v>
      </c>
      <c r="E4" s="7523">
        <v>148620491</v>
      </c>
      <c r="F4" s="7523">
        <v>210441269</v>
      </c>
      <c r="G4" s="7524">
        <v>169840</v>
      </c>
      <c r="H4" s="7524">
        <v>238514</v>
      </c>
      <c r="I4" s="7524">
        <v>529994</v>
      </c>
      <c r="J4" s="7523">
        <v>938348</v>
      </c>
      <c r="K4" s="7523">
        <v>22971470</v>
      </c>
      <c r="L4" s="7523">
        <v>39257662</v>
      </c>
      <c r="M4" s="7523">
        <v>149150484</v>
      </c>
      <c r="N4" s="7523">
        <v>211379617</v>
      </c>
      <c r="O4" s="3">
        <f t="shared" ref="O4:O14" si="0">G4/K4</f>
        <v>7.3935190042256765E-3</v>
      </c>
      <c r="R4" s="3">
        <v>1</v>
      </c>
      <c r="S4" s="3">
        <v>2</v>
      </c>
      <c r="T4" s="3">
        <v>3</v>
      </c>
    </row>
    <row r="5" spans="1:21">
      <c r="A5" t="s">
        <v>21</v>
      </c>
      <c r="C5" s="5">
        <v>523496</v>
      </c>
      <c r="D5" s="5">
        <v>1351994</v>
      </c>
      <c r="E5" s="5">
        <v>15811461</v>
      </c>
      <c r="F5" s="5">
        <v>17686951</v>
      </c>
      <c r="G5" s="5">
        <v>110139</v>
      </c>
      <c r="H5" s="5">
        <v>224162</v>
      </c>
      <c r="I5" s="5">
        <v>1675306</v>
      </c>
      <c r="J5" s="5">
        <v>2009607</v>
      </c>
      <c r="K5" s="5">
        <v>633635</v>
      </c>
      <c r="L5" s="5">
        <v>1576156</v>
      </c>
      <c r="M5" s="5">
        <v>17486767</v>
      </c>
      <c r="N5" s="5">
        <v>19696558</v>
      </c>
      <c r="O5">
        <f t="shared" si="0"/>
        <v>0.17382089057580469</v>
      </c>
      <c r="Q5" t="s">
        <v>1316</v>
      </c>
      <c r="R5" s="7525">
        <v>169840.17</v>
      </c>
      <c r="S5" s="7525">
        <v>238514.39</v>
      </c>
      <c r="T5" s="7525">
        <v>529993.77</v>
      </c>
      <c r="U5" s="8">
        <v>938348.33</v>
      </c>
    </row>
    <row r="6" spans="1:21">
      <c r="A6" t="s">
        <v>23</v>
      </c>
      <c r="C6" s="5">
        <v>8605721</v>
      </c>
      <c r="D6" s="5">
        <v>10268471</v>
      </c>
      <c r="E6" s="5">
        <v>28680765</v>
      </c>
      <c r="F6" s="5">
        <v>47554957</v>
      </c>
      <c r="G6" s="5">
        <v>1105072</v>
      </c>
      <c r="H6" s="5">
        <v>535656</v>
      </c>
      <c r="I6" s="5">
        <v>570846</v>
      </c>
      <c r="J6" s="5">
        <v>2211574</v>
      </c>
      <c r="K6" s="5">
        <v>9710793</v>
      </c>
      <c r="L6" s="5">
        <v>10804128</v>
      </c>
      <c r="M6" s="5">
        <v>29251611</v>
      </c>
      <c r="N6" s="5">
        <v>49766532</v>
      </c>
      <c r="O6">
        <f t="shared" si="0"/>
        <v>0.11379832728387887</v>
      </c>
      <c r="Q6" t="s">
        <v>1317</v>
      </c>
      <c r="R6" s="7526">
        <v>17462551</v>
      </c>
      <c r="S6" s="7526">
        <v>26570250</v>
      </c>
      <c r="T6" s="7526">
        <v>74069959</v>
      </c>
      <c r="U6" s="8">
        <f>SUM(R6:T6)</f>
        <v>118102760</v>
      </c>
    </row>
    <row r="7" spans="1:21">
      <c r="A7" t="s">
        <v>29</v>
      </c>
      <c r="C7" s="5">
        <v>1498012</v>
      </c>
      <c r="D7" s="5">
        <v>3662381</v>
      </c>
      <c r="E7" s="5">
        <v>9678065</v>
      </c>
      <c r="F7" s="5">
        <v>14838458</v>
      </c>
      <c r="G7" s="5">
        <v>1071509</v>
      </c>
      <c r="H7" s="5">
        <v>410478</v>
      </c>
      <c r="I7" s="5">
        <v>694865</v>
      </c>
      <c r="J7" s="5">
        <v>2176853</v>
      </c>
      <c r="K7" s="5">
        <v>2569521</v>
      </c>
      <c r="L7" s="5">
        <v>4072859</v>
      </c>
      <c r="M7" s="5">
        <v>10372930</v>
      </c>
      <c r="N7" s="5">
        <v>17015311</v>
      </c>
      <c r="O7">
        <f t="shared" si="0"/>
        <v>0.4170072943556406</v>
      </c>
      <c r="Q7" t="s">
        <v>1318</v>
      </c>
      <c r="R7">
        <v>5339079.3</v>
      </c>
      <c r="S7">
        <v>12448898</v>
      </c>
      <c r="T7">
        <v>74550531.900000006</v>
      </c>
      <c r="U7" s="8">
        <f t="shared" ref="U7:U9" si="1">SUM(R7:T7)</f>
        <v>92338509.200000003</v>
      </c>
    </row>
    <row r="8" spans="1:21">
      <c r="A8" t="s">
        <v>31</v>
      </c>
      <c r="C8" s="5">
        <v>2507271</v>
      </c>
      <c r="D8" s="5">
        <v>2475911</v>
      </c>
      <c r="E8" s="5">
        <v>5332793</v>
      </c>
      <c r="F8" s="5">
        <v>10315975</v>
      </c>
      <c r="G8" s="5">
        <v>2788560</v>
      </c>
      <c r="H8" s="5">
        <v>1408609</v>
      </c>
      <c r="I8" s="5">
        <v>2061223</v>
      </c>
      <c r="J8" s="5">
        <v>6258392</v>
      </c>
      <c r="K8" s="5">
        <v>5295831</v>
      </c>
      <c r="L8" s="5">
        <v>3884520</v>
      </c>
      <c r="M8" s="5">
        <v>7394016</v>
      </c>
      <c r="N8" s="5">
        <v>16574367</v>
      </c>
      <c r="O8">
        <f t="shared" si="0"/>
        <v>0.52655758841247013</v>
      </c>
      <c r="U8" s="8">
        <f t="shared" si="1"/>
        <v>0</v>
      </c>
    </row>
    <row r="9" spans="1:21">
      <c r="A9" t="s">
        <v>34</v>
      </c>
      <c r="C9" s="5">
        <v>3309197</v>
      </c>
      <c r="D9" s="5">
        <v>2346900</v>
      </c>
      <c r="E9" s="5">
        <v>3745183</v>
      </c>
      <c r="F9" s="5">
        <v>9401281</v>
      </c>
      <c r="G9" s="7499">
        <v>6230.34</v>
      </c>
      <c r="H9" s="7499">
        <v>20019.599999999999</v>
      </c>
      <c r="I9" s="7499">
        <v>15513.1</v>
      </c>
      <c r="J9" s="5">
        <v>41763</v>
      </c>
      <c r="K9" s="5">
        <v>3315427</v>
      </c>
      <c r="L9" s="5">
        <v>2366920</v>
      </c>
      <c r="M9" s="5">
        <v>3760697</v>
      </c>
      <c r="N9" s="5">
        <v>9443044</v>
      </c>
      <c r="O9">
        <f t="shared" si="0"/>
        <v>1.879196857599338E-3</v>
      </c>
      <c r="Q9" t="s">
        <v>901</v>
      </c>
      <c r="R9" s="7522">
        <f>SUM(R5:R7)</f>
        <v>22971470.470000003</v>
      </c>
      <c r="S9" s="7522">
        <f>SUM(S5:S7)</f>
        <v>39257662.390000001</v>
      </c>
      <c r="T9" s="7522">
        <f>SUM(T5:T7)</f>
        <v>149150484.67000002</v>
      </c>
      <c r="U9" s="8">
        <f t="shared" si="1"/>
        <v>211379617.53000003</v>
      </c>
    </row>
    <row r="10" spans="1:21">
      <c r="A10" t="s">
        <v>38</v>
      </c>
      <c r="C10" s="5">
        <v>6289190</v>
      </c>
      <c r="D10" s="5">
        <v>17394947</v>
      </c>
      <c r="E10" s="5">
        <v>66364850</v>
      </c>
      <c r="F10" s="5">
        <v>90048987</v>
      </c>
      <c r="G10" s="5">
        <v>6217403</v>
      </c>
      <c r="H10" s="5">
        <v>9290586</v>
      </c>
      <c r="I10" s="5">
        <v>18887362</v>
      </c>
      <c r="J10" s="5">
        <v>34395351</v>
      </c>
      <c r="K10" s="5">
        <v>12506593</v>
      </c>
      <c r="L10" s="5">
        <v>26685533</v>
      </c>
      <c r="M10" s="5">
        <v>85252212</v>
      </c>
      <c r="N10" s="5">
        <v>124444338</v>
      </c>
      <c r="O10">
        <f t="shared" si="0"/>
        <v>0.4971300337350068</v>
      </c>
      <c r="U10" s="8"/>
    </row>
    <row r="11" spans="1:21">
      <c r="A11" t="s">
        <v>42</v>
      </c>
      <c r="C11" s="5">
        <v>172179</v>
      </c>
      <c r="D11" s="5">
        <v>330847</v>
      </c>
      <c r="E11" s="5">
        <v>3306926</v>
      </c>
      <c r="F11" s="5">
        <v>3809952</v>
      </c>
      <c r="G11" s="5">
        <v>223455</v>
      </c>
      <c r="H11" s="5">
        <v>133138</v>
      </c>
      <c r="I11" s="5">
        <v>255982</v>
      </c>
      <c r="J11" s="5">
        <v>612575</v>
      </c>
      <c r="K11" s="5">
        <v>395634</v>
      </c>
      <c r="L11" s="5">
        <v>463985</v>
      </c>
      <c r="M11" s="5">
        <v>3562908</v>
      </c>
      <c r="N11" s="5">
        <v>4422527</v>
      </c>
      <c r="O11">
        <f t="shared" si="0"/>
        <v>0.56480231729325592</v>
      </c>
      <c r="R11" s="35">
        <f>R5/R9</f>
        <v>7.3935262534370961E-3</v>
      </c>
    </row>
    <row r="12" spans="1:21">
      <c r="A12" t="s">
        <v>44</v>
      </c>
      <c r="C12" s="5">
        <v>1448947</v>
      </c>
      <c r="D12" s="5">
        <v>3726998</v>
      </c>
      <c r="E12" s="5">
        <v>12725311</v>
      </c>
      <c r="F12" s="5">
        <v>17901256</v>
      </c>
      <c r="G12" s="5">
        <v>1124153</v>
      </c>
      <c r="H12" s="5">
        <v>1954843</v>
      </c>
      <c r="I12" s="5">
        <v>3960269</v>
      </c>
      <c r="J12" s="5">
        <v>7039265</v>
      </c>
      <c r="K12" s="5">
        <v>2573099</v>
      </c>
      <c r="L12" s="5">
        <v>5681841</v>
      </c>
      <c r="M12" s="5">
        <v>16685581</v>
      </c>
      <c r="N12" s="5">
        <v>24940521</v>
      </c>
      <c r="O12">
        <f t="shared" si="0"/>
        <v>0.43688680458855256</v>
      </c>
      <c r="R12" s="35">
        <f>R6/R9</f>
        <v>0.76018429132804222</v>
      </c>
    </row>
    <row r="13" spans="1:21">
      <c r="A13" t="s">
        <v>50</v>
      </c>
      <c r="C13" s="5">
        <v>139290</v>
      </c>
      <c r="D13" s="5">
        <v>361860</v>
      </c>
      <c r="E13" s="5">
        <v>2999436</v>
      </c>
      <c r="F13" s="5">
        <v>3500586</v>
      </c>
      <c r="G13" s="5">
        <v>2555</v>
      </c>
      <c r="H13" s="5">
        <v>4105</v>
      </c>
      <c r="I13" s="5">
        <v>40474</v>
      </c>
      <c r="J13" s="5">
        <v>47134</v>
      </c>
      <c r="K13" s="5">
        <v>141845</v>
      </c>
      <c r="L13" s="5">
        <v>365965</v>
      </c>
      <c r="M13" s="5">
        <v>3039910</v>
      </c>
      <c r="N13" s="5">
        <v>3547720</v>
      </c>
      <c r="O13">
        <f t="shared" si="0"/>
        <v>1.8012619408509289E-2</v>
      </c>
      <c r="R13" s="35">
        <f>R7/R9</f>
        <v>0.23242218241852061</v>
      </c>
    </row>
    <row r="14" spans="1:21">
      <c r="A14" t="s">
        <v>901</v>
      </c>
      <c r="C14" s="5">
        <v>47902886</v>
      </c>
      <c r="D14" s="5">
        <v>81985624</v>
      </c>
      <c r="E14" s="5">
        <v>304768124</v>
      </c>
      <c r="F14" s="5">
        <v>434656634</v>
      </c>
      <c r="G14" s="5">
        <v>13311043</v>
      </c>
      <c r="H14" s="5">
        <v>14685097</v>
      </c>
      <c r="I14" s="5">
        <v>30568067</v>
      </c>
      <c r="J14" s="5">
        <v>58564207</v>
      </c>
      <c r="K14" s="5">
        <v>61213929</v>
      </c>
      <c r="L14" s="5">
        <v>96670721</v>
      </c>
      <c r="M14" s="5">
        <v>335336191</v>
      </c>
      <c r="N14" s="5">
        <v>493220841</v>
      </c>
      <c r="O14">
        <f t="shared" si="0"/>
        <v>0.21745121114509738</v>
      </c>
    </row>
    <row r="16" spans="1:21">
      <c r="F16" t="s">
        <v>15</v>
      </c>
      <c r="G16" s="35">
        <f>G3/$G$14</f>
        <v>3.6971257624214722E-2</v>
      </c>
    </row>
    <row r="17" spans="6:7">
      <c r="F17" s="3" t="s">
        <v>17</v>
      </c>
      <c r="G17" s="35">
        <f t="shared" ref="G17:G27" si="2">G4/$G$14</f>
        <v>1.2759330730131366E-2</v>
      </c>
    </row>
    <row r="18" spans="6:7">
      <c r="F18" t="s">
        <v>21</v>
      </c>
      <c r="G18" s="35">
        <f t="shared" si="2"/>
        <v>8.2742576971616723E-3</v>
      </c>
    </row>
    <row r="19" spans="6:7">
      <c r="F19" t="s">
        <v>23</v>
      </c>
      <c r="G19" s="35">
        <f t="shared" si="2"/>
        <v>8.3019189405368163E-2</v>
      </c>
    </row>
    <row r="20" spans="6:7">
      <c r="F20" t="s">
        <v>29</v>
      </c>
      <c r="G20" s="35">
        <f t="shared" si="2"/>
        <v>8.0497749124542689E-2</v>
      </c>
    </row>
    <row r="21" spans="6:7">
      <c r="F21" t="s">
        <v>31</v>
      </c>
      <c r="G21" s="35">
        <f t="shared" si="2"/>
        <v>0.20949222386254782</v>
      </c>
    </row>
    <row r="22" spans="6:7">
      <c r="F22" t="s">
        <v>34</v>
      </c>
      <c r="G22" s="35">
        <f t="shared" si="2"/>
        <v>4.6805798764229073E-4</v>
      </c>
    </row>
    <row r="23" spans="6:7">
      <c r="F23" t="s">
        <v>38</v>
      </c>
      <c r="G23" s="35">
        <f t="shared" si="2"/>
        <v>0.46708608784450623</v>
      </c>
    </row>
    <row r="24" spans="6:7">
      <c r="F24" t="s">
        <v>42</v>
      </c>
      <c r="G24" s="35">
        <f t="shared" si="2"/>
        <v>1.6787189403565144E-2</v>
      </c>
    </row>
    <row r="25" spans="6:7">
      <c r="F25" t="s">
        <v>44</v>
      </c>
      <c r="G25" s="35">
        <f t="shared" si="2"/>
        <v>8.4452660847087635E-2</v>
      </c>
    </row>
    <row r="26" spans="6:7">
      <c r="F26" t="s">
        <v>50</v>
      </c>
      <c r="G26" s="35">
        <f t="shared" si="2"/>
        <v>1.9194589034082454E-4</v>
      </c>
    </row>
    <row r="27" spans="6:7">
      <c r="G27" s="35">
        <f t="shared" si="2"/>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C95D7-E2F8-4697-A7E0-455E0246E9AB}">
  <sheetPr>
    <tabColor rgb="FFEAEAEA"/>
  </sheetPr>
  <dimension ref="A1"/>
  <sheetViews>
    <sheetView workbookViewId="0">
      <selection activeCell="F16" sqref="F16"/>
    </sheetView>
  </sheetViews>
  <sheetFormatPr defaultRowHeight="14.5"/>
  <sheetData>
    <row r="1" spans="1:1" ht="36">
      <c r="A1" s="195" t="s">
        <v>1129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123B1-783F-4020-BCA4-0D0CBC6635F2}">
  <sheetPr>
    <tabColor rgb="FF002060"/>
  </sheetPr>
  <dimension ref="B1:FH98"/>
  <sheetViews>
    <sheetView showGridLines="0" topLeftCell="V39" zoomScale="70" zoomScaleNormal="70" workbookViewId="0">
      <selection activeCell="Y42" sqref="Y42:Y59"/>
    </sheetView>
  </sheetViews>
  <sheetFormatPr defaultRowHeight="14.5"/>
  <cols>
    <col min="3" max="23" width="10" customWidth="1"/>
    <col min="25" max="25" width="15.453125" customWidth="1"/>
    <col min="26" max="26" width="10.1796875" customWidth="1"/>
    <col min="27" max="27" width="9.26953125" customWidth="1"/>
    <col min="47" max="48" width="17.453125" customWidth="1"/>
    <col min="49" max="71" width="8.7265625" style="7530"/>
    <col min="72" max="73" width="9" customWidth="1"/>
  </cols>
  <sheetData>
    <row r="1" spans="2:164">
      <c r="X1" s="3"/>
    </row>
    <row r="2" spans="2:164">
      <c r="Y2" s="2562"/>
      <c r="Z2" s="2562" t="s">
        <v>1070</v>
      </c>
      <c r="AA2" s="2562" t="s">
        <v>1071</v>
      </c>
      <c r="AB2" s="2562" t="s">
        <v>1007</v>
      </c>
      <c r="AC2" s="2562" t="s">
        <v>1008</v>
      </c>
      <c r="AD2" s="2562" t="s">
        <v>1072</v>
      </c>
      <c r="AE2" s="2562" t="s">
        <v>1073</v>
      </c>
      <c r="AF2" s="2562" t="s">
        <v>1074</v>
      </c>
      <c r="AG2" s="2562" t="s">
        <v>1075</v>
      </c>
      <c r="AH2" s="2562" t="s">
        <v>1076</v>
      </c>
      <c r="AI2" s="2562" t="s">
        <v>1077</v>
      </c>
      <c r="AJ2" s="2562" t="s">
        <v>1078</v>
      </c>
      <c r="AK2" s="2562" t="s">
        <v>1079</v>
      </c>
      <c r="AL2" s="2562" t="s">
        <v>1080</v>
      </c>
      <c r="AM2" s="2562" t="s">
        <v>1081</v>
      </c>
      <c r="AN2" s="2562" t="s">
        <v>1082</v>
      </c>
      <c r="AO2" s="2562" t="s">
        <v>1083</v>
      </c>
      <c r="AP2" s="2562" t="s">
        <v>1084</v>
      </c>
      <c r="AQ2" s="2562" t="s">
        <v>1085</v>
      </c>
      <c r="AR2" s="2562" t="s">
        <v>1086</v>
      </c>
      <c r="AS2" s="2562" t="s">
        <v>1087</v>
      </c>
      <c r="AT2" s="2562" t="s">
        <v>1088</v>
      </c>
      <c r="DE2" t="s">
        <v>1089</v>
      </c>
    </row>
    <row r="3" spans="2:164" ht="44" thickBot="1">
      <c r="Y3" s="212" t="s">
        <v>1252</v>
      </c>
      <c r="Z3" s="21"/>
      <c r="AA3" s="21"/>
      <c r="AB3" s="21"/>
      <c r="AC3" s="21"/>
      <c r="AD3" s="21"/>
      <c r="AE3" s="21"/>
      <c r="AF3" s="21"/>
      <c r="AG3" s="21"/>
      <c r="AH3" s="21"/>
      <c r="AI3" s="21"/>
      <c r="AJ3" s="21"/>
      <c r="AK3" s="21"/>
      <c r="AL3" s="21"/>
      <c r="AM3" s="21"/>
      <c r="AN3" s="21"/>
      <c r="AO3" s="21"/>
      <c r="AP3" s="21"/>
      <c r="AQ3" s="21"/>
      <c r="AR3" s="21"/>
      <c r="AS3" s="21"/>
      <c r="AT3" s="21"/>
      <c r="AX3" s="7530" t="s">
        <v>1325</v>
      </c>
      <c r="AY3" s="7538" t="s">
        <v>1329</v>
      </c>
      <c r="ES3" s="20" t="s">
        <v>943</v>
      </c>
      <c r="ET3" s="20" t="s">
        <v>944</v>
      </c>
      <c r="EU3" s="25" t="s">
        <v>1023</v>
      </c>
      <c r="EV3" s="25" t="s">
        <v>1024</v>
      </c>
    </row>
    <row r="4" spans="2:164" ht="15" thickTop="1">
      <c r="B4" s="2553"/>
      <c r="C4" s="2554" t="s">
        <v>1228</v>
      </c>
      <c r="D4" s="2554" t="s">
        <v>1229</v>
      </c>
      <c r="E4" s="2554" t="s">
        <v>1230</v>
      </c>
      <c r="F4" s="2554" t="s">
        <v>1231</v>
      </c>
      <c r="G4" s="2554" t="s">
        <v>1232</v>
      </c>
      <c r="H4" s="2554" t="s">
        <v>1233</v>
      </c>
      <c r="I4" s="2554" t="s">
        <v>1234</v>
      </c>
      <c r="J4" s="2554" t="s">
        <v>1235</v>
      </c>
      <c r="K4" s="2554" t="s">
        <v>1236</v>
      </c>
      <c r="L4" s="2554" t="s">
        <v>1237</v>
      </c>
      <c r="M4" s="2554" t="s">
        <v>1238</v>
      </c>
      <c r="N4" s="2554" t="s">
        <v>1239</v>
      </c>
      <c r="O4" s="2554" t="s">
        <v>1240</v>
      </c>
      <c r="P4" s="2554" t="s">
        <v>1241</v>
      </c>
      <c r="Q4" s="2554" t="s">
        <v>1242</v>
      </c>
      <c r="R4" s="2554" t="s">
        <v>1243</v>
      </c>
      <c r="S4" s="2554" t="s">
        <v>1244</v>
      </c>
      <c r="T4" s="2554" t="s">
        <v>1245</v>
      </c>
      <c r="U4" s="2554" t="s">
        <v>1246</v>
      </c>
      <c r="V4" s="2554" t="s">
        <v>1247</v>
      </c>
      <c r="W4" s="2554" t="s">
        <v>1248</v>
      </c>
      <c r="X4" s="76"/>
      <c r="Y4" s="2564" t="s">
        <v>904</v>
      </c>
      <c r="Z4" s="2554" t="str">
        <f t="shared" ref="Z4:AT4" si="0">RIGHT(Z2,4)</f>
        <v>2003</v>
      </c>
      <c r="AA4" s="2554" t="str">
        <f t="shared" si="0"/>
        <v>2004</v>
      </c>
      <c r="AB4" s="2554" t="str">
        <f t="shared" si="0"/>
        <v>2005</v>
      </c>
      <c r="AC4" s="2554" t="str">
        <f t="shared" si="0"/>
        <v>2006</v>
      </c>
      <c r="AD4" s="2554" t="str">
        <f t="shared" si="0"/>
        <v>2007</v>
      </c>
      <c r="AE4" s="2554" t="str">
        <f t="shared" si="0"/>
        <v>2008</v>
      </c>
      <c r="AF4" s="2554" t="str">
        <f t="shared" si="0"/>
        <v>2009</v>
      </c>
      <c r="AG4" s="2554" t="str">
        <f t="shared" si="0"/>
        <v>2010</v>
      </c>
      <c r="AH4" s="2554" t="str">
        <f t="shared" si="0"/>
        <v>2011</v>
      </c>
      <c r="AI4" s="2554" t="str">
        <f t="shared" si="0"/>
        <v>2012</v>
      </c>
      <c r="AJ4" s="2554" t="str">
        <f t="shared" si="0"/>
        <v>2013</v>
      </c>
      <c r="AK4" s="2554" t="str">
        <f t="shared" si="0"/>
        <v>2014</v>
      </c>
      <c r="AL4" s="2554" t="str">
        <f t="shared" si="0"/>
        <v>2015</v>
      </c>
      <c r="AM4" s="2554" t="str">
        <f t="shared" si="0"/>
        <v>2016</v>
      </c>
      <c r="AN4" s="2554" t="str">
        <f t="shared" si="0"/>
        <v>2017</v>
      </c>
      <c r="AO4" s="2554" t="str">
        <f t="shared" si="0"/>
        <v>2018</v>
      </c>
      <c r="AP4" s="2554" t="str">
        <f t="shared" si="0"/>
        <v>2019</v>
      </c>
      <c r="AQ4" s="2554" t="str">
        <f t="shared" si="0"/>
        <v>2020</v>
      </c>
      <c r="AR4" s="2554" t="str">
        <f t="shared" si="0"/>
        <v>2021</v>
      </c>
      <c r="AS4" s="2554" t="str">
        <f t="shared" si="0"/>
        <v>2022</v>
      </c>
      <c r="AT4" s="2554" t="str">
        <f t="shared" si="0"/>
        <v>2023</v>
      </c>
      <c r="AW4" s="7530" t="s">
        <v>1326</v>
      </c>
      <c r="AX4" s="7530" t="s">
        <v>1327</v>
      </c>
      <c r="BA4" s="2554" t="s">
        <v>1229</v>
      </c>
      <c r="BB4" s="2554" t="s">
        <v>1230</v>
      </c>
      <c r="BC4" s="2554" t="s">
        <v>1231</v>
      </c>
      <c r="BD4" s="2554" t="s">
        <v>1232</v>
      </c>
      <c r="BE4" s="2554" t="s">
        <v>1233</v>
      </c>
      <c r="BF4" s="2554" t="s">
        <v>1234</v>
      </c>
      <c r="BG4" s="2554" t="s">
        <v>1235</v>
      </c>
      <c r="BH4" s="2554" t="s">
        <v>1236</v>
      </c>
      <c r="BI4" s="2554" t="s">
        <v>1237</v>
      </c>
      <c r="BJ4" s="2554" t="s">
        <v>1238</v>
      </c>
      <c r="BK4" s="2554" t="s">
        <v>1239</v>
      </c>
      <c r="BL4" s="2554" t="s">
        <v>1240</v>
      </c>
      <c r="BM4" s="2554" t="s">
        <v>1241</v>
      </c>
      <c r="BN4" s="2554" t="s">
        <v>1242</v>
      </c>
      <c r="BO4" s="2554" t="s">
        <v>1243</v>
      </c>
      <c r="BP4" s="2554" t="s">
        <v>1244</v>
      </c>
      <c r="BQ4" s="2554" t="s">
        <v>1245</v>
      </c>
      <c r="BR4" s="2554" t="s">
        <v>1246</v>
      </c>
      <c r="BS4" s="2554" t="s">
        <v>1247</v>
      </c>
      <c r="BT4" s="2554">
        <v>2023</v>
      </c>
      <c r="BU4" s="2554"/>
      <c r="ES4">
        <v>623994.00999999989</v>
      </c>
      <c r="ET4">
        <v>83493.803506947559</v>
      </c>
      <c r="EU4">
        <v>70552.153325806154</v>
      </c>
      <c r="EV4">
        <v>154045.95646262425</v>
      </c>
    </row>
    <row r="5" spans="2:164" ht="18.649999999999999" customHeight="1">
      <c r="B5" s="98" t="s">
        <v>10</v>
      </c>
      <c r="C5">
        <f>IF(Fact5_predicextreme!B2&gt;0,VLOOKUP(Fact5!$B5,Fact5_predicextreme!$A$1:$W$19,23,0),"")</f>
        <v>45773884</v>
      </c>
      <c r="D5">
        <f>IF(Fact5_predicextreme!C2&gt;0,VLOOKUP(Fact5!$B5,Fact5_predicextreme!$A$1:$W$19,23,0),"")</f>
        <v>45773884</v>
      </c>
      <c r="E5">
        <f>IF(Fact5_predicextreme!D2&gt;0,VLOOKUP(Fact5!$B5,Fact5_predicextreme!$A$1:$W$19,23,0),"")</f>
        <v>45773884</v>
      </c>
      <c r="F5">
        <f>IF(Fact5_predicextreme!E2&gt;0,VLOOKUP(Fact5!$B5,Fact5_predicextreme!$A$1:$W$19,23,0),"")</f>
        <v>45773884</v>
      </c>
      <c r="G5">
        <f>IF(Fact5_predicextreme!F2&gt;0,VLOOKUP(Fact5!$B5,Fact5_predicextreme!$A$1:$W$19,23,0),"")</f>
        <v>45773884</v>
      </c>
      <c r="H5">
        <f>IF(Fact5_predicextreme!G2&gt;0,VLOOKUP(Fact5!$B5,Fact5_predicextreme!$A$1:$W$19,23,0),"")</f>
        <v>45773884</v>
      </c>
      <c r="I5">
        <f>IF(Fact5_predicextreme!H2&gt;0,VLOOKUP(Fact5!$B5,Fact5_predicextreme!$A$1:$W$19,23,0),"")</f>
        <v>45773884</v>
      </c>
      <c r="J5">
        <f>IF(Fact5_predicextreme!I2&gt;0,VLOOKUP(Fact5!$B5,Fact5_predicextreme!$A$1:$W$19,23,0),"")</f>
        <v>45773884</v>
      </c>
      <c r="K5">
        <f>IF(Fact5_predicextreme!J2&gt;0,VLOOKUP(Fact5!$B5,Fact5_predicextreme!$A$1:$W$19,23,0),"")</f>
        <v>45773884</v>
      </c>
      <c r="L5">
        <f>IF(Fact5_predicextreme!K2&gt;0,VLOOKUP(Fact5!$B5,Fact5_predicextreme!$A$1:$W$19,23,0),"")</f>
        <v>45773884</v>
      </c>
      <c r="M5">
        <f>IF(Fact5_predicextreme!L2&gt;0,VLOOKUP(Fact5!$B5,Fact5_predicextreme!$A$1:$W$19,23,0),"")</f>
        <v>45773884</v>
      </c>
      <c r="N5">
        <f>IF(Fact5_predicextreme!M2&gt;0,VLOOKUP(Fact5!$B5,Fact5_predicextreme!$A$1:$W$19,23,0),"")</f>
        <v>45773884</v>
      </c>
      <c r="O5">
        <f>IF(Fact5_predicextreme!N2&gt;0,VLOOKUP(Fact5!$B5,Fact5_predicextreme!$A$1:$W$19,23,0),"")</f>
        <v>45773884</v>
      </c>
      <c r="P5">
        <f>IF(Fact5_predicextreme!O2&gt;0,VLOOKUP(Fact5!$B5,Fact5_predicextreme!$A$1:$W$19,23,0),"")</f>
        <v>45773884</v>
      </c>
      <c r="Q5">
        <f>IF(Fact5_predicextreme!P2&gt;0,VLOOKUP(Fact5!$B5,Fact5_predicextreme!$A$1:$W$19,23,0),"")</f>
        <v>45773884</v>
      </c>
      <c r="R5">
        <f>IF(Fact5_predicextreme!Q2&gt;0,VLOOKUP(Fact5!$B5,Fact5_predicextreme!$A$1:$W$19,23,0),"")</f>
        <v>45773884</v>
      </c>
      <c r="S5">
        <f>IF(Fact5_predicextreme!R2&gt;0,VLOOKUP(Fact5!$B5,Fact5_predicextreme!$A$1:$W$19,23,0),"")</f>
        <v>45773884</v>
      </c>
      <c r="T5">
        <f>IF(Fact5_predicextreme!S2&gt;0,VLOOKUP(Fact5!$B5,Fact5_predicextreme!$A$1:$W$19,23,0),"")</f>
        <v>45773884</v>
      </c>
      <c r="U5">
        <f>IF(Fact5_predicextreme!T2&gt;0,VLOOKUP(Fact5!$B5,Fact5_predicextreme!$A$1:$W$19,23,0),"")</f>
        <v>45773884</v>
      </c>
      <c r="V5">
        <f>IF(Fact5_predicextreme!U2&gt;0,VLOOKUP(Fact5!$B5,Fact5_predicextreme!$A$1:$W$19,23,0),"")</f>
        <v>45773884</v>
      </c>
      <c r="W5">
        <f>IF(Fact5_predicextreme!V2&gt;0,VLOOKUP(Fact5!$B5,Fact5_predicextreme!$A$1:$W$19,23,0),"")</f>
        <v>45773884</v>
      </c>
      <c r="X5" s="2563"/>
      <c r="Y5" s="2562" t="s">
        <v>10</v>
      </c>
      <c r="Z5" s="8">
        <f ca="1">IF(OFFSET(Fact5_predicextreme!$A$1,MATCH($Y5,Fact5_predicextreme!$A$2:$A$26,0),MATCH(Z$2,Fact5_predicextreme!$A$1:$V$1,0)-1,1,1)=0,NA(),OFFSET(Fact5_predicextreme!$A$1,MATCH($Y5,Fact5_predicextreme!$A$2:$A$26,0),MATCH(Z$2,Fact5_predicextreme!$A$1:$V$1,0)-1,1,1))</f>
        <v>57.158382415771484</v>
      </c>
      <c r="AA5" s="8">
        <f ca="1">IF(OFFSET(Fact5_predicextreme!$A$1,MATCH($Y5,Fact5_predicextreme!$A$2:$A$26,0),MATCH(AA$2,Fact5_predicextreme!$A$1:$V$1,0)-1,1,1)=0,NA(),OFFSET(Fact5_predicextreme!$A$1,MATCH($Y5,Fact5_predicextreme!$A$2:$A$26,0),MATCH(AA$2,Fact5_predicextreme!$A$1:$V$1,0)-1,1,1))</f>
        <v>47.702262878417969</v>
      </c>
      <c r="AB5" s="8">
        <f ca="1">IF(OFFSET(Fact5_predicextreme!$A$1,MATCH($Y5,Fact5_predicextreme!$A$2:$A$26,0),MATCH(AB$2,Fact5_predicextreme!$A$1:$V$1,0)-1,1,1)=0,NA(),OFFSET(Fact5_predicextreme!$A$1,MATCH($Y5,Fact5_predicextreme!$A$2:$A$26,0),MATCH(AB$2,Fact5_predicextreme!$A$1:$V$1,0)-1,1,1))</f>
        <v>42.032127380371094</v>
      </c>
      <c r="AC5" s="8">
        <f ca="1">IF(OFFSET(Fact5_predicextreme!$A$1,MATCH($Y5,Fact5_predicextreme!$A$2:$A$26,0),MATCH(AC$2,Fact5_predicextreme!$A$1:$V$1,0)-1,1,1)=0,NA(),OFFSET(Fact5_predicextreme!$A$1,MATCH($Y5,Fact5_predicextreme!$A$2:$A$26,0),MATCH(AC$2,Fact5_predicextreme!$A$1:$V$1,0)-1,1,1))</f>
        <v>36.897781372070313</v>
      </c>
      <c r="AD5" s="8">
        <f ca="1">IF(OFFSET(Fact5_predicextreme!$A$1,MATCH($Y5,Fact5_predicextreme!$A$2:$A$26,0),MATCH(AD$2,Fact5_predicextreme!$A$1:$V$1,0)-1,1,1)=0,NA(),OFFSET(Fact5_predicextreme!$A$1,MATCH($Y5,Fact5_predicextreme!$A$2:$A$26,0),MATCH(AD$2,Fact5_predicextreme!$A$1:$V$1,0)-1,1,1))</f>
        <v>25.974327087402344</v>
      </c>
      <c r="AE5" s="8">
        <f ca="1">IF(OFFSET(Fact5_predicextreme!$A$1,MATCH($Y5,Fact5_predicextreme!$A$2:$A$26,0),MATCH(AE$2,Fact5_predicextreme!$A$1:$V$1,0)-1,1,1)=0,NA(),OFFSET(Fact5_predicextreme!$A$1,MATCH($Y5,Fact5_predicextreme!$A$2:$A$26,0),MATCH(AE$2,Fact5_predicextreme!$A$1:$V$1,0)-1,1,1))</f>
        <v>22.230743408203125</v>
      </c>
      <c r="AF5" s="8">
        <f ca="1">IF(OFFSET(Fact5_predicextreme!$A$1,MATCH($Y5,Fact5_predicextreme!$A$2:$A$26,0),MATCH(AF$2,Fact5_predicextreme!$A$1:$V$1,0)-1,1,1)=0,NA(),OFFSET(Fact5_predicextreme!$A$1,MATCH($Y5,Fact5_predicextreme!$A$2:$A$26,0),MATCH(AF$2,Fact5_predicextreme!$A$1:$V$1,0)-1,1,1))</f>
        <v>18.889942169189453</v>
      </c>
      <c r="AG5" s="8">
        <f ca="1">IF(OFFSET(Fact5_predicextreme!$A$1,MATCH($Y5,Fact5_predicextreme!$A$2:$A$26,0),MATCH(AG$2,Fact5_predicextreme!$A$1:$V$1,0)-1,1,1)=0,NA(),OFFSET(Fact5_predicextreme!$A$1,MATCH($Y5,Fact5_predicextreme!$A$2:$A$26,0),MATCH(AG$2,Fact5_predicextreme!$A$1:$V$1,0)-1,1,1))</f>
        <v>13.833292007446289</v>
      </c>
      <c r="AH5" s="8">
        <f ca="1">IF(OFFSET(Fact5_predicextreme!$A$1,MATCH($Y5,Fact5_predicextreme!$A$2:$A$26,0),MATCH(AH$2,Fact5_predicextreme!$A$1:$V$1,0)-1,1,1)=0,NA(),OFFSET(Fact5_predicextreme!$A$1,MATCH($Y5,Fact5_predicextreme!$A$2:$A$26,0),MATCH(AH$2,Fact5_predicextreme!$A$1:$V$1,0)-1,1,1))</f>
        <v>9.2170419692993164</v>
      </c>
      <c r="AI5" s="8">
        <f ca="1">IF(OFFSET(Fact5_predicextreme!$A$1,MATCH($Y5,Fact5_predicextreme!$A$2:$A$26,0),MATCH(AI$2,Fact5_predicextreme!$A$1:$V$1,0)-1,1,1)=0,NA(),OFFSET(Fact5_predicextreme!$A$1,MATCH($Y5,Fact5_predicextreme!$A$2:$A$26,0),MATCH(AI$2,Fact5_predicextreme!$A$1:$V$1,0)-1,1,1))</f>
        <v>6.6303329467773438</v>
      </c>
      <c r="AJ5" s="8">
        <f ca="1">IF(OFFSET(Fact5_predicextreme!$A$1,MATCH($Y5,Fact5_predicextreme!$A$2:$A$26,0),MATCH(AJ$2,Fact5_predicextreme!$A$1:$V$1,0)-1,1,1)=0,NA(),OFFSET(Fact5_predicextreme!$A$1,MATCH($Y5,Fact5_predicextreme!$A$2:$A$26,0),MATCH(AJ$2,Fact5_predicextreme!$A$1:$V$1,0)-1,1,1))</f>
        <v>4.8721566200256348</v>
      </c>
      <c r="AK5" s="8">
        <f ca="1">IF(OFFSET(Fact5_predicextreme!$A$1,MATCH($Y5,Fact5_predicextreme!$A$2:$A$26,0),MATCH(AK$2,Fact5_predicextreme!$A$1:$V$1,0)-1,1,1)=0,NA(),OFFSET(Fact5_predicextreme!$A$1,MATCH($Y5,Fact5_predicextreme!$A$2:$A$26,0),MATCH(AK$2,Fact5_predicextreme!$A$1:$V$1,0)-1,1,1))</f>
        <v>5.4898667335510254</v>
      </c>
      <c r="AL5" s="8">
        <f ca="1">IF(OFFSET(Fact5_predicextreme!$A$1,MATCH($Y5,Fact5_predicextreme!$A$2:$A$26,0),MATCH(AL$2,Fact5_predicextreme!$A$1:$V$1,0)-1,1,1)=0,NA(),OFFSET(Fact5_predicextreme!$A$1,MATCH($Y5,Fact5_predicextreme!$A$2:$A$26,0),MATCH(AL$2,Fact5_predicextreme!$A$1:$V$1,0)-1,1,1))</f>
        <v>6.2616653442382813</v>
      </c>
      <c r="AM5" s="8">
        <f ca="1">IF(OFFSET(Fact5_predicextreme!$A$1,MATCH($Y5,Fact5_predicextreme!$A$2:$A$26,0),MATCH(AM$2,Fact5_predicextreme!$A$1:$V$1,0)-1,1,1)=0,NA(),OFFSET(Fact5_predicextreme!$A$1,MATCH($Y5,Fact5_predicextreme!$A$2:$A$26,0),MATCH(AM$2,Fact5_predicextreme!$A$1:$V$1,0)-1,1,1))</f>
        <v>7.0701084136962891</v>
      </c>
      <c r="AN5" s="8">
        <f ca="1">IF(OFFSET(Fact5_predicextreme!$A$1,MATCH($Y5,Fact5_predicextreme!$A$2:$A$26,0),MATCH(AN$2,Fact5_predicextreme!$A$1:$V$1,0)-1,1,1)=0,NA(),OFFSET(Fact5_predicextreme!$A$1,MATCH($Y5,Fact5_predicextreme!$A$2:$A$26,0),MATCH(AN$2,Fact5_predicextreme!$A$1:$V$1,0)-1,1,1))</f>
        <v>6.2889890670776367</v>
      </c>
      <c r="AO5" s="8">
        <f ca="1">IF(OFFSET(Fact5_predicextreme!$A$1,MATCH($Y5,Fact5_predicextreme!$A$2:$A$26,0),MATCH(AO$2,Fact5_predicextreme!$A$1:$V$1,0)-1,1,1)=0,NA(),OFFSET(Fact5_predicextreme!$A$1,MATCH($Y5,Fact5_predicextreme!$A$2:$A$26,0),MATCH(AO$2,Fact5_predicextreme!$A$1:$V$1,0)-1,1,1))</f>
        <v>6.9654927253723145</v>
      </c>
      <c r="AP5" s="8">
        <f ca="1">IF(OFFSET(Fact5_predicextreme!$A$1,MATCH($Y5,Fact5_predicextreme!$A$2:$A$26,0),MATCH(AP$2,Fact5_predicextreme!$A$1:$V$1,0)-1,1,1)=0,NA(),OFFSET(Fact5_predicextreme!$A$1,MATCH($Y5,Fact5_predicextreme!$A$2:$A$26,0),MATCH(AP$2,Fact5_predicextreme!$A$1:$V$1,0)-1,1,1))</f>
        <v>8.6303396224975586</v>
      </c>
      <c r="AQ5" s="8">
        <f ca="1">IF(OFFSET(Fact5_predicextreme!$A$1,MATCH($Y5,Fact5_predicextreme!$A$2:$A$26,0),MATCH(AQ$2,Fact5_predicextreme!$A$1:$V$1,0)-1,1,1)=0,NA(),OFFSET(Fact5_predicextreme!$A$1,MATCH($Y5,Fact5_predicextreme!$A$2:$A$26,0),MATCH(AQ$2,Fact5_predicextreme!$A$1:$V$1,0)-1,1,1))</f>
        <v>9.8575401306152344</v>
      </c>
      <c r="AR5" s="8">
        <f ca="1">IF(OFFSET(Fact5_predicextreme!$A$1,MATCH($Y5,Fact5_predicextreme!$A$2:$A$26,0),MATCH(AR$2,Fact5_predicextreme!$A$1:$V$1,0)-1,1,1)=0,NA(),OFFSET(Fact5_predicextreme!$A$1,MATCH($Y5,Fact5_predicextreme!$A$2:$A$26,0),MATCH(AR$2,Fact5_predicextreme!$A$1:$V$1,0)-1,1,1))</f>
        <v>8.5299263000488281</v>
      </c>
      <c r="AS5" s="8">
        <f ca="1">IF(OFFSET(Fact5_predicextreme!$A$1,MATCH($Y5,Fact5_predicextreme!$A$2:$A$26,0),MATCH(AS$2,Fact5_predicextreme!$A$1:$V$1,0)-1,1,1)=0,NA(),OFFSET(Fact5_predicextreme!$A$1,MATCH($Y5,Fact5_predicextreme!$A$2:$A$26,0),MATCH(AS$2,Fact5_predicextreme!$A$1:$V$1,0)-1,1,1))</f>
        <v>8.1207027435302734</v>
      </c>
      <c r="AT5" s="88">
        <f ca="1">IF(OFFSET(Fact5_predicextreme!$A$1,MATCH($Y5,Fact5_predicextreme!$A$2:$A$26,0),MATCH(AT$2,Fact5_predicextreme!$A$1:$V$1,0)-1,1,1)=0,NA(),OFFSET(Fact5_predicextreme!$A$1,MATCH($Y5,Fact5_predicextreme!$A$2:$A$26,0),MATCH(AT$2,Fact5_predicextreme!$A$1:$V$1,0)-1,1,1))</f>
        <v>7.7311115264892578</v>
      </c>
      <c r="AU5" s="2562" t="s">
        <v>10</v>
      </c>
      <c r="AV5" s="7511"/>
      <c r="AW5" s="7531">
        <f t="shared" ref="AW5:AW13" ca="1" si="1">AT5/Z5-1</f>
        <v>-0.86474229675967806</v>
      </c>
      <c r="AX5" s="7532">
        <f ca="1">AQ5/AP5-1</f>
        <v>0.14219608518286009</v>
      </c>
      <c r="AY5" s="7532">
        <f ca="1">AR5/AP5-1</f>
        <v>-1.1634921317229874E-2</v>
      </c>
      <c r="AZ5" s="7532"/>
      <c r="BA5" s="7532">
        <f t="shared" ref="BA5:BT5" ca="1" si="2">IFERROR(AA5/Z5-1,"")</f>
        <v>-0.16543714390952269</v>
      </c>
      <c r="BB5" s="7532">
        <f t="shared" ca="1" si="2"/>
        <v>-0.11886512622050527</v>
      </c>
      <c r="BC5" s="7532">
        <f t="shared" ca="1" si="2"/>
        <v>-0.1221528941858534</v>
      </c>
      <c r="BD5" s="7532">
        <f t="shared" ca="1" si="2"/>
        <v>-0.29604637131208256</v>
      </c>
      <c r="BE5" s="7532">
        <f t="shared" ca="1" si="2"/>
        <v>-0.14412630081242306</v>
      </c>
      <c r="BF5" s="7532">
        <f t="shared" ca="1" si="2"/>
        <v>-0.15027843098494487</v>
      </c>
      <c r="BG5" s="7532">
        <f t="shared" ca="1" si="2"/>
        <v>-0.26769008165577346</v>
      </c>
      <c r="BH5" s="7532">
        <f t="shared" ca="1" si="2"/>
        <v>-0.33370581895199658</v>
      </c>
      <c r="BI5" s="7532">
        <f t="shared" ca="1" si="2"/>
        <v>-0.28064416231779565</v>
      </c>
      <c r="BJ5" s="7532">
        <f t="shared" ca="1" si="2"/>
        <v>-0.26517164988015662</v>
      </c>
      <c r="BK5" s="7532">
        <f t="shared" ca="1" si="2"/>
        <v>0.12678371442052305</v>
      </c>
      <c r="BL5" s="7532">
        <f t="shared" ca="1" si="2"/>
        <v>0.14058603753902621</v>
      </c>
      <c r="BM5" s="7532">
        <f t="shared" ca="1" si="2"/>
        <v>0.12910991326004084</v>
      </c>
      <c r="BN5" s="7532">
        <f t="shared" ca="1" si="2"/>
        <v>-0.11048194750528295</v>
      </c>
      <c r="BO5" s="7532">
        <f t="shared" ca="1" si="2"/>
        <v>0.10756953956815107</v>
      </c>
      <c r="BP5" s="7532">
        <f t="shared" ca="1" si="2"/>
        <v>0.23901351458754938</v>
      </c>
      <c r="BQ5" s="7532">
        <f t="shared" ca="1" si="2"/>
        <v>0.14219608518286009</v>
      </c>
      <c r="BR5" s="7532">
        <f t="shared" ca="1" si="2"/>
        <v>-0.13468003304832055</v>
      </c>
      <c r="BS5" s="7532">
        <f t="shared" ca="1" si="2"/>
        <v>-4.7975040126221558E-2</v>
      </c>
      <c r="BT5" s="7532">
        <f t="shared" ca="1" si="2"/>
        <v>-4.79750619306194E-2</v>
      </c>
      <c r="BU5" s="7532"/>
      <c r="BV5" s="8"/>
      <c r="CT5" t="s">
        <v>1090</v>
      </c>
      <c r="EX5" s="20" t="s">
        <v>943</v>
      </c>
      <c r="EY5" s="20" t="s">
        <v>944</v>
      </c>
      <c r="EZ5" s="25" t="s">
        <v>1023</v>
      </c>
      <c r="FA5" s="25" t="s">
        <v>1024</v>
      </c>
      <c r="FG5" s="20" t="s">
        <v>943</v>
      </c>
      <c r="FH5" s="20" t="s">
        <v>944</v>
      </c>
    </row>
    <row r="6" spans="2:164">
      <c r="B6" s="99" t="s">
        <v>15</v>
      </c>
      <c r="C6">
        <f>IF(Fact5_predicextreme!B3&gt;0,VLOOKUP(Fact5!$B6,Fact5_predicextreme!$A$1:$W$19,23,0),"")</f>
        <v>12388571</v>
      </c>
      <c r="D6">
        <f>IF(Fact5_predicextreme!C3&gt;0,VLOOKUP(Fact5!$B6,Fact5_predicextreme!$A$1:$W$19,23,0),"")</f>
        <v>12388571</v>
      </c>
      <c r="E6">
        <f>IF(Fact5_predicextreme!D3&gt;0,VLOOKUP(Fact5!$B6,Fact5_predicextreme!$A$1:$W$19,23,0),"")</f>
        <v>12388571</v>
      </c>
      <c r="F6">
        <f>IF(Fact5_predicextreme!E3&gt;0,VLOOKUP(Fact5!$B6,Fact5_predicextreme!$A$1:$W$19,23,0),"")</f>
        <v>12388571</v>
      </c>
      <c r="G6">
        <f>IF(Fact5_predicextreme!F3&gt;0,VLOOKUP(Fact5!$B6,Fact5_predicextreme!$A$1:$W$19,23,0),"")</f>
        <v>12388571</v>
      </c>
      <c r="H6">
        <f>IF(Fact5_predicextreme!G3&gt;0,VLOOKUP(Fact5!$B6,Fact5_predicextreme!$A$1:$W$19,23,0),"")</f>
        <v>12388571</v>
      </c>
      <c r="I6">
        <f>IF(Fact5_predicextreme!H3&gt;0,VLOOKUP(Fact5!$B6,Fact5_predicextreme!$A$1:$W$19,23,0),"")</f>
        <v>12388571</v>
      </c>
      <c r="J6">
        <f>IF(Fact5_predicextreme!I3&gt;0,VLOOKUP(Fact5!$B6,Fact5_predicextreme!$A$1:$W$19,23,0),"")</f>
        <v>12388571</v>
      </c>
      <c r="K6">
        <f>IF(Fact5_predicextreme!J3&gt;0,VLOOKUP(Fact5!$B6,Fact5_predicextreme!$A$1:$W$19,23,0),"")</f>
        <v>12388571</v>
      </c>
      <c r="L6">
        <f>IF(Fact5_predicextreme!K3&gt;0,VLOOKUP(Fact5!$B6,Fact5_predicextreme!$A$1:$W$19,23,0),"")</f>
        <v>12388571</v>
      </c>
      <c r="M6">
        <f>IF(Fact5_predicextreme!L3&gt;0,VLOOKUP(Fact5!$B6,Fact5_predicextreme!$A$1:$W$19,23,0),"")</f>
        <v>12388571</v>
      </c>
      <c r="N6">
        <f>IF(Fact5_predicextreme!M3&gt;0,VLOOKUP(Fact5!$B6,Fact5_predicextreme!$A$1:$W$19,23,0),"")</f>
        <v>12388571</v>
      </c>
      <c r="O6">
        <f>IF(Fact5_predicextreme!N3&gt;0,VLOOKUP(Fact5!$B6,Fact5_predicextreme!$A$1:$W$19,23,0),"")</f>
        <v>12388571</v>
      </c>
      <c r="P6">
        <f>IF(Fact5_predicextreme!O3&gt;0,VLOOKUP(Fact5!$B6,Fact5_predicextreme!$A$1:$W$19,23,0),"")</f>
        <v>12388571</v>
      </c>
      <c r="Q6">
        <f>IF(Fact5_predicextreme!P3&gt;0,VLOOKUP(Fact5!$B6,Fact5_predicextreme!$A$1:$W$19,23,0),"")</f>
        <v>12388571</v>
      </c>
      <c r="R6">
        <f>IF(Fact5_predicextreme!Q3&gt;0,VLOOKUP(Fact5!$B6,Fact5_predicextreme!$A$1:$W$19,23,0),"")</f>
        <v>12388571</v>
      </c>
      <c r="S6">
        <f>IF(Fact5_predicextreme!R3&gt;0,VLOOKUP(Fact5!$B6,Fact5_predicextreme!$A$1:$W$19,23,0),"")</f>
        <v>12388571</v>
      </c>
      <c r="T6">
        <f>IF(Fact5_predicextreme!S3&gt;0,VLOOKUP(Fact5!$B6,Fact5_predicextreme!$A$1:$W$19,23,0),"")</f>
        <v>12388571</v>
      </c>
      <c r="U6">
        <f>IF(Fact5_predicextreme!T3&gt;0,VLOOKUP(Fact5!$B6,Fact5_predicextreme!$A$1:$W$19,23,0),"")</f>
        <v>12388571</v>
      </c>
      <c r="V6">
        <f>IF(Fact5_predicextreme!U3&gt;0,VLOOKUP(Fact5!$B6,Fact5_predicextreme!$A$1:$W$19,23,0),"")</f>
        <v>12388571</v>
      </c>
      <c r="W6">
        <f>IF(Fact5_predicextreme!V3&gt;0,VLOOKUP(Fact5!$B6,Fact5_predicextreme!$A$1:$W$19,23,0),"")</f>
        <v>12388571</v>
      </c>
      <c r="X6" s="2562"/>
      <c r="Y6" s="2563" t="s">
        <v>15</v>
      </c>
      <c r="Z6" s="8">
        <f ca="1">IF(OFFSET(Fact5_predicextreme!$A$1,MATCH($Y6,Fact5_predicextreme!$A$2:$A$26,0),MATCH(Z$2,Fact5_predicextreme!$A$1:$V$1,0)-1,1,1)=0,NA(),OFFSET(Fact5_predicextreme!$A$1,MATCH($Y6,Fact5_predicextreme!$A$2:$A$26,0),MATCH(Z$2,Fact5_predicextreme!$A$1:$V$1,0)-1,1,1))</f>
        <v>21.430349349975586</v>
      </c>
      <c r="AA6" s="88">
        <f ca="1">IF(OFFSET(Fact5_predicextreme!$A$1,MATCH($Y6,Fact5_predicextreme!$A$2:$A$26,0),MATCH(AA$2,Fact5_predicextreme!$A$1:$V$1,0)-1,1,1)=0,NA(),OFFSET(Fact5_predicextreme!$A$1,MATCH($Y6,Fact5_predicextreme!$A$2:$A$26,0),MATCH(AA$2,Fact5_predicextreme!$A$1:$V$1,0)-1,1,1))</f>
        <v>24.495639801025391</v>
      </c>
      <c r="AB6" s="8">
        <f ca="1">IF(OFFSET(Fact5_predicextreme!$A$1,MATCH($Y6,Fact5_predicextreme!$A$2:$A$26,0),MATCH(AB$2,Fact5_predicextreme!$A$1:$V$1,0)-1,1,1)=0,NA(),OFFSET(Fact5_predicextreme!$A$1,MATCH($Y6,Fact5_predicextreme!$A$2:$A$26,0),MATCH(AB$2,Fact5_predicextreme!$A$1:$V$1,0)-1,1,1))</f>
        <v>27.560932159423828</v>
      </c>
      <c r="AC6" s="8">
        <f ca="1">IF(OFFSET(Fact5_predicextreme!$A$1,MATCH($Y6,Fact5_predicextreme!$A$2:$A$26,0),MATCH(AC$2,Fact5_predicextreme!$A$1:$V$1,0)-1,1,1)=0,NA(),OFFSET(Fact5_predicextreme!$A$1,MATCH($Y6,Fact5_predicextreme!$A$2:$A$26,0),MATCH(AC$2,Fact5_predicextreme!$A$1:$V$1,0)-1,1,1))</f>
        <v>26.16798210144043</v>
      </c>
      <c r="AD6" s="8">
        <f ca="1">IF(OFFSET(Fact5_predicextreme!$A$1,MATCH($Y6,Fact5_predicextreme!$A$2:$A$26,0),MATCH(AD$2,Fact5_predicextreme!$A$1:$V$1,0)-1,1,1)=0,NA(),OFFSET(Fact5_predicextreme!$A$1,MATCH($Y6,Fact5_predicextreme!$A$2:$A$26,0),MATCH(AD$2,Fact5_predicextreme!$A$1:$V$1,0)-1,1,1))</f>
        <v>22.608821868896484</v>
      </c>
      <c r="AE6" s="8">
        <f ca="1">IF(OFFSET(Fact5_predicextreme!$A$1,MATCH($Y6,Fact5_predicextreme!$A$2:$A$26,0),MATCH(AE$2,Fact5_predicextreme!$A$1:$V$1,0)-1,1,1)=0,NA(),OFFSET(Fact5_predicextreme!$A$1,MATCH($Y6,Fact5_predicextreme!$A$2:$A$26,0),MATCH(AE$2,Fact5_predicextreme!$A$1:$V$1,0)-1,1,1))</f>
        <v>18.504581451416016</v>
      </c>
      <c r="AF6" s="8">
        <f ca="1">IF(OFFSET(Fact5_predicextreme!$A$1,MATCH($Y6,Fact5_predicextreme!$A$2:$A$26,0),MATCH(AF$2,Fact5_predicextreme!$A$1:$V$1,0)-1,1,1)=0,NA(),OFFSET(Fact5_predicextreme!$A$1,MATCH($Y6,Fact5_predicextreme!$A$2:$A$26,0),MATCH(AF$2,Fact5_predicextreme!$A$1:$V$1,0)-1,1,1))</f>
        <v>17.264245986938477</v>
      </c>
      <c r="AG6" s="88">
        <f ca="1">IF(OFFSET(Fact5_predicextreme!$A$1,MATCH($Y6,Fact5_predicextreme!$A$2:$A$26,0),MATCH(AG$2,Fact5_predicextreme!$A$1:$V$1,0)-1,1,1)=0,NA(),OFFSET(Fact5_predicextreme!$A$1,MATCH($Y6,Fact5_predicextreme!$A$2:$A$26,0),MATCH(AG$2,Fact5_predicextreme!$A$1:$V$1,0)-1,1,1))</f>
        <v>15.153205871582031</v>
      </c>
      <c r="AH6" s="8">
        <f ca="1">IF(OFFSET(Fact5_predicextreme!$A$1,MATCH($Y6,Fact5_predicextreme!$A$2:$A$26,0),MATCH(AH$2,Fact5_predicextreme!$A$1:$V$1,0)-1,1,1)=0,NA(),OFFSET(Fact5_predicextreme!$A$1,MATCH($Y6,Fact5_predicextreme!$A$2:$A$26,0),MATCH(AH$2,Fact5_predicextreme!$A$1:$V$1,0)-1,1,1))</f>
        <v>13.042166709899902</v>
      </c>
      <c r="AI6" s="8">
        <f ca="1">IF(OFFSET(Fact5_predicextreme!$A$1,MATCH($Y6,Fact5_predicextreme!$A$2:$A$26,0),MATCH(AI$2,Fact5_predicextreme!$A$1:$V$1,0)-1,1,1)=0,NA(),OFFSET(Fact5_predicextreme!$A$1,MATCH($Y6,Fact5_predicextreme!$A$2:$A$26,0),MATCH(AI$2,Fact5_predicextreme!$A$1:$V$1,0)-1,1,1))</f>
        <v>14.157891273498535</v>
      </c>
      <c r="AJ6" s="8">
        <f ca="1">IF(OFFSET(Fact5_predicextreme!$A$1,MATCH($Y6,Fact5_predicextreme!$A$2:$A$26,0),MATCH(AJ$2,Fact5_predicextreme!$A$1:$V$1,0)-1,1,1)=0,NA(),OFFSET(Fact5_predicextreme!$A$1,MATCH($Y6,Fact5_predicextreme!$A$2:$A$26,0),MATCH(AJ$2,Fact5_predicextreme!$A$1:$V$1,0)-1,1,1))</f>
        <v>11.691269874572754</v>
      </c>
      <c r="AK6" s="8">
        <f ca="1">IF(OFFSET(Fact5_predicextreme!$A$1,MATCH($Y6,Fact5_predicextreme!$A$2:$A$26,0),MATCH(AK$2,Fact5_predicextreme!$A$1:$V$1,0)-1,1,1)=0,NA(),OFFSET(Fact5_predicextreme!$A$1,MATCH($Y6,Fact5_predicextreme!$A$2:$A$26,0),MATCH(AK$2,Fact5_predicextreme!$A$1:$V$1,0)-1,1,1))</f>
        <v>12.334632873535156</v>
      </c>
      <c r="AL6" s="8">
        <f ca="1">IF(OFFSET(Fact5_predicextreme!$A$1,MATCH($Y6,Fact5_predicextreme!$A$2:$A$26,0),MATCH(AL$2,Fact5_predicextreme!$A$1:$V$1,0)-1,1,1)=0,NA(),OFFSET(Fact5_predicextreme!$A$1,MATCH($Y6,Fact5_predicextreme!$A$2:$A$26,0),MATCH(AL$2,Fact5_predicextreme!$A$1:$V$1,0)-1,1,1))</f>
        <v>11.448407173156738</v>
      </c>
      <c r="AM6" s="8">
        <f ca="1">IF(OFFSET(Fact5_predicextreme!$A$1,MATCH($Y6,Fact5_predicextreme!$A$2:$A$26,0),MATCH(AM$2,Fact5_predicextreme!$A$1:$V$1,0)-1,1,1)=0,NA(),OFFSET(Fact5_predicextreme!$A$1,MATCH($Y6,Fact5_predicextreme!$A$2:$A$26,0),MATCH(AM$2,Fact5_predicextreme!$A$1:$V$1,0)-1,1,1))</f>
        <v>12.753410339355469</v>
      </c>
      <c r="AN6" s="8">
        <f ca="1">IF(OFFSET(Fact5_predicextreme!$A$1,MATCH($Y6,Fact5_predicextreme!$A$2:$A$26,0),MATCH(AN$2,Fact5_predicextreme!$A$1:$V$1,0)-1,1,1)=0,NA(),OFFSET(Fact5_predicextreme!$A$1,MATCH($Y6,Fact5_predicextreme!$A$2:$A$26,0),MATCH(AN$2,Fact5_predicextreme!$A$1:$V$1,0)-1,1,1))</f>
        <v>11.879587173461914</v>
      </c>
      <c r="AO6" s="8">
        <f ca="1">IF(OFFSET(Fact5_predicextreme!$A$1,MATCH($Y6,Fact5_predicextreme!$A$2:$A$26,0),MATCH(AO$2,Fact5_predicextreme!$A$1:$V$1,0)-1,1,1)=0,NA(),OFFSET(Fact5_predicextreme!$A$1,MATCH($Y6,Fact5_predicextreme!$A$2:$A$26,0),MATCH(AO$2,Fact5_predicextreme!$A$1:$V$1,0)-1,1,1))</f>
        <v>10.777788162231445</v>
      </c>
      <c r="AP6" s="8">
        <f ca="1">IF(OFFSET(Fact5_predicextreme!$A$1,MATCH($Y6,Fact5_predicextreme!$A$2:$A$26,0),MATCH(AP$2,Fact5_predicextreme!$A$1:$V$1,0)-1,1,1)=0,NA(),OFFSET(Fact5_predicextreme!$A$1,MATCH($Y6,Fact5_predicextreme!$A$2:$A$26,0),MATCH(AP$2,Fact5_predicextreme!$A$1:$V$1,0)-1,1,1))</f>
        <v>7.537266731262207</v>
      </c>
      <c r="AQ6" s="8">
        <f ca="1">IF(OFFSET(Fact5_predicextreme!$A$1,MATCH($Y6,Fact5_predicextreme!$A$2:$A$26,0),MATCH(AQ$2,Fact5_predicextreme!$A$1:$V$1,0)-1,1,1)=0,NA(),OFFSET(Fact5_predicextreme!$A$1,MATCH($Y6,Fact5_predicextreme!$A$2:$A$26,0),MATCH(AQ$2,Fact5_predicextreme!$A$1:$V$1,0)-1,1,1))</f>
        <v>10.430375099182129</v>
      </c>
      <c r="AR6" s="8">
        <f ca="1">IF(OFFSET(Fact5_predicextreme!$A$1,MATCH($Y6,Fact5_predicextreme!$A$2:$A$26,0),MATCH(AR$2,Fact5_predicextreme!$A$1:$V$1,0)-1,1,1)=0,NA(),OFFSET(Fact5_predicextreme!$A$1,MATCH($Y6,Fact5_predicextreme!$A$2:$A$26,0),MATCH(AR$2,Fact5_predicextreme!$A$1:$V$1,0)-1,1,1))</f>
        <v>7.6802902221679688</v>
      </c>
      <c r="AS6" s="8">
        <f ca="1">IF(OFFSET(Fact5_predicextreme!$A$1,MATCH($Y6,Fact5_predicextreme!$A$2:$A$26,0),MATCH(AS$2,Fact5_predicextreme!$A$1:$V$1,0)-1,1,1)=0,NA(),OFFSET(Fact5_predicextreme!$A$1,MATCH($Y6,Fact5_predicextreme!$A$2:$A$26,0),MATCH(AS$2,Fact5_predicextreme!$A$1:$V$1,0)-1,1,1))</f>
        <v>9.1588373184204102</v>
      </c>
      <c r="AT6" s="88">
        <f ca="1">IF(OFFSET(Fact5_predicextreme!$A$1,MATCH($Y6,Fact5_predicextreme!$A$2:$A$26,0),MATCH(AT$2,Fact5_predicextreme!$A$1:$V$1,0)-1,1,1)=0,NA(),OFFSET(Fact5_predicextreme!$A$1,MATCH($Y6,Fact5_predicextreme!$A$2:$A$26,0),MATCH(AT$2,Fact5_predicextreme!$A$1:$V$1,0)-1,1,1))</f>
        <v>10.922021865844727</v>
      </c>
      <c r="AU6" s="2563" t="s">
        <v>15</v>
      </c>
      <c r="AV6" s="7547"/>
      <c r="AW6" s="7532">
        <f t="shared" ca="1" si="1"/>
        <v>-0.49034793192220316</v>
      </c>
      <c r="AX6" s="7532">
        <f t="shared" ref="AX6:AX22" ca="1" si="3">AQ6/AP6-1</f>
        <v>0.38384051819742826</v>
      </c>
      <c r="AY6" s="7532">
        <f t="shared" ref="AY6:AY22" ca="1" si="4">AR6/AP6-1</f>
        <v>1.8975511416166935E-2</v>
      </c>
      <c r="AZ6" s="7532"/>
      <c r="BA6" s="7532">
        <f t="shared" ref="BA6:BA22" ca="1" si="5">IFERROR(AA6/Z6-1,"")</f>
        <v>0.14303502014787717</v>
      </c>
      <c r="BB6" s="7532">
        <f t="shared" ref="BB6:BB16" ca="1" si="6">IFERROR(AB6/AA6-1,"")</f>
        <v>0.1251362439722894</v>
      </c>
      <c r="BC6" s="7532">
        <f t="shared" ref="BC6:BC16" ca="1" si="7">IFERROR(AC6/AB6-1,"")</f>
        <v>-5.054074549895482E-2</v>
      </c>
      <c r="BD6" s="7532">
        <f t="shared" ref="BD6:BD16" ca="1" si="8">IFERROR(AD6/AC6-1,"")</f>
        <v>-0.13601202487630981</v>
      </c>
      <c r="BE6" s="7532">
        <f t="shared" ref="BE6:BE16" ca="1" si="9">IFERROR(AE6/AD6-1,"")</f>
        <v>-0.181532697337351</v>
      </c>
      <c r="BF6" s="7532">
        <f t="shared" ref="BF6:BF16" ca="1" si="10">IFERROR(AF6/AE6-1,"")</f>
        <v>-6.7028560885532773E-2</v>
      </c>
      <c r="BG6" s="7532">
        <f t="shared" ref="BG6:BG16" ca="1" si="11">IFERROR(AG6/AF6-1,"")</f>
        <v>-0.12227815318164392</v>
      </c>
      <c r="BH6" s="7532">
        <f t="shared" ref="BH6:BH16" ca="1" si="12">IFERROR(AH6/AG6-1,"")</f>
        <v>-0.1393130390738716</v>
      </c>
      <c r="BI6" s="7532">
        <f t="shared" ref="BI6:BI16" ca="1" si="13">IFERROR(AI6/AH6-1,"")</f>
        <v>8.5547485200577977E-2</v>
      </c>
      <c r="BJ6" s="7532">
        <f t="shared" ref="BJ6:BJ16" ca="1" si="14">IFERROR(AJ6/AI6-1,"")</f>
        <v>-0.1742223719109165</v>
      </c>
      <c r="BK6" s="7532">
        <f t="shared" ref="BK6:BK16" ca="1" si="15">IFERROR(AK6/AJ6-1,"")</f>
        <v>5.5029351461781451E-2</v>
      </c>
      <c r="BL6" s="7532">
        <f t="shared" ref="BL6:BL16" ca="1" si="16">IFERROR(AL6/AK6-1,"")</f>
        <v>-7.1848567319735879E-2</v>
      </c>
      <c r="BM6" s="7532">
        <f t="shared" ref="BM6:BM16" ca="1" si="17">IFERROR(AM6/AL6-1,"")</f>
        <v>0.11398993296277871</v>
      </c>
      <c r="BN6" s="7532">
        <f t="shared" ref="BN6:BN16" ca="1" si="18">IFERROR(AN6/AM6-1,"")</f>
        <v>-6.8516823550877404E-2</v>
      </c>
      <c r="BO6" s="7532">
        <f t="shared" ref="BO6:BO16" ca="1" si="19">IFERROR(AO6/AN6-1,"")</f>
        <v>-9.2747247454171067E-2</v>
      </c>
      <c r="BP6" s="7532">
        <f t="shared" ref="BP6:BP16" ca="1" si="20">IFERROR(AP6/AO6-1,"")</f>
        <v>-0.3006666471999313</v>
      </c>
      <c r="BQ6" s="7532">
        <f t="shared" ref="BQ6:BQ16" ca="1" si="21">IFERROR(AQ6/AP6-1,"")</f>
        <v>0.38384051819742826</v>
      </c>
      <c r="BR6" s="7532">
        <f t="shared" ref="BR6:BR16" ca="1" si="22">IFERROR(AR6/AQ6-1,"")</f>
        <v>-0.26366116758637004</v>
      </c>
      <c r="BS6" s="7532">
        <f t="shared" ref="BS6:BS16" ca="1" si="23">IFERROR(AS6/AR6-1,"")</f>
        <v>0.19251187826012672</v>
      </c>
      <c r="BT6" s="7532">
        <f t="shared" ref="BT6:BT16" ca="1" si="24">IFERROR(AT6/AS6-1,"")</f>
        <v>0.19251183159222296</v>
      </c>
      <c r="BU6" s="7532"/>
      <c r="BV6" s="8"/>
      <c r="ER6" t="s">
        <v>38</v>
      </c>
      <c r="ES6">
        <v>128455.56649999999</v>
      </c>
      <c r="ET6">
        <v>11841.855431180247</v>
      </c>
      <c r="EU6">
        <v>17556.418953815442</v>
      </c>
      <c r="EV6">
        <v>29398.274384995682</v>
      </c>
      <c r="EW6" t="s">
        <v>38</v>
      </c>
      <c r="EX6" s="35">
        <f t="shared" ref="EX6:EX26" si="25">ES6/$ES$4</f>
        <v>0.20586025577392963</v>
      </c>
      <c r="EY6" s="35">
        <f t="shared" ref="EY6:EY26" si="26">ET6/$ET$4</f>
        <v>0.14182915298851945</v>
      </c>
      <c r="EZ6" s="35">
        <f t="shared" ref="EZ6:EZ26" si="27">EU6/$EU$4</f>
        <v>0.24884313413852613</v>
      </c>
      <c r="FA6" s="35">
        <f t="shared" ref="FA6:FA26" si="28">EV6/$EV$4</f>
        <v>0.19084093513437014</v>
      </c>
      <c r="FF6" t="s">
        <v>38</v>
      </c>
      <c r="FG6" s="35">
        <v>0.20586025577392963</v>
      </c>
      <c r="FH6" s="35">
        <v>0.14182915298851945</v>
      </c>
    </row>
    <row r="7" spans="2:164">
      <c r="B7" s="99" t="s">
        <v>17</v>
      </c>
      <c r="C7">
        <f>IF(Fact5_predicextreme!B4&gt;0,VLOOKUP(Fact5!$B7,Fact5_predicextreme!$A$1:$W$19,23,0),"")</f>
        <v>216422446</v>
      </c>
      <c r="D7">
        <f>IF(Fact5_predicextreme!C4&gt;0,VLOOKUP(Fact5!$B7,Fact5_predicextreme!$A$1:$W$19,23,0),"")</f>
        <v>216422446</v>
      </c>
      <c r="E7">
        <f>IF(Fact5_predicextreme!D4&gt;0,VLOOKUP(Fact5!$B7,Fact5_predicextreme!$A$1:$W$19,23,0),"")</f>
        <v>216422446</v>
      </c>
      <c r="F7">
        <f>IF(Fact5_predicextreme!E4&gt;0,VLOOKUP(Fact5!$B7,Fact5_predicextreme!$A$1:$W$19,23,0),"")</f>
        <v>216422446</v>
      </c>
      <c r="G7">
        <f>IF(Fact5_predicextreme!F4&gt;0,VLOOKUP(Fact5!$B7,Fact5_predicextreme!$A$1:$W$19,23,0),"")</f>
        <v>216422446</v>
      </c>
      <c r="H7">
        <f>IF(Fact5_predicextreme!G4&gt;0,VLOOKUP(Fact5!$B7,Fact5_predicextreme!$A$1:$W$19,23,0),"")</f>
        <v>216422446</v>
      </c>
      <c r="I7">
        <f>IF(Fact5_predicextreme!H4&gt;0,VLOOKUP(Fact5!$B7,Fact5_predicextreme!$A$1:$W$19,23,0),"")</f>
        <v>216422446</v>
      </c>
      <c r="J7">
        <f>IF(Fact5_predicextreme!I4&gt;0,VLOOKUP(Fact5!$B7,Fact5_predicextreme!$A$1:$W$19,23,0),"")</f>
        <v>216422446</v>
      </c>
      <c r="K7">
        <f>IF(Fact5_predicextreme!J4&gt;0,VLOOKUP(Fact5!$B7,Fact5_predicextreme!$A$1:$W$19,23,0),"")</f>
        <v>216422446</v>
      </c>
      <c r="L7">
        <f>IF(Fact5_predicextreme!K4&gt;0,VLOOKUP(Fact5!$B7,Fact5_predicextreme!$A$1:$W$19,23,0),"")</f>
        <v>216422446</v>
      </c>
      <c r="M7">
        <f>IF(Fact5_predicextreme!L4&gt;0,VLOOKUP(Fact5!$B7,Fact5_predicextreme!$A$1:$W$19,23,0),"")</f>
        <v>216422446</v>
      </c>
      <c r="N7">
        <f>IF(Fact5_predicextreme!M4&gt;0,VLOOKUP(Fact5!$B7,Fact5_predicextreme!$A$1:$W$19,23,0),"")</f>
        <v>216422446</v>
      </c>
      <c r="O7">
        <f>IF(Fact5_predicextreme!N4&gt;0,VLOOKUP(Fact5!$B7,Fact5_predicextreme!$A$1:$W$19,23,0),"")</f>
        <v>216422446</v>
      </c>
      <c r="P7">
        <f>IF(Fact5_predicextreme!O4&gt;0,VLOOKUP(Fact5!$B7,Fact5_predicextreme!$A$1:$W$19,23,0),"")</f>
        <v>216422446</v>
      </c>
      <c r="Q7">
        <f>IF(Fact5_predicextreme!P4&gt;0,VLOOKUP(Fact5!$B7,Fact5_predicextreme!$A$1:$W$19,23,0),"")</f>
        <v>216422446</v>
      </c>
      <c r="R7">
        <f>IF(Fact5_predicextreme!Q4&gt;0,VLOOKUP(Fact5!$B7,Fact5_predicextreme!$A$1:$W$19,23,0),"")</f>
        <v>216422446</v>
      </c>
      <c r="S7">
        <f>IF(Fact5_predicextreme!R4&gt;0,VLOOKUP(Fact5!$B7,Fact5_predicextreme!$A$1:$W$19,23,0),"")</f>
        <v>216422446</v>
      </c>
      <c r="T7">
        <f>IF(Fact5_predicextreme!S4&gt;0,VLOOKUP(Fact5!$B7,Fact5_predicextreme!$A$1:$W$19,23,0),"")</f>
        <v>216422446</v>
      </c>
      <c r="U7">
        <f>IF(Fact5_predicextreme!T4&gt;0,VLOOKUP(Fact5!$B7,Fact5_predicextreme!$A$1:$W$19,23,0),"")</f>
        <v>216422446</v>
      </c>
      <c r="V7">
        <f>IF(Fact5_predicextreme!U4&gt;0,VLOOKUP(Fact5!$B7,Fact5_predicextreme!$A$1:$W$19,23,0),"")</f>
        <v>216422446</v>
      </c>
      <c r="W7">
        <f>IF(Fact5_predicextreme!V4&gt;0,VLOOKUP(Fact5!$B7,Fact5_predicextreme!$A$1:$W$19,23,0),"")</f>
        <v>216422446</v>
      </c>
      <c r="X7" s="2562"/>
      <c r="Y7" s="2563" t="s">
        <v>17</v>
      </c>
      <c r="Z7" s="8">
        <f ca="1">IF(OFFSET(Fact5_predicextreme!$A$1,MATCH($Y7,Fact5_predicextreme!$A$2:$A$26,0),MATCH(Z$2,Fact5_predicextreme!$A$1:$V$1,0)-1,1,1)=0,NA(),OFFSET(Fact5_predicextreme!$A$1,MATCH($Y7,Fact5_predicextreme!$A$2:$A$26,0),MATCH(Z$2,Fact5_predicextreme!$A$1:$V$1,0)-1,1,1))</f>
        <v>30.236900329589844</v>
      </c>
      <c r="AA7" s="8">
        <f ca="1">IF(OFFSET(Fact5_predicextreme!$A$1,MATCH($Y7,Fact5_predicextreme!$A$2:$A$26,0),MATCH(AA$2,Fact5_predicextreme!$A$1:$V$1,0)-1,1,1)=0,NA(),OFFSET(Fact5_predicextreme!$A$1,MATCH($Y7,Fact5_predicextreme!$A$2:$A$26,0),MATCH(AA$2,Fact5_predicextreme!$A$1:$V$1,0)-1,1,1))</f>
        <v>28.498611450195313</v>
      </c>
      <c r="AB7" s="8">
        <f ca="1">IF(OFFSET(Fact5_predicextreme!$A$1,MATCH($Y7,Fact5_predicextreme!$A$2:$A$26,0),MATCH(AB$2,Fact5_predicextreme!$A$1:$V$1,0)-1,1,1)=0,NA(),OFFSET(Fact5_predicextreme!$A$1,MATCH($Y7,Fact5_predicextreme!$A$2:$A$26,0),MATCH(AB$2,Fact5_predicextreme!$A$1:$V$1,0)-1,1,1))</f>
        <v>26.960596084594727</v>
      </c>
      <c r="AC7" s="8">
        <f ca="1">IF(OFFSET(Fact5_predicextreme!$A$1,MATCH($Y7,Fact5_predicextreme!$A$2:$A$26,0),MATCH(AC$2,Fact5_predicextreme!$A$1:$V$1,0)-1,1,1)=0,NA(),OFFSET(Fact5_predicextreme!$A$1,MATCH($Y7,Fact5_predicextreme!$A$2:$A$26,0),MATCH(AC$2,Fact5_predicextreme!$A$1:$V$1,0)-1,1,1))</f>
        <v>24.759138107299805</v>
      </c>
      <c r="AD7" s="8">
        <f ca="1">IF(OFFSET(Fact5_predicextreme!$A$1,MATCH($Y7,Fact5_predicextreme!$A$2:$A$26,0),MATCH(AD$2,Fact5_predicextreme!$A$1:$V$1,0)-1,1,1)=0,NA(),OFFSET(Fact5_predicextreme!$A$1,MATCH($Y7,Fact5_predicextreme!$A$2:$A$26,0),MATCH(AD$2,Fact5_predicextreme!$A$1:$V$1,0)-1,1,1))</f>
        <v>22.482553482055664</v>
      </c>
      <c r="AE7" s="8">
        <f ca="1">IF(OFFSET(Fact5_predicextreme!$A$1,MATCH($Y7,Fact5_predicextreme!$A$2:$A$26,0),MATCH(AE$2,Fact5_predicextreme!$A$1:$V$1,0)-1,1,1)=0,NA(),OFFSET(Fact5_predicextreme!$A$1,MATCH($Y7,Fact5_predicextreme!$A$2:$A$26,0),MATCH(AE$2,Fact5_predicextreme!$A$1:$V$1,0)-1,1,1))</f>
        <v>19.973526000976563</v>
      </c>
      <c r="AF7" s="8">
        <f ca="1">IF(OFFSET(Fact5_predicextreme!$A$1,MATCH($Y7,Fact5_predicextreme!$A$2:$A$26,0),MATCH(AF$2,Fact5_predicextreme!$A$1:$V$1,0)-1,1,1)=0,NA(),OFFSET(Fact5_predicextreme!$A$1,MATCH($Y7,Fact5_predicextreme!$A$2:$A$26,0),MATCH(AF$2,Fact5_predicextreme!$A$1:$V$1,0)-1,1,1))</f>
        <v>19.103296279907227</v>
      </c>
      <c r="AG7" s="88">
        <f ca="1">IF(OFFSET(Fact5_predicextreme!$A$1,MATCH($Y7,Fact5_predicextreme!$A$2:$A$26,0),MATCH(AG$2,Fact5_predicextreme!$A$1:$V$1,0)-1,1,1)=0,NA(),OFFSET(Fact5_predicextreme!$A$1,MATCH($Y7,Fact5_predicextreme!$A$2:$A$26,0),MATCH(AG$2,Fact5_predicextreme!$A$1:$V$1,0)-1,1,1))</f>
        <v>17.352252960205078</v>
      </c>
      <c r="AH7" s="8">
        <f ca="1">IF(OFFSET(Fact5_predicextreme!$A$1,MATCH($Y7,Fact5_predicextreme!$A$2:$A$26,0),MATCH(AH$2,Fact5_predicextreme!$A$1:$V$1,0)-1,1,1)=0,NA(),OFFSET(Fact5_predicextreme!$A$1,MATCH($Y7,Fact5_predicextreme!$A$2:$A$26,0),MATCH(AH$2,Fact5_predicextreme!$A$1:$V$1,0)-1,1,1))</f>
        <v>15.601207733154297</v>
      </c>
      <c r="AI7" s="8">
        <f ca="1">IF(OFFSET(Fact5_predicextreme!$A$1,MATCH($Y7,Fact5_predicextreme!$A$2:$A$26,0),MATCH(AI$2,Fact5_predicextreme!$A$1:$V$1,0)-1,1,1)=0,NA(),OFFSET(Fact5_predicextreme!$A$1,MATCH($Y7,Fact5_predicextreme!$A$2:$A$26,0),MATCH(AI$2,Fact5_predicextreme!$A$1:$V$1,0)-1,1,1))</f>
        <v>13.240234375</v>
      </c>
      <c r="AJ7" s="8">
        <f ca="1">IF(OFFSET(Fact5_predicextreme!$A$1,MATCH($Y7,Fact5_predicextreme!$A$2:$A$26,0),MATCH(AJ$2,Fact5_predicextreme!$A$1:$V$1,0)-1,1,1)=0,NA(),OFFSET(Fact5_predicextreme!$A$1,MATCH($Y7,Fact5_predicextreme!$A$2:$A$26,0),MATCH(AJ$2,Fact5_predicextreme!$A$1:$V$1,0)-1,1,1))</f>
        <v>12.882226943969727</v>
      </c>
      <c r="AK7" s="8">
        <f ca="1">IF(OFFSET(Fact5_predicextreme!$A$1,MATCH($Y7,Fact5_predicextreme!$A$2:$A$26,0),MATCH(AK$2,Fact5_predicextreme!$A$1:$V$1,0)-1,1,1)=0,NA(),OFFSET(Fact5_predicextreme!$A$1,MATCH($Y7,Fact5_predicextreme!$A$2:$A$26,0),MATCH(AK$2,Fact5_predicextreme!$A$1:$V$1,0)-1,1,1))</f>
        <v>11.426709175109863</v>
      </c>
      <c r="AL7" s="8">
        <f ca="1">IF(OFFSET(Fact5_predicextreme!$A$1,MATCH($Y7,Fact5_predicextreme!$A$2:$A$26,0),MATCH(AL$2,Fact5_predicextreme!$A$1:$V$1,0)-1,1,1)=0,NA(),OFFSET(Fact5_predicextreme!$A$1,MATCH($Y7,Fact5_predicextreme!$A$2:$A$26,0),MATCH(AL$2,Fact5_predicextreme!$A$1:$V$1,0)-1,1,1))</f>
        <v>12.774162292480469</v>
      </c>
      <c r="AM7" s="8">
        <f ca="1">IF(OFFSET(Fact5_predicextreme!$A$1,MATCH($Y7,Fact5_predicextreme!$A$2:$A$26,0),MATCH(AM$2,Fact5_predicextreme!$A$1:$V$1,0)-1,1,1)=0,NA(),OFFSET(Fact5_predicextreme!$A$1,MATCH($Y7,Fact5_predicextreme!$A$2:$A$26,0),MATCH(AM$2,Fact5_predicextreme!$A$1:$V$1,0)-1,1,1))</f>
        <v>13.507540702819824</v>
      </c>
      <c r="AN7" s="8">
        <f ca="1">IF(OFFSET(Fact5_predicextreme!$A$1,MATCH($Y7,Fact5_predicextreme!$A$2:$A$26,0),MATCH(AN$2,Fact5_predicextreme!$A$1:$V$1,0)-1,1,1)=0,NA(),OFFSET(Fact5_predicextreme!$A$1,MATCH($Y7,Fact5_predicextreme!$A$2:$A$26,0),MATCH(AN$2,Fact5_predicextreme!$A$1:$V$1,0)-1,1,1))</f>
        <v>13.595446586608887</v>
      </c>
      <c r="AO7" s="8">
        <f ca="1">IF(OFFSET(Fact5_predicextreme!$A$1,MATCH($Y7,Fact5_predicextreme!$A$2:$A$26,0),MATCH(AO$2,Fact5_predicextreme!$A$1:$V$1,0)-1,1,1)=0,NA(),OFFSET(Fact5_predicextreme!$A$1,MATCH($Y7,Fact5_predicextreme!$A$2:$A$26,0),MATCH(AO$2,Fact5_predicextreme!$A$1:$V$1,0)-1,1,1))</f>
        <v>14.036323547363281</v>
      </c>
      <c r="AP7" s="8">
        <f ca="1">IF(OFFSET(Fact5_predicextreme!$A$1,MATCH($Y7,Fact5_predicextreme!$A$2:$A$26,0),MATCH(AP$2,Fact5_predicextreme!$A$1:$V$1,0)-1,1,1)=0,NA(),OFFSET(Fact5_predicextreme!$A$1,MATCH($Y7,Fact5_predicextreme!$A$2:$A$26,0),MATCH(AP$2,Fact5_predicextreme!$A$1:$V$1,0)-1,1,1))</f>
        <v>13.071751594543457</v>
      </c>
      <c r="AQ7" s="8">
        <f ca="1">IF(OFFSET(Fact5_predicextreme!$A$1,MATCH($Y7,Fact5_predicextreme!$A$2:$A$26,0),MATCH(AQ$2,Fact5_predicextreme!$A$1:$V$1,0)-1,1,1)=0,NA(),OFFSET(Fact5_predicextreme!$A$1,MATCH($Y7,Fact5_predicextreme!$A$2:$A$26,0),MATCH(AQ$2,Fact5_predicextreme!$A$1:$V$1,0)-1,1,1))</f>
        <v>10.93248176574707</v>
      </c>
      <c r="AR7" s="8">
        <f ca="1">IF(OFFSET(Fact5_predicextreme!$A$1,MATCH($Y7,Fact5_predicextreme!$A$2:$A$26,0),MATCH(AR$2,Fact5_predicextreme!$A$1:$V$1,0)-1,1,1)=0,NA(),OFFSET(Fact5_predicextreme!$A$1,MATCH($Y7,Fact5_predicextreme!$A$2:$A$26,0),MATCH(AR$2,Fact5_predicextreme!$A$1:$V$1,0)-1,1,1))</f>
        <v>15.934523582458496</v>
      </c>
      <c r="AS7" s="8">
        <f ca="1">IF(OFFSET(Fact5_predicextreme!$A$1,MATCH($Y7,Fact5_predicextreme!$A$2:$A$26,0),MATCH(AS$2,Fact5_predicextreme!$A$1:$V$1,0)-1,1,1)=0,NA(),OFFSET(Fact5_predicextreme!$A$1,MATCH($Y7,Fact5_predicextreme!$A$2:$A$26,0),MATCH(AS$2,Fact5_predicextreme!$A$1:$V$1,0)-1,1,1))</f>
        <v>10.865315437316895</v>
      </c>
      <c r="AT7" s="88">
        <f ca="1">IF(OFFSET(Fact5_predicextreme!$A$1,MATCH($Y7,Fact5_predicextreme!$A$2:$A$26,0),MATCH(AT$2,Fact5_predicextreme!$A$1:$V$1,0)-1,1,1)=0,NA(),OFFSET(Fact5_predicextreme!$A$1,MATCH($Y7,Fact5_predicextreme!$A$2:$A$26,0),MATCH(AT$2,Fact5_predicextreme!$A$1:$V$1,0)-1,1,1))</f>
        <v>7.4087610244750977</v>
      </c>
      <c r="AU7" s="2563" t="s">
        <v>17</v>
      </c>
      <c r="AV7" s="7547"/>
      <c r="AW7" s="7531">
        <f t="shared" ca="1" si="1"/>
        <v>-0.75497617336043932</v>
      </c>
      <c r="AX7" s="7532">
        <f t="shared" ca="1" si="3"/>
        <v>-0.16365594261211192</v>
      </c>
      <c r="AY7" s="7532">
        <f t="shared" ca="1" si="4"/>
        <v>0.2190044667854647</v>
      </c>
      <c r="AZ7" s="7532"/>
      <c r="BA7" s="7532">
        <f t="shared" ca="1" si="5"/>
        <v>-5.7488990618970282E-2</v>
      </c>
      <c r="BB7" s="7532">
        <f t="shared" ca="1" si="6"/>
        <v>-5.3968080805917529E-2</v>
      </c>
      <c r="BC7" s="7532">
        <f t="shared" ca="1" si="7"/>
        <v>-8.1654647782540501E-2</v>
      </c>
      <c r="BD7" s="7532">
        <f t="shared" ca="1" si="8"/>
        <v>-9.1949267998667872E-2</v>
      </c>
      <c r="BE7" s="7532">
        <f t="shared" ca="1" si="9"/>
        <v>-0.11159886634236937</v>
      </c>
      <c r="BF7" s="7532">
        <f t="shared" ca="1" si="10"/>
        <v>-4.3569158546507447E-2</v>
      </c>
      <c r="BG7" s="7532">
        <f t="shared" ca="1" si="11"/>
        <v>-9.1661841707595171E-2</v>
      </c>
      <c r="BH7" s="7532">
        <f t="shared" ca="1" si="12"/>
        <v>-0.10091169320010229</v>
      </c>
      <c r="BI7" s="7532">
        <f t="shared" ca="1" si="13"/>
        <v>-0.15133273003839098</v>
      </c>
      <c r="BJ7" s="7532">
        <f t="shared" ca="1" si="14"/>
        <v>-2.7039357528765295E-2</v>
      </c>
      <c r="BK7" s="7532">
        <f t="shared" ca="1" si="15"/>
        <v>-0.11298650265909205</v>
      </c>
      <c r="BL7" s="7532">
        <f t="shared" ca="1" si="16"/>
        <v>0.11792136272319631</v>
      </c>
      <c r="BM7" s="7532">
        <f t="shared" ca="1" si="17"/>
        <v>5.7411076636395997E-2</v>
      </c>
      <c r="BN7" s="7532">
        <f t="shared" ca="1" si="18"/>
        <v>6.5079118192634677E-3</v>
      </c>
      <c r="BO7" s="7532">
        <f t="shared" ca="1" si="19"/>
        <v>3.2428280891386496E-2</v>
      </c>
      <c r="BP7" s="7532">
        <f t="shared" ca="1" si="20"/>
        <v>-6.8719700679813589E-2</v>
      </c>
      <c r="BQ7" s="7532">
        <f t="shared" ca="1" si="21"/>
        <v>-0.16365594261211192</v>
      </c>
      <c r="BR7" s="7532">
        <f t="shared" ca="1" si="22"/>
        <v>0.45753946120298994</v>
      </c>
      <c r="BS7" s="7532">
        <f t="shared" ca="1" si="23"/>
        <v>-0.31812737412005432</v>
      </c>
      <c r="BT7" s="7532">
        <f t="shared" ca="1" si="24"/>
        <v>-0.31812738735317991</v>
      </c>
      <c r="BU7" s="7532"/>
      <c r="BV7" s="8"/>
      <c r="ER7" t="s">
        <v>23</v>
      </c>
      <c r="ES7">
        <v>52085.16750000001</v>
      </c>
      <c r="ET7">
        <v>7985.2556825103566</v>
      </c>
      <c r="EU7">
        <v>6506.1585431366475</v>
      </c>
      <c r="EV7">
        <v>14491.414722369864</v>
      </c>
      <c r="EW7" t="s">
        <v>23</v>
      </c>
      <c r="EX7" s="35">
        <f t="shared" si="25"/>
        <v>8.347062097599306E-2</v>
      </c>
      <c r="EY7" s="35">
        <f t="shared" si="26"/>
        <v>9.5638901895826314E-2</v>
      </c>
      <c r="EZ7" s="35">
        <f t="shared" si="27"/>
        <v>9.2217717481868314E-2</v>
      </c>
      <c r="FA7" s="35">
        <f t="shared" si="28"/>
        <v>9.4072022759557963E-2</v>
      </c>
      <c r="FF7" t="s">
        <v>23</v>
      </c>
      <c r="FG7" s="35">
        <v>8.347062097599306E-2</v>
      </c>
      <c r="FH7" s="35">
        <v>9.5638901895826314E-2</v>
      </c>
    </row>
    <row r="8" spans="2:164">
      <c r="B8" s="99" t="s">
        <v>21</v>
      </c>
      <c r="C8">
        <f>IF(Fact5_predicextreme!B5&gt;0,VLOOKUP(Fact5!$B8,Fact5_predicextreme!$A$1:$W$19,23,0),"")</f>
        <v>19629590</v>
      </c>
      <c r="D8">
        <f>IF(Fact5_predicextreme!C5&gt;0,VLOOKUP(Fact5!$B8,Fact5_predicextreme!$A$1:$W$19,23,0),"")</f>
        <v>19629590</v>
      </c>
      <c r="E8">
        <f>IF(Fact5_predicextreme!D5&gt;0,VLOOKUP(Fact5!$B8,Fact5_predicextreme!$A$1:$W$19,23,0),"")</f>
        <v>19629590</v>
      </c>
      <c r="F8">
        <f>IF(Fact5_predicextreme!E5&gt;0,VLOOKUP(Fact5!$B8,Fact5_predicextreme!$A$1:$W$19,23,0),"")</f>
        <v>19629590</v>
      </c>
      <c r="G8">
        <f>IF(Fact5_predicextreme!F5&gt;0,VLOOKUP(Fact5!$B8,Fact5_predicextreme!$A$1:$W$19,23,0),"")</f>
        <v>19629590</v>
      </c>
      <c r="H8">
        <f>IF(Fact5_predicextreme!G5&gt;0,VLOOKUP(Fact5!$B8,Fact5_predicextreme!$A$1:$W$19,23,0),"")</f>
        <v>19629590</v>
      </c>
      <c r="I8">
        <f>IF(Fact5_predicextreme!H5&gt;0,VLOOKUP(Fact5!$B8,Fact5_predicextreme!$A$1:$W$19,23,0),"")</f>
        <v>19629590</v>
      </c>
      <c r="J8">
        <f>IF(Fact5_predicextreme!I5&gt;0,VLOOKUP(Fact5!$B8,Fact5_predicextreme!$A$1:$W$19,23,0),"")</f>
        <v>19629590</v>
      </c>
      <c r="K8">
        <f>IF(Fact5_predicextreme!J5&gt;0,VLOOKUP(Fact5!$B8,Fact5_predicextreme!$A$1:$W$19,23,0),"")</f>
        <v>19629590</v>
      </c>
      <c r="L8">
        <f>IF(Fact5_predicextreme!K5&gt;0,VLOOKUP(Fact5!$B8,Fact5_predicextreme!$A$1:$W$19,23,0),"")</f>
        <v>19629590</v>
      </c>
      <c r="M8">
        <f>IF(Fact5_predicextreme!L5&gt;0,VLOOKUP(Fact5!$B8,Fact5_predicextreme!$A$1:$W$19,23,0),"")</f>
        <v>19629590</v>
      </c>
      <c r="N8">
        <f>IF(Fact5_predicextreme!M5&gt;0,VLOOKUP(Fact5!$B8,Fact5_predicextreme!$A$1:$W$19,23,0),"")</f>
        <v>19629590</v>
      </c>
      <c r="O8">
        <f>IF(Fact5_predicextreme!N5&gt;0,VLOOKUP(Fact5!$B8,Fact5_predicextreme!$A$1:$W$19,23,0),"")</f>
        <v>19629590</v>
      </c>
      <c r="P8">
        <f>IF(Fact5_predicextreme!O5&gt;0,VLOOKUP(Fact5!$B8,Fact5_predicextreme!$A$1:$W$19,23,0),"")</f>
        <v>19629590</v>
      </c>
      <c r="Q8">
        <f>IF(Fact5_predicextreme!P5&gt;0,VLOOKUP(Fact5!$B8,Fact5_predicextreme!$A$1:$W$19,23,0),"")</f>
        <v>19629590</v>
      </c>
      <c r="R8">
        <f>IF(Fact5_predicextreme!Q5&gt;0,VLOOKUP(Fact5!$B8,Fact5_predicextreme!$A$1:$W$19,23,0),"")</f>
        <v>19629590</v>
      </c>
      <c r="S8">
        <f>IF(Fact5_predicextreme!R5&gt;0,VLOOKUP(Fact5!$B8,Fact5_predicextreme!$A$1:$W$19,23,0),"")</f>
        <v>19629590</v>
      </c>
      <c r="T8">
        <f>IF(Fact5_predicextreme!S5&gt;0,VLOOKUP(Fact5!$B8,Fact5_predicextreme!$A$1:$W$19,23,0),"")</f>
        <v>19629590</v>
      </c>
      <c r="U8">
        <f>IF(Fact5_predicextreme!T5&gt;0,VLOOKUP(Fact5!$B8,Fact5_predicextreme!$A$1:$W$19,23,0),"")</f>
        <v>19629590</v>
      </c>
      <c r="V8">
        <f>IF(Fact5_predicextreme!U5&gt;0,VLOOKUP(Fact5!$B8,Fact5_predicextreme!$A$1:$W$19,23,0),"")</f>
        <v>19629590</v>
      </c>
      <c r="W8">
        <f>IF(Fact5_predicextreme!V5&gt;0,VLOOKUP(Fact5!$B8,Fact5_predicextreme!$A$1:$W$19,23,0),"")</f>
        <v>19629590</v>
      </c>
      <c r="X8" s="2562"/>
      <c r="Y8" s="2563" t="s">
        <v>21</v>
      </c>
      <c r="Z8" s="8">
        <f ca="1">IF(OFFSET(Fact5_predicextreme!$A$1,MATCH($Y8,Fact5_predicextreme!$A$2:$A$26,0),MATCH(Z$2,Fact5_predicextreme!$A$1:$V$1,0)-1,1,1)=0,NA(),OFFSET(Fact5_predicextreme!$A$1,MATCH($Y8,Fact5_predicextreme!$A$2:$A$26,0),MATCH(Z$2,Fact5_predicextreme!$A$1:$V$1,0)-1,1,1))</f>
        <v>14.444070816040039</v>
      </c>
      <c r="AA8" s="88">
        <f ca="1">IF(OFFSET(Fact5_predicextreme!$A$1,MATCH($Y8,Fact5_predicextreme!$A$2:$A$26,0),MATCH(AA$2,Fact5_predicextreme!$A$1:$V$1,0)-1,1,1)=0,NA(),OFFSET(Fact5_predicextreme!$A$1,MATCH($Y8,Fact5_predicextreme!$A$2:$A$26,0),MATCH(AA$2,Fact5_predicextreme!$A$1:$V$1,0)-1,1,1))</f>
        <v>12.610490798950195</v>
      </c>
      <c r="AB8" s="88">
        <f ca="1">IF(OFFSET(Fact5_predicextreme!$A$1,MATCH($Y8,Fact5_predicextreme!$A$2:$A$26,0),MATCH(AB$2,Fact5_predicextreme!$A$1:$V$1,0)-1,1,1)=0,NA(),OFFSET(Fact5_predicextreme!$A$1,MATCH($Y8,Fact5_predicextreme!$A$2:$A$26,0),MATCH(AB$2,Fact5_predicextreme!$A$1:$V$1,0)-1,1,1))</f>
        <v>11.009672164916992</v>
      </c>
      <c r="AC8" s="8">
        <f ca="1">IF(OFFSET(Fact5_predicextreme!$A$1,MATCH($Y8,Fact5_predicextreme!$A$2:$A$26,0),MATCH(AC$2,Fact5_predicextreme!$A$1:$V$1,0)-1,1,1)=0,NA(),OFFSET(Fact5_predicextreme!$A$1,MATCH($Y8,Fact5_predicextreme!$A$2:$A$26,0),MATCH(AC$2,Fact5_predicextreme!$A$1:$V$1,0)-1,1,1))</f>
        <v>9.6120662689208984</v>
      </c>
      <c r="AD8" s="88">
        <f ca="1">IF(OFFSET(Fact5_predicextreme!$A$1,MATCH($Y8,Fact5_predicextreme!$A$2:$A$26,0),MATCH(AD$2,Fact5_predicextreme!$A$1:$V$1,0)-1,1,1)=0,NA(),OFFSET(Fact5_predicextreme!$A$1,MATCH($Y8,Fact5_predicextreme!$A$2:$A$26,0),MATCH(AD$2,Fact5_predicextreme!$A$1:$V$1,0)-1,1,1))</f>
        <v>8.7864065170288086</v>
      </c>
      <c r="AE8" s="88">
        <f ca="1">IF(OFFSET(Fact5_predicextreme!$A$1,MATCH($Y8,Fact5_predicextreme!$A$2:$A$26,0),MATCH(AE$2,Fact5_predicextreme!$A$1:$V$1,0)-1,1,1)=0,NA(),OFFSET(Fact5_predicextreme!$A$1,MATCH($Y8,Fact5_predicextreme!$A$2:$A$26,0),MATCH(AE$2,Fact5_predicextreme!$A$1:$V$1,0)-1,1,1))</f>
        <v>8.0316696166992188</v>
      </c>
      <c r="AF8" s="8">
        <f ca="1">IF(OFFSET(Fact5_predicextreme!$A$1,MATCH($Y8,Fact5_predicextreme!$A$2:$A$26,0),MATCH(AF$2,Fact5_predicextreme!$A$1:$V$1,0)-1,1,1)=0,NA(),OFFSET(Fact5_predicextreme!$A$1,MATCH($Y8,Fact5_predicextreme!$A$2:$A$26,0),MATCH(AF$2,Fact5_predicextreme!$A$1:$V$1,0)-1,1,1))</f>
        <v>7.3417620658874512</v>
      </c>
      <c r="AG8" s="88">
        <f ca="1">IF(OFFSET(Fact5_predicextreme!$A$1,MATCH($Y8,Fact5_predicextreme!$A$2:$A$26,0),MATCH(AG$2,Fact5_predicextreme!$A$1:$V$1,0)-1,1,1)=0,NA(),OFFSET(Fact5_predicextreme!$A$1,MATCH($Y8,Fact5_predicextreme!$A$2:$A$26,0),MATCH(AG$2,Fact5_predicextreme!$A$1:$V$1,0)-1,1,1))</f>
        <v>6.9364314079284668</v>
      </c>
      <c r="AH8" s="8">
        <f ca="1">IF(OFFSET(Fact5_predicextreme!$A$1,MATCH($Y8,Fact5_predicextreme!$A$2:$A$26,0),MATCH(AH$2,Fact5_predicextreme!$A$1:$V$1,0)-1,1,1)=0,NA(),OFFSET(Fact5_predicextreme!$A$1,MATCH($Y8,Fact5_predicextreme!$A$2:$A$26,0),MATCH(AH$2,Fact5_predicextreme!$A$1:$V$1,0)-1,1,1))</f>
        <v>6.5311007499694824</v>
      </c>
      <c r="AI8" s="88">
        <f ca="1">IF(OFFSET(Fact5_predicextreme!$A$1,MATCH($Y8,Fact5_predicextreme!$A$2:$A$26,0),MATCH(AI$2,Fact5_predicextreme!$A$1:$V$1,0)-1,1,1)=0,NA(),OFFSET(Fact5_predicextreme!$A$1,MATCH($Y8,Fact5_predicextreme!$A$2:$A$26,0),MATCH(AI$2,Fact5_predicextreme!$A$1:$V$1,0)-1,1,1))</f>
        <v>5.5308938026428223</v>
      </c>
      <c r="AJ8" s="8">
        <f ca="1">IF(OFFSET(Fact5_predicextreme!$A$1,MATCH($Y8,Fact5_predicextreme!$A$2:$A$26,0),MATCH(AJ$2,Fact5_predicextreme!$A$1:$V$1,0)-1,1,1)=0,NA(),OFFSET(Fact5_predicextreme!$A$1,MATCH($Y8,Fact5_predicextreme!$A$2:$A$26,0),MATCH(AJ$2,Fact5_predicextreme!$A$1:$V$1,0)-1,1,1))</f>
        <v>4.5306868553161621</v>
      </c>
      <c r="AK8" s="88">
        <f ca="1">IF(OFFSET(Fact5_predicextreme!$A$1,MATCH($Y8,Fact5_predicextreme!$A$2:$A$26,0),MATCH(AK$2,Fact5_predicextreme!$A$1:$V$1,0)-1,1,1)=0,NA(),OFFSET(Fact5_predicextreme!$A$1,MATCH($Y8,Fact5_predicextreme!$A$2:$A$26,0),MATCH(AK$2,Fact5_predicextreme!$A$1:$V$1,0)-1,1,1))</f>
        <v>4.3979816436767578</v>
      </c>
      <c r="AL8" s="8">
        <f ca="1">IF(OFFSET(Fact5_predicextreme!$A$1,MATCH($Y8,Fact5_predicextreme!$A$2:$A$26,0),MATCH(AL$2,Fact5_predicextreme!$A$1:$V$1,0)-1,1,1)=0,NA(),OFFSET(Fact5_predicextreme!$A$1,MATCH($Y8,Fact5_predicextreme!$A$2:$A$26,0),MATCH(AL$2,Fact5_predicextreme!$A$1:$V$1,0)-1,1,1))</f>
        <v>4.2652759552001953</v>
      </c>
      <c r="AM8" s="88">
        <f ca="1">IF(OFFSET(Fact5_predicextreme!$A$1,MATCH($Y8,Fact5_predicextreme!$A$2:$A$26,0),MATCH(AM$2,Fact5_predicextreme!$A$1:$V$1,0)-1,1,1)=0,NA(),OFFSET(Fact5_predicextreme!$A$1,MATCH($Y8,Fact5_predicextreme!$A$2:$A$26,0),MATCH(AM$2,Fact5_predicextreme!$A$1:$V$1,0)-1,1,1))</f>
        <v>3.9760651588439941</v>
      </c>
      <c r="AN8" s="8">
        <f ca="1">IF(OFFSET(Fact5_predicextreme!$A$1,MATCH($Y8,Fact5_predicextreme!$A$2:$A$26,0),MATCH(AN$2,Fact5_predicextreme!$A$1:$V$1,0)-1,1,1)=0,NA(),OFFSET(Fact5_predicextreme!$A$1,MATCH($Y8,Fact5_predicextreme!$A$2:$A$26,0),MATCH(AN$2,Fact5_predicextreme!$A$1:$V$1,0)-1,1,1))</f>
        <v>3.686854362487793</v>
      </c>
      <c r="AO8" s="88">
        <f ca="1">IF(OFFSET(Fact5_predicextreme!$A$1,MATCH($Y8,Fact5_predicextreme!$A$2:$A$26,0),MATCH(AO$2,Fact5_predicextreme!$A$1:$V$1,0)-1,1,1)=0,NA(),OFFSET(Fact5_predicextreme!$A$1,MATCH($Y8,Fact5_predicextreme!$A$2:$A$26,0),MATCH(AO$2,Fact5_predicextreme!$A$1:$V$1,0)-1,1,1))</f>
        <v>4.6684908866882324</v>
      </c>
      <c r="AP8" s="88">
        <f ca="1">IF(OFFSET(Fact5_predicextreme!$A$1,MATCH($Y8,Fact5_predicextreme!$A$2:$A$26,0),MATCH(AP$2,Fact5_predicextreme!$A$1:$V$1,0)-1,1,1)=0,NA(),OFFSET(Fact5_predicextreme!$A$1,MATCH($Y8,Fact5_predicextreme!$A$2:$A$26,0),MATCH(AP$2,Fact5_predicextreme!$A$1:$V$1,0)-1,1,1))</f>
        <v>5.9114909172058105</v>
      </c>
      <c r="AQ8" s="8">
        <f ca="1">IF(OFFSET(Fact5_predicextreme!$A$1,MATCH($Y8,Fact5_predicextreme!$A$2:$A$26,0),MATCH(AQ$2,Fact5_predicextreme!$A$1:$V$1,0)-1,1,1)=0,NA(),OFFSET(Fact5_predicextreme!$A$1,MATCH($Y8,Fact5_predicextreme!$A$2:$A$26,0),MATCH(AQ$2,Fact5_predicextreme!$A$1:$V$1,0)-1,1,1))</f>
        <v>7.485443115234375</v>
      </c>
      <c r="AR8" s="88">
        <f ca="1">IF(OFFSET(Fact5_predicextreme!$A$1,MATCH($Y8,Fact5_predicextreme!$A$2:$A$26,0),MATCH(AR$2,Fact5_predicextreme!$A$1:$V$1,0)-1,1,1)=0,NA(),OFFSET(Fact5_predicextreme!$A$1,MATCH($Y8,Fact5_predicextreme!$A$2:$A$26,0),MATCH(AR$2,Fact5_predicextreme!$A$1:$V$1,0)-1,1,1))</f>
        <v>5.3512134552001953</v>
      </c>
      <c r="AS8" s="8">
        <f ca="1">IF(OFFSET(Fact5_predicextreme!$A$1,MATCH($Y8,Fact5_predicextreme!$A$2:$A$26,0),MATCH(AS$2,Fact5_predicextreme!$A$1:$V$1,0)-1,1,1)=0,NA(),OFFSET(Fact5_predicextreme!$A$1,MATCH($Y8,Fact5_predicextreme!$A$2:$A$26,0),MATCH(AS$2,Fact5_predicextreme!$A$1:$V$1,0)-1,1,1))</f>
        <v>3.2169833183288574</v>
      </c>
      <c r="AT8" s="88">
        <f ca="1">IF(OFFSET(Fact5_predicextreme!$A$1,MATCH($Y8,Fact5_predicextreme!$A$2:$A$26,0),MATCH(AT$2,Fact5_predicextreme!$A$1:$V$1,0)-1,1,1)=0,NA(),OFFSET(Fact5_predicextreme!$A$1,MATCH($Y8,Fact5_predicextreme!$A$2:$A$26,0),MATCH(AT$2,Fact5_predicextreme!$A$1:$V$1,0)-1,1,1))</f>
        <v>1.9339504241943359</v>
      </c>
      <c r="AU8" s="2563" t="s">
        <v>21</v>
      </c>
      <c r="AV8" s="7547"/>
      <c r="AW8" s="7531">
        <f t="shared" ca="1" si="1"/>
        <v>-0.86610766114171234</v>
      </c>
      <c r="AX8" s="7532">
        <f t="shared" ca="1" si="3"/>
        <v>0.26625300115872053</v>
      </c>
      <c r="AY8" s="7532">
        <f t="shared" ca="1" si="4"/>
        <v>-9.4777691423814647E-2</v>
      </c>
      <c r="AZ8" s="7532"/>
      <c r="BA8" s="7532">
        <f t="shared" ca="1" si="5"/>
        <v>-0.12694343862214152</v>
      </c>
      <c r="BB8" s="7532">
        <f t="shared" ca="1" si="6"/>
        <v>-0.12694340446816466</v>
      </c>
      <c r="BC8" s="7532">
        <f t="shared" ca="1" si="7"/>
        <v>-0.12694346162728187</v>
      </c>
      <c r="BD8" s="7532">
        <f t="shared" ca="1" si="8"/>
        <v>-8.589825837569709E-2</v>
      </c>
      <c r="BE8" s="7532">
        <f t="shared" ca="1" si="9"/>
        <v>-8.5898245075144763E-2</v>
      </c>
      <c r="BF8" s="7532">
        <f t="shared" ca="1" si="10"/>
        <v>-8.5898397685249872E-2</v>
      </c>
      <c r="BG8" s="7532">
        <f t="shared" ca="1" si="11"/>
        <v>-5.5208906842990846E-2</v>
      </c>
      <c r="BH8" s="7532">
        <f t="shared" ca="1" si="12"/>
        <v>-5.8435041611697325E-2</v>
      </c>
      <c r="BI8" s="7532">
        <f t="shared" ca="1" si="13"/>
        <v>-0.15314523318773388</v>
      </c>
      <c r="BJ8" s="7532">
        <f t="shared" ca="1" si="14"/>
        <v>-0.18084002026014889</v>
      </c>
      <c r="BK8" s="7532">
        <f t="shared" ca="1" si="15"/>
        <v>-2.9290307601747445E-2</v>
      </c>
      <c r="BL8" s="7532">
        <f t="shared" ca="1" si="16"/>
        <v>-3.0174225185173653E-2</v>
      </c>
      <c r="BM8" s="7532">
        <f t="shared" ca="1" si="17"/>
        <v>-6.7805881587473249E-2</v>
      </c>
      <c r="BN8" s="7532">
        <f t="shared" ca="1" si="18"/>
        <v>-7.2737941860159694E-2</v>
      </c>
      <c r="BO8" s="7532">
        <f t="shared" ca="1" si="19"/>
        <v>0.26625313280290697</v>
      </c>
      <c r="BP8" s="7532">
        <f t="shared" ca="1" si="20"/>
        <v>0.26625306992927356</v>
      </c>
      <c r="BQ8" s="7532">
        <f t="shared" ca="1" si="21"/>
        <v>0.26625300115872053</v>
      </c>
      <c r="BR8" s="7532">
        <f t="shared" ca="1" si="22"/>
        <v>-0.28511734404748801</v>
      </c>
      <c r="BS8" s="7532">
        <f t="shared" ca="1" si="23"/>
        <v>-0.39883106042001337</v>
      </c>
      <c r="BT8" s="7532">
        <f t="shared" ca="1" si="24"/>
        <v>-0.39883106848095973</v>
      </c>
      <c r="BU8" s="7532"/>
      <c r="BV8" s="8"/>
      <c r="ER8" t="s">
        <v>44</v>
      </c>
      <c r="ES8">
        <v>34352.718499999981</v>
      </c>
      <c r="ET8">
        <v>3014.1914477915461</v>
      </c>
      <c r="EU8">
        <v>4774.6673660961233</v>
      </c>
      <c r="EV8">
        <v>7788.8588138876694</v>
      </c>
      <c r="EW8" t="s">
        <v>44</v>
      </c>
      <c r="EX8" s="35">
        <f t="shared" si="25"/>
        <v>5.5052961966734246E-2</v>
      </c>
      <c r="EY8" s="35">
        <f t="shared" si="26"/>
        <v>3.610078019191848E-2</v>
      </c>
      <c r="EZ8" s="35">
        <f t="shared" si="27"/>
        <v>6.7675714220187713E-2</v>
      </c>
      <c r="FA8" s="35">
        <f t="shared" si="28"/>
        <v>5.0561916669182153E-2</v>
      </c>
      <c r="FF8" t="s">
        <v>44</v>
      </c>
      <c r="FG8" s="35">
        <v>5.5052961966734246E-2</v>
      </c>
      <c r="FH8" s="35">
        <v>3.610078019191848E-2</v>
      </c>
    </row>
    <row r="9" spans="2:164">
      <c r="B9" s="99" t="s">
        <v>23</v>
      </c>
      <c r="C9">
        <f>IF(Fact5_predicextreme!B6&gt;0,VLOOKUP(Fact5!$B9,Fact5_predicextreme!$A$1:$W$19,23,0),"")</f>
        <v>52085168</v>
      </c>
      <c r="D9">
        <f>IF(Fact5_predicextreme!C6&gt;0,VLOOKUP(Fact5!$B9,Fact5_predicextreme!$A$1:$W$19,23,0),"")</f>
        <v>52085168</v>
      </c>
      <c r="E9">
        <f>IF(Fact5_predicextreme!D6&gt;0,VLOOKUP(Fact5!$B9,Fact5_predicextreme!$A$1:$W$19,23,0),"")</f>
        <v>52085168</v>
      </c>
      <c r="F9">
        <f>IF(Fact5_predicextreme!E6&gt;0,VLOOKUP(Fact5!$B9,Fact5_predicextreme!$A$1:$W$19,23,0),"")</f>
        <v>52085168</v>
      </c>
      <c r="G9">
        <f>IF(Fact5_predicextreme!F6&gt;0,VLOOKUP(Fact5!$B9,Fact5_predicextreme!$A$1:$W$19,23,0),"")</f>
        <v>52085168</v>
      </c>
      <c r="H9">
        <f>IF(Fact5_predicextreme!G6&gt;0,VLOOKUP(Fact5!$B9,Fact5_predicextreme!$A$1:$W$19,23,0),"")</f>
        <v>52085168</v>
      </c>
      <c r="I9">
        <f>IF(Fact5_predicextreme!H6&gt;0,VLOOKUP(Fact5!$B9,Fact5_predicextreme!$A$1:$W$19,23,0),"")</f>
        <v>52085168</v>
      </c>
      <c r="J9">
        <f>IF(Fact5_predicextreme!I6&gt;0,VLOOKUP(Fact5!$B9,Fact5_predicextreme!$A$1:$W$19,23,0),"")</f>
        <v>52085168</v>
      </c>
      <c r="K9">
        <f>IF(Fact5_predicextreme!J6&gt;0,VLOOKUP(Fact5!$B9,Fact5_predicextreme!$A$1:$W$19,23,0),"")</f>
        <v>52085168</v>
      </c>
      <c r="L9">
        <f>IF(Fact5_predicextreme!K6&gt;0,VLOOKUP(Fact5!$B9,Fact5_predicextreme!$A$1:$W$19,23,0),"")</f>
        <v>52085168</v>
      </c>
      <c r="M9">
        <f>IF(Fact5_predicextreme!L6&gt;0,VLOOKUP(Fact5!$B9,Fact5_predicextreme!$A$1:$W$19,23,0),"")</f>
        <v>52085168</v>
      </c>
      <c r="N9">
        <f>IF(Fact5_predicextreme!M6&gt;0,VLOOKUP(Fact5!$B9,Fact5_predicextreme!$A$1:$W$19,23,0),"")</f>
        <v>52085168</v>
      </c>
      <c r="O9">
        <f>IF(Fact5_predicextreme!N6&gt;0,VLOOKUP(Fact5!$B9,Fact5_predicextreme!$A$1:$W$19,23,0),"")</f>
        <v>52085168</v>
      </c>
      <c r="P9">
        <f>IF(Fact5_predicextreme!O6&gt;0,VLOOKUP(Fact5!$B9,Fact5_predicextreme!$A$1:$W$19,23,0),"")</f>
        <v>52085168</v>
      </c>
      <c r="Q9">
        <f>IF(Fact5_predicextreme!P6&gt;0,VLOOKUP(Fact5!$B9,Fact5_predicextreme!$A$1:$W$19,23,0),"")</f>
        <v>52085168</v>
      </c>
      <c r="R9">
        <f>IF(Fact5_predicextreme!Q6&gt;0,VLOOKUP(Fact5!$B9,Fact5_predicextreme!$A$1:$W$19,23,0),"")</f>
        <v>52085168</v>
      </c>
      <c r="S9">
        <f>IF(Fact5_predicextreme!R6&gt;0,VLOOKUP(Fact5!$B9,Fact5_predicextreme!$A$1:$W$19,23,0),"")</f>
        <v>52085168</v>
      </c>
      <c r="T9">
        <f>IF(Fact5_predicextreme!S6&gt;0,VLOOKUP(Fact5!$B9,Fact5_predicextreme!$A$1:$W$19,23,0),"")</f>
        <v>52085168</v>
      </c>
      <c r="U9">
        <f>IF(Fact5_predicextreme!T6&gt;0,VLOOKUP(Fact5!$B9,Fact5_predicextreme!$A$1:$W$19,23,0),"")</f>
        <v>52085168</v>
      </c>
      <c r="V9">
        <f>IF(Fact5_predicextreme!U6&gt;0,VLOOKUP(Fact5!$B9,Fact5_predicextreme!$A$1:$W$19,23,0),"")</f>
        <v>52085168</v>
      </c>
      <c r="W9">
        <f>IF(Fact5_predicextreme!V6&gt;0,VLOOKUP(Fact5!$B9,Fact5_predicextreme!$A$1:$W$19,23,0),"")</f>
        <v>52085168</v>
      </c>
      <c r="X9" s="2562"/>
      <c r="Y9" s="2563" t="s">
        <v>23</v>
      </c>
      <c r="Z9" s="8">
        <f ca="1">IF(OFFSET(Fact5_predicextreme!$A$1,MATCH($Y9,Fact5_predicextreme!$A$2:$A$26,0),MATCH(Z$2,Fact5_predicextreme!$A$1:$V$1,0)-1,1,1)=0,NA(),OFFSET(Fact5_predicextreme!$A$1,MATCH($Y9,Fact5_predicextreme!$A$2:$A$26,0),MATCH(Z$2,Fact5_predicextreme!$A$1:$V$1,0)-1,1,1))</f>
        <v>38.569931030273438</v>
      </c>
      <c r="AA9" s="8">
        <f ca="1">IF(OFFSET(Fact5_predicextreme!$A$1,MATCH($Y9,Fact5_predicextreme!$A$2:$A$26,0),MATCH(AA$2,Fact5_predicextreme!$A$1:$V$1,0)-1,1,1)=0,NA(),OFFSET(Fact5_predicextreme!$A$1,MATCH($Y9,Fact5_predicextreme!$A$2:$A$26,0),MATCH(AA$2,Fact5_predicextreme!$A$1:$V$1,0)-1,1,1))</f>
        <v>39.924068450927734</v>
      </c>
      <c r="AB9" s="8">
        <f ca="1">IF(OFFSET(Fact5_predicextreme!$A$1,MATCH($Y9,Fact5_predicextreme!$A$2:$A$26,0),MATCH(AB$2,Fact5_predicextreme!$A$1:$V$1,0)-1,1,1)=0,NA(),OFFSET(Fact5_predicextreme!$A$1,MATCH($Y9,Fact5_predicextreme!$A$2:$A$26,0),MATCH(AB$2,Fact5_predicextreme!$A$1:$V$1,0)-1,1,1))</f>
        <v>33.969875335693359</v>
      </c>
      <c r="AC9" s="8">
        <f ca="1">IF(OFFSET(Fact5_predicextreme!$A$1,MATCH($Y9,Fact5_predicextreme!$A$2:$A$26,0),MATCH(AC$2,Fact5_predicextreme!$A$1:$V$1,0)-1,1,1)=0,NA(),OFFSET(Fact5_predicextreme!$A$1,MATCH($Y9,Fact5_predicextreme!$A$2:$A$26,0),MATCH(AC$2,Fact5_predicextreme!$A$1:$V$1,0)-1,1,1))</f>
        <v>42.363014221191406</v>
      </c>
      <c r="AD9" s="8">
        <f ca="1">IF(OFFSET(Fact5_predicextreme!$A$1,MATCH($Y9,Fact5_predicextreme!$A$2:$A$26,0),MATCH(AD$2,Fact5_predicextreme!$A$1:$V$1,0)-1,1,1)=0,NA(),OFFSET(Fact5_predicextreme!$A$1,MATCH($Y9,Fact5_predicextreme!$A$2:$A$26,0),MATCH(AD$2,Fact5_predicextreme!$A$1:$V$1,0)-1,1,1))</f>
        <v>39.306632995605469</v>
      </c>
      <c r="AE9" s="8">
        <f ca="1">IF(OFFSET(Fact5_predicextreme!$A$1,MATCH($Y9,Fact5_predicextreme!$A$2:$A$26,0),MATCH(AE$2,Fact5_predicextreme!$A$1:$V$1,0)-1,1,1)=0,NA(),OFFSET(Fact5_predicextreme!$A$1,MATCH($Y9,Fact5_predicextreme!$A$2:$A$26,0),MATCH(AE$2,Fact5_predicextreme!$A$1:$V$1,0)-1,1,1))</f>
        <v>30.391078948974609</v>
      </c>
      <c r="AF9" s="8">
        <f ca="1">IF(OFFSET(Fact5_predicextreme!$A$1,MATCH($Y9,Fact5_predicextreme!$A$2:$A$26,0),MATCH(AF$2,Fact5_predicextreme!$A$1:$V$1,0)-1,1,1)=0,NA(),OFFSET(Fact5_predicextreme!$A$1,MATCH($Y9,Fact5_predicextreme!$A$2:$A$26,0),MATCH(AF$2,Fact5_predicextreme!$A$1:$V$1,0)-1,1,1))</f>
        <v>29.397424697875977</v>
      </c>
      <c r="AG9" s="8">
        <f ca="1">IF(OFFSET(Fact5_predicextreme!$A$1,MATCH($Y9,Fact5_predicextreme!$A$2:$A$26,0),MATCH(AG$2,Fact5_predicextreme!$A$1:$V$1,0)-1,1,1)=0,NA(),OFFSET(Fact5_predicextreme!$A$1,MATCH($Y9,Fact5_predicextreme!$A$2:$A$26,0),MATCH(AG$2,Fact5_predicextreme!$A$1:$V$1,0)-1,1,1))</f>
        <v>26.507530212402344</v>
      </c>
      <c r="AH9" s="8">
        <f ca="1">IF(OFFSET(Fact5_predicextreme!$A$1,MATCH($Y9,Fact5_predicextreme!$A$2:$A$26,0),MATCH(AH$2,Fact5_predicextreme!$A$1:$V$1,0)-1,1,1)=0,NA(),OFFSET(Fact5_predicextreme!$A$1,MATCH($Y9,Fact5_predicextreme!$A$2:$A$26,0),MATCH(AH$2,Fact5_predicextreme!$A$1:$V$1,0)-1,1,1))</f>
        <v>23.320600509643555</v>
      </c>
      <c r="AI9" s="8">
        <f ca="1">IF(OFFSET(Fact5_predicextreme!$A$1,MATCH($Y9,Fact5_predicextreme!$A$2:$A$26,0),MATCH(AI$2,Fact5_predicextreme!$A$1:$V$1,0)-1,1,1)=0,NA(),OFFSET(Fact5_predicextreme!$A$1,MATCH($Y9,Fact5_predicextreme!$A$2:$A$26,0),MATCH(AI$2,Fact5_predicextreme!$A$1:$V$1,0)-1,1,1))</f>
        <v>23.747005462646484</v>
      </c>
      <c r="AJ9" s="8">
        <f ca="1">IF(OFFSET(Fact5_predicextreme!$A$1,MATCH($Y9,Fact5_predicextreme!$A$2:$A$26,0),MATCH(AJ$2,Fact5_predicextreme!$A$1:$V$1,0)-1,1,1)=0,NA(),OFFSET(Fact5_predicextreme!$A$1,MATCH($Y9,Fact5_predicextreme!$A$2:$A$26,0),MATCH(AJ$2,Fact5_predicextreme!$A$1:$V$1,0)-1,1,1))</f>
        <v>21.165475845336914</v>
      </c>
      <c r="AK9" s="8">
        <f ca="1">IF(OFFSET(Fact5_predicextreme!$A$1,MATCH($Y9,Fact5_predicextreme!$A$2:$A$26,0),MATCH(AK$2,Fact5_predicextreme!$A$1:$V$1,0)-1,1,1)=0,NA(),OFFSET(Fact5_predicextreme!$A$1,MATCH($Y9,Fact5_predicextreme!$A$2:$A$26,0),MATCH(AK$2,Fact5_predicextreme!$A$1:$V$1,0)-1,1,1))</f>
        <v>19.967647552490234</v>
      </c>
      <c r="AL9" s="8">
        <f ca="1">IF(OFFSET(Fact5_predicextreme!$A$1,MATCH($Y9,Fact5_predicextreme!$A$2:$A$26,0),MATCH(AL$2,Fact5_predicextreme!$A$1:$V$1,0)-1,1,1)=0,NA(),OFFSET(Fact5_predicextreme!$A$1,MATCH($Y9,Fact5_predicextreme!$A$2:$A$26,0),MATCH(AL$2,Fact5_predicextreme!$A$1:$V$1,0)-1,1,1))</f>
        <v>19.205020904541016</v>
      </c>
      <c r="AM9" s="8">
        <f ca="1">IF(OFFSET(Fact5_predicextreme!$A$1,MATCH($Y9,Fact5_predicextreme!$A$2:$A$26,0),MATCH(AM$2,Fact5_predicextreme!$A$1:$V$1,0)-1,1,1)=0,NA(),OFFSET(Fact5_predicextreme!$A$1,MATCH($Y9,Fact5_predicextreme!$A$2:$A$26,0),MATCH(AM$2,Fact5_predicextreme!$A$1:$V$1,0)-1,1,1))</f>
        <v>18.622251510620117</v>
      </c>
      <c r="AN9" s="8">
        <f ca="1">IF(OFFSET(Fact5_predicextreme!$A$1,MATCH($Y9,Fact5_predicextreme!$A$2:$A$26,0),MATCH(AN$2,Fact5_predicextreme!$A$1:$V$1,0)-1,1,1)=0,NA(),OFFSET(Fact5_predicextreme!$A$1,MATCH($Y9,Fact5_predicextreme!$A$2:$A$26,0),MATCH(AN$2,Fact5_predicextreme!$A$1:$V$1,0)-1,1,1))</f>
        <v>18.066314697265625</v>
      </c>
      <c r="AO9" s="8">
        <f ca="1">IF(OFFSET(Fact5_predicextreme!$A$1,MATCH($Y9,Fact5_predicextreme!$A$2:$A$26,0),MATCH(AO$2,Fact5_predicextreme!$A$1:$V$1,0)-1,1,1)=0,NA(),OFFSET(Fact5_predicextreme!$A$1,MATCH($Y9,Fact5_predicextreme!$A$2:$A$26,0),MATCH(AO$2,Fact5_predicextreme!$A$1:$V$1,0)-1,1,1))</f>
        <v>18.631380081176758</v>
      </c>
      <c r="AP9" s="8">
        <f ca="1">IF(OFFSET(Fact5_predicextreme!$A$1,MATCH($Y9,Fact5_predicextreme!$A$2:$A$26,0),MATCH(AP$2,Fact5_predicextreme!$A$1:$V$1,0)-1,1,1)=0,NA(),OFFSET(Fact5_predicextreme!$A$1,MATCH($Y9,Fact5_predicextreme!$A$2:$A$26,0),MATCH(AP$2,Fact5_predicextreme!$A$1:$V$1,0)-1,1,1))</f>
        <v>19.659185409545898</v>
      </c>
      <c r="AQ9" s="8">
        <f ca="1">IF(OFFSET(Fact5_predicextreme!$A$1,MATCH($Y9,Fact5_predicextreme!$A$2:$A$26,0),MATCH(AQ$2,Fact5_predicextreme!$A$1:$V$1,0)-1,1,1)=0,NA(),OFFSET(Fact5_predicextreme!$A$1,MATCH($Y9,Fact5_predicextreme!$A$2:$A$26,0),MATCH(AQ$2,Fact5_predicextreme!$A$1:$V$1,0)-1,1,1))</f>
        <v>21.620937347412109</v>
      </c>
      <c r="AR9" s="8">
        <f ca="1">IF(OFFSET(Fact5_predicextreme!$A$1,MATCH($Y9,Fact5_predicextreme!$A$2:$A$26,0),MATCH(AR$2,Fact5_predicextreme!$A$1:$V$1,0)-1,1,1)=0,NA(),OFFSET(Fact5_predicextreme!$A$1,MATCH($Y9,Fact5_predicextreme!$A$2:$A$26,0),MATCH(AR$2,Fact5_predicextreme!$A$1:$V$1,0)-1,1,1))</f>
        <v>20.451343536376953</v>
      </c>
      <c r="AS9" s="8">
        <f ca="1">IF(OFFSET(Fact5_predicextreme!$A$1,MATCH($Y9,Fact5_predicextreme!$A$2:$A$26,0),MATCH(AS$2,Fact5_predicextreme!$A$1:$V$1,0)-1,1,1)=0,NA(),OFFSET(Fact5_predicextreme!$A$1,MATCH($Y9,Fact5_predicextreme!$A$2:$A$26,0),MATCH(AS$2,Fact5_predicextreme!$A$1:$V$1,0)-1,1,1))</f>
        <v>19.512697219848633</v>
      </c>
      <c r="AT9" s="88">
        <f ca="1">IF(OFFSET(Fact5_predicextreme!$A$1,MATCH($Y9,Fact5_predicextreme!$A$2:$A$26,0),MATCH(AT$2,Fact5_predicextreme!$A$1:$V$1,0)-1,1,1)=0,NA(),OFFSET(Fact5_predicextreme!$A$1,MATCH($Y9,Fact5_predicextreme!$A$2:$A$26,0),MATCH(AT$2,Fact5_predicextreme!$A$1:$V$1,0)-1,1,1))</f>
        <v>18.617132186889648</v>
      </c>
      <c r="AU9" s="2563" t="s">
        <v>23</v>
      </c>
      <c r="AV9" s="7547"/>
      <c r="AW9" s="7532">
        <f t="shared" ca="1" si="1"/>
        <v>-0.51731486965125473</v>
      </c>
      <c r="AX9" s="7532">
        <f t="shared" ca="1" si="3"/>
        <v>9.9788058202739283E-2</v>
      </c>
      <c r="AY9" s="7532">
        <f t="shared" ca="1" si="4"/>
        <v>4.0294554953757444E-2</v>
      </c>
      <c r="AZ9" s="7532"/>
      <c r="BA9" s="7532">
        <f t="shared" ca="1" si="5"/>
        <v>3.5108629558902704E-2</v>
      </c>
      <c r="BB9" s="7532">
        <f t="shared" ca="1" si="6"/>
        <v>-0.14913793474111769</v>
      </c>
      <c r="BC9" s="7532">
        <f t="shared" ca="1" si="7"/>
        <v>0.24707594015451328</v>
      </c>
      <c r="BD9" s="7532">
        <f t="shared" ca="1" si="8"/>
        <v>-7.2147397482803077E-2</v>
      </c>
      <c r="BE9" s="7532">
        <f t="shared" ca="1" si="9"/>
        <v>-0.226820599149961</v>
      </c>
      <c r="BF9" s="7532">
        <f t="shared" ca="1" si="10"/>
        <v>-3.2695589806697511E-2</v>
      </c>
      <c r="BG9" s="7532">
        <f t="shared" ca="1" si="11"/>
        <v>-9.8304341797750494E-2</v>
      </c>
      <c r="BH9" s="7532">
        <f t="shared" ca="1" si="12"/>
        <v>-0.12022733454313628</v>
      </c>
      <c r="BI9" s="7532">
        <f t="shared" ca="1" si="13"/>
        <v>1.8284475686061397E-2</v>
      </c>
      <c r="BJ9" s="7532">
        <f t="shared" ca="1" si="14"/>
        <v>-0.10870969063321523</v>
      </c>
      <c r="BK9" s="7532">
        <f t="shared" ca="1" si="15"/>
        <v>-5.6593496957006995E-2</v>
      </c>
      <c r="BL9" s="7532">
        <f t="shared" ca="1" si="16"/>
        <v>-3.8193114433958897E-2</v>
      </c>
      <c r="BM9" s="7532">
        <f t="shared" ca="1" si="17"/>
        <v>-3.0344637312167855E-2</v>
      </c>
      <c r="BN9" s="7532">
        <f t="shared" ca="1" si="18"/>
        <v>-2.985336187933274E-2</v>
      </c>
      <c r="BO9" s="7532">
        <f t="shared" ca="1" si="19"/>
        <v>3.1277291101137417E-2</v>
      </c>
      <c r="BP9" s="7532">
        <f t="shared" ca="1" si="20"/>
        <v>5.5165281578229974E-2</v>
      </c>
      <c r="BQ9" s="7532">
        <f t="shared" ca="1" si="21"/>
        <v>9.9788058202739283E-2</v>
      </c>
      <c r="BR9" s="7532">
        <f t="shared" ca="1" si="22"/>
        <v>-5.4095425755218196E-2</v>
      </c>
      <c r="BS9" s="7532">
        <f t="shared" ca="1" si="23"/>
        <v>-4.589656004060283E-2</v>
      </c>
      <c r="BT9" s="7532">
        <f t="shared" ca="1" si="24"/>
        <v>-4.5896526905978008E-2</v>
      </c>
      <c r="BU9" s="7532"/>
      <c r="BV9" s="8"/>
      <c r="ER9" t="s">
        <v>51</v>
      </c>
      <c r="ES9">
        <v>28838.498999999985</v>
      </c>
      <c r="ET9">
        <v>21929.617779496068</v>
      </c>
      <c r="EU9">
        <v>2827.5049048148335</v>
      </c>
      <c r="EV9">
        <v>24757.1226843109</v>
      </c>
      <c r="EW9" t="s">
        <v>51</v>
      </c>
      <c r="EX9" s="35">
        <f t="shared" si="25"/>
        <v>4.6215986913079488E-2</v>
      </c>
      <c r="EY9" s="35">
        <f t="shared" si="26"/>
        <v>0.26264964414600295</v>
      </c>
      <c r="EZ9" s="35">
        <f t="shared" si="27"/>
        <v>4.0076805193422854E-2</v>
      </c>
      <c r="FA9" s="35">
        <f t="shared" si="28"/>
        <v>0.16071257729064542</v>
      </c>
      <c r="FF9" t="s">
        <v>51</v>
      </c>
      <c r="FG9" s="35">
        <v>4.6215986913079488E-2</v>
      </c>
      <c r="FH9" s="35">
        <v>0.26264964414600295</v>
      </c>
    </row>
    <row r="10" spans="2:164">
      <c r="B10" s="99" t="s">
        <v>25</v>
      </c>
      <c r="C10">
        <f>IF(Fact5_predicextreme!B7&gt;0,VLOOKUP(Fact5!$B10,Fact5_predicextreme!$A$1:$W$19,23,0),"")</f>
        <v>5212173</v>
      </c>
      <c r="D10">
        <f>IF(Fact5_predicextreme!C7&gt;0,VLOOKUP(Fact5!$B10,Fact5_predicextreme!$A$1:$W$19,23,0),"")</f>
        <v>5212173</v>
      </c>
      <c r="E10">
        <f>IF(Fact5_predicextreme!D7&gt;0,VLOOKUP(Fact5!$B10,Fact5_predicextreme!$A$1:$W$19,23,0),"")</f>
        <v>5212173</v>
      </c>
      <c r="F10">
        <f>IF(Fact5_predicextreme!E7&gt;0,VLOOKUP(Fact5!$B10,Fact5_predicextreme!$A$1:$W$19,23,0),"")</f>
        <v>5212173</v>
      </c>
      <c r="G10">
        <f>IF(Fact5_predicextreme!F7&gt;0,VLOOKUP(Fact5!$B10,Fact5_predicextreme!$A$1:$W$19,23,0),"")</f>
        <v>5212173</v>
      </c>
      <c r="H10">
        <f>IF(Fact5_predicextreme!G7&gt;0,VLOOKUP(Fact5!$B10,Fact5_predicextreme!$A$1:$W$19,23,0),"")</f>
        <v>5212173</v>
      </c>
      <c r="I10">
        <f>IF(Fact5_predicextreme!H7&gt;0,VLOOKUP(Fact5!$B10,Fact5_predicextreme!$A$1:$W$19,23,0),"")</f>
        <v>5212173</v>
      </c>
      <c r="J10">
        <f>IF(Fact5_predicextreme!I7&gt;0,VLOOKUP(Fact5!$B10,Fact5_predicextreme!$A$1:$W$19,23,0),"")</f>
        <v>5212173</v>
      </c>
      <c r="K10">
        <f>IF(Fact5_predicextreme!J7&gt;0,VLOOKUP(Fact5!$B10,Fact5_predicextreme!$A$1:$W$19,23,0),"")</f>
        <v>5212173</v>
      </c>
      <c r="L10">
        <f>IF(Fact5_predicextreme!K7&gt;0,VLOOKUP(Fact5!$B10,Fact5_predicextreme!$A$1:$W$19,23,0),"")</f>
        <v>5212173</v>
      </c>
      <c r="M10">
        <f>IF(Fact5_predicextreme!L7&gt;0,VLOOKUP(Fact5!$B10,Fact5_predicextreme!$A$1:$W$19,23,0),"")</f>
        <v>5212173</v>
      </c>
      <c r="N10">
        <f>IF(Fact5_predicextreme!M7&gt;0,VLOOKUP(Fact5!$B10,Fact5_predicextreme!$A$1:$W$19,23,0),"")</f>
        <v>5212173</v>
      </c>
      <c r="O10">
        <f>IF(Fact5_predicextreme!N7&gt;0,VLOOKUP(Fact5!$B10,Fact5_predicextreme!$A$1:$W$19,23,0),"")</f>
        <v>5212173</v>
      </c>
      <c r="P10">
        <f>IF(Fact5_predicextreme!O7&gt;0,VLOOKUP(Fact5!$B10,Fact5_predicextreme!$A$1:$W$19,23,0),"")</f>
        <v>5212173</v>
      </c>
      <c r="Q10">
        <f>IF(Fact5_predicextreme!P7&gt;0,VLOOKUP(Fact5!$B10,Fact5_predicextreme!$A$1:$W$19,23,0),"")</f>
        <v>5212173</v>
      </c>
      <c r="R10">
        <f>IF(Fact5_predicextreme!Q7&gt;0,VLOOKUP(Fact5!$B10,Fact5_predicextreme!$A$1:$W$19,23,0),"")</f>
        <v>5212173</v>
      </c>
      <c r="S10">
        <f>IF(Fact5_predicextreme!R7&gt;0,VLOOKUP(Fact5!$B10,Fact5_predicextreme!$A$1:$W$19,23,0),"")</f>
        <v>5212173</v>
      </c>
      <c r="T10">
        <f>IF(Fact5_predicextreme!S7&gt;0,VLOOKUP(Fact5!$B10,Fact5_predicextreme!$A$1:$W$19,23,0),"")</f>
        <v>5212173</v>
      </c>
      <c r="U10">
        <f>IF(Fact5_predicextreme!T7&gt;0,VLOOKUP(Fact5!$B10,Fact5_predicextreme!$A$1:$W$19,23,0),"")</f>
        <v>5212173</v>
      </c>
      <c r="V10">
        <f>IF(Fact5_predicextreme!U7&gt;0,VLOOKUP(Fact5!$B10,Fact5_predicextreme!$A$1:$W$19,23,0),"")</f>
        <v>5212173</v>
      </c>
      <c r="W10">
        <f>IF(Fact5_predicextreme!V7&gt;0,VLOOKUP(Fact5!$B10,Fact5_predicextreme!$A$1:$W$19,23,0),"")</f>
        <v>5212173</v>
      </c>
      <c r="X10" s="2562"/>
      <c r="Y10" s="2563" t="s">
        <v>25</v>
      </c>
      <c r="Z10" s="8">
        <f ca="1">IF(OFFSET(Fact5_predicextreme!$A$1,MATCH($Y10,Fact5_predicextreme!$A$2:$A$26,0),MATCH(Z$2,Fact5_predicextreme!$A$1:$V$1,0)-1,1,1)=0,NA(),OFFSET(Fact5_predicextreme!$A$1,MATCH($Y10,Fact5_predicextreme!$A$2:$A$26,0),MATCH(Z$2,Fact5_predicextreme!$A$1:$V$1,0)-1,1,1))</f>
        <v>14.039286613464355</v>
      </c>
      <c r="AA10" s="8">
        <f ca="1">IF(OFFSET(Fact5_predicextreme!$A$1,MATCH($Y10,Fact5_predicextreme!$A$2:$A$26,0),MATCH(AA$2,Fact5_predicextreme!$A$1:$V$1,0)-1,1,1)=0,NA(),OFFSET(Fact5_predicextreme!$A$1,MATCH($Y10,Fact5_predicextreme!$A$2:$A$26,0),MATCH(AA$2,Fact5_predicextreme!$A$1:$V$1,0)-1,1,1))</f>
        <v>13.902563095092773</v>
      </c>
      <c r="AB10" s="8">
        <f ca="1">IF(OFFSET(Fact5_predicextreme!$A$1,MATCH($Y10,Fact5_predicextreme!$A$2:$A$26,0),MATCH(AB$2,Fact5_predicextreme!$A$1:$V$1,0)-1,1,1)=0,NA(),OFFSET(Fact5_predicextreme!$A$1,MATCH($Y10,Fact5_predicextreme!$A$2:$A$26,0),MATCH(AB$2,Fact5_predicextreme!$A$1:$V$1,0)-1,1,1))</f>
        <v>12.411727905273438</v>
      </c>
      <c r="AC10" s="8">
        <f ca="1">IF(OFFSET(Fact5_predicextreme!$A$1,MATCH($Y10,Fact5_predicextreme!$A$2:$A$26,0),MATCH(AC$2,Fact5_predicextreme!$A$1:$V$1,0)-1,1,1)=0,NA(),OFFSET(Fact5_predicextreme!$A$1,MATCH($Y10,Fact5_predicextreme!$A$2:$A$26,0),MATCH(AC$2,Fact5_predicextreme!$A$1:$V$1,0)-1,1,1))</f>
        <v>11.610855102539063</v>
      </c>
      <c r="AD10" s="8">
        <f ca="1">IF(OFFSET(Fact5_predicextreme!$A$1,MATCH($Y10,Fact5_predicextreme!$A$2:$A$26,0),MATCH(AD$2,Fact5_predicextreme!$A$1:$V$1,0)-1,1,1)=0,NA(),OFFSET(Fact5_predicextreme!$A$1,MATCH($Y10,Fact5_predicextreme!$A$2:$A$26,0),MATCH(AD$2,Fact5_predicextreme!$A$1:$V$1,0)-1,1,1))</f>
        <v>8.7138156890869141</v>
      </c>
      <c r="AE10" s="8">
        <f ca="1">IF(OFFSET(Fact5_predicextreme!$A$1,MATCH($Y10,Fact5_predicextreme!$A$2:$A$26,0),MATCH(AE$2,Fact5_predicextreme!$A$1:$V$1,0)-1,1,1)=0,NA(),OFFSET(Fact5_predicextreme!$A$1,MATCH($Y10,Fact5_predicextreme!$A$2:$A$26,0),MATCH(AE$2,Fact5_predicextreme!$A$1:$V$1,0)-1,1,1))</f>
        <v>7.4615211486816406</v>
      </c>
      <c r="AF10" s="8">
        <f ca="1">IF(OFFSET(Fact5_predicextreme!$A$1,MATCH($Y10,Fact5_predicextreme!$A$2:$A$26,0),MATCH(AF$2,Fact5_predicextreme!$A$1:$V$1,0)-1,1,1)=0,NA(),OFFSET(Fact5_predicextreme!$A$1,MATCH($Y10,Fact5_predicextreme!$A$2:$A$26,0),MATCH(AF$2,Fact5_predicextreme!$A$1:$V$1,0)-1,1,1))</f>
        <v>7.8839383125305176</v>
      </c>
      <c r="AG10" s="8">
        <f ca="1">IF(OFFSET(Fact5_predicextreme!$A$1,MATCH($Y10,Fact5_predicextreme!$A$2:$A$26,0),MATCH(AG$2,Fact5_predicextreme!$A$1:$V$1,0)-1,1,1)=0,NA(),OFFSET(Fact5_predicextreme!$A$1,MATCH($Y10,Fact5_predicextreme!$A$2:$A$26,0),MATCH(AG$2,Fact5_predicextreme!$A$1:$V$1,0)-1,1,1))</f>
        <v>7.8005781173706055</v>
      </c>
      <c r="AH10" s="8">
        <f ca="1">IF(OFFSET(Fact5_predicextreme!$A$1,MATCH($Y10,Fact5_predicextreme!$A$2:$A$26,0),MATCH(AH$2,Fact5_predicextreme!$A$1:$V$1,0)-1,1,1)=0,NA(),OFFSET(Fact5_predicextreme!$A$1,MATCH($Y10,Fact5_predicextreme!$A$2:$A$26,0),MATCH(AH$2,Fact5_predicextreme!$A$1:$V$1,0)-1,1,1))</f>
        <v>10.64293384552002</v>
      </c>
      <c r="AI10" s="8">
        <f ca="1">IF(OFFSET(Fact5_predicextreme!$A$1,MATCH($Y10,Fact5_predicextreme!$A$2:$A$26,0),MATCH(AI$2,Fact5_predicextreme!$A$1:$V$1,0)-1,1,1)=0,NA(),OFFSET(Fact5_predicextreme!$A$1,MATCH($Y10,Fact5_predicextreme!$A$2:$A$26,0),MATCH(AI$2,Fact5_predicextreme!$A$1:$V$1,0)-1,1,1))</f>
        <v>8.1358013153076172</v>
      </c>
      <c r="AJ10" s="8">
        <f ca="1">IF(OFFSET(Fact5_predicextreme!$A$1,MATCH($Y10,Fact5_predicextreme!$A$2:$A$26,0),MATCH(AJ$2,Fact5_predicextreme!$A$1:$V$1,0)-1,1,1)=0,NA(),OFFSET(Fact5_predicextreme!$A$1,MATCH($Y10,Fact5_predicextreme!$A$2:$A$26,0),MATCH(AJ$2,Fact5_predicextreme!$A$1:$V$1,0)-1,1,1))</f>
        <v>8.2189216613769531</v>
      </c>
      <c r="AK10" s="8">
        <f ca="1">IF(OFFSET(Fact5_predicextreme!$A$1,MATCH($Y10,Fact5_predicextreme!$A$2:$A$26,0),MATCH(AK$2,Fact5_predicextreme!$A$1:$V$1,0)-1,1,1)=0,NA(),OFFSET(Fact5_predicextreme!$A$1,MATCH($Y10,Fact5_predicextreme!$A$2:$A$26,0),MATCH(AK$2,Fact5_predicextreme!$A$1:$V$1,0)-1,1,1))</f>
        <v>7.4477596282958984</v>
      </c>
      <c r="AL10" s="8">
        <f ca="1">IF(OFFSET(Fact5_predicextreme!$A$1,MATCH($Y10,Fact5_predicextreme!$A$2:$A$26,0),MATCH(AL$2,Fact5_predicextreme!$A$1:$V$1,0)-1,1,1)=0,NA(),OFFSET(Fact5_predicextreme!$A$1,MATCH($Y10,Fact5_predicextreme!$A$2:$A$26,0),MATCH(AL$2,Fact5_predicextreme!$A$1:$V$1,0)-1,1,1))</f>
        <v>7.3149294853210449</v>
      </c>
      <c r="AM10" s="8">
        <f ca="1">IF(OFFSET(Fact5_predicextreme!$A$1,MATCH($Y10,Fact5_predicextreme!$A$2:$A$26,0),MATCH(AM$2,Fact5_predicextreme!$A$1:$V$1,0)-1,1,1)=0,NA(),OFFSET(Fact5_predicextreme!$A$1,MATCH($Y10,Fact5_predicextreme!$A$2:$A$26,0),MATCH(AM$2,Fact5_predicextreme!$A$1:$V$1,0)-1,1,1))</f>
        <v>7.0541119575500488</v>
      </c>
      <c r="AN10" s="8">
        <f ca="1">IF(OFFSET(Fact5_predicextreme!$A$1,MATCH($Y10,Fact5_predicextreme!$A$2:$A$26,0),MATCH(AN$2,Fact5_predicextreme!$A$1:$V$1,0)-1,1,1)=0,NA(),OFFSET(Fact5_predicextreme!$A$1,MATCH($Y10,Fact5_predicextreme!$A$2:$A$26,0),MATCH(AN$2,Fact5_predicextreme!$A$1:$V$1,0)-1,1,1))</f>
        <v>6.5865716934204102</v>
      </c>
      <c r="AO10" s="8">
        <f ca="1">IF(OFFSET(Fact5_predicextreme!$A$1,MATCH($Y10,Fact5_predicextreme!$A$2:$A$26,0),MATCH(AO$2,Fact5_predicextreme!$A$1:$V$1,0)-1,1,1)=0,NA(),OFFSET(Fact5_predicextreme!$A$1,MATCH($Y10,Fact5_predicextreme!$A$2:$A$26,0),MATCH(AO$2,Fact5_predicextreme!$A$1:$V$1,0)-1,1,1))</f>
        <v>7.129307746887207</v>
      </c>
      <c r="AP10" s="8">
        <f ca="1">IF(OFFSET(Fact5_predicextreme!$A$1,MATCH($Y10,Fact5_predicextreme!$A$2:$A$26,0),MATCH(AP$2,Fact5_predicextreme!$A$1:$V$1,0)-1,1,1)=0,NA(),OFFSET(Fact5_predicextreme!$A$1,MATCH($Y10,Fact5_predicextreme!$A$2:$A$26,0),MATCH(AP$2,Fact5_predicextreme!$A$1:$V$1,0)-1,1,1))</f>
        <v>6.8127789497375488</v>
      </c>
      <c r="AQ10" s="8">
        <f ca="1">IF(OFFSET(Fact5_predicextreme!$A$1,MATCH($Y10,Fact5_predicextreme!$A$2:$A$26,0),MATCH(AQ$2,Fact5_predicextreme!$A$1:$V$1,0)-1,1,1)=0,NA(),OFFSET(Fact5_predicextreme!$A$1,MATCH($Y10,Fact5_predicextreme!$A$2:$A$26,0),MATCH(AQ$2,Fact5_predicextreme!$A$1:$V$1,0)-1,1,1))</f>
        <v>12.124826431274414</v>
      </c>
      <c r="AR10" s="8">
        <f ca="1">IF(OFFSET(Fact5_predicextreme!$A$1,MATCH($Y10,Fact5_predicextreme!$A$2:$A$26,0),MATCH(AR$2,Fact5_predicextreme!$A$1:$V$1,0)-1,1,1)=0,NA(),OFFSET(Fact5_predicextreme!$A$1,MATCH($Y10,Fact5_predicextreme!$A$2:$A$26,0),MATCH(AR$2,Fact5_predicextreme!$A$1:$V$1,0)-1,1,1))</f>
        <v>7.5102291107177734</v>
      </c>
      <c r="AS10" s="8">
        <f ca="1">IF(OFFSET(Fact5_predicextreme!$A$1,MATCH($Y10,Fact5_predicextreme!$A$2:$A$26,0),MATCH(AS$2,Fact5_predicextreme!$A$1:$V$1,0)-1,1,1)=0,NA(),OFFSET(Fact5_predicextreme!$A$1,MATCH($Y10,Fact5_predicextreme!$A$2:$A$26,0),MATCH(AS$2,Fact5_predicextreme!$A$1:$V$1,0)-1,1,1))</f>
        <v>7.0888323783874512</v>
      </c>
      <c r="AT10" s="8">
        <f ca="1">IF(OFFSET(Fact5_predicextreme!$A$1,MATCH($Y10,Fact5_predicextreme!$A$2:$A$26,0),MATCH(AT$2,Fact5_predicextreme!$A$1:$V$1,0)-1,1,1)=0,NA(),OFFSET(Fact5_predicextreme!$A$1,MATCH($Y10,Fact5_predicextreme!$A$2:$A$26,0),MATCH(AT$2,Fact5_predicextreme!$A$1:$V$1,0)-1,1,1))</f>
        <v>6.5896177291870117</v>
      </c>
      <c r="AU10" s="2563" t="s">
        <v>25</v>
      </c>
      <c r="AV10" s="7547"/>
      <c r="AW10" s="7532">
        <f t="shared" ca="1" si="1"/>
        <v>-0.5306301587384612</v>
      </c>
      <c r="AX10" s="7533">
        <f t="shared" ca="1" si="3"/>
        <v>0.77971816210791678</v>
      </c>
      <c r="AY10" s="7532">
        <f t="shared" ca="1" si="4"/>
        <v>0.10237381340650908</v>
      </c>
      <c r="AZ10" s="7533"/>
      <c r="BA10" s="7532">
        <f t="shared" ca="1" si="5"/>
        <v>-9.7386371641176028E-3</v>
      </c>
      <c r="BB10" s="7532">
        <f t="shared" ca="1" si="6"/>
        <v>-0.10723455665132431</v>
      </c>
      <c r="BC10" s="7532">
        <f t="shared" ca="1" si="7"/>
        <v>-6.4525488219420613E-2</v>
      </c>
      <c r="BD10" s="7532">
        <f t="shared" ca="1" si="8"/>
        <v>-0.24951128817537505</v>
      </c>
      <c r="BE10" s="7532">
        <f t="shared" ca="1" si="9"/>
        <v>-0.1437136823967522</v>
      </c>
      <c r="BF10" s="7532">
        <f t="shared" ca="1" si="10"/>
        <v>5.6612740945392037E-2</v>
      </c>
      <c r="BG10" s="7532">
        <f t="shared" ca="1" si="11"/>
        <v>-1.0573420523524613E-2</v>
      </c>
      <c r="BH10" s="7532">
        <f t="shared" ca="1" si="12"/>
        <v>0.36437757373648427</v>
      </c>
      <c r="BI10" s="7532">
        <f t="shared" ca="1" si="13"/>
        <v>-0.23556780175494008</v>
      </c>
      <c r="BJ10" s="7532">
        <f t="shared" ca="1" si="14"/>
        <v>1.0216614546983083E-2</v>
      </c>
      <c r="BK10" s="7532">
        <f t="shared" ca="1" si="15"/>
        <v>-9.3827641247022031E-2</v>
      </c>
      <c r="BL10" s="7532">
        <f t="shared" ca="1" si="16"/>
        <v>-1.7834912725996022E-2</v>
      </c>
      <c r="BM10" s="7532">
        <f t="shared" ca="1" si="17"/>
        <v>-3.5655508135024605E-2</v>
      </c>
      <c r="BN10" s="7532">
        <f t="shared" ca="1" si="18"/>
        <v>-6.6279110247070561E-2</v>
      </c>
      <c r="BO10" s="7532">
        <f t="shared" ca="1" si="19"/>
        <v>8.2400386533248771E-2</v>
      </c>
      <c r="BP10" s="7532">
        <f t="shared" ca="1" si="20"/>
        <v>-4.4398251329220706E-2</v>
      </c>
      <c r="BQ10" s="7532">
        <f t="shared" ca="1" si="21"/>
        <v>0.77971816210791678</v>
      </c>
      <c r="BR10" s="7532">
        <f t="shared" ca="1" si="22"/>
        <v>-0.38059079416212394</v>
      </c>
      <c r="BS10" s="7532">
        <f t="shared" ca="1" si="23"/>
        <v>-5.6109703994109972E-2</v>
      </c>
      <c r="BT10" s="7532">
        <f t="shared" ca="1" si="24"/>
        <v>-7.0422690586175118E-2</v>
      </c>
      <c r="BU10" s="7532"/>
      <c r="BV10" s="8"/>
      <c r="ER10" t="s">
        <v>21</v>
      </c>
      <c r="ES10">
        <v>19629.590000000004</v>
      </c>
      <c r="ET10">
        <v>484.57723556890511</v>
      </c>
      <c r="EU10">
        <v>557.05370497734566</v>
      </c>
      <c r="EV10">
        <v>1041.6309873468401</v>
      </c>
      <c r="EW10" t="s">
        <v>21</v>
      </c>
      <c r="EX10" s="35">
        <f t="shared" si="25"/>
        <v>3.1457978258477202E-2</v>
      </c>
      <c r="EY10" s="35">
        <f t="shared" si="26"/>
        <v>5.8037508798911433E-3</v>
      </c>
      <c r="EZ10" s="35">
        <f t="shared" si="27"/>
        <v>7.8956300937393191E-3</v>
      </c>
      <c r="FA10" s="35">
        <f t="shared" si="28"/>
        <v>6.7618197274757303E-3</v>
      </c>
      <c r="FF10" t="s">
        <v>21</v>
      </c>
      <c r="FG10" s="35">
        <v>3.1457978258477202E-2</v>
      </c>
      <c r="FH10" s="35">
        <v>5.8037508798911433E-3</v>
      </c>
    </row>
    <row r="11" spans="2:164">
      <c r="B11" s="99" t="s">
        <v>27</v>
      </c>
      <c r="C11">
        <f>IF(Fact5_predicextreme!B8&gt;0,VLOOKUP(Fact5!$B11,Fact5_predicextreme!$A$1:$W$19,23,0),"")</f>
        <v>11332973</v>
      </c>
      <c r="D11">
        <f>IF(Fact5_predicextreme!C8&gt;0,VLOOKUP(Fact5!$B11,Fact5_predicextreme!$A$1:$W$19,23,0),"")</f>
        <v>11332973</v>
      </c>
      <c r="E11">
        <f>IF(Fact5_predicextreme!D8&gt;0,VLOOKUP(Fact5!$B11,Fact5_predicextreme!$A$1:$W$19,23,0),"")</f>
        <v>11332973</v>
      </c>
      <c r="F11">
        <f>IF(Fact5_predicextreme!E8&gt;0,VLOOKUP(Fact5!$B11,Fact5_predicextreme!$A$1:$W$19,23,0),"")</f>
        <v>11332973</v>
      </c>
      <c r="G11">
        <f>IF(Fact5_predicextreme!F8&gt;0,VLOOKUP(Fact5!$B11,Fact5_predicextreme!$A$1:$W$19,23,0),"")</f>
        <v>11332973</v>
      </c>
      <c r="H11">
        <f>IF(Fact5_predicextreme!G8&gt;0,VLOOKUP(Fact5!$B11,Fact5_predicextreme!$A$1:$W$19,23,0),"")</f>
        <v>11332973</v>
      </c>
      <c r="I11">
        <f>IF(Fact5_predicextreme!H8&gt;0,VLOOKUP(Fact5!$B11,Fact5_predicextreme!$A$1:$W$19,23,0),"")</f>
        <v>11332973</v>
      </c>
      <c r="J11">
        <f>IF(Fact5_predicextreme!I8&gt;0,VLOOKUP(Fact5!$B11,Fact5_predicextreme!$A$1:$W$19,23,0),"")</f>
        <v>11332973</v>
      </c>
      <c r="K11">
        <f>IF(Fact5_predicextreme!J8&gt;0,VLOOKUP(Fact5!$B11,Fact5_predicextreme!$A$1:$W$19,23,0),"")</f>
        <v>11332973</v>
      </c>
      <c r="L11">
        <f>IF(Fact5_predicextreme!K8&gt;0,VLOOKUP(Fact5!$B11,Fact5_predicextreme!$A$1:$W$19,23,0),"")</f>
        <v>11332973</v>
      </c>
      <c r="M11">
        <f>IF(Fact5_predicextreme!L8&gt;0,VLOOKUP(Fact5!$B11,Fact5_predicextreme!$A$1:$W$19,23,0),"")</f>
        <v>11332973</v>
      </c>
      <c r="N11">
        <f>IF(Fact5_predicextreme!M8&gt;0,VLOOKUP(Fact5!$B11,Fact5_predicextreme!$A$1:$W$19,23,0),"")</f>
        <v>11332973</v>
      </c>
      <c r="O11">
        <f>IF(Fact5_predicextreme!N8&gt;0,VLOOKUP(Fact5!$B11,Fact5_predicextreme!$A$1:$W$19,23,0),"")</f>
        <v>11332973</v>
      </c>
      <c r="P11">
        <f>IF(Fact5_predicextreme!O8&gt;0,VLOOKUP(Fact5!$B11,Fact5_predicextreme!$A$1:$W$19,23,0),"")</f>
        <v>11332973</v>
      </c>
      <c r="Q11">
        <f>IF(Fact5_predicextreme!P8&gt;0,VLOOKUP(Fact5!$B11,Fact5_predicextreme!$A$1:$W$19,23,0),"")</f>
        <v>11332973</v>
      </c>
      <c r="R11">
        <f>IF(Fact5_predicextreme!Q8&gt;0,VLOOKUP(Fact5!$B11,Fact5_predicextreme!$A$1:$W$19,23,0),"")</f>
        <v>11332973</v>
      </c>
      <c r="S11">
        <f>IF(Fact5_predicextreme!R8&gt;0,VLOOKUP(Fact5!$B11,Fact5_predicextreme!$A$1:$W$19,23,0),"")</f>
        <v>11332973</v>
      </c>
      <c r="T11">
        <f>IF(Fact5_predicextreme!S8&gt;0,VLOOKUP(Fact5!$B11,Fact5_predicextreme!$A$1:$W$19,23,0),"")</f>
        <v>11332973</v>
      </c>
      <c r="U11">
        <f>IF(Fact5_predicextreme!T8&gt;0,VLOOKUP(Fact5!$B11,Fact5_predicextreme!$A$1:$W$19,23,0),"")</f>
        <v>11332973</v>
      </c>
      <c r="V11">
        <f>IF(Fact5_predicextreme!U8&gt;0,VLOOKUP(Fact5!$B11,Fact5_predicextreme!$A$1:$W$19,23,0),"")</f>
        <v>11332973</v>
      </c>
      <c r="W11">
        <f>IF(Fact5_predicextreme!V8&gt;0,VLOOKUP(Fact5!$B11,Fact5_predicextreme!$A$1:$W$19,23,0),"")</f>
        <v>11332973</v>
      </c>
      <c r="X11" s="2562"/>
      <c r="Y11" s="2563" t="s">
        <v>27</v>
      </c>
      <c r="Z11" s="8">
        <f ca="1">IF(OFFSET(Fact5_predicextreme!$A$1,MATCH($Y11,Fact5_predicextreme!$A$2:$A$26,0),MATCH(Z$2,Fact5_predicextreme!$A$1:$V$1,0)-1,1,1)=0,NA(),OFFSET(Fact5_predicextreme!$A$1,MATCH($Y11,Fact5_predicextreme!$A$2:$A$26,0),MATCH(Z$2,Fact5_predicextreme!$A$1:$V$1,0)-1,1,1))</f>
        <v>29.330852508544922</v>
      </c>
      <c r="AA11" s="8">
        <f ca="1">IF(OFFSET(Fact5_predicextreme!$A$1,MATCH($Y11,Fact5_predicextreme!$A$2:$A$26,0),MATCH(AA$2,Fact5_predicextreme!$A$1:$V$1,0)-1,1,1)=0,NA(),OFFSET(Fact5_predicextreme!$A$1,MATCH($Y11,Fact5_predicextreme!$A$2:$A$26,0),MATCH(AA$2,Fact5_predicextreme!$A$1:$V$1,0)-1,1,1))</f>
        <v>36.2017822265625</v>
      </c>
      <c r="AB11" s="8">
        <f ca="1">IF(OFFSET(Fact5_predicextreme!$A$1,MATCH($Y11,Fact5_predicextreme!$A$2:$A$26,0),MATCH(AB$2,Fact5_predicextreme!$A$1:$V$1,0)-1,1,1)=0,NA(),OFFSET(Fact5_predicextreme!$A$1,MATCH($Y11,Fact5_predicextreme!$A$2:$A$26,0),MATCH(AB$2,Fact5_predicextreme!$A$1:$V$1,0)-1,1,1))</f>
        <v>30.235481262207031</v>
      </c>
      <c r="AC11" s="8">
        <f ca="1">IF(OFFSET(Fact5_predicextreme!$A$1,MATCH($Y11,Fact5_predicextreme!$A$2:$A$26,0),MATCH(AC$2,Fact5_predicextreme!$A$1:$V$1,0)-1,1,1)=0,NA(),OFFSET(Fact5_predicextreme!$A$1,MATCH($Y11,Fact5_predicextreme!$A$2:$A$26,0),MATCH(AC$2,Fact5_predicextreme!$A$1:$V$1,0)-1,1,1))</f>
        <v>27.800455093383789</v>
      </c>
      <c r="AD11" s="8">
        <f ca="1">IF(OFFSET(Fact5_predicextreme!$A$1,MATCH($Y11,Fact5_predicextreme!$A$2:$A$26,0),MATCH(AD$2,Fact5_predicextreme!$A$1:$V$1,0)-1,1,1)=0,NA(),OFFSET(Fact5_predicextreme!$A$1,MATCH($Y11,Fact5_predicextreme!$A$2:$A$26,0),MATCH(AD$2,Fact5_predicextreme!$A$1:$V$1,0)-1,1,1))</f>
        <v>25.786188125610352</v>
      </c>
      <c r="AE11" s="8">
        <f ca="1">IF(OFFSET(Fact5_predicextreme!$A$1,MATCH($Y11,Fact5_predicextreme!$A$2:$A$26,0),MATCH(AE$2,Fact5_predicextreme!$A$1:$V$1,0)-1,1,1)=0,NA(),OFFSET(Fact5_predicextreme!$A$1,MATCH($Y11,Fact5_predicextreme!$A$2:$A$26,0),MATCH(AE$2,Fact5_predicextreme!$A$1:$V$1,0)-1,1,1))</f>
        <v>25.155765533447266</v>
      </c>
      <c r="AF11" s="8">
        <f ca="1">IF(OFFSET(Fact5_predicextreme!$A$1,MATCH($Y11,Fact5_predicextreme!$A$2:$A$26,0),MATCH(AF$2,Fact5_predicextreme!$A$1:$V$1,0)-1,1,1)=0,NA(),OFFSET(Fact5_predicextreme!$A$1,MATCH($Y11,Fact5_predicextreme!$A$2:$A$26,0),MATCH(AF$2,Fact5_predicextreme!$A$1:$V$1,0)-1,1,1))</f>
        <v>24.71571159362793</v>
      </c>
      <c r="AG11" s="8">
        <f ca="1">IF(OFFSET(Fact5_predicextreme!$A$1,MATCH($Y11,Fact5_predicextreme!$A$2:$A$26,0),MATCH(AG$2,Fact5_predicextreme!$A$1:$V$1,0)-1,1,1)=0,NA(),OFFSET(Fact5_predicextreme!$A$1,MATCH($Y11,Fact5_predicextreme!$A$2:$A$26,0),MATCH(AG$2,Fact5_predicextreme!$A$1:$V$1,0)-1,1,1))</f>
        <v>24.857109069824219</v>
      </c>
      <c r="AH11" s="8">
        <f ca="1">IF(OFFSET(Fact5_predicextreme!$A$1,MATCH($Y11,Fact5_predicextreme!$A$2:$A$26,0),MATCH(AH$2,Fact5_predicextreme!$A$1:$V$1,0)-1,1,1)=0,NA(),OFFSET(Fact5_predicextreme!$A$1,MATCH($Y11,Fact5_predicextreme!$A$2:$A$26,0),MATCH(AH$2,Fact5_predicextreme!$A$1:$V$1,0)-1,1,1))</f>
        <v>22.856687545776367</v>
      </c>
      <c r="AI11" s="8">
        <f ca="1">IF(OFFSET(Fact5_predicextreme!$A$1,MATCH($Y11,Fact5_predicextreme!$A$2:$A$26,0),MATCH(AI$2,Fact5_predicextreme!$A$1:$V$1,0)-1,1,1)=0,NA(),OFFSET(Fact5_predicextreme!$A$1,MATCH($Y11,Fact5_predicextreme!$A$2:$A$26,0),MATCH(AI$2,Fact5_predicextreme!$A$1:$V$1,0)-1,1,1))</f>
        <v>23.490676879882813</v>
      </c>
      <c r="AJ11" s="8">
        <f ca="1">IF(OFFSET(Fact5_predicextreme!$A$1,MATCH($Y11,Fact5_predicextreme!$A$2:$A$26,0),MATCH(AJ$2,Fact5_predicextreme!$A$1:$V$1,0)-1,1,1)=0,NA(),OFFSET(Fact5_predicextreme!$A$1,MATCH($Y11,Fact5_predicextreme!$A$2:$A$26,0),MATCH(AJ$2,Fact5_predicextreme!$A$1:$V$1,0)-1,1,1))</f>
        <v>22.152072906494141</v>
      </c>
      <c r="AK11" s="8">
        <f ca="1">IF(OFFSET(Fact5_predicextreme!$A$1,MATCH($Y11,Fact5_predicextreme!$A$2:$A$26,0),MATCH(AK$2,Fact5_predicextreme!$A$1:$V$1,0)-1,1,1)=0,NA(),OFFSET(Fact5_predicextreme!$A$1,MATCH($Y11,Fact5_predicextreme!$A$2:$A$26,0),MATCH(AK$2,Fact5_predicextreme!$A$1:$V$1,0)-1,1,1))</f>
        <v>19.500482559204102</v>
      </c>
      <c r="AL11" s="8">
        <f ca="1">IF(OFFSET(Fact5_predicextreme!$A$1,MATCH($Y11,Fact5_predicextreme!$A$2:$A$26,0),MATCH(AL$2,Fact5_predicextreme!$A$1:$V$1,0)-1,1,1)=0,NA(),OFFSET(Fact5_predicextreme!$A$1,MATCH($Y11,Fact5_predicextreme!$A$2:$A$26,0),MATCH(AL$2,Fact5_predicextreme!$A$1:$V$1,0)-1,1,1))</f>
        <v>15.745692253112793</v>
      </c>
      <c r="AM11" s="8">
        <f ca="1">IF(OFFSET(Fact5_predicextreme!$A$1,MATCH($Y11,Fact5_predicextreme!$A$2:$A$26,0),MATCH(AM$2,Fact5_predicextreme!$A$1:$V$1,0)-1,1,1)=0,NA(),OFFSET(Fact5_predicextreme!$A$1,MATCH($Y11,Fact5_predicextreme!$A$2:$A$26,0),MATCH(AM$2,Fact5_predicextreme!$A$1:$V$1,0)-1,1,1))</f>
        <v>15.299579620361328</v>
      </c>
      <c r="AN11" s="8">
        <f ca="1">IF(OFFSET(Fact5_predicextreme!$A$1,MATCH($Y11,Fact5_predicextreme!$A$2:$A$26,0),MATCH(AN$2,Fact5_predicextreme!$A$1:$V$1,0)-1,1,1)=0,NA(),OFFSET(Fact5_predicextreme!$A$1,MATCH($Y11,Fact5_predicextreme!$A$2:$A$26,0),MATCH(AN$2,Fact5_predicextreme!$A$1:$V$1,0)-1,1,1))</f>
        <v>10.76158618927002</v>
      </c>
      <c r="AO11" s="8">
        <f ca="1">IF(OFFSET(Fact5_predicextreme!$A$1,MATCH($Y11,Fact5_predicextreme!$A$2:$A$26,0),MATCH(AO$2,Fact5_predicextreme!$A$1:$V$1,0)-1,1,1)=0,NA(),OFFSET(Fact5_predicextreme!$A$1,MATCH($Y11,Fact5_predicextreme!$A$2:$A$26,0),MATCH(AO$2,Fact5_predicextreme!$A$1:$V$1,0)-1,1,1))</f>
        <v>9.6287860870361328</v>
      </c>
      <c r="AP11" s="8">
        <f ca="1">IF(OFFSET(Fact5_predicextreme!$A$1,MATCH($Y11,Fact5_predicextreme!$A$2:$A$26,0),MATCH(AP$2,Fact5_predicextreme!$A$1:$V$1,0)-1,1,1)=0,NA(),OFFSET(Fact5_predicextreme!$A$1,MATCH($Y11,Fact5_predicextreme!$A$2:$A$26,0),MATCH(AP$2,Fact5_predicextreme!$A$1:$V$1,0)-1,1,1))</f>
        <v>7.701484203338623</v>
      </c>
      <c r="AQ11" s="8">
        <f ca="1">IF(OFFSET(Fact5_predicextreme!$A$1,MATCH($Y11,Fact5_predicextreme!$A$2:$A$26,0),MATCH(AQ$2,Fact5_predicextreme!$A$1:$V$1,0)-1,1,1)=0,NA(),OFFSET(Fact5_predicextreme!$A$1,MATCH($Y11,Fact5_predicextreme!$A$2:$A$26,0),MATCH(AQ$2,Fact5_predicextreme!$A$1:$V$1,0)-1,1,1))</f>
        <v>13.13040828704834</v>
      </c>
      <c r="AR11" s="8">
        <f ca="1">IF(OFFSET(Fact5_predicextreme!$A$1,MATCH($Y11,Fact5_predicextreme!$A$2:$A$26,0),MATCH(AR$2,Fact5_predicextreme!$A$1:$V$1,0)-1,1,1)=0,NA(),OFFSET(Fact5_predicextreme!$A$1,MATCH($Y11,Fact5_predicextreme!$A$2:$A$26,0),MATCH(AR$2,Fact5_predicextreme!$A$1:$V$1,0)-1,1,1))</f>
        <v>10.436375617980957</v>
      </c>
      <c r="AS11" s="8">
        <f ca="1">IF(OFFSET(Fact5_predicextreme!$A$1,MATCH($Y11,Fact5_predicextreme!$A$2:$A$26,0),MATCH(AS$2,Fact5_predicextreme!$A$1:$V$1,0)-1,1,1)=0,NA(),OFFSET(Fact5_predicextreme!$A$1,MATCH($Y11,Fact5_predicextreme!$A$2:$A$26,0),MATCH(AS$2,Fact5_predicextreme!$A$1:$V$1,0)-1,1,1))</f>
        <v>9.0519723892211914</v>
      </c>
      <c r="AT11" s="88">
        <f ca="1">IF(OFFSET(Fact5_predicextreme!$A$1,MATCH($Y11,Fact5_predicextreme!$A$2:$A$26,0),MATCH(AT$2,Fact5_predicextreme!$A$1:$V$1,0)-1,1,1)=0,NA(),OFFSET(Fact5_predicextreme!$A$1,MATCH($Y11,Fact5_predicextreme!$A$2:$A$26,0),MATCH(AT$2,Fact5_predicextreme!$A$1:$V$1,0)-1,1,1))</f>
        <v>7.8512125015258789</v>
      </c>
      <c r="AU11" s="2563" t="s">
        <v>27</v>
      </c>
      <c r="AV11" s="7547"/>
      <c r="AW11" s="7532">
        <f t="shared" ca="1" si="1"/>
        <v>-0.73232238990535325</v>
      </c>
      <c r="AX11" s="7533">
        <f t="shared" ca="1" si="3"/>
        <v>0.70491920003630693</v>
      </c>
      <c r="AY11" s="7532">
        <f t="shared" ca="1" si="4"/>
        <v>0.35511225400640933</v>
      </c>
      <c r="AZ11" s="7533"/>
      <c r="BA11" s="7532">
        <f t="shared" ca="1" si="5"/>
        <v>0.23425605225814272</v>
      </c>
      <c r="BB11" s="7532">
        <f t="shared" ca="1" si="6"/>
        <v>-0.16480682986866291</v>
      </c>
      <c r="BC11" s="7532">
        <f t="shared" ca="1" si="7"/>
        <v>-8.0535386478763016E-2</v>
      </c>
      <c r="BD11" s="7532">
        <f t="shared" ca="1" si="8"/>
        <v>-7.2454460224027462E-2</v>
      </c>
      <c r="BE11" s="7532">
        <f t="shared" ca="1" si="9"/>
        <v>-2.4448072320428116E-2</v>
      </c>
      <c r="BF11" s="7532">
        <f t="shared" ca="1" si="10"/>
        <v>-1.7493164309956621E-2</v>
      </c>
      <c r="BG11" s="7532">
        <f t="shared" ca="1" si="11"/>
        <v>5.7209550961399014E-3</v>
      </c>
      <c r="BH11" s="7532">
        <f t="shared" ca="1" si="12"/>
        <v>-8.047683736787814E-2</v>
      </c>
      <c r="BI11" s="7532">
        <f t="shared" ca="1" si="13"/>
        <v>2.7737585896325578E-2</v>
      </c>
      <c r="BJ11" s="7532">
        <f t="shared" ca="1" si="14"/>
        <v>-5.6984478575627606E-2</v>
      </c>
      <c r="BK11" s="7532">
        <f t="shared" ca="1" si="15"/>
        <v>-0.11969942309609749</v>
      </c>
      <c r="BL11" s="7532">
        <f t="shared" ca="1" si="16"/>
        <v>-0.19254858410255449</v>
      </c>
      <c r="BM11" s="7532">
        <f t="shared" ca="1" si="17"/>
        <v>-2.8332360723185901E-2</v>
      </c>
      <c r="BN11" s="7532">
        <f t="shared" ca="1" si="18"/>
        <v>-0.29660902741745632</v>
      </c>
      <c r="BO11" s="7532">
        <f t="shared" ca="1" si="19"/>
        <v>-0.10526330248261728</v>
      </c>
      <c r="BP11" s="7532">
        <f t="shared" ca="1" si="20"/>
        <v>-0.20016042170594717</v>
      </c>
      <c r="BQ11" s="7532">
        <f t="shared" ca="1" si="21"/>
        <v>0.70491920003630693</v>
      </c>
      <c r="BR11" s="7532">
        <f t="shared" ca="1" si="22"/>
        <v>-0.20517508748945312</v>
      </c>
      <c r="BS11" s="7532">
        <f t="shared" ca="1" si="23"/>
        <v>-0.13265172502746647</v>
      </c>
      <c r="BT11" s="7532">
        <f t="shared" ca="1" si="24"/>
        <v>-0.13265173998156909</v>
      </c>
      <c r="BU11" s="7532"/>
      <c r="BV11" s="8"/>
      <c r="ER11" t="s">
        <v>29</v>
      </c>
      <c r="ES11">
        <v>18190.483999999997</v>
      </c>
      <c r="ET11">
        <v>2677.1381155071249</v>
      </c>
      <c r="EU11">
        <v>3053.6443014636989</v>
      </c>
      <c r="EV11">
        <v>5730.7820700148768</v>
      </c>
      <c r="EW11" t="s">
        <v>29</v>
      </c>
      <c r="EX11" s="35">
        <f t="shared" si="25"/>
        <v>2.9151696504266123E-2</v>
      </c>
      <c r="EY11" s="35">
        <f t="shared" si="26"/>
        <v>3.206391376438323E-2</v>
      </c>
      <c r="EZ11" s="35">
        <f t="shared" si="27"/>
        <v>4.3282085060708624E-2</v>
      </c>
      <c r="FA11" s="35">
        <f t="shared" si="28"/>
        <v>3.7201768885152926E-2</v>
      </c>
      <c r="FF11" t="s">
        <v>29</v>
      </c>
      <c r="FG11" s="35">
        <v>2.9151696504266123E-2</v>
      </c>
      <c r="FH11" s="35">
        <v>3.206391376438323E-2</v>
      </c>
    </row>
    <row r="12" spans="2:164" ht="15" thickBot="1">
      <c r="B12" s="99" t="s">
        <v>29</v>
      </c>
      <c r="C12">
        <f>IF(Fact5_predicextreme!B9&gt;0,VLOOKUP(Fact5!$B12,Fact5_predicextreme!$A$1:$W$19,23,0),"")</f>
        <v>18190484</v>
      </c>
      <c r="D12">
        <f>IF(Fact5_predicextreme!C9&gt;0,VLOOKUP(Fact5!$B12,Fact5_predicextreme!$A$1:$W$19,23,0),"")</f>
        <v>18190484</v>
      </c>
      <c r="E12">
        <f>IF(Fact5_predicextreme!D9&gt;0,VLOOKUP(Fact5!$B12,Fact5_predicextreme!$A$1:$W$19,23,0),"")</f>
        <v>18190484</v>
      </c>
      <c r="F12">
        <f>IF(Fact5_predicextreme!E9&gt;0,VLOOKUP(Fact5!$B12,Fact5_predicextreme!$A$1:$W$19,23,0),"")</f>
        <v>18190484</v>
      </c>
      <c r="G12">
        <f>IF(Fact5_predicextreme!F9&gt;0,VLOOKUP(Fact5!$B12,Fact5_predicextreme!$A$1:$W$19,23,0),"")</f>
        <v>18190484</v>
      </c>
      <c r="H12">
        <f>IF(Fact5_predicextreme!G9&gt;0,VLOOKUP(Fact5!$B12,Fact5_predicextreme!$A$1:$W$19,23,0),"")</f>
        <v>18190484</v>
      </c>
      <c r="I12">
        <f>IF(Fact5_predicextreme!H9&gt;0,VLOOKUP(Fact5!$B12,Fact5_predicextreme!$A$1:$W$19,23,0),"")</f>
        <v>18190484</v>
      </c>
      <c r="J12">
        <f>IF(Fact5_predicextreme!I9&gt;0,VLOOKUP(Fact5!$B12,Fact5_predicextreme!$A$1:$W$19,23,0),"")</f>
        <v>18190484</v>
      </c>
      <c r="K12">
        <f>IF(Fact5_predicextreme!J9&gt;0,VLOOKUP(Fact5!$B12,Fact5_predicextreme!$A$1:$W$19,23,0),"")</f>
        <v>18190484</v>
      </c>
      <c r="L12">
        <f>IF(Fact5_predicextreme!K9&gt;0,VLOOKUP(Fact5!$B12,Fact5_predicextreme!$A$1:$W$19,23,0),"")</f>
        <v>18190484</v>
      </c>
      <c r="M12">
        <f>IF(Fact5_predicextreme!L9&gt;0,VLOOKUP(Fact5!$B12,Fact5_predicextreme!$A$1:$W$19,23,0),"")</f>
        <v>18190484</v>
      </c>
      <c r="N12">
        <f>IF(Fact5_predicextreme!M9&gt;0,VLOOKUP(Fact5!$B12,Fact5_predicextreme!$A$1:$W$19,23,0),"")</f>
        <v>18190484</v>
      </c>
      <c r="O12">
        <f>IF(Fact5_predicextreme!N9&gt;0,VLOOKUP(Fact5!$B12,Fact5_predicextreme!$A$1:$W$19,23,0),"")</f>
        <v>18190484</v>
      </c>
      <c r="P12">
        <f>IF(Fact5_predicextreme!O9&gt;0,VLOOKUP(Fact5!$B12,Fact5_predicextreme!$A$1:$W$19,23,0),"")</f>
        <v>18190484</v>
      </c>
      <c r="Q12">
        <f>IF(Fact5_predicextreme!P9&gt;0,VLOOKUP(Fact5!$B12,Fact5_predicextreme!$A$1:$W$19,23,0),"")</f>
        <v>18190484</v>
      </c>
      <c r="R12">
        <f>IF(Fact5_predicextreme!Q9&gt;0,VLOOKUP(Fact5!$B12,Fact5_predicextreme!$A$1:$W$19,23,0),"")</f>
        <v>18190484</v>
      </c>
      <c r="S12">
        <f>IF(Fact5_predicextreme!R9&gt;0,VLOOKUP(Fact5!$B12,Fact5_predicextreme!$A$1:$W$19,23,0),"")</f>
        <v>18190484</v>
      </c>
      <c r="T12">
        <f>IF(Fact5_predicextreme!S9&gt;0,VLOOKUP(Fact5!$B12,Fact5_predicextreme!$A$1:$W$19,23,0),"")</f>
        <v>18190484</v>
      </c>
      <c r="U12">
        <f>IF(Fact5_predicextreme!T9&gt;0,VLOOKUP(Fact5!$B12,Fact5_predicextreme!$A$1:$W$19,23,0),"")</f>
        <v>18190484</v>
      </c>
      <c r="V12">
        <f>IF(Fact5_predicextreme!U9&gt;0,VLOOKUP(Fact5!$B12,Fact5_predicextreme!$A$1:$W$19,23,0),"")</f>
        <v>18190484</v>
      </c>
      <c r="W12">
        <f>IF(Fact5_predicextreme!V9&gt;0,VLOOKUP(Fact5!$B12,Fact5_predicextreme!$A$1:$W$19,23,0),"")</f>
        <v>18190484</v>
      </c>
      <c r="X12" s="2562"/>
      <c r="Y12" s="2563" t="s">
        <v>29</v>
      </c>
      <c r="Z12" s="8">
        <f ca="1">IF(OFFSET(Fact5_predicextreme!$A$1,MATCH($Y12,Fact5_predicextreme!$A$2:$A$26,0),MATCH(Z$2,Fact5_predicextreme!$A$1:$V$1,0)-1,1,1)=0,NA(),OFFSET(Fact5_predicextreme!$A$1,MATCH($Y12,Fact5_predicextreme!$A$2:$A$26,0),MATCH(Z$2,Fact5_predicextreme!$A$1:$V$1,0)-1,1,1))</f>
        <v>37.090213775634766</v>
      </c>
      <c r="AA12" s="8">
        <f ca="1">IF(OFFSET(Fact5_predicextreme!$A$1,MATCH($Y12,Fact5_predicextreme!$A$2:$A$26,0),MATCH(AA$2,Fact5_predicextreme!$A$1:$V$1,0)-1,1,1)=0,NA(),OFFSET(Fact5_predicextreme!$A$1,MATCH($Y12,Fact5_predicextreme!$A$2:$A$26,0),MATCH(AA$2,Fact5_predicextreme!$A$1:$V$1,0)-1,1,1))</f>
        <v>33.023811340332031</v>
      </c>
      <c r="AB12" s="8">
        <f ca="1">IF(OFFSET(Fact5_predicextreme!$A$1,MATCH($Y12,Fact5_predicextreme!$A$2:$A$26,0),MATCH(AB$2,Fact5_predicextreme!$A$1:$V$1,0)-1,1,1)=0,NA(),OFFSET(Fact5_predicextreme!$A$1,MATCH($Y12,Fact5_predicextreme!$A$2:$A$26,0),MATCH(AB$2,Fact5_predicextreme!$A$1:$V$1,0)-1,1,1))</f>
        <v>30.692819595336914</v>
      </c>
      <c r="AC12" s="8">
        <f ca="1">IF(OFFSET(Fact5_predicextreme!$A$1,MATCH($Y12,Fact5_predicextreme!$A$2:$A$26,0),MATCH(AC$2,Fact5_predicextreme!$A$1:$V$1,0)-1,1,1)=0,NA(),OFFSET(Fact5_predicextreme!$A$1,MATCH($Y12,Fact5_predicextreme!$A$2:$A$26,0),MATCH(AC$2,Fact5_predicextreme!$A$1:$V$1,0)-1,1,1))</f>
        <v>25.60865592956543</v>
      </c>
      <c r="AD12" s="8">
        <f ca="1">IF(OFFSET(Fact5_predicextreme!$A$1,MATCH($Y12,Fact5_predicextreme!$A$2:$A$26,0),MATCH(AD$2,Fact5_predicextreme!$A$1:$V$1,0)-1,1,1)=0,NA(),OFFSET(Fact5_predicextreme!$A$1,MATCH($Y12,Fact5_predicextreme!$A$2:$A$26,0),MATCH(AD$2,Fact5_predicextreme!$A$1:$V$1,0)-1,1,1))</f>
        <v>24.897134780883789</v>
      </c>
      <c r="AE12" s="8">
        <f ca="1">IF(OFFSET(Fact5_predicextreme!$A$1,MATCH($Y12,Fact5_predicextreme!$A$2:$A$26,0),MATCH(AE$2,Fact5_predicextreme!$A$1:$V$1,0)-1,1,1)=0,NA(),OFFSET(Fact5_predicextreme!$A$1,MATCH($Y12,Fact5_predicextreme!$A$2:$A$26,0),MATCH(AE$2,Fact5_predicextreme!$A$1:$V$1,0)-1,1,1))</f>
        <v>23.852746963500977</v>
      </c>
      <c r="AF12" s="8">
        <f ca="1">IF(OFFSET(Fact5_predicextreme!$A$1,MATCH($Y12,Fact5_predicextreme!$A$2:$A$26,0),MATCH(AF$2,Fact5_predicextreme!$A$1:$V$1,0)-1,1,1)=0,NA(),OFFSET(Fact5_predicextreme!$A$1,MATCH($Y12,Fact5_predicextreme!$A$2:$A$26,0),MATCH(AF$2,Fact5_predicextreme!$A$1:$V$1,0)-1,1,1))</f>
        <v>23.81477165222168</v>
      </c>
      <c r="AG12" s="8">
        <f ca="1">IF(OFFSET(Fact5_predicextreme!$A$1,MATCH($Y12,Fact5_predicextreme!$A$2:$A$26,0),MATCH(AG$2,Fact5_predicextreme!$A$1:$V$1,0)-1,1,1)=0,NA(),OFFSET(Fact5_predicextreme!$A$1,MATCH($Y12,Fact5_predicextreme!$A$2:$A$26,0),MATCH(AG$2,Fact5_predicextreme!$A$1:$V$1,0)-1,1,1))</f>
        <v>21.660617828369141</v>
      </c>
      <c r="AH12" s="8">
        <f ca="1">IF(OFFSET(Fact5_predicextreme!$A$1,MATCH($Y12,Fact5_predicextreme!$A$2:$A$26,0),MATCH(AH$2,Fact5_predicextreme!$A$1:$V$1,0)-1,1,1)=0,NA(),OFFSET(Fact5_predicextreme!$A$1,MATCH($Y12,Fact5_predicextreme!$A$2:$A$26,0),MATCH(AH$2,Fact5_predicextreme!$A$1:$V$1,0)-1,1,1))</f>
        <v>17.783233642578125</v>
      </c>
      <c r="AI12" s="8">
        <f ca="1">IF(OFFSET(Fact5_predicextreme!$A$1,MATCH($Y12,Fact5_predicextreme!$A$2:$A$26,0),MATCH(AI$2,Fact5_predicextreme!$A$1:$V$1,0)-1,1,1)=0,NA(),OFFSET(Fact5_predicextreme!$A$1,MATCH($Y12,Fact5_predicextreme!$A$2:$A$26,0),MATCH(AI$2,Fact5_predicextreme!$A$1:$V$1,0)-1,1,1))</f>
        <v>17.211780548095703</v>
      </c>
      <c r="AJ12" s="8">
        <f ca="1">IF(OFFSET(Fact5_predicextreme!$A$1,MATCH($Y12,Fact5_predicextreme!$A$2:$A$26,0),MATCH(AJ$2,Fact5_predicextreme!$A$1:$V$1,0)-1,1,1)=0,NA(),OFFSET(Fact5_predicextreme!$A$1,MATCH($Y12,Fact5_predicextreme!$A$2:$A$26,0),MATCH(AJ$2,Fact5_predicextreme!$A$1:$V$1,0)-1,1,1))</f>
        <v>15.392486572265625</v>
      </c>
      <c r="AK12" s="8">
        <f ca="1">IF(OFFSET(Fact5_predicextreme!$A$1,MATCH($Y12,Fact5_predicextreme!$A$2:$A$26,0),MATCH(AK$2,Fact5_predicextreme!$A$1:$V$1,0)-1,1,1)=0,NA(),OFFSET(Fact5_predicextreme!$A$1,MATCH($Y12,Fact5_predicextreme!$A$2:$A$26,0),MATCH(AK$2,Fact5_predicextreme!$A$1:$V$1,0)-1,1,1))</f>
        <v>13.559603691101074</v>
      </c>
      <c r="AL12" s="8">
        <f ca="1">IF(OFFSET(Fact5_predicextreme!$A$1,MATCH($Y12,Fact5_predicextreme!$A$2:$A$26,0),MATCH(AL$2,Fact5_predicextreme!$A$1:$V$1,0)-1,1,1)=0,NA(),OFFSET(Fact5_predicextreme!$A$1,MATCH($Y12,Fact5_predicextreme!$A$2:$A$26,0),MATCH(AL$2,Fact5_predicextreme!$A$1:$V$1,0)-1,1,1))</f>
        <v>14.046497344970703</v>
      </c>
      <c r="AM12" s="8">
        <f ca="1">IF(OFFSET(Fact5_predicextreme!$A$1,MATCH($Y12,Fact5_predicextreme!$A$2:$A$26,0),MATCH(AM$2,Fact5_predicextreme!$A$1:$V$1,0)-1,1,1)=0,NA(),OFFSET(Fact5_predicextreme!$A$1,MATCH($Y12,Fact5_predicextreme!$A$2:$A$26,0),MATCH(AM$2,Fact5_predicextreme!$A$1:$V$1,0)-1,1,1))</f>
        <v>14.130780220031738</v>
      </c>
      <c r="AN12" s="8">
        <f ca="1">IF(OFFSET(Fact5_predicextreme!$A$1,MATCH($Y12,Fact5_predicextreme!$A$2:$A$26,0),MATCH(AN$2,Fact5_predicextreme!$A$1:$V$1,0)-1,1,1)=0,NA(),OFFSET(Fact5_predicextreme!$A$1,MATCH($Y12,Fact5_predicextreme!$A$2:$A$26,0),MATCH(AN$2,Fact5_predicextreme!$A$1:$V$1,0)-1,1,1))</f>
        <v>13.528898239135742</v>
      </c>
      <c r="AO12" s="8">
        <f ca="1">IF(OFFSET(Fact5_predicextreme!$A$1,MATCH($Y12,Fact5_predicextreme!$A$2:$A$26,0),MATCH(AO$2,Fact5_predicextreme!$A$1:$V$1,0)-1,1,1)=0,NA(),OFFSET(Fact5_predicextreme!$A$1,MATCH($Y12,Fact5_predicextreme!$A$2:$A$26,0),MATCH(AO$2,Fact5_predicextreme!$A$1:$V$1,0)-1,1,1))</f>
        <v>14.329412460327148</v>
      </c>
      <c r="AP12" s="8">
        <f ca="1">IF(OFFSET(Fact5_predicextreme!$A$1,MATCH($Y12,Fact5_predicextreme!$A$2:$A$26,0),MATCH(AP$2,Fact5_predicextreme!$A$1:$V$1,0)-1,1,1)=0,NA(),OFFSET(Fact5_predicextreme!$A$1,MATCH($Y12,Fact5_predicextreme!$A$2:$A$26,0),MATCH(AP$2,Fact5_predicextreme!$A$1:$V$1,0)-1,1,1))</f>
        <v>15.837186813354492</v>
      </c>
      <c r="AQ12" s="8">
        <f ca="1">IF(OFFSET(Fact5_predicextreme!$A$1,MATCH($Y12,Fact5_predicextreme!$A$2:$A$26,0),MATCH(AQ$2,Fact5_predicextreme!$A$1:$V$1,0)-1,1,1)=0,NA(),OFFSET(Fact5_predicextreme!$A$1,MATCH($Y12,Fact5_predicextreme!$A$2:$A$26,0),MATCH(AQ$2,Fact5_predicextreme!$A$1:$V$1,0)-1,1,1))</f>
        <v>21.555841445922852</v>
      </c>
      <c r="AR12" s="8">
        <f ca="1">IF(OFFSET(Fact5_predicextreme!$A$1,MATCH($Y12,Fact5_predicextreme!$A$2:$A$26,0),MATCH(AR$2,Fact5_predicextreme!$A$1:$V$1,0)-1,1,1)=0,NA(),OFFSET(Fact5_predicextreme!$A$1,MATCH($Y12,Fact5_predicextreme!$A$2:$A$26,0),MATCH(AR$2,Fact5_predicextreme!$A$1:$V$1,0)-1,1,1))</f>
        <v>15.889734268188477</v>
      </c>
      <c r="AS12" s="8">
        <f ca="1">IF(OFFSET(Fact5_predicextreme!$A$1,MATCH($Y12,Fact5_predicextreme!$A$2:$A$26,0),MATCH(AS$2,Fact5_predicextreme!$A$1:$V$1,0)-1,1,1)=0,NA(),OFFSET(Fact5_predicextreme!$A$1,MATCH($Y12,Fact5_predicextreme!$A$2:$A$26,0),MATCH(AS$2,Fact5_predicextreme!$A$1:$V$1,0)-1,1,1))</f>
        <v>14.630291938781738</v>
      </c>
      <c r="AT12" s="8">
        <f ca="1">IF(OFFSET(Fact5_predicextreme!$A$1,MATCH($Y12,Fact5_predicextreme!$A$2:$A$26,0),MATCH(AT$2,Fact5_predicextreme!$A$1:$V$1,0)-1,1,1)=0,NA(),OFFSET(Fact5_predicextreme!$A$1,MATCH($Y12,Fact5_predicextreme!$A$2:$A$26,0),MATCH(AT$2,Fact5_predicextreme!$A$1:$V$1,0)-1,1,1))</f>
        <v>15.846808433532715</v>
      </c>
      <c r="AU12" s="2563" t="s">
        <v>29</v>
      </c>
      <c r="AV12" s="7547"/>
      <c r="AW12" s="7532">
        <f t="shared" ca="1" si="1"/>
        <v>-0.57274960642198369</v>
      </c>
      <c r="AX12" s="7532">
        <f t="shared" ca="1" si="3"/>
        <v>0.36109030599715997</v>
      </c>
      <c r="AY12" s="7532">
        <f t="shared" ca="1" si="4"/>
        <v>3.3179790990198743E-3</v>
      </c>
      <c r="AZ12" s="7532"/>
      <c r="BA12" s="7532">
        <f t="shared" ca="1" si="5"/>
        <v>-0.10963545424410648</v>
      </c>
      <c r="BB12" s="7532">
        <f t="shared" ca="1" si="6"/>
        <v>-7.0585182339273911E-2</v>
      </c>
      <c r="BC12" s="7532">
        <f t="shared" ca="1" si="7"/>
        <v>-0.16564667999885907</v>
      </c>
      <c r="BD12" s="7532">
        <f t="shared" ca="1" si="8"/>
        <v>-2.7784400346454019E-2</v>
      </c>
      <c r="BE12" s="7532">
        <f t="shared" ca="1" si="9"/>
        <v>-4.1948112767767221E-2</v>
      </c>
      <c r="BF12" s="7532">
        <f t="shared" ca="1" si="10"/>
        <v>-1.5920728684795105E-3</v>
      </c>
      <c r="BG12" s="7532">
        <f t="shared" ca="1" si="11"/>
        <v>-9.0454523575143275E-2</v>
      </c>
      <c r="BH12" s="7532">
        <f t="shared" ca="1" si="12"/>
        <v>-0.17900616762245647</v>
      </c>
      <c r="BI12" s="7532">
        <f t="shared" ca="1" si="13"/>
        <v>-3.2134374769400842E-2</v>
      </c>
      <c r="BJ12" s="7532">
        <f t="shared" ca="1" si="14"/>
        <v>-0.10570050964491084</v>
      </c>
      <c r="BK12" s="7532">
        <f t="shared" ca="1" si="15"/>
        <v>-0.11907646451789422</v>
      </c>
      <c r="BL12" s="7532">
        <f t="shared" ca="1" si="16"/>
        <v>3.5907661091095777E-2</v>
      </c>
      <c r="BM12" s="7532">
        <f t="shared" ca="1" si="17"/>
        <v>6.0002770079341516E-3</v>
      </c>
      <c r="BN12" s="7532">
        <f t="shared" ca="1" si="18"/>
        <v>-4.2593683542170635E-2</v>
      </c>
      <c r="BO12" s="7532">
        <f t="shared" ca="1" si="19"/>
        <v>5.9170688332603305E-2</v>
      </c>
      <c r="BP12" s="7532">
        <f t="shared" ca="1" si="20"/>
        <v>0.10522234300965327</v>
      </c>
      <c r="BQ12" s="7532">
        <f t="shared" ca="1" si="21"/>
        <v>0.36109030599715997</v>
      </c>
      <c r="BR12" s="7532">
        <f t="shared" ca="1" si="22"/>
        <v>-0.26285715600334791</v>
      </c>
      <c r="BS12" s="7532">
        <f t="shared" ca="1" si="23"/>
        <v>-7.9261383994832624E-2</v>
      </c>
      <c r="BT12" s="7532">
        <f t="shared" ca="1" si="24"/>
        <v>8.3150527675134978E-2</v>
      </c>
      <c r="BU12" s="7532"/>
      <c r="BV12" s="8"/>
      <c r="ER12" t="s">
        <v>31</v>
      </c>
      <c r="ES12">
        <v>18092.026000000009</v>
      </c>
      <c r="ET12">
        <v>6362.1135603950534</v>
      </c>
      <c r="EU12">
        <v>3373.6848469397755</v>
      </c>
      <c r="EV12">
        <v>9735.7977171788061</v>
      </c>
      <c r="EW12" t="s">
        <v>31</v>
      </c>
      <c r="EX12" s="35">
        <f t="shared" si="25"/>
        <v>2.8993909733204027E-2</v>
      </c>
      <c r="EY12" s="35">
        <f t="shared" si="26"/>
        <v>7.6198631433357311E-2</v>
      </c>
      <c r="EZ12" s="35">
        <f t="shared" si="27"/>
        <v>4.7818311531333077E-2</v>
      </c>
      <c r="FA12" s="35">
        <f t="shared" si="28"/>
        <v>6.3200605460494358E-2</v>
      </c>
      <c r="FF12" t="s">
        <v>31</v>
      </c>
      <c r="FG12" s="35">
        <v>2.8993909733204027E-2</v>
      </c>
      <c r="FH12" s="35">
        <v>7.6198631433357311E-2</v>
      </c>
    </row>
    <row r="13" spans="2:164" ht="15" thickBot="1">
      <c r="B13" s="99" t="s">
        <v>31</v>
      </c>
      <c r="C13">
        <f>IF(Fact5_predicextreme!B10&gt;0,VLOOKUP(Fact5!$B13,Fact5_predicextreme!$A$1:$W$19,23,0),"")</f>
        <v>18092026</v>
      </c>
      <c r="D13">
        <f>IF(Fact5_predicextreme!C10&gt;0,VLOOKUP(Fact5!$B13,Fact5_predicextreme!$A$1:$W$19,23,0),"")</f>
        <v>18092026</v>
      </c>
      <c r="E13">
        <f>IF(Fact5_predicextreme!D10&gt;0,VLOOKUP(Fact5!$B13,Fact5_predicextreme!$A$1:$W$19,23,0),"")</f>
        <v>18092026</v>
      </c>
      <c r="F13">
        <f>IF(Fact5_predicextreme!E10&gt;0,VLOOKUP(Fact5!$B13,Fact5_predicextreme!$A$1:$W$19,23,0),"")</f>
        <v>18092026</v>
      </c>
      <c r="G13">
        <f>IF(Fact5_predicextreme!F10&gt;0,VLOOKUP(Fact5!$B13,Fact5_predicextreme!$A$1:$W$19,23,0),"")</f>
        <v>18092026</v>
      </c>
      <c r="H13">
        <f>IF(Fact5_predicextreme!G10&gt;0,VLOOKUP(Fact5!$B13,Fact5_predicextreme!$A$1:$W$19,23,0),"")</f>
        <v>18092026</v>
      </c>
      <c r="I13">
        <f>IF(Fact5_predicextreme!H10&gt;0,VLOOKUP(Fact5!$B13,Fact5_predicextreme!$A$1:$W$19,23,0),"")</f>
        <v>18092026</v>
      </c>
      <c r="J13">
        <f>IF(Fact5_predicextreme!I10&gt;0,VLOOKUP(Fact5!$B13,Fact5_predicextreme!$A$1:$W$19,23,0),"")</f>
        <v>18092026</v>
      </c>
      <c r="K13">
        <f>IF(Fact5_predicextreme!J10&gt;0,VLOOKUP(Fact5!$B13,Fact5_predicextreme!$A$1:$W$19,23,0),"")</f>
        <v>18092026</v>
      </c>
      <c r="L13">
        <f>IF(Fact5_predicextreme!K10&gt;0,VLOOKUP(Fact5!$B13,Fact5_predicextreme!$A$1:$W$19,23,0),"")</f>
        <v>18092026</v>
      </c>
      <c r="M13">
        <f>IF(Fact5_predicextreme!L10&gt;0,VLOOKUP(Fact5!$B13,Fact5_predicextreme!$A$1:$W$19,23,0),"")</f>
        <v>18092026</v>
      </c>
      <c r="N13">
        <f>IF(Fact5_predicextreme!M10&gt;0,VLOOKUP(Fact5!$B13,Fact5_predicextreme!$A$1:$W$19,23,0),"")</f>
        <v>18092026</v>
      </c>
      <c r="O13">
        <f>IF(Fact5_predicextreme!N10&gt;0,VLOOKUP(Fact5!$B13,Fact5_predicextreme!$A$1:$W$19,23,0),"")</f>
        <v>18092026</v>
      </c>
      <c r="P13">
        <f>IF(Fact5_predicextreme!O10&gt;0,VLOOKUP(Fact5!$B13,Fact5_predicextreme!$A$1:$W$19,23,0),"")</f>
        <v>18092026</v>
      </c>
      <c r="Q13">
        <f>IF(Fact5_predicextreme!P10&gt;0,VLOOKUP(Fact5!$B13,Fact5_predicextreme!$A$1:$W$19,23,0),"")</f>
        <v>18092026</v>
      </c>
      <c r="R13">
        <f>IF(Fact5_predicextreme!Q10&gt;0,VLOOKUP(Fact5!$B13,Fact5_predicextreme!$A$1:$W$19,23,0),"")</f>
        <v>18092026</v>
      </c>
      <c r="S13">
        <f>IF(Fact5_predicextreme!R10&gt;0,VLOOKUP(Fact5!$B13,Fact5_predicextreme!$A$1:$W$19,23,0),"")</f>
        <v>18092026</v>
      </c>
      <c r="T13">
        <f>IF(Fact5_predicextreme!S10&gt;0,VLOOKUP(Fact5!$B13,Fact5_predicextreme!$A$1:$W$19,23,0),"")</f>
        <v>18092026</v>
      </c>
      <c r="U13">
        <f>IF(Fact5_predicextreme!T10&gt;0,VLOOKUP(Fact5!$B13,Fact5_predicextreme!$A$1:$W$19,23,0),"")</f>
        <v>18092026</v>
      </c>
      <c r="V13">
        <f>IF(Fact5_predicextreme!U10&gt;0,VLOOKUP(Fact5!$B13,Fact5_predicextreme!$A$1:$W$19,23,0),"")</f>
        <v>18092026</v>
      </c>
      <c r="W13">
        <f>IF(Fact5_predicextreme!V10&gt;0,VLOOKUP(Fact5!$B13,Fact5_predicextreme!$A$1:$W$19,23,0),"")</f>
        <v>18092026</v>
      </c>
      <c r="X13" s="2562"/>
      <c r="Y13" s="2563" t="s">
        <v>31</v>
      </c>
      <c r="Z13" s="8">
        <f ca="1">IF(OFFSET(Fact5_predicextreme!$A$1,MATCH($Y13,Fact5_predicextreme!$A$2:$A$26,0),MATCH(Z$2,Fact5_predicextreme!$A$1:$V$1,0)-1,1,1)=0,NA(),OFFSET(Fact5_predicextreme!$A$1,MATCH($Y13,Fact5_predicextreme!$A$2:$A$26,0),MATCH(Z$2,Fact5_predicextreme!$A$1:$V$1,0)-1,1,1))</f>
        <v>29.191434860229492</v>
      </c>
      <c r="AA13" s="8">
        <f ca="1">IF(OFFSET(Fact5_predicextreme!$A$1,MATCH($Y13,Fact5_predicextreme!$A$2:$A$26,0),MATCH(AA$2,Fact5_predicextreme!$A$1:$V$1,0)-1,1,1)=0,NA(),OFFSET(Fact5_predicextreme!$A$1,MATCH($Y13,Fact5_predicextreme!$A$2:$A$26,0),MATCH(AA$2,Fact5_predicextreme!$A$1:$V$1,0)-1,1,1))</f>
        <v>40.634037017822266</v>
      </c>
      <c r="AB13" s="88">
        <f ca="1">IF(OFFSET(Fact5_predicextreme!$A$1,MATCH($Y13,Fact5_predicextreme!$A$2:$A$26,0),MATCH(AB$2,Fact5_predicextreme!$A$1:$V$1,0)-1,1,1)=0,NA(),OFFSET(Fact5_predicextreme!$A$1,MATCH($Y13,Fact5_predicextreme!$A$2:$A$26,0),MATCH(AB$2,Fact5_predicextreme!$A$1:$V$1,0)-1,1,1))</f>
        <v>34.707344055175781</v>
      </c>
      <c r="AC13" s="8">
        <f ca="1">IF(OFFSET(Fact5_predicextreme!$A$1,MATCH($Y13,Fact5_predicextreme!$A$2:$A$26,0),MATCH(AC$2,Fact5_predicextreme!$A$1:$V$1,0)-1,1,1)=0,NA(),OFFSET(Fact5_predicextreme!$A$1,MATCH($Y13,Fact5_predicextreme!$A$2:$A$26,0),MATCH(AC$2,Fact5_predicextreme!$A$1:$V$1,0)-1,1,1))</f>
        <v>28.780647277832031</v>
      </c>
      <c r="AD13" s="88">
        <f ca="1">IF(OFFSET(Fact5_predicextreme!$A$1,MATCH($Y13,Fact5_predicextreme!$A$2:$A$26,0),MATCH(AD$2,Fact5_predicextreme!$A$1:$V$1,0)-1,1,1)=0,NA(),OFFSET(Fact5_predicextreme!$A$1,MATCH($Y13,Fact5_predicextreme!$A$2:$A$26,0),MATCH(AD$2,Fact5_predicextreme!$A$1:$V$1,0)-1,1,1))</f>
        <v>32.770954132080078</v>
      </c>
      <c r="AE13" s="88">
        <f ca="1">IF(OFFSET(Fact5_predicextreme!$A$1,MATCH($Y13,Fact5_predicextreme!$A$2:$A$26,0),MATCH(AE$2,Fact5_predicextreme!$A$1:$V$1,0)-1,1,1)=0,NA(),OFFSET(Fact5_predicextreme!$A$1,MATCH($Y13,Fact5_predicextreme!$A$2:$A$26,0),MATCH(AE$2,Fact5_predicextreme!$A$1:$V$1,0)-1,1,1))</f>
        <v>37.314498901367188</v>
      </c>
      <c r="AF13" s="88">
        <f ca="1">IF(OFFSET(Fact5_predicextreme!$A$1,MATCH($Y13,Fact5_predicextreme!$A$2:$A$26,0),MATCH(AF$2,Fact5_predicextreme!$A$1:$V$1,0)-1,1,1)=0,NA(),OFFSET(Fact5_predicextreme!$A$1,MATCH($Y13,Fact5_predicextreme!$A$2:$A$26,0),MATCH(AF$2,Fact5_predicextreme!$A$1:$V$1,0)-1,1,1))</f>
        <v>42.487987518310547</v>
      </c>
      <c r="AG13" s="8">
        <f ca="1">IF(OFFSET(Fact5_predicextreme!$A$1,MATCH($Y13,Fact5_predicextreme!$A$2:$A$26,0),MATCH(AG$2,Fact5_predicextreme!$A$1:$V$1,0)-1,1,1)=0,NA(),OFFSET(Fact5_predicextreme!$A$1,MATCH($Y13,Fact5_predicextreme!$A$2:$A$26,0),MATCH(AG$2,Fact5_predicextreme!$A$1:$V$1,0)-1,1,1))</f>
        <v>48.378761291503906</v>
      </c>
      <c r="AH13" s="8">
        <f ca="1">IF(OFFSET(Fact5_predicextreme!$A$1,MATCH($Y13,Fact5_predicextreme!$A$2:$A$26,0),MATCH(AH$2,Fact5_predicextreme!$A$1:$V$1,0)-1,1,1)=0,NA(),OFFSET(Fact5_predicextreme!$A$1,MATCH($Y13,Fact5_predicextreme!$A$2:$A$26,0),MATCH(AH$2,Fact5_predicextreme!$A$1:$V$1,0)-1,1,1))</f>
        <v>47.511631011962891</v>
      </c>
      <c r="AI13" s="8">
        <f ca="1">IF(OFFSET(Fact5_predicextreme!$A$1,MATCH($Y13,Fact5_predicextreme!$A$2:$A$26,0),MATCH(AI$2,Fact5_predicextreme!$A$1:$V$1,0)-1,1,1)=0,NA(),OFFSET(Fact5_predicextreme!$A$1,MATCH($Y13,Fact5_predicextreme!$A$2:$A$26,0),MATCH(AI$2,Fact5_predicextreme!$A$1:$V$1,0)-1,1,1))</f>
        <v>37.146160125732422</v>
      </c>
      <c r="AJ13" s="8">
        <f ca="1">IF(OFFSET(Fact5_predicextreme!$A$1,MATCH($Y13,Fact5_predicextreme!$A$2:$A$26,0),MATCH(AJ$2,Fact5_predicextreme!$A$1:$V$1,0)-1,1,1)=0,NA(),OFFSET(Fact5_predicextreme!$A$1,MATCH($Y13,Fact5_predicextreme!$A$2:$A$26,0),MATCH(AJ$2,Fact5_predicextreme!$A$1:$V$1,0)-1,1,1))</f>
        <v>34.089271545410156</v>
      </c>
      <c r="AK13" s="8">
        <f ca="1">IF(OFFSET(Fact5_predicextreme!$A$1,MATCH($Y13,Fact5_predicextreme!$A$2:$A$26,0),MATCH(AK$2,Fact5_predicextreme!$A$1:$V$1,0)-1,1,1)=0,NA(),OFFSET(Fact5_predicextreme!$A$1,MATCH($Y13,Fact5_predicextreme!$A$2:$A$26,0),MATCH(AK$2,Fact5_predicextreme!$A$1:$V$1,0)-1,1,1))</f>
        <v>32.221889495849609</v>
      </c>
      <c r="AL13" s="8">
        <f ca="1">IF(OFFSET(Fact5_predicextreme!$A$1,MATCH($Y13,Fact5_predicextreme!$A$2:$A$26,0),MATCH(AL$2,Fact5_predicextreme!$A$1:$V$1,0)-1,1,1)=0,NA(),OFFSET(Fact5_predicextreme!$A$1,MATCH($Y13,Fact5_predicextreme!$A$2:$A$26,0),MATCH(AL$2,Fact5_predicextreme!$A$1:$V$1,0)-1,1,1))</f>
        <v>29.102621078491211</v>
      </c>
      <c r="AM13" s="8">
        <f ca="1">IF(OFFSET(Fact5_predicextreme!$A$1,MATCH($Y13,Fact5_predicextreme!$A$2:$A$26,0),MATCH(AM$2,Fact5_predicextreme!$A$1:$V$1,0)-1,1,1)=0,NA(),OFFSET(Fact5_predicextreme!$A$1,MATCH($Y13,Fact5_predicextreme!$A$2:$A$26,0),MATCH(AM$2,Fact5_predicextreme!$A$1:$V$1,0)-1,1,1))</f>
        <v>32.294181823730469</v>
      </c>
      <c r="AN13" s="8">
        <f ca="1">IF(OFFSET(Fact5_predicextreme!$A$1,MATCH($Y13,Fact5_predicextreme!$A$2:$A$26,0),MATCH(AN$2,Fact5_predicextreme!$A$1:$V$1,0)-1,1,1)=0,NA(),OFFSET(Fact5_predicextreme!$A$1,MATCH($Y13,Fact5_predicextreme!$A$2:$A$26,0),MATCH(AN$2,Fact5_predicextreme!$A$1:$V$1,0)-1,1,1))</f>
        <v>32.957473754882813</v>
      </c>
      <c r="AO13" s="8">
        <f ca="1">IF(OFFSET(Fact5_predicextreme!$A$1,MATCH($Y13,Fact5_predicextreme!$A$2:$A$26,0),MATCH(AO$2,Fact5_predicextreme!$A$1:$V$1,0)-1,1,1)=0,NA(),OFFSET(Fact5_predicextreme!$A$1,MATCH($Y13,Fact5_predicextreme!$A$2:$A$26,0),MATCH(AO$2,Fact5_predicextreme!$A$1:$V$1,0)-1,1,1))</f>
        <v>34.01861572265625</v>
      </c>
      <c r="AP13" s="8">
        <f ca="1">IF(OFFSET(Fact5_predicextreme!$A$1,MATCH($Y13,Fact5_predicextreme!$A$2:$A$26,0),MATCH(AP$2,Fact5_predicextreme!$A$1:$V$1,0)-1,1,1)=0,NA(),OFFSET(Fact5_predicextreme!$A$1,MATCH($Y13,Fact5_predicextreme!$A$2:$A$26,0),MATCH(AP$2,Fact5_predicextreme!$A$1:$V$1,0)-1,1,1))</f>
        <v>31.740251541137695</v>
      </c>
      <c r="AQ13" s="88">
        <f ca="1">IF(OFFSET(Fact5_predicextreme!$A$1,MATCH($Y13,Fact5_predicextreme!$A$2:$A$26,0),MATCH(AQ$2,Fact5_predicextreme!$A$1:$V$1,0)-1,1,1)=0,NA(),OFFSET(Fact5_predicextreme!$A$1,MATCH($Y13,Fact5_predicextreme!$A$2:$A$26,0),MATCH(AQ$2,Fact5_predicextreme!$A$1:$V$1,0)-1,1,1))</f>
        <v>32.39715576171875</v>
      </c>
      <c r="AR13" s="8">
        <f ca="1">IF(OFFSET(Fact5_predicextreme!$A$1,MATCH($Y13,Fact5_predicextreme!$A$2:$A$26,0),MATCH(AR$2,Fact5_predicextreme!$A$1:$V$1,0)-1,1,1)=0,NA(),OFFSET(Fact5_predicextreme!$A$1,MATCH($Y13,Fact5_predicextreme!$A$2:$A$26,0),MATCH(AR$2,Fact5_predicextreme!$A$1:$V$1,0)-1,1,1))</f>
        <v>33.054058074951172</v>
      </c>
      <c r="AS13" s="8">
        <f ca="1">IF(OFFSET(Fact5_predicextreme!$A$1,MATCH($Y13,Fact5_predicextreme!$A$2:$A$26,0),MATCH(AS$2,Fact5_predicextreme!$A$1:$V$1,0)-1,1,1)=0,NA(),OFFSET(Fact5_predicextreme!$A$1,MATCH($Y13,Fact5_predicextreme!$A$2:$A$26,0),MATCH(AS$2,Fact5_predicextreme!$A$1:$V$1,0)-1,1,1))</f>
        <v>31.91087532043457</v>
      </c>
      <c r="AT13" s="88">
        <f ca="1">IF(OFFSET(Fact5_predicextreme!$A$1,MATCH($Y13,Fact5_predicextreme!$A$2:$A$26,0),MATCH(AT$2,Fact5_predicextreme!$A$1:$V$1,0)-1,1,1)=0,NA(),OFFSET(Fact5_predicextreme!$A$1,MATCH($Y13,Fact5_predicextreme!$A$2:$A$26,0),MATCH(AT$2,Fact5_predicextreme!$A$1:$V$1,0)-1,1,1))</f>
        <v>30.807229995727539</v>
      </c>
      <c r="AU13" s="2563" t="s">
        <v>31</v>
      </c>
      <c r="AV13" s="7547"/>
      <c r="AW13" s="7534">
        <f t="shared" ca="1" si="1"/>
        <v>5.5351685973456854E-2</v>
      </c>
      <c r="AX13" s="7532">
        <f t="shared" ca="1" si="3"/>
        <v>2.0696251248345066E-2</v>
      </c>
      <c r="AY13" s="7532">
        <f t="shared" ca="1" si="4"/>
        <v>4.1392442404266649E-2</v>
      </c>
      <c r="AZ13" s="7532"/>
      <c r="BA13" s="7532">
        <f t="shared" ca="1" si="5"/>
        <v>0.39198491654763479</v>
      </c>
      <c r="BB13" s="7532">
        <f t="shared" ca="1" si="6"/>
        <v>-0.14585538129147768</v>
      </c>
      <c r="BC13" s="7532">
        <f t="shared" ca="1" si="7"/>
        <v>-0.17076203721961036</v>
      </c>
      <c r="BD13" s="7532">
        <f t="shared" ca="1" si="8"/>
        <v>0.13864548686928013</v>
      </c>
      <c r="BE13" s="7532">
        <f t="shared" ca="1" si="9"/>
        <v>0.13864548316093583</v>
      </c>
      <c r="BF13" s="7532">
        <f t="shared" ca="1" si="10"/>
        <v>0.1386455337540069</v>
      </c>
      <c r="BG13" s="7532">
        <f t="shared" ca="1" si="11"/>
        <v>0.13864562944184367</v>
      </c>
      <c r="BH13" s="7532">
        <f t="shared" ca="1" si="12"/>
        <v>-1.7923780113264232E-2</v>
      </c>
      <c r="BI13" s="7532">
        <f t="shared" ca="1" si="13"/>
        <v>-0.21816701859004928</v>
      </c>
      <c r="BJ13" s="7532">
        <f t="shared" ca="1" si="14"/>
        <v>-8.2293528320970477E-2</v>
      </c>
      <c r="BK13" s="7532">
        <f t="shared" ca="1" si="15"/>
        <v>-5.4779171419753414E-2</v>
      </c>
      <c r="BL13" s="7532">
        <f t="shared" ca="1" si="16"/>
        <v>-9.6805881534668514E-2</v>
      </c>
      <c r="BM13" s="7532">
        <f t="shared" ca="1" si="17"/>
        <v>0.10966574923377048</v>
      </c>
      <c r="BN13" s="7532">
        <f t="shared" ca="1" si="18"/>
        <v>2.053905359091468E-2</v>
      </c>
      <c r="BO13" s="7532">
        <f t="shared" ca="1" si="19"/>
        <v>3.2197309043331179E-2</v>
      </c>
      <c r="BP13" s="7532">
        <f t="shared" ca="1" si="20"/>
        <v>-6.6974041509901161E-2</v>
      </c>
      <c r="BQ13" s="7532">
        <f t="shared" ca="1" si="21"/>
        <v>2.0696251248345066E-2</v>
      </c>
      <c r="BR13" s="7532">
        <f t="shared" ca="1" si="22"/>
        <v>2.0276542733070224E-2</v>
      </c>
      <c r="BS13" s="7532">
        <f t="shared" ca="1" si="23"/>
        <v>-3.4585246747143583E-2</v>
      </c>
      <c r="BT13" s="7532">
        <f t="shared" ca="1" si="24"/>
        <v>-3.4585241351881568E-2</v>
      </c>
      <c r="BU13" s="7532"/>
      <c r="BV13" s="8"/>
      <c r="ER13" t="s">
        <v>15</v>
      </c>
      <c r="ES13">
        <v>12388.570999999987</v>
      </c>
      <c r="ET13">
        <v>1329.2253228433792</v>
      </c>
      <c r="EU13">
        <v>1632.8982885866913</v>
      </c>
      <c r="EV13">
        <v>2962.1236114300691</v>
      </c>
      <c r="EW13" t="s">
        <v>15</v>
      </c>
      <c r="EX13" s="35">
        <f t="shared" si="25"/>
        <v>1.9853669749169529E-2</v>
      </c>
      <c r="EY13" s="35">
        <f t="shared" si="26"/>
        <v>1.5920047560568657E-2</v>
      </c>
      <c r="EZ13" s="35">
        <f t="shared" si="27"/>
        <v>2.3144556354588532E-2</v>
      </c>
      <c r="FA13" s="35">
        <f t="shared" si="28"/>
        <v>1.9228830664885132E-2</v>
      </c>
      <c r="FF13" t="s">
        <v>15</v>
      </c>
      <c r="FG13" s="35">
        <v>1.9853669749169529E-2</v>
      </c>
      <c r="FH13" s="35">
        <v>1.5920047560568657E-2</v>
      </c>
    </row>
    <row r="14" spans="2:164" ht="15" thickBot="1">
      <c r="B14" s="99" t="s">
        <v>33</v>
      </c>
      <c r="C14" t="str">
        <f>IF(Fact5_predicextreme!B11&gt;0,VLOOKUP(Fact5!$B14,Fact5_predicextreme!$A$1:$W$19,23,0),"")</f>
        <v/>
      </c>
      <c r="D14" t="str">
        <f>IF(Fact5_predicextreme!C11&gt;0,VLOOKUP(Fact5!$B14,Fact5_predicextreme!$A$1:$W$19,23,0),"")</f>
        <v/>
      </c>
      <c r="E14" t="str">
        <f>IF(Fact5_predicextreme!D11&gt;0,VLOOKUP(Fact5!$B14,Fact5_predicextreme!$A$1:$W$19,23,0),"")</f>
        <v/>
      </c>
      <c r="F14" t="str">
        <f>IF(Fact5_predicextreme!E11&gt;0,VLOOKUP(Fact5!$B14,Fact5_predicextreme!$A$1:$W$19,23,0),"")</f>
        <v/>
      </c>
      <c r="G14" t="str">
        <f>IF(Fact5_predicextreme!F11&gt;0,VLOOKUP(Fact5!$B14,Fact5_predicextreme!$A$1:$W$19,23,0),"")</f>
        <v/>
      </c>
      <c r="H14" t="str">
        <f>IF(Fact5_predicextreme!G11&gt;0,VLOOKUP(Fact5!$B14,Fact5_predicextreme!$A$1:$W$19,23,0),"")</f>
        <v/>
      </c>
      <c r="I14" t="str">
        <f>IF(Fact5_predicextreme!H11&gt;0,VLOOKUP(Fact5!$B14,Fact5_predicextreme!$A$1:$W$19,23,0),"")</f>
        <v/>
      </c>
      <c r="J14" t="str">
        <f>IF(Fact5_predicextreme!I11&gt;0,VLOOKUP(Fact5!$B14,Fact5_predicextreme!$A$1:$W$19,23,0),"")</f>
        <v/>
      </c>
      <c r="K14" t="str">
        <f>IF(Fact5_predicextreme!J11&gt;0,VLOOKUP(Fact5!$B14,Fact5_predicextreme!$A$1:$W$19,23,0),"")</f>
        <v/>
      </c>
      <c r="L14" t="str">
        <f>IF(Fact5_predicextreme!K11&gt;0,VLOOKUP(Fact5!$B14,Fact5_predicextreme!$A$1:$W$19,23,0),"")</f>
        <v/>
      </c>
      <c r="M14" t="str">
        <f>IF(Fact5_predicextreme!L11&gt;0,VLOOKUP(Fact5!$B14,Fact5_predicextreme!$A$1:$W$19,23,0),"")</f>
        <v/>
      </c>
      <c r="N14" t="str">
        <f>IF(Fact5_predicextreme!M11&gt;0,VLOOKUP(Fact5!$B14,Fact5_predicextreme!$A$1:$W$19,23,0),"")</f>
        <v/>
      </c>
      <c r="O14" t="str">
        <f>IF(Fact5_predicextreme!N11&gt;0,VLOOKUP(Fact5!$B14,Fact5_predicextreme!$A$1:$W$19,23,0),"")</f>
        <v/>
      </c>
      <c r="P14" t="str">
        <f>IF(Fact5_predicextreme!O11&gt;0,VLOOKUP(Fact5!$B14,Fact5_predicextreme!$A$1:$W$19,23,0),"")</f>
        <v/>
      </c>
      <c r="Q14">
        <f>IF(Fact5_predicextreme!P11&gt;0,VLOOKUP(Fact5!$B14,Fact5_predicextreme!$A$1:$W$19,23,0),"")</f>
        <v>813834</v>
      </c>
      <c r="R14">
        <f>IF(Fact5_predicextreme!Q11&gt;0,VLOOKUP(Fact5!$B14,Fact5_predicextreme!$A$1:$W$19,23,0),"")</f>
        <v>813834</v>
      </c>
      <c r="S14">
        <f>IF(Fact5_predicextreme!R11&gt;0,VLOOKUP(Fact5!$B14,Fact5_predicextreme!$A$1:$W$19,23,0),"")</f>
        <v>813834</v>
      </c>
      <c r="T14">
        <f>IF(Fact5_predicextreme!S11&gt;0,VLOOKUP(Fact5!$B14,Fact5_predicextreme!$A$1:$W$19,23,0),"")</f>
        <v>813834</v>
      </c>
      <c r="U14">
        <f>IF(Fact5_predicextreme!T11&gt;0,VLOOKUP(Fact5!$B14,Fact5_predicextreme!$A$1:$W$19,23,0),"")</f>
        <v>813834</v>
      </c>
      <c r="V14" s="196">
        <f>U14</f>
        <v>813834</v>
      </c>
      <c r="W14" s="196">
        <f>V14</f>
        <v>813834</v>
      </c>
      <c r="X14" s="2562"/>
      <c r="Y14" s="2563" t="s">
        <v>33</v>
      </c>
      <c r="Z14" s="2565"/>
      <c r="AA14" s="2565"/>
      <c r="AB14" s="2565"/>
      <c r="AC14" s="2565"/>
      <c r="AD14" s="2565"/>
      <c r="AE14" s="2565"/>
      <c r="AF14" s="2565"/>
      <c r="AG14" s="2565"/>
      <c r="AH14" s="2565"/>
      <c r="AI14" s="2565"/>
      <c r="AJ14" s="2565"/>
      <c r="AK14" s="2565"/>
      <c r="AL14" s="2565"/>
      <c r="AM14" s="2565"/>
      <c r="AN14" s="8">
        <f ca="1">IF(OFFSET(Fact5_predicextreme!$A$1,MATCH($Y14,Fact5_predicextreme!$A$2:$A$26,0),MATCH(AN$2,Fact5_predicextreme!$A$1:$V$1,0)-1,1,1)=0,NA(),OFFSET(Fact5_predicextreme!$A$1,MATCH($Y14,Fact5_predicextreme!$A$2:$A$26,0),MATCH(AN$2,Fact5_predicextreme!$A$1:$V$1,0)-1,1,1))</f>
        <v>29.606311798095703</v>
      </c>
      <c r="AO14" s="8">
        <f ca="1">IF(OFFSET(Fact5_predicextreme!$A$1,MATCH($Y14,Fact5_predicextreme!$A$2:$A$26,0),MATCH(AO$2,Fact5_predicextreme!$A$1:$V$1,0)-1,1,1)=0,NA(),OFFSET(Fact5_predicextreme!$A$1,MATCH($Y14,Fact5_predicextreme!$A$2:$A$26,0),MATCH(AO$2,Fact5_predicextreme!$A$1:$V$1,0)-1,1,1))</f>
        <v>31.088315963745117</v>
      </c>
      <c r="AP14" s="8">
        <f ca="1">IF(OFFSET(Fact5_predicextreme!$A$1,MATCH($Y14,Fact5_predicextreme!$A$2:$A$26,0),MATCH(AP$2,Fact5_predicextreme!$A$1:$V$1,0)-1,1,1)=0,NA(),OFFSET(Fact5_predicextreme!$A$1,MATCH($Y14,Fact5_predicextreme!$A$2:$A$26,0),MATCH(AP$2,Fact5_predicextreme!$A$1:$V$1,0)-1,1,1))</f>
        <v>32.4420166015625</v>
      </c>
      <c r="AQ14" s="88">
        <f ca="1">IF(OFFSET(Fact5_predicextreme!$A$1,MATCH($Y14,Fact5_predicextreme!$A$2:$A$26,0),MATCH(AQ$2,Fact5_predicextreme!$A$1:$V$1,0)-1,1,1)=0,NA(),OFFSET(Fact5_predicextreme!$A$1,MATCH($Y14,Fact5_predicextreme!$A$2:$A$26,0),MATCH(AQ$2,Fact5_predicextreme!$A$1:$V$1,0)-1,1,1))</f>
        <v>32.220237731933594</v>
      </c>
      <c r="AR14" s="8">
        <f ca="1">IF(OFFSET(Fact5_predicextreme!$A$1,MATCH($Y14,Fact5_predicextreme!$A$2:$A$26,0),MATCH(AR$2,Fact5_predicextreme!$A$1:$V$1,0)-1,1,1)=0,NA(),OFFSET(Fact5_predicextreme!$A$1,MATCH($Y14,Fact5_predicextreme!$A$2:$A$26,0),MATCH(AR$2,Fact5_predicextreme!$A$1:$V$1,0)-1,1,1))</f>
        <v>31.99846076965332</v>
      </c>
      <c r="AS14" s="2566">
        <f ca="1">AR14</f>
        <v>31.99846076965332</v>
      </c>
      <c r="AT14" s="2566">
        <f ca="1">AS14</f>
        <v>31.99846076965332</v>
      </c>
      <c r="AU14" s="2563" t="s">
        <v>33</v>
      </c>
      <c r="AV14" s="7547"/>
      <c r="AW14" s="7534">
        <f ca="1">AT14/AN14-1</f>
        <v>8.079861442624825E-2</v>
      </c>
      <c r="AX14" s="7532">
        <f t="shared" ca="1" si="3"/>
        <v>-6.836161646567418E-3</v>
      </c>
      <c r="AY14" s="7532">
        <f t="shared" ca="1" si="4"/>
        <v>-1.3672264500592668E-2</v>
      </c>
      <c r="AZ14" s="7532"/>
      <c r="BA14" s="7532" t="str">
        <f t="shared" si="5"/>
        <v/>
      </c>
      <c r="BB14" s="7532" t="str">
        <f t="shared" si="6"/>
        <v/>
      </c>
      <c r="BC14" s="7532" t="str">
        <f t="shared" si="7"/>
        <v/>
      </c>
      <c r="BD14" s="7532" t="str">
        <f t="shared" si="8"/>
        <v/>
      </c>
      <c r="BE14" s="7532" t="str">
        <f t="shared" si="9"/>
        <v/>
      </c>
      <c r="BF14" s="7532" t="str">
        <f t="shared" si="10"/>
        <v/>
      </c>
      <c r="BG14" s="7532" t="str">
        <f t="shared" si="11"/>
        <v/>
      </c>
      <c r="BH14" s="7532" t="str">
        <f t="shared" si="12"/>
        <v/>
      </c>
      <c r="BI14" s="7532" t="str">
        <f t="shared" si="13"/>
        <v/>
      </c>
      <c r="BJ14" s="7532" t="str">
        <f t="shared" si="14"/>
        <v/>
      </c>
      <c r="BK14" s="7532" t="str">
        <f t="shared" si="15"/>
        <v/>
      </c>
      <c r="BL14" s="7532" t="str">
        <f t="shared" si="16"/>
        <v/>
      </c>
      <c r="BM14" s="7532" t="str">
        <f t="shared" si="17"/>
        <v/>
      </c>
      <c r="BN14" s="7532" t="str">
        <f t="shared" ca="1" si="18"/>
        <v/>
      </c>
      <c r="BO14" s="7532">
        <f t="shared" ca="1" si="19"/>
        <v>5.0057034316065563E-2</v>
      </c>
      <c r="BP14" s="7532">
        <f t="shared" ca="1" si="20"/>
        <v>4.3543710743163322E-2</v>
      </c>
      <c r="BQ14" s="7532">
        <f t="shared" ca="1" si="21"/>
        <v>-6.836161646567418E-3</v>
      </c>
      <c r="BR14" s="7532">
        <f t="shared" ca="1" si="22"/>
        <v>-6.8831572294846266E-3</v>
      </c>
      <c r="BS14" s="7532">
        <f t="shared" ca="1" si="23"/>
        <v>0</v>
      </c>
      <c r="BT14" s="7532">
        <f t="shared" ca="1" si="24"/>
        <v>0</v>
      </c>
      <c r="BU14" s="7532"/>
      <c r="BV14" s="8"/>
      <c r="ER14" t="s">
        <v>27</v>
      </c>
      <c r="ES14">
        <v>11332.9725</v>
      </c>
      <c r="ET14">
        <v>939.48601510348317</v>
      </c>
      <c r="EU14">
        <v>1352.7448693267108</v>
      </c>
      <c r="EV14">
        <v>2292.230776350546</v>
      </c>
      <c r="EW14" t="s">
        <v>27</v>
      </c>
      <c r="EX14" s="35">
        <f t="shared" si="25"/>
        <v>1.8161989247300631E-2</v>
      </c>
      <c r="EY14" s="35">
        <f t="shared" si="26"/>
        <v>1.1252164539675188E-2</v>
      </c>
      <c r="EZ14" s="35">
        <f t="shared" si="27"/>
        <v>1.9173686493731891E-2</v>
      </c>
      <c r="FA14" s="35">
        <f t="shared" si="28"/>
        <v>1.4880174910054868E-2</v>
      </c>
      <c r="FF14" t="s">
        <v>27</v>
      </c>
      <c r="FG14" s="35">
        <v>1.8161989247300631E-2</v>
      </c>
      <c r="FH14" s="35">
        <v>1.1252164539675188E-2</v>
      </c>
    </row>
    <row r="15" spans="2:164">
      <c r="B15" s="99" t="s">
        <v>34</v>
      </c>
      <c r="C15">
        <f>IF(Fact5_predicextreme!B12&gt;0,VLOOKUP(Fact5!$B15,Fact5_predicextreme!$A$1:$W$19,23,0),"")</f>
        <v>10593798</v>
      </c>
      <c r="D15">
        <f>IF(Fact5_predicextreme!C12&gt;0,VLOOKUP(Fact5!$B15,Fact5_predicextreme!$A$1:$W$19,23,0),"")</f>
        <v>10593798</v>
      </c>
      <c r="E15">
        <f>IF(Fact5_predicextreme!D12&gt;0,VLOOKUP(Fact5!$B15,Fact5_predicextreme!$A$1:$W$19,23,0),"")</f>
        <v>10593798</v>
      </c>
      <c r="F15">
        <f>IF(Fact5_predicextreme!E12&gt;0,VLOOKUP(Fact5!$B15,Fact5_predicextreme!$A$1:$W$19,23,0),"")</f>
        <v>10593798</v>
      </c>
      <c r="G15">
        <f>IF(Fact5_predicextreme!F12&gt;0,VLOOKUP(Fact5!$B15,Fact5_predicextreme!$A$1:$W$19,23,0),"")</f>
        <v>10593798</v>
      </c>
      <c r="H15">
        <f>IF(Fact5_predicextreme!G12&gt;0,VLOOKUP(Fact5!$B15,Fact5_predicextreme!$A$1:$W$19,23,0),"")</f>
        <v>10593798</v>
      </c>
      <c r="I15">
        <f>IF(Fact5_predicextreme!H12&gt;0,VLOOKUP(Fact5!$B15,Fact5_predicextreme!$A$1:$W$19,23,0),"")</f>
        <v>10593798</v>
      </c>
      <c r="J15">
        <f>IF(Fact5_predicextreme!I12&gt;0,VLOOKUP(Fact5!$B15,Fact5_predicextreme!$A$1:$W$19,23,0),"")</f>
        <v>10593798</v>
      </c>
      <c r="K15">
        <f>IF(Fact5_predicextreme!J12&gt;0,VLOOKUP(Fact5!$B15,Fact5_predicextreme!$A$1:$W$19,23,0),"")</f>
        <v>10593798</v>
      </c>
      <c r="L15">
        <f>IF(Fact5_predicextreme!K12&gt;0,VLOOKUP(Fact5!$B15,Fact5_predicextreme!$A$1:$W$19,23,0),"")</f>
        <v>10593798</v>
      </c>
      <c r="M15">
        <f>IF(Fact5_predicextreme!L12&gt;0,VLOOKUP(Fact5!$B15,Fact5_predicextreme!$A$1:$W$19,23,0),"")</f>
        <v>10593798</v>
      </c>
      <c r="N15">
        <f>IF(Fact5_predicextreme!M12&gt;0,VLOOKUP(Fact5!$B15,Fact5_predicextreme!$A$1:$W$19,23,0),"")</f>
        <v>10593798</v>
      </c>
      <c r="O15">
        <f>IF(Fact5_predicextreme!N12&gt;0,VLOOKUP(Fact5!$B15,Fact5_predicextreme!$A$1:$W$19,23,0),"")</f>
        <v>10593798</v>
      </c>
      <c r="P15">
        <f>IF(Fact5_predicextreme!O12&gt;0,VLOOKUP(Fact5!$B15,Fact5_predicextreme!$A$1:$W$19,23,0),"")</f>
        <v>10593798</v>
      </c>
      <c r="Q15">
        <f>IF(Fact5_predicextreme!P12&gt;0,VLOOKUP(Fact5!$B15,Fact5_predicextreme!$A$1:$W$19,23,0),"")</f>
        <v>10593798</v>
      </c>
      <c r="R15">
        <f>IF(Fact5_predicextreme!Q12&gt;0,VLOOKUP(Fact5!$B15,Fact5_predicextreme!$A$1:$W$19,23,0),"")</f>
        <v>10593798</v>
      </c>
      <c r="S15">
        <f>IF(Fact5_predicextreme!R12&gt;0,VLOOKUP(Fact5!$B15,Fact5_predicextreme!$A$1:$W$19,23,0),"")</f>
        <v>10593798</v>
      </c>
      <c r="T15">
        <f>IF(Fact5_predicextreme!S12&gt;0,VLOOKUP(Fact5!$B15,Fact5_predicextreme!$A$1:$W$19,23,0),"")</f>
        <v>10593798</v>
      </c>
      <c r="U15">
        <f>IF(Fact5_predicextreme!T12&gt;0,VLOOKUP(Fact5!$B15,Fact5_predicextreme!$A$1:$W$19,23,0),"")</f>
        <v>10593798</v>
      </c>
      <c r="V15">
        <f>IF(Fact5_predicextreme!U12&gt;0,VLOOKUP(Fact5!$B15,Fact5_predicextreme!$A$1:$W$19,23,0),"")</f>
        <v>10593798</v>
      </c>
      <c r="W15">
        <f>IF(Fact5_predicextreme!V12&gt;0,VLOOKUP(Fact5!$B15,Fact5_predicextreme!$A$1:$W$19,23,0),"")</f>
        <v>10593798</v>
      </c>
      <c r="X15" s="2562"/>
      <c r="Y15" s="2563" t="s">
        <v>34</v>
      </c>
      <c r="Z15" s="8">
        <f ca="1">IF(OFFSET(Fact5_predicextreme!$A$1,MATCH($Y15,Fact5_predicextreme!$A$2:$A$26,0),MATCH(Z$2,Fact5_predicextreme!$A$1:$V$1,0)-1,1,1)=0,NA(),OFFSET(Fact5_predicextreme!$A$1,MATCH($Y15,Fact5_predicextreme!$A$2:$A$26,0),MATCH(Z$2,Fact5_predicextreme!$A$1:$V$1,0)-1,1,1))</f>
        <v>40.934581756591797</v>
      </c>
      <c r="AA15" s="8">
        <f ca="1">IF(OFFSET(Fact5_predicextreme!$A$1,MATCH($Y15,Fact5_predicextreme!$A$2:$A$26,0),MATCH(AA$2,Fact5_predicextreme!$A$1:$V$1,0)-1,1,1)=0,NA(),OFFSET(Fact5_predicextreme!$A$1,MATCH($Y15,Fact5_predicextreme!$A$2:$A$26,0),MATCH(AA$2,Fact5_predicextreme!$A$1:$V$1,0)-1,1,1))</f>
        <v>44.941993713378906</v>
      </c>
      <c r="AB15" s="8">
        <f ca="1">IF(OFFSET(Fact5_predicextreme!$A$1,MATCH($Y15,Fact5_predicextreme!$A$2:$A$26,0),MATCH(AB$2,Fact5_predicextreme!$A$1:$V$1,0)-1,1,1)=0,NA(),OFFSET(Fact5_predicextreme!$A$1,MATCH($Y15,Fact5_predicextreme!$A$2:$A$26,0),MATCH(AB$2,Fact5_predicextreme!$A$1:$V$1,0)-1,1,1))</f>
        <v>43.037544250488281</v>
      </c>
      <c r="AC15" s="8">
        <f ca="1">IF(OFFSET(Fact5_predicextreme!$A$1,MATCH($Y15,Fact5_predicextreme!$A$2:$A$26,0),MATCH(AC$2,Fact5_predicextreme!$A$1:$V$1,0)-1,1,1)=0,NA(),OFFSET(Fact5_predicextreme!$A$1,MATCH($Y15,Fact5_predicextreme!$A$2:$A$26,0),MATCH(AC$2,Fact5_predicextreme!$A$1:$V$1,0)-1,1,1))</f>
        <v>40.247760772705078</v>
      </c>
      <c r="AD15" s="8">
        <f ca="1">IF(OFFSET(Fact5_predicextreme!$A$1,MATCH($Y15,Fact5_predicextreme!$A$2:$A$26,0),MATCH(AD$2,Fact5_predicextreme!$A$1:$V$1,0)-1,1,1)=0,NA(),OFFSET(Fact5_predicextreme!$A$1,MATCH($Y15,Fact5_predicextreme!$A$2:$A$26,0),MATCH(AD$2,Fact5_predicextreme!$A$1:$V$1,0)-1,1,1))</f>
        <v>35.678627014160156</v>
      </c>
      <c r="AE15" s="8">
        <f ca="1">IF(OFFSET(Fact5_predicextreme!$A$1,MATCH($Y15,Fact5_predicextreme!$A$2:$A$26,0),MATCH(AE$2,Fact5_predicextreme!$A$1:$V$1,0)-1,1,1)=0,NA(),OFFSET(Fact5_predicextreme!$A$1,MATCH($Y15,Fact5_predicextreme!$A$2:$A$26,0),MATCH(AE$2,Fact5_predicextreme!$A$1:$V$1,0)-1,1,1))</f>
        <v>31.946559906005859</v>
      </c>
      <c r="AF15" s="8">
        <f ca="1">IF(OFFSET(Fact5_predicextreme!$A$1,MATCH($Y15,Fact5_predicextreme!$A$2:$A$26,0),MATCH(AF$2,Fact5_predicextreme!$A$1:$V$1,0)-1,1,1)=0,NA(),OFFSET(Fact5_predicextreme!$A$1,MATCH($Y15,Fact5_predicextreme!$A$2:$A$26,0),MATCH(AF$2,Fact5_predicextreme!$A$1:$V$1,0)-1,1,1))</f>
        <v>31.835147857666016</v>
      </c>
      <c r="AG15" s="8">
        <f ca="1">IF(OFFSET(Fact5_predicextreme!$A$1,MATCH($Y15,Fact5_predicextreme!$A$2:$A$26,0),MATCH(AG$2,Fact5_predicextreme!$A$1:$V$1,0)-1,1,1)=0,NA(),OFFSET(Fact5_predicextreme!$A$1,MATCH($Y15,Fact5_predicextreme!$A$2:$A$26,0),MATCH(AG$2,Fact5_predicextreme!$A$1:$V$1,0)-1,1,1))</f>
        <v>34.298114776611328</v>
      </c>
      <c r="AH15" s="8">
        <f ca="1">IF(OFFSET(Fact5_predicextreme!$A$1,MATCH($Y15,Fact5_predicextreme!$A$2:$A$26,0),MATCH(AH$2,Fact5_predicextreme!$A$1:$V$1,0)-1,1,1)=0,NA(),OFFSET(Fact5_predicextreme!$A$1,MATCH($Y15,Fact5_predicextreme!$A$2:$A$26,0),MATCH(AH$2,Fact5_predicextreme!$A$1:$V$1,0)-1,1,1))</f>
        <v>36.528945922851563</v>
      </c>
      <c r="AI15" s="8">
        <f ca="1">IF(OFFSET(Fact5_predicextreme!$A$1,MATCH($Y15,Fact5_predicextreme!$A$2:$A$26,0),MATCH(AI$2,Fact5_predicextreme!$A$1:$V$1,0)-1,1,1)=0,NA(),OFFSET(Fact5_predicextreme!$A$1,MATCH($Y15,Fact5_predicextreme!$A$2:$A$26,0),MATCH(AI$2,Fact5_predicextreme!$A$1:$V$1,0)-1,1,1))</f>
        <v>41.205833435058594</v>
      </c>
      <c r="AJ15" s="8">
        <f ca="1">IF(OFFSET(Fact5_predicextreme!$A$1,MATCH($Y15,Fact5_predicextreme!$A$2:$A$26,0),MATCH(AJ$2,Fact5_predicextreme!$A$1:$V$1,0)-1,1,1)=0,NA(),OFFSET(Fact5_predicextreme!$A$1,MATCH($Y15,Fact5_predicextreme!$A$2:$A$26,0),MATCH(AJ$2,Fact5_predicextreme!$A$1:$V$1,0)-1,1,1))</f>
        <v>39.225311279296875</v>
      </c>
      <c r="AK15" s="8">
        <f ca="1">IF(OFFSET(Fact5_predicextreme!$A$1,MATCH($Y15,Fact5_predicextreme!$A$2:$A$26,0),MATCH(AK$2,Fact5_predicextreme!$A$1:$V$1,0)-1,1,1)=0,NA(),OFFSET(Fact5_predicextreme!$A$1,MATCH($Y15,Fact5_predicextreme!$A$2:$A$26,0),MATCH(AK$2,Fact5_predicextreme!$A$1:$V$1,0)-1,1,1))</f>
        <v>35.128620147705078</v>
      </c>
      <c r="AL15" s="8">
        <f ca="1">IF(OFFSET(Fact5_predicextreme!$A$1,MATCH($Y15,Fact5_predicextreme!$A$2:$A$26,0),MATCH(AL$2,Fact5_predicextreme!$A$1:$V$1,0)-1,1,1)=0,NA(),OFFSET(Fact5_predicextreme!$A$1,MATCH($Y15,Fact5_predicextreme!$A$2:$A$26,0),MATCH(AL$2,Fact5_predicextreme!$A$1:$V$1,0)-1,1,1))</f>
        <v>34.949161529541016</v>
      </c>
      <c r="AM15" s="8">
        <f ca="1">IF(OFFSET(Fact5_predicextreme!$A$1,MATCH($Y15,Fact5_predicextreme!$A$2:$A$26,0),MATCH(AM$2,Fact5_predicextreme!$A$1:$V$1,0)-1,1,1)=0,NA(),OFFSET(Fact5_predicextreme!$A$1,MATCH($Y15,Fact5_predicextreme!$A$2:$A$26,0),MATCH(AM$2,Fact5_predicextreme!$A$1:$V$1,0)-1,1,1))</f>
        <v>33.862903594970703</v>
      </c>
      <c r="AN15" s="8">
        <f ca="1">IF(OFFSET(Fact5_predicextreme!$A$1,MATCH($Y15,Fact5_predicextreme!$A$2:$A$26,0),MATCH(AN$2,Fact5_predicextreme!$A$1:$V$1,0)-1,1,1)=0,NA(),OFFSET(Fact5_predicextreme!$A$1,MATCH($Y15,Fact5_predicextreme!$A$2:$A$26,0),MATCH(AN$2,Fact5_predicextreme!$A$1:$V$1,0)-1,1,1))</f>
        <v>36.080768585205078</v>
      </c>
      <c r="AO15" s="8">
        <f ca="1">IF(OFFSET(Fact5_predicextreme!$A$1,MATCH($Y15,Fact5_predicextreme!$A$2:$A$26,0),MATCH(AO$2,Fact5_predicextreme!$A$1:$V$1,0)-1,1,1)=0,NA(),OFFSET(Fact5_predicextreme!$A$1,MATCH($Y15,Fact5_predicextreme!$A$2:$A$26,0),MATCH(AO$2,Fact5_predicextreme!$A$1:$V$1,0)-1,1,1))</f>
        <v>35.269680023193359</v>
      </c>
      <c r="AP15" s="8">
        <f ca="1">IF(OFFSET(Fact5_predicextreme!$A$1,MATCH($Y15,Fact5_predicextreme!$A$2:$A$26,0),MATCH(AP$2,Fact5_predicextreme!$A$1:$V$1,0)-1,1,1)=0,NA(),OFFSET(Fact5_predicextreme!$A$1,MATCH($Y15,Fact5_predicextreme!$A$2:$A$26,0),MATCH(AP$2,Fact5_predicextreme!$A$1:$V$1,0)-1,1,1))</f>
        <v>38.266094207763672</v>
      </c>
      <c r="AQ15" s="88">
        <f ca="1">IF(OFFSET(Fact5_predicextreme!$A$1,MATCH($Y15,Fact5_predicextreme!$A$2:$A$26,0),MATCH(AQ$2,Fact5_predicextreme!$A$1:$V$1,0)-1,1,1)=0,NA(),OFFSET(Fact5_predicextreme!$A$1,MATCH($Y15,Fact5_predicextreme!$A$2:$A$26,0),MATCH(AQ$2,Fact5_predicextreme!$A$1:$V$1,0)-1,1,1))</f>
        <v>39.636203765869141</v>
      </c>
      <c r="AR15" s="88">
        <f ca="1">IF(OFFSET(Fact5_predicextreme!$A$1,MATCH($Y15,Fact5_predicextreme!$A$2:$A$26,0),MATCH(AR$2,Fact5_predicextreme!$A$1:$V$1,0)-1,1,1)=0,NA(),OFFSET(Fact5_predicextreme!$A$1,MATCH($Y15,Fact5_predicextreme!$A$2:$A$26,0),MATCH(AR$2,Fact5_predicextreme!$A$1:$V$1,0)-1,1,1))</f>
        <v>41.055366516113281</v>
      </c>
      <c r="AS15" s="8">
        <f ca="1">IF(OFFSET(Fact5_predicextreme!$A$1,MATCH($Y15,Fact5_predicextreme!$A$2:$A$26,0),MATCH(AS$2,Fact5_predicextreme!$A$1:$V$1,0)-1,1,1)=0,NA(),OFFSET(Fact5_predicextreme!$A$1,MATCH($Y15,Fact5_predicextreme!$A$2:$A$26,0),MATCH(AS$2,Fact5_predicextreme!$A$1:$V$1,0)-1,1,1))</f>
        <v>42.525337219238281</v>
      </c>
      <c r="AT15" s="8">
        <f ca="1">IF(OFFSET(Fact5_predicextreme!$A$1,MATCH($Y15,Fact5_predicextreme!$A$2:$A$26,0),MATCH(AT$2,Fact5_predicextreme!$A$1:$V$1,0)-1,1,1)=0,NA(),OFFSET(Fact5_predicextreme!$A$1,MATCH($Y15,Fact5_predicextreme!$A$2:$A$26,0),MATCH(AT$2,Fact5_predicextreme!$A$1:$V$1,0)-1,1,1))</f>
        <v>35.109729766845703</v>
      </c>
      <c r="AU15" s="2563" t="s">
        <v>34</v>
      </c>
      <c r="AV15" s="7547"/>
      <c r="AW15" s="7532">
        <f t="shared" ref="AW15:AW24" ca="1" si="29">AT15/Z15-1</f>
        <v>-0.14229660447936798</v>
      </c>
      <c r="AX15" s="7532">
        <f t="shared" ca="1" si="3"/>
        <v>3.5804792374851013E-2</v>
      </c>
      <c r="AY15" s="7532">
        <f t="shared" ca="1" si="4"/>
        <v>7.2891481769877142E-2</v>
      </c>
      <c r="AZ15" s="7532"/>
      <c r="BA15" s="7532">
        <f t="shared" ca="1" si="5"/>
        <v>9.7897957785822109E-2</v>
      </c>
      <c r="BB15" s="7532">
        <f t="shared" ca="1" si="6"/>
        <v>-4.2375722693487994E-2</v>
      </c>
      <c r="BC15" s="7532">
        <f t="shared" ca="1" si="7"/>
        <v>-6.4822087932016492E-2</v>
      </c>
      <c r="BD15" s="7532">
        <f t="shared" ca="1" si="8"/>
        <v>-0.11352516688688885</v>
      </c>
      <c r="BE15" s="7532">
        <f t="shared" ca="1" si="9"/>
        <v>-0.10460231854418367</v>
      </c>
      <c r="BF15" s="7532">
        <f t="shared" ca="1" si="10"/>
        <v>-3.4874505633045727E-3</v>
      </c>
      <c r="BG15" s="7532">
        <f t="shared" ca="1" si="11"/>
        <v>7.7366278616237683E-2</v>
      </c>
      <c r="BH15" s="7532">
        <f t="shared" ca="1" si="12"/>
        <v>6.5042383838586071E-2</v>
      </c>
      <c r="BI15" s="7532">
        <f t="shared" ca="1" si="13"/>
        <v>0.12803236978380172</v>
      </c>
      <c r="BJ15" s="7532">
        <f t="shared" ca="1" si="14"/>
        <v>-4.8064120796951437E-2</v>
      </c>
      <c r="BK15" s="7532">
        <f t="shared" ca="1" si="15"/>
        <v>-0.10443999035270957</v>
      </c>
      <c r="BL15" s="7532">
        <f t="shared" ca="1" si="16"/>
        <v>-5.1086156361819235E-3</v>
      </c>
      <c r="BM15" s="7532">
        <f t="shared" ca="1" si="17"/>
        <v>-3.1081087128575158E-2</v>
      </c>
      <c r="BN15" s="7532">
        <f t="shared" ca="1" si="18"/>
        <v>6.549541695425587E-2</v>
      </c>
      <c r="BO15" s="7532">
        <f t="shared" ca="1" si="19"/>
        <v>-2.247980278181505E-2</v>
      </c>
      <c r="BP15" s="7532">
        <f t="shared" ca="1" si="20"/>
        <v>8.4957226223767002E-2</v>
      </c>
      <c r="BQ15" s="7532">
        <f t="shared" ca="1" si="21"/>
        <v>3.5804792374851013E-2</v>
      </c>
      <c r="BR15" s="7532">
        <f t="shared" ca="1" si="22"/>
        <v>3.5804709215522479E-2</v>
      </c>
      <c r="BS15" s="7532">
        <f t="shared" ca="1" si="23"/>
        <v>3.5804593354393122E-2</v>
      </c>
      <c r="BT15" s="7532">
        <f t="shared" ca="1" si="24"/>
        <v>-0.17438092058298338</v>
      </c>
      <c r="BU15" s="7532"/>
      <c r="BV15" s="8"/>
      <c r="ER15" t="s">
        <v>34</v>
      </c>
      <c r="ES15">
        <v>10593.797999999997</v>
      </c>
      <c r="ET15">
        <v>3895.4361580906675</v>
      </c>
      <c r="EU15">
        <v>1975.9402957326506</v>
      </c>
      <c r="EV15">
        <v>5871.3764538233172</v>
      </c>
      <c r="EW15" t="s">
        <v>34</v>
      </c>
      <c r="EX15" s="35">
        <f t="shared" si="25"/>
        <v>1.6977403356804657E-2</v>
      </c>
      <c r="EY15" s="35">
        <f t="shared" si="26"/>
        <v>4.6655392310239241E-2</v>
      </c>
      <c r="EZ15" s="35">
        <f t="shared" si="27"/>
        <v>2.8006803514668954E-2</v>
      </c>
      <c r="FA15" s="35">
        <f t="shared" si="28"/>
        <v>3.8114447069228161E-2</v>
      </c>
      <c r="FF15" t="s">
        <v>34</v>
      </c>
      <c r="FG15" s="35">
        <v>1.6977403356804657E-2</v>
      </c>
      <c r="FH15" s="35">
        <v>4.6655392310239241E-2</v>
      </c>
    </row>
    <row r="16" spans="2:164">
      <c r="B16" s="99" t="s">
        <v>38</v>
      </c>
      <c r="C16" t="str">
        <f>IF(Fact5_predicextreme!B13&gt;0,VLOOKUP(Fact5!$B16,Fact5_predicextreme!$A$1:$W$19,23,0),"")</f>
        <v/>
      </c>
      <c r="D16">
        <f>IF(Fact5_predicextreme!C13&gt;0,VLOOKUP(Fact5!$B16,Fact5_predicextreme!$A$1:$W$19,23,0),"")</f>
        <v>128455567</v>
      </c>
      <c r="E16">
        <f>IF(Fact5_predicextreme!D13&gt;0,VLOOKUP(Fact5!$B16,Fact5_predicextreme!$A$1:$W$19,23,0),"")</f>
        <v>128455567</v>
      </c>
      <c r="F16">
        <f>IF(Fact5_predicextreme!E13&gt;0,VLOOKUP(Fact5!$B16,Fact5_predicextreme!$A$1:$W$19,23,0),"")</f>
        <v>128455567</v>
      </c>
      <c r="G16">
        <f>IF(Fact5_predicextreme!F13&gt;0,VLOOKUP(Fact5!$B16,Fact5_predicextreme!$A$1:$W$19,23,0),"")</f>
        <v>128455567</v>
      </c>
      <c r="H16">
        <f>IF(Fact5_predicextreme!G13&gt;0,VLOOKUP(Fact5!$B16,Fact5_predicextreme!$A$1:$W$19,23,0),"")</f>
        <v>128455567</v>
      </c>
      <c r="I16">
        <f>IF(Fact5_predicextreme!H13&gt;0,VLOOKUP(Fact5!$B16,Fact5_predicextreme!$A$1:$W$19,23,0),"")</f>
        <v>128455567</v>
      </c>
      <c r="J16">
        <f>IF(Fact5_predicextreme!I13&gt;0,VLOOKUP(Fact5!$B16,Fact5_predicextreme!$A$1:$W$19,23,0),"")</f>
        <v>128455567</v>
      </c>
      <c r="K16">
        <f>IF(Fact5_predicextreme!J13&gt;0,VLOOKUP(Fact5!$B16,Fact5_predicextreme!$A$1:$W$19,23,0),"")</f>
        <v>128455567</v>
      </c>
      <c r="L16">
        <f>IF(Fact5_predicextreme!K13&gt;0,VLOOKUP(Fact5!$B16,Fact5_predicextreme!$A$1:$W$19,23,0),"")</f>
        <v>128455567</v>
      </c>
      <c r="M16">
        <f>IF(Fact5_predicextreme!L13&gt;0,VLOOKUP(Fact5!$B16,Fact5_predicextreme!$A$1:$W$19,23,0),"")</f>
        <v>128455567</v>
      </c>
      <c r="N16">
        <f>IF(Fact5_predicextreme!M13&gt;0,VLOOKUP(Fact5!$B16,Fact5_predicextreme!$A$1:$W$19,23,0),"")</f>
        <v>128455567</v>
      </c>
      <c r="O16">
        <f>IF(Fact5_predicextreme!N13&gt;0,VLOOKUP(Fact5!$B16,Fact5_predicextreme!$A$1:$W$19,23,0),"")</f>
        <v>128455567</v>
      </c>
      <c r="P16">
        <f>IF(Fact5_predicextreme!O13&gt;0,VLOOKUP(Fact5!$B16,Fact5_predicextreme!$A$1:$W$19,23,0),"")</f>
        <v>128455567</v>
      </c>
      <c r="Q16">
        <f>IF(Fact5_predicextreme!P13&gt;0,VLOOKUP(Fact5!$B16,Fact5_predicextreme!$A$1:$W$19,23,0),"")</f>
        <v>128455567</v>
      </c>
      <c r="R16">
        <f>IF(Fact5_predicextreme!Q13&gt;0,VLOOKUP(Fact5!$B16,Fact5_predicextreme!$A$1:$W$19,23,0),"")</f>
        <v>128455567</v>
      </c>
      <c r="S16">
        <f>IF(Fact5_predicextreme!R13&gt;0,VLOOKUP(Fact5!$B16,Fact5_predicextreme!$A$1:$W$19,23,0),"")</f>
        <v>128455567</v>
      </c>
      <c r="T16">
        <f>IF(Fact5_predicextreme!S13&gt;0,VLOOKUP(Fact5!$B16,Fact5_predicextreme!$A$1:$W$19,23,0),"")</f>
        <v>128455567</v>
      </c>
      <c r="U16">
        <f>IF(Fact5_predicextreme!T13&gt;0,VLOOKUP(Fact5!$B16,Fact5_predicextreme!$A$1:$W$19,23,0),"")</f>
        <v>128455567</v>
      </c>
      <c r="V16">
        <f>IF(Fact5_predicextreme!U13&gt;0,VLOOKUP(Fact5!$B16,Fact5_predicextreme!$A$1:$W$19,23,0),"")</f>
        <v>128455567</v>
      </c>
      <c r="W16">
        <f>IF(Fact5_predicextreme!V13&gt;0,VLOOKUP(Fact5!$B16,Fact5_predicextreme!$A$1:$W$19,23,0),"")</f>
        <v>128455567</v>
      </c>
      <c r="X16" s="2562"/>
      <c r="Y16" s="2563" t="s">
        <v>38</v>
      </c>
      <c r="Z16" s="2565"/>
      <c r="AA16" s="8">
        <f ca="1">IF(OFFSET(Fact5_predicextreme!$A$1,MATCH($Y16,Fact5_predicextreme!$A$2:$A$26,0),MATCH(AA$2,Fact5_predicextreme!$A$1:$V$1,0)-1,1,1)=0,NA(),OFFSET(Fact5_predicextreme!$A$1,MATCH($Y16,Fact5_predicextreme!$A$2:$A$26,0),MATCH(AA$2,Fact5_predicextreme!$A$1:$V$1,0)-1,1,1))</f>
        <v>22.750726699829102</v>
      </c>
      <c r="AB16" s="8">
        <f ca="1">IF(OFFSET(Fact5_predicextreme!$A$1,MATCH($Y16,Fact5_predicextreme!$A$2:$A$26,0),MATCH(AB$2,Fact5_predicextreme!$A$1:$V$1,0)-1,1,1)=0,NA(),OFFSET(Fact5_predicextreme!$A$1,MATCH($Y16,Fact5_predicextreme!$A$2:$A$26,0),MATCH(AB$2,Fact5_predicextreme!$A$1:$V$1,0)-1,1,1))</f>
        <v>22.862800598144531</v>
      </c>
      <c r="AC16" s="8">
        <f ca="1">IF(OFFSET(Fact5_predicextreme!$A$1,MATCH($Y16,Fact5_predicextreme!$A$2:$A$26,0),MATCH(AC$2,Fact5_predicextreme!$A$1:$V$1,0)-1,1,1)=0,NA(),OFFSET(Fact5_predicextreme!$A$1,MATCH($Y16,Fact5_predicextreme!$A$2:$A$26,0),MATCH(AC$2,Fact5_predicextreme!$A$1:$V$1,0)-1,1,1))</f>
        <v>18.521760940551758</v>
      </c>
      <c r="AD16" s="88">
        <f ca="1">IF(OFFSET(Fact5_predicextreme!$A$1,MATCH($Y16,Fact5_predicextreme!$A$2:$A$26,0),MATCH(AD$2,Fact5_predicextreme!$A$1:$V$1,0)-1,1,1)=0,NA(),OFFSET(Fact5_predicextreme!$A$1,MATCH($Y16,Fact5_predicextreme!$A$2:$A$26,0),MATCH(AD$2,Fact5_predicextreme!$A$1:$V$1,0)-1,1,1))</f>
        <v>27.209262847900391</v>
      </c>
      <c r="AE16" s="8">
        <f ca="1">IF(OFFSET(Fact5_predicextreme!$A$1,MATCH($Y16,Fact5_predicextreme!$A$2:$A$26,0),MATCH(AE$2,Fact5_predicextreme!$A$1:$V$1,0)-1,1,1)=0,NA(),OFFSET(Fact5_predicextreme!$A$1,MATCH($Y16,Fact5_predicextreme!$A$2:$A$26,0),MATCH(AE$2,Fact5_predicextreme!$A$1:$V$1,0)-1,1,1))</f>
        <v>35.896762847900391</v>
      </c>
      <c r="AF16" s="88">
        <f ca="1">IF(OFFSET(Fact5_predicextreme!$A$1,MATCH($Y16,Fact5_predicextreme!$A$2:$A$26,0),MATCH(AF$2,Fact5_predicextreme!$A$1:$V$1,0)-1,1,1)=0,NA(),OFFSET(Fact5_predicextreme!$A$1,MATCH($Y16,Fact5_predicextreme!$A$2:$A$26,0),MATCH(AF$2,Fact5_predicextreme!$A$1:$V$1,0)-1,1,1))</f>
        <v>37.317001342773438</v>
      </c>
      <c r="AG16" s="8">
        <f ca="1">IF(OFFSET(Fact5_predicextreme!$A$1,MATCH($Y16,Fact5_predicextreme!$A$2:$A$26,0),MATCH(AG$2,Fact5_predicextreme!$A$1:$V$1,0)-1,1,1)=0,NA(),OFFSET(Fact5_predicextreme!$A$1,MATCH($Y16,Fact5_predicextreme!$A$2:$A$26,0),MATCH(AG$2,Fact5_predicextreme!$A$1:$V$1,0)-1,1,1))</f>
        <v>38.737236022949219</v>
      </c>
      <c r="AH16" s="88">
        <f ca="1">IF(OFFSET(Fact5_predicextreme!$A$1,MATCH($Y16,Fact5_predicextreme!$A$2:$A$26,0),MATCH(AH$2,Fact5_predicextreme!$A$1:$V$1,0)-1,1,1)=0,NA(),OFFSET(Fact5_predicextreme!$A$1,MATCH($Y16,Fact5_predicextreme!$A$2:$A$26,0),MATCH(AH$2,Fact5_predicextreme!$A$1:$V$1,0)-1,1,1))</f>
        <v>34.130359649658203</v>
      </c>
      <c r="AI16" s="8">
        <f ca="1">IF(OFFSET(Fact5_predicextreme!$A$1,MATCH($Y16,Fact5_predicextreme!$A$2:$A$26,0),MATCH(AI$2,Fact5_predicextreme!$A$1:$V$1,0)-1,1,1)=0,NA(),OFFSET(Fact5_predicextreme!$A$1,MATCH($Y16,Fact5_predicextreme!$A$2:$A$26,0),MATCH(AI$2,Fact5_predicextreme!$A$1:$V$1,0)-1,1,1))</f>
        <v>29.523483276367188</v>
      </c>
      <c r="AJ16" s="88">
        <f ca="1">IF(OFFSET(Fact5_predicextreme!$A$1,MATCH($Y16,Fact5_predicextreme!$A$2:$A$26,0),MATCH(AJ$2,Fact5_predicextreme!$A$1:$V$1,0)-1,1,1)=0,NA(),OFFSET(Fact5_predicextreme!$A$1,MATCH($Y16,Fact5_predicextreme!$A$2:$A$26,0),MATCH(AJ$2,Fact5_predicextreme!$A$1:$V$1,0)-1,1,1))</f>
        <v>24.604236602783203</v>
      </c>
      <c r="AK16" s="8">
        <f ca="1">IF(OFFSET(Fact5_predicextreme!$A$1,MATCH($Y16,Fact5_predicextreme!$A$2:$A$26,0),MATCH(AK$2,Fact5_predicextreme!$A$1:$V$1,0)-1,1,1)=0,NA(),OFFSET(Fact5_predicextreme!$A$1,MATCH($Y16,Fact5_predicextreme!$A$2:$A$26,0),MATCH(AK$2,Fact5_predicextreme!$A$1:$V$1,0)-1,1,1))</f>
        <v>19.684988021850586</v>
      </c>
      <c r="AL16" s="88">
        <f ca="1">IF(OFFSET(Fact5_predicextreme!$A$1,MATCH($Y16,Fact5_predicextreme!$A$2:$A$26,0),MATCH(AL$2,Fact5_predicextreme!$A$1:$V$1,0)-1,1,1)=0,NA(),OFFSET(Fact5_predicextreme!$A$1,MATCH($Y16,Fact5_predicextreme!$A$2:$A$26,0),MATCH(AL$2,Fact5_predicextreme!$A$1:$V$1,0)-1,1,1))</f>
        <v>16.780857086181641</v>
      </c>
      <c r="AM16" s="8">
        <f ca="1">IF(OFFSET(Fact5_predicextreme!$A$1,MATCH($Y16,Fact5_predicextreme!$A$2:$A$26,0),MATCH(AM$2,Fact5_predicextreme!$A$1:$V$1,0)-1,1,1)=0,NA(),OFFSET(Fact5_predicextreme!$A$1,MATCH($Y16,Fact5_predicextreme!$A$2:$A$26,0),MATCH(AM$2,Fact5_predicextreme!$A$1:$V$1,0)-1,1,1))</f>
        <v>13.876727104187012</v>
      </c>
      <c r="AN16" s="88">
        <f ca="1">IF(OFFSET(Fact5_predicextreme!$A$1,MATCH($Y16,Fact5_predicextreme!$A$2:$A$26,0),MATCH(AN$2,Fact5_predicextreme!$A$1:$V$1,0)-1,1,1)=0,NA(),OFFSET(Fact5_predicextreme!$A$1,MATCH($Y16,Fact5_predicextreme!$A$2:$A$26,0),MATCH(AN$2,Fact5_predicextreme!$A$1:$V$1,0)-1,1,1))</f>
        <v>13.180578231811523</v>
      </c>
      <c r="AO16" s="8">
        <f ca="1">IF(OFFSET(Fact5_predicextreme!$A$1,MATCH($Y16,Fact5_predicextreme!$A$2:$A$26,0),MATCH(AO$2,Fact5_predicextreme!$A$1:$V$1,0)-1,1,1)=0,NA(),OFFSET(Fact5_predicextreme!$A$1,MATCH($Y16,Fact5_predicextreme!$A$2:$A$26,0),MATCH(AO$2,Fact5_predicextreme!$A$1:$V$1,0)-1,1,1))</f>
        <v>12.484429359436035</v>
      </c>
      <c r="AP16" s="88">
        <f ca="1">IF(OFFSET(Fact5_predicextreme!$A$1,MATCH($Y16,Fact5_predicextreme!$A$2:$A$26,0),MATCH(AP$2,Fact5_predicextreme!$A$1:$V$1,0)-1,1,1)=0,NA(),OFFSET(Fact5_predicextreme!$A$1,MATCH($Y16,Fact5_predicextreme!$A$2:$A$26,0),MATCH(AP$2,Fact5_predicextreme!$A$1:$V$1,0)-1,1,1))</f>
        <v>13.74195671081543</v>
      </c>
      <c r="AQ16" s="8">
        <f ca="1">IF(OFFSET(Fact5_predicextreme!$A$1,MATCH($Y16,Fact5_predicextreme!$A$2:$A$26,0),MATCH(AQ$2,Fact5_predicextreme!$A$1:$V$1,0)-1,1,1)=0,NA(),OFFSET(Fact5_predicextreme!$A$1,MATCH($Y16,Fact5_predicextreme!$A$2:$A$26,0),MATCH(AQ$2,Fact5_predicextreme!$A$1:$V$1,0)-1,1,1))</f>
        <v>14.999485015869141</v>
      </c>
      <c r="AR16" s="88">
        <f ca="1">IF(OFFSET(Fact5_predicextreme!$A$1,MATCH($Y16,Fact5_predicextreme!$A$2:$A$26,0),MATCH(AR$2,Fact5_predicextreme!$A$1:$V$1,0)-1,1,1)=0,NA(),OFFSET(Fact5_predicextreme!$A$1,MATCH($Y16,Fact5_predicextreme!$A$2:$A$26,0),MATCH(AR$2,Fact5_predicextreme!$A$1:$V$1,0)-1,1,1))</f>
        <v>12.634235382080078</v>
      </c>
      <c r="AS16" s="8">
        <f ca="1">IF(OFFSET(Fact5_predicextreme!$A$1,MATCH($Y16,Fact5_predicextreme!$A$2:$A$26,0),MATCH(AS$2,Fact5_predicextreme!$A$1:$V$1,0)-1,1,1)=0,NA(),OFFSET(Fact5_predicextreme!$A$1,MATCH($Y16,Fact5_predicextreme!$A$2:$A$26,0),MATCH(AS$2,Fact5_predicextreme!$A$1:$V$1,0)-1,1,1))</f>
        <v>10.268985748291016</v>
      </c>
      <c r="AT16" s="88">
        <f ca="1">IF(OFFSET(Fact5_predicextreme!$A$1,MATCH($Y16,Fact5_predicextreme!$A$2:$A$26,0),MATCH(AT$2,Fact5_predicextreme!$A$1:$V$1,0)-1,1,1)=0,NA(),OFFSET(Fact5_predicextreme!$A$1,MATCH($Y16,Fact5_predicextreme!$A$2:$A$26,0),MATCH(AT$2,Fact5_predicextreme!$A$1:$V$1,0)-1,1,1))</f>
        <v>8.3465337753295898</v>
      </c>
      <c r="AU16" s="2563" t="s">
        <v>38</v>
      </c>
      <c r="AV16" s="7547"/>
      <c r="AW16" s="7532" t="e">
        <f t="shared" ca="1" si="29"/>
        <v>#DIV/0!</v>
      </c>
      <c r="AX16" s="7532">
        <f t="shared" ca="1" si="3"/>
        <v>9.1510134365653251E-2</v>
      </c>
      <c r="AY16" s="7532">
        <f t="shared" ca="1" si="4"/>
        <v>-8.060870457141911E-2</v>
      </c>
      <c r="AZ16" s="7532"/>
      <c r="BA16" s="7532" t="str">
        <f t="shared" ca="1" si="5"/>
        <v/>
      </c>
      <c r="BB16" s="7532">
        <f t="shared" ca="1" si="6"/>
        <v>4.9261678448395685E-3</v>
      </c>
      <c r="BC16" s="7532">
        <f t="shared" ca="1" si="7"/>
        <v>-0.18987348636304324</v>
      </c>
      <c r="BD16" s="7532">
        <f t="shared" ca="1" si="8"/>
        <v>0.46904297789137939</v>
      </c>
      <c r="BE16" s="7532">
        <f t="shared" ca="1" si="9"/>
        <v>0.31928465128081829</v>
      </c>
      <c r="BF16" s="7532">
        <f t="shared" ca="1" si="10"/>
        <v>3.9564528447615155E-2</v>
      </c>
      <c r="BG16" s="7532">
        <f t="shared" ca="1" si="11"/>
        <v>3.8058649652213061E-2</v>
      </c>
      <c r="BH16" s="7532">
        <f t="shared" ca="1" si="12"/>
        <v>-0.11892630570136054</v>
      </c>
      <c r="BI16" s="7532">
        <f t="shared" ca="1" si="13"/>
        <v>-0.13497884055661136</v>
      </c>
      <c r="BJ16" s="7532">
        <f t="shared" ca="1" si="14"/>
        <v>-0.16662148661576526</v>
      </c>
      <c r="BK16" s="7532">
        <f t="shared" ca="1" si="15"/>
        <v>-0.19993502177491485</v>
      </c>
      <c r="BL16" s="7532">
        <f t="shared" ca="1" si="16"/>
        <v>-0.14753023636312723</v>
      </c>
      <c r="BM16" s="7532">
        <f t="shared" ca="1" si="17"/>
        <v>-0.17306207704885723</v>
      </c>
      <c r="BN16" s="7532">
        <f t="shared" ca="1" si="18"/>
        <v>-5.0166647160297617E-2</v>
      </c>
      <c r="BO16" s="7532">
        <f t="shared" ca="1" si="19"/>
        <v>-5.2816261937228437E-2</v>
      </c>
      <c r="BP16" s="7532">
        <f t="shared" ca="1" si="20"/>
        <v>0.10072765964500618</v>
      </c>
      <c r="BQ16" s="7532">
        <f t="shared" ca="1" si="21"/>
        <v>9.1510134365653251E-2</v>
      </c>
      <c r="BR16" s="7532">
        <f t="shared" ca="1" si="22"/>
        <v>-0.15768872273192569</v>
      </c>
      <c r="BS16" s="7532">
        <f t="shared" ca="1" si="23"/>
        <v>-0.18720955896894587</v>
      </c>
      <c r="BT16" s="7532">
        <f t="shared" ca="1" si="24"/>
        <v>-0.18720952780379152</v>
      </c>
      <c r="BU16" s="7532"/>
      <c r="BV16" s="8"/>
      <c r="ER16" t="s">
        <v>45</v>
      </c>
      <c r="ES16">
        <v>6861.523500000003</v>
      </c>
      <c r="ET16">
        <v>740.42702601265</v>
      </c>
      <c r="EU16">
        <v>825.15000047753392</v>
      </c>
      <c r="EV16">
        <v>1565.5770264901832</v>
      </c>
      <c r="EW16" t="s">
        <v>45</v>
      </c>
      <c r="EX16" s="35">
        <f t="shared" si="25"/>
        <v>1.0996136805864537E-2</v>
      </c>
      <c r="EY16" s="35">
        <f t="shared" si="26"/>
        <v>8.8680476264449814E-3</v>
      </c>
      <c r="EZ16" s="35">
        <f t="shared" si="27"/>
        <v>1.1695603345613483E-2</v>
      </c>
      <c r="FA16" s="35">
        <f t="shared" si="28"/>
        <v>1.0163051744042596E-2</v>
      </c>
      <c r="FF16" t="s">
        <v>45</v>
      </c>
      <c r="FG16" s="35">
        <v>1.0996136805864537E-2</v>
      </c>
      <c r="FH16" s="35">
        <v>8.8680476264449814E-3</v>
      </c>
    </row>
    <row r="17" spans="2:164">
      <c r="B17" s="99" t="s">
        <v>42</v>
      </c>
      <c r="C17">
        <f>IF(Fact5_predicextreme!B14&gt;0,VLOOKUP(Fact5!$B17,Fact5_predicextreme!$A$1:$W$19,23,0),"")</f>
        <v>4468087</v>
      </c>
      <c r="D17">
        <f>IF(Fact5_predicextreme!C14&gt;0,VLOOKUP(Fact5!$B17,Fact5_predicextreme!$A$1:$W$19,23,0),"")</f>
        <v>4468087</v>
      </c>
      <c r="E17">
        <f>IF(Fact5_predicextreme!D14&gt;0,VLOOKUP(Fact5!$B17,Fact5_predicextreme!$A$1:$W$19,23,0),"")</f>
        <v>4468087</v>
      </c>
      <c r="F17">
        <f>IF(Fact5_predicextreme!E14&gt;0,VLOOKUP(Fact5!$B17,Fact5_predicextreme!$A$1:$W$19,23,0),"")</f>
        <v>4468087</v>
      </c>
      <c r="G17">
        <f>IF(Fact5_predicextreme!F14&gt;0,VLOOKUP(Fact5!$B17,Fact5_predicextreme!$A$1:$W$19,23,0),"")</f>
        <v>4468087</v>
      </c>
      <c r="H17">
        <f>IF(Fact5_predicextreme!G14&gt;0,VLOOKUP(Fact5!$B17,Fact5_predicextreme!$A$1:$W$19,23,0),"")</f>
        <v>4468087</v>
      </c>
      <c r="I17">
        <f>IF(Fact5_predicextreme!H14&gt;0,VLOOKUP(Fact5!$B17,Fact5_predicextreme!$A$1:$W$19,23,0),"")</f>
        <v>4468087</v>
      </c>
      <c r="J17">
        <f>IF(Fact5_predicextreme!I14&gt;0,VLOOKUP(Fact5!$B17,Fact5_predicextreme!$A$1:$W$19,23,0),"")</f>
        <v>4468087</v>
      </c>
      <c r="K17">
        <f>IF(Fact5_predicextreme!J14&gt;0,VLOOKUP(Fact5!$B17,Fact5_predicextreme!$A$1:$W$19,23,0),"")</f>
        <v>4468087</v>
      </c>
      <c r="L17">
        <f>IF(Fact5_predicextreme!K14&gt;0,VLOOKUP(Fact5!$B17,Fact5_predicextreme!$A$1:$W$19,23,0),"")</f>
        <v>4468087</v>
      </c>
      <c r="M17">
        <f>IF(Fact5_predicextreme!L14&gt;0,VLOOKUP(Fact5!$B17,Fact5_predicextreme!$A$1:$W$19,23,0),"")</f>
        <v>4468087</v>
      </c>
      <c r="N17">
        <f>IF(Fact5_predicextreme!M14&gt;0,VLOOKUP(Fact5!$B17,Fact5_predicextreme!$A$1:$W$19,23,0),"")</f>
        <v>4468087</v>
      </c>
      <c r="O17">
        <f>IF(Fact5_predicextreme!N14&gt;0,VLOOKUP(Fact5!$B17,Fact5_predicextreme!$A$1:$W$19,23,0),"")</f>
        <v>4468087</v>
      </c>
      <c r="P17">
        <f>IF(Fact5_predicextreme!O14&gt;0,VLOOKUP(Fact5!$B17,Fact5_predicextreme!$A$1:$W$19,23,0),"")</f>
        <v>4468087</v>
      </c>
      <c r="Q17">
        <f>IF(Fact5_predicextreme!P14&gt;0,VLOOKUP(Fact5!$B17,Fact5_predicextreme!$A$1:$W$19,23,0),"")</f>
        <v>4468087</v>
      </c>
      <c r="R17">
        <f>IF(Fact5_predicextreme!Q14&gt;0,VLOOKUP(Fact5!$B17,Fact5_predicextreme!$A$1:$W$19,23,0),"")</f>
        <v>4468087</v>
      </c>
      <c r="S17">
        <f>IF(Fact5_predicextreme!R14&gt;0,VLOOKUP(Fact5!$B17,Fact5_predicextreme!$A$1:$W$19,23,0),"")</f>
        <v>4468087</v>
      </c>
      <c r="T17">
        <f>IF(Fact5_predicextreme!S14&gt;0,VLOOKUP(Fact5!$B17,Fact5_predicextreme!$A$1:$W$19,23,0),"")</f>
        <v>4468087</v>
      </c>
      <c r="U17">
        <f>IF(Fact5_predicextreme!T14&gt;0,VLOOKUP(Fact5!$B17,Fact5_predicextreme!$A$1:$W$19,23,0),"")</f>
        <v>4468087</v>
      </c>
      <c r="V17">
        <f>IF(Fact5_predicextreme!U14&gt;0,VLOOKUP(Fact5!$B17,Fact5_predicextreme!$A$1:$W$19,23,0),"")</f>
        <v>4468087</v>
      </c>
      <c r="W17">
        <f>IF(Fact5_predicextreme!V14&gt;0,VLOOKUP(Fact5!$B17,Fact5_predicextreme!$A$1:$W$19,23,0),"")</f>
        <v>4468087</v>
      </c>
      <c r="X17" s="2562"/>
      <c r="Y17" s="2563" t="s">
        <v>42</v>
      </c>
      <c r="Z17" s="8">
        <f ca="1">IF(OFFSET(Fact5_predicextreme!$A$1,MATCH($Y17,Fact5_predicextreme!$A$2:$A$26,0),MATCH(Z$2,Fact5_predicextreme!$A$1:$V$1,0)-1,1,1)=0,NA(),OFFSET(Fact5_predicextreme!$A$1,MATCH($Y17,Fact5_predicextreme!$A$2:$A$26,0),MATCH(Z$2,Fact5_predicextreme!$A$1:$V$1,0)-1,1,1))</f>
        <v>19.505472183227539</v>
      </c>
      <c r="AA17" s="8">
        <f ca="1">IF(OFFSET(Fact5_predicextreme!$A$1,MATCH($Y17,Fact5_predicextreme!$A$2:$A$26,0),MATCH(AA$2,Fact5_predicextreme!$A$1:$V$1,0)-1,1,1)=0,NA(),OFFSET(Fact5_predicextreme!$A$1,MATCH($Y17,Fact5_predicextreme!$A$2:$A$26,0),MATCH(AA$2,Fact5_predicextreme!$A$1:$V$1,0)-1,1,1))</f>
        <v>19.894149780273438</v>
      </c>
      <c r="AB17" s="8">
        <f ca="1">IF(OFFSET(Fact5_predicextreme!$A$1,MATCH($Y17,Fact5_predicextreme!$A$2:$A$26,0),MATCH(AB$2,Fact5_predicextreme!$A$1:$V$1,0)-1,1,1)=0,NA(),OFFSET(Fact5_predicextreme!$A$1,MATCH($Y17,Fact5_predicextreme!$A$2:$A$26,0),MATCH(AB$2,Fact5_predicextreme!$A$1:$V$1,0)-1,1,1))</f>
        <v>19.046466827392578</v>
      </c>
      <c r="AC17" s="8">
        <f ca="1">IF(OFFSET(Fact5_predicextreme!$A$1,MATCH($Y17,Fact5_predicextreme!$A$2:$A$26,0),MATCH(AC$2,Fact5_predicextreme!$A$1:$V$1,0)-1,1,1)=0,NA(),OFFSET(Fact5_predicextreme!$A$1,MATCH($Y17,Fact5_predicextreme!$A$2:$A$26,0),MATCH(AC$2,Fact5_predicextreme!$A$1:$V$1,0)-1,1,1))</f>
        <v>19.16015625</v>
      </c>
      <c r="AD17" s="8">
        <f ca="1">IF(OFFSET(Fact5_predicextreme!$A$1,MATCH($Y17,Fact5_predicextreme!$A$2:$A$26,0),MATCH(AD$2,Fact5_predicextreme!$A$1:$V$1,0)-1,1,1)=0,NA(),OFFSET(Fact5_predicextreme!$A$1,MATCH($Y17,Fact5_predicextreme!$A$2:$A$26,0),MATCH(AD$2,Fact5_predicextreme!$A$1:$V$1,0)-1,1,1))</f>
        <v>16.640659332275391</v>
      </c>
      <c r="AE17" s="8">
        <f ca="1">IF(OFFSET(Fact5_predicextreme!$A$1,MATCH($Y17,Fact5_predicextreme!$A$2:$A$26,0),MATCH(AE$2,Fact5_predicextreme!$A$1:$V$1,0)-1,1,1)=0,NA(),OFFSET(Fact5_predicextreme!$A$1,MATCH($Y17,Fact5_predicextreme!$A$2:$A$26,0),MATCH(AE$2,Fact5_predicextreme!$A$1:$V$1,0)-1,1,1))</f>
        <v>16.262025833129883</v>
      </c>
      <c r="AF17" s="8">
        <f ca="1">IF(OFFSET(Fact5_predicextreme!$A$1,MATCH($Y17,Fact5_predicextreme!$A$2:$A$26,0),MATCH(AF$2,Fact5_predicextreme!$A$1:$V$1,0)-1,1,1)=0,NA(),OFFSET(Fact5_predicextreme!$A$1,MATCH($Y17,Fact5_predicextreme!$A$2:$A$26,0),MATCH(AF$2,Fact5_predicextreme!$A$1:$V$1,0)-1,1,1))</f>
        <v>14.433358192443848</v>
      </c>
      <c r="AG17" s="8">
        <f ca="1">IF(OFFSET(Fact5_predicextreme!$A$1,MATCH($Y17,Fact5_predicextreme!$A$2:$A$26,0),MATCH(AG$2,Fact5_predicextreme!$A$1:$V$1,0)-1,1,1)=0,NA(),OFFSET(Fact5_predicextreme!$A$1,MATCH($Y17,Fact5_predicextreme!$A$2:$A$26,0),MATCH(AG$2,Fact5_predicextreme!$A$1:$V$1,0)-1,1,1))</f>
        <v>14.408330917358398</v>
      </c>
      <c r="AH17" s="8">
        <f ca="1">IF(OFFSET(Fact5_predicextreme!$A$1,MATCH($Y17,Fact5_predicextreme!$A$2:$A$26,0),MATCH(AH$2,Fact5_predicextreme!$A$1:$V$1,0)-1,1,1)=0,NA(),OFFSET(Fact5_predicextreme!$A$1,MATCH($Y17,Fact5_predicextreme!$A$2:$A$26,0),MATCH(AH$2,Fact5_predicextreme!$A$1:$V$1,0)-1,1,1))</f>
        <v>12.223545074462891</v>
      </c>
      <c r="AI17" s="8">
        <f ca="1">IF(OFFSET(Fact5_predicextreme!$A$1,MATCH($Y17,Fact5_predicextreme!$A$2:$A$26,0),MATCH(AI$2,Fact5_predicextreme!$A$1:$V$1,0)-1,1,1)=0,NA(),OFFSET(Fact5_predicextreme!$A$1,MATCH($Y17,Fact5_predicextreme!$A$2:$A$26,0),MATCH(AI$2,Fact5_predicextreme!$A$1:$V$1,0)-1,1,1))</f>
        <v>9.4491634368896484</v>
      </c>
      <c r="AJ17" s="8">
        <f ca="1">IF(OFFSET(Fact5_predicextreme!$A$1,MATCH($Y17,Fact5_predicextreme!$A$2:$A$26,0),MATCH(AJ$2,Fact5_predicextreme!$A$1:$V$1,0)-1,1,1)=0,NA(),OFFSET(Fact5_predicextreme!$A$1,MATCH($Y17,Fact5_predicextreme!$A$2:$A$26,0),MATCH(AJ$2,Fact5_predicextreme!$A$1:$V$1,0)-1,1,1))</f>
        <v>10.783822059631348</v>
      </c>
      <c r="AK17" s="8">
        <f ca="1">IF(OFFSET(Fact5_predicextreme!$A$1,MATCH($Y17,Fact5_predicextreme!$A$2:$A$26,0),MATCH(AK$2,Fact5_predicextreme!$A$1:$V$1,0)-1,1,1)=0,NA(),OFFSET(Fact5_predicextreme!$A$1,MATCH($Y17,Fact5_predicextreme!$A$2:$A$26,0),MATCH(AK$2,Fact5_predicextreme!$A$1:$V$1,0)-1,1,1))</f>
        <v>9.8965740203857422</v>
      </c>
      <c r="AL17" s="8">
        <f ca="1">IF(OFFSET(Fact5_predicextreme!$A$1,MATCH($Y17,Fact5_predicextreme!$A$2:$A$26,0),MATCH(AL$2,Fact5_predicextreme!$A$1:$V$1,0)-1,1,1)=0,NA(),OFFSET(Fact5_predicextreme!$A$1,MATCH($Y17,Fact5_predicextreme!$A$2:$A$26,0),MATCH(AL$2,Fact5_predicextreme!$A$1:$V$1,0)-1,1,1))</f>
        <v>10.029431343078613</v>
      </c>
      <c r="AM17" s="8">
        <f ca="1">IF(OFFSET(Fact5_predicextreme!$A$1,MATCH($Y17,Fact5_predicextreme!$A$2:$A$26,0),MATCH(AM$2,Fact5_predicextreme!$A$1:$V$1,0)-1,1,1)=0,NA(),OFFSET(Fact5_predicextreme!$A$1,MATCH($Y17,Fact5_predicextreme!$A$2:$A$26,0),MATCH(AM$2,Fact5_predicextreme!$A$1:$V$1,0)-1,1,1))</f>
        <v>8.4328737258911133</v>
      </c>
      <c r="AN17" s="8">
        <f ca="1">IF(OFFSET(Fact5_predicextreme!$A$1,MATCH($Y17,Fact5_predicextreme!$A$2:$A$26,0),MATCH(AN$2,Fact5_predicextreme!$A$1:$V$1,0)-1,1,1)=0,NA(),OFFSET(Fact5_predicextreme!$A$1,MATCH($Y17,Fact5_predicextreme!$A$2:$A$26,0),MATCH(AN$2,Fact5_predicextreme!$A$1:$V$1,0)-1,1,1))</f>
        <v>8.1176433563232422</v>
      </c>
      <c r="AO17" s="8">
        <f ca="1">IF(OFFSET(Fact5_predicextreme!$A$1,MATCH($Y17,Fact5_predicextreme!$A$2:$A$26,0),MATCH(AO$2,Fact5_predicextreme!$A$1:$V$1,0)-1,1,1)=0,NA(),OFFSET(Fact5_predicextreme!$A$1,MATCH($Y17,Fact5_predicextreme!$A$2:$A$26,0),MATCH(AO$2,Fact5_predicextreme!$A$1:$V$1,0)-1,1,1))</f>
        <v>8.4074573516845703</v>
      </c>
      <c r="AP17" s="8">
        <f ca="1">IF(OFFSET(Fact5_predicextreme!$A$1,MATCH($Y17,Fact5_predicextreme!$A$2:$A$26,0),MATCH(AP$2,Fact5_predicextreme!$A$1:$V$1,0)-1,1,1)=0,NA(),OFFSET(Fact5_predicextreme!$A$1,MATCH($Y17,Fact5_predicextreme!$A$2:$A$26,0),MATCH(AP$2,Fact5_predicextreme!$A$1:$V$1,0)-1,1,1))</f>
        <v>8.2286205291748047</v>
      </c>
      <c r="AQ17" s="88">
        <f ca="1">IF(OFFSET(Fact5_predicextreme!$A$1,MATCH($Y17,Fact5_predicextreme!$A$2:$A$26,0),MATCH(AQ$2,Fact5_predicextreme!$A$1:$V$1,0)-1,1,1)=0,NA(),OFFSET(Fact5_predicextreme!$A$1,MATCH($Y17,Fact5_predicextreme!$A$2:$A$26,0),MATCH(AQ$2,Fact5_predicextreme!$A$1:$V$1,0)-1,1,1))</f>
        <v>8.4610786437988281</v>
      </c>
      <c r="AR17" s="88">
        <f ca="1">IF(OFFSET(Fact5_predicextreme!$A$1,MATCH($Y17,Fact5_predicextreme!$A$2:$A$26,0),MATCH(AR$2,Fact5_predicextreme!$A$1:$V$1,0)-1,1,1)=0,NA(),OFFSET(Fact5_predicextreme!$A$1,MATCH($Y17,Fact5_predicextreme!$A$2:$A$26,0),MATCH(AR$2,Fact5_predicextreme!$A$1:$V$1,0)-1,1,1))</f>
        <v>8.700103759765625</v>
      </c>
      <c r="AS17" s="8">
        <f ca="1">IF(OFFSET(Fact5_predicextreme!$A$1,MATCH($Y17,Fact5_predicextreme!$A$2:$A$26,0),MATCH(AS$2,Fact5_predicextreme!$A$1:$V$1,0)-1,1,1)=0,NA(),OFFSET(Fact5_predicextreme!$A$1,MATCH($Y17,Fact5_predicextreme!$A$2:$A$26,0),MATCH(AS$2,Fact5_predicextreme!$A$1:$V$1,0)-1,1,1))</f>
        <v>8.9458808898925781</v>
      </c>
      <c r="AT17" s="88">
        <f ca="1">IF(OFFSET(Fact5_predicextreme!$A$1,MATCH($Y17,Fact5_predicextreme!$A$2:$A$26,0),MATCH(AT$2,Fact5_predicextreme!$A$1:$V$1,0)-1,1,1)=0,NA(),OFFSET(Fact5_predicextreme!$A$1,MATCH($Y17,Fact5_predicextreme!$A$2:$A$26,0),MATCH(AT$2,Fact5_predicextreme!$A$1:$V$1,0)-1,1,1))</f>
        <v>9.1986007690429688</v>
      </c>
      <c r="AU17" s="2563" t="s">
        <v>42</v>
      </c>
      <c r="AV17" s="7547"/>
      <c r="AW17" s="7532">
        <f t="shared" ca="1" si="29"/>
        <v>-0.52840922369709631</v>
      </c>
      <c r="AX17" s="7532">
        <f t="shared" ca="1" si="3"/>
        <v>2.8249949526756746E-2</v>
      </c>
      <c r="AY17" s="7532">
        <f t="shared" ca="1" si="4"/>
        <v>5.7297967371221281E-2</v>
      </c>
      <c r="AZ17" s="7532"/>
      <c r="BA17" s="7532">
        <f t="shared" ca="1" si="5"/>
        <v>1.9926592568218604E-2</v>
      </c>
      <c r="BB17" s="7532">
        <f t="shared" ref="BB17:BP17" ca="1" si="30">IFERROR(AB17/AA17-1,"")</f>
        <v>-4.2609659736321137E-2</v>
      </c>
      <c r="BC17" s="7532">
        <f t="shared" ca="1" si="30"/>
        <v>5.9690557643958808E-3</v>
      </c>
      <c r="BD17" s="7532">
        <f t="shared" ca="1" si="30"/>
        <v>-0.13149667909021412</v>
      </c>
      <c r="BE17" s="7532">
        <f t="shared" ca="1" si="30"/>
        <v>-2.2753515445817052E-2</v>
      </c>
      <c r="BF17" s="7532">
        <f t="shared" ca="1" si="30"/>
        <v>-0.11245017437867888</v>
      </c>
      <c r="BG17" s="7532">
        <f t="shared" ca="1" si="30"/>
        <v>-1.7339883588942673E-3</v>
      </c>
      <c r="BH17" s="7532">
        <f t="shared" ca="1" si="30"/>
        <v>-0.15163351365447841</v>
      </c>
      <c r="BI17" s="7532">
        <f t="shared" ca="1" si="30"/>
        <v>-0.22697029549712278</v>
      </c>
      <c r="BJ17" s="7532">
        <f t="shared" ca="1" si="30"/>
        <v>0.14124622054172287</v>
      </c>
      <c r="BK17" s="7532">
        <f t="shared" ca="1" si="30"/>
        <v>-8.2275841936132355E-2</v>
      </c>
      <c r="BL17" s="7532">
        <f t="shared" ca="1" si="30"/>
        <v>1.3424577274842919E-2</v>
      </c>
      <c r="BM17" s="7532">
        <f t="shared" ca="1" si="30"/>
        <v>-0.15918725225526331</v>
      </c>
      <c r="BN17" s="7532">
        <f t="shared" ca="1" si="30"/>
        <v>-3.7381132436506426E-2</v>
      </c>
      <c r="BO17" s="7532">
        <f t="shared" ca="1" si="30"/>
        <v>3.5701740349996625E-2</v>
      </c>
      <c r="BP17" s="7532">
        <f t="shared" ca="1" si="30"/>
        <v>-2.1271213760475693E-2</v>
      </c>
      <c r="BQ17" s="7532">
        <f t="shared" ref="BQ17:BQ22" ca="1" si="31">IFERROR(AQ17/AP17-1,"")</f>
        <v>2.8249949526756746E-2</v>
      </c>
      <c r="BR17" s="7532">
        <f t="shared" ref="BR17:BR22" ca="1" si="32">IFERROR(AR17/AQ17-1,"")</f>
        <v>2.8249957958017546E-2</v>
      </c>
      <c r="BS17" s="7532">
        <f t="shared" ref="BS17:BS22" ca="1" si="33">IFERROR(AS17/AR17-1,"")</f>
        <v>2.8249907922198725E-2</v>
      </c>
      <c r="BT17" s="7532">
        <f t="shared" ref="BT17:BT22" ca="1" si="34">IFERROR(AT17/AS17-1,"")</f>
        <v>2.8249859601408689E-2</v>
      </c>
      <c r="BU17" s="7532"/>
      <c r="BV17" s="8"/>
      <c r="ER17" t="s">
        <v>46</v>
      </c>
      <c r="ES17">
        <v>6364.9424999999974</v>
      </c>
      <c r="ET17">
        <v>912.1443304448602</v>
      </c>
      <c r="EU17">
        <v>908.69421713104214</v>
      </c>
      <c r="EV17">
        <v>1820.8385475759023</v>
      </c>
      <c r="EW17" t="s">
        <v>46</v>
      </c>
      <c r="EX17" s="35">
        <f t="shared" si="25"/>
        <v>1.0200326281978249E-2</v>
      </c>
      <c r="EY17" s="35">
        <f t="shared" si="26"/>
        <v>1.0924694913065736E-2</v>
      </c>
      <c r="EZ17" s="35">
        <f t="shared" si="27"/>
        <v>1.2879751705589195E-2</v>
      </c>
      <c r="FA17" s="35">
        <f t="shared" si="28"/>
        <v>1.1820099594874386E-2</v>
      </c>
      <c r="FF17" t="s">
        <v>46</v>
      </c>
      <c r="FG17" s="35">
        <v>1.0200326281978249E-2</v>
      </c>
      <c r="FH17" s="35">
        <v>1.0924694913065736E-2</v>
      </c>
    </row>
    <row r="18" spans="2:164">
      <c r="B18" s="99" t="s">
        <v>44</v>
      </c>
      <c r="C18">
        <f>IF(Fact5_predicextreme!B15&gt;0,VLOOKUP(Fact5!$B18,Fact5_predicextreme!$A$1:$W$19,23,0),"")</f>
        <v>34352719</v>
      </c>
      <c r="D18">
        <f>IF(Fact5_predicextreme!C15&gt;0,VLOOKUP(Fact5!$B18,Fact5_predicextreme!$A$1:$W$19,23,0),"")</f>
        <v>34352719</v>
      </c>
      <c r="E18">
        <f>IF(Fact5_predicextreme!D15&gt;0,VLOOKUP(Fact5!$B18,Fact5_predicextreme!$A$1:$W$19,23,0),"")</f>
        <v>34352719</v>
      </c>
      <c r="F18">
        <f>IF(Fact5_predicextreme!E15&gt;0,VLOOKUP(Fact5!$B18,Fact5_predicextreme!$A$1:$W$19,23,0),"")</f>
        <v>34352719</v>
      </c>
      <c r="G18">
        <f>IF(Fact5_predicextreme!F15&gt;0,VLOOKUP(Fact5!$B18,Fact5_predicextreme!$A$1:$W$19,23,0),"")</f>
        <v>34352719</v>
      </c>
      <c r="H18">
        <f>IF(Fact5_predicextreme!G15&gt;0,VLOOKUP(Fact5!$B18,Fact5_predicextreme!$A$1:$W$19,23,0),"")</f>
        <v>34352719</v>
      </c>
      <c r="I18">
        <f>IF(Fact5_predicextreme!H15&gt;0,VLOOKUP(Fact5!$B18,Fact5_predicextreme!$A$1:$W$19,23,0),"")</f>
        <v>34352719</v>
      </c>
      <c r="J18">
        <f>IF(Fact5_predicextreme!I15&gt;0,VLOOKUP(Fact5!$B18,Fact5_predicextreme!$A$1:$W$19,23,0),"")</f>
        <v>34352719</v>
      </c>
      <c r="K18">
        <f>IF(Fact5_predicextreme!J15&gt;0,VLOOKUP(Fact5!$B18,Fact5_predicextreme!$A$1:$W$19,23,0),"")</f>
        <v>34352719</v>
      </c>
      <c r="L18">
        <f>IF(Fact5_predicextreme!K15&gt;0,VLOOKUP(Fact5!$B18,Fact5_predicextreme!$A$1:$W$19,23,0),"")</f>
        <v>34352719</v>
      </c>
      <c r="M18">
        <f>IF(Fact5_predicextreme!L15&gt;0,VLOOKUP(Fact5!$B18,Fact5_predicextreme!$A$1:$W$19,23,0),"")</f>
        <v>34352719</v>
      </c>
      <c r="N18">
        <f>IF(Fact5_predicextreme!M15&gt;0,VLOOKUP(Fact5!$B18,Fact5_predicextreme!$A$1:$W$19,23,0),"")</f>
        <v>34352719</v>
      </c>
      <c r="O18">
        <f>IF(Fact5_predicextreme!N15&gt;0,VLOOKUP(Fact5!$B18,Fact5_predicextreme!$A$1:$W$19,23,0),"")</f>
        <v>34352719</v>
      </c>
      <c r="P18">
        <f>IF(Fact5_predicextreme!O15&gt;0,VLOOKUP(Fact5!$B18,Fact5_predicextreme!$A$1:$W$19,23,0),"")</f>
        <v>34352719</v>
      </c>
      <c r="Q18">
        <f>IF(Fact5_predicextreme!P15&gt;0,VLOOKUP(Fact5!$B18,Fact5_predicextreme!$A$1:$W$19,23,0),"")</f>
        <v>34352719</v>
      </c>
      <c r="R18">
        <f>IF(Fact5_predicextreme!Q15&gt;0,VLOOKUP(Fact5!$B18,Fact5_predicextreme!$A$1:$W$19,23,0),"")</f>
        <v>34352719</v>
      </c>
      <c r="S18">
        <f>IF(Fact5_predicextreme!R15&gt;0,VLOOKUP(Fact5!$B18,Fact5_predicextreme!$A$1:$W$19,23,0),"")</f>
        <v>34352719</v>
      </c>
      <c r="T18">
        <f>IF(Fact5_predicextreme!S15&gt;0,VLOOKUP(Fact5!$B18,Fact5_predicextreme!$A$1:$W$19,23,0),"")</f>
        <v>34352719</v>
      </c>
      <c r="U18">
        <f>IF(Fact5_predicextreme!T15&gt;0,VLOOKUP(Fact5!$B18,Fact5_predicextreme!$A$1:$W$19,23,0),"")</f>
        <v>34352719</v>
      </c>
      <c r="V18">
        <f>IF(Fact5_predicextreme!U15&gt;0,VLOOKUP(Fact5!$B18,Fact5_predicextreme!$A$1:$W$19,23,0),"")</f>
        <v>34352719</v>
      </c>
      <c r="W18">
        <f>IF(Fact5_predicextreme!V15&gt;0,VLOOKUP(Fact5!$B18,Fact5_predicextreme!$A$1:$W$19,23,0),"")</f>
        <v>34352719</v>
      </c>
      <c r="X18" s="2562"/>
      <c r="Y18" s="2563" t="s">
        <v>44</v>
      </c>
      <c r="Z18" s="8">
        <f ca="1">IF(OFFSET(Fact5_predicextreme!$A$1,MATCH($Y18,Fact5_predicextreme!$A$2:$A$26,0),MATCH(Z$2,Fact5_predicextreme!$A$1:$V$1,0)-1,1,1)=0,NA(),OFFSET(Fact5_predicextreme!$A$1,MATCH($Y18,Fact5_predicextreme!$A$2:$A$26,0),MATCH(Z$2,Fact5_predicextreme!$A$1:$V$1,0)-1,1,1))</f>
        <v>36.082656860351563</v>
      </c>
      <c r="AA18" s="8">
        <f ca="1">IF(OFFSET(Fact5_predicextreme!$A$1,MATCH($Y18,Fact5_predicextreme!$A$2:$A$26,0),MATCH(AA$2,Fact5_predicextreme!$A$1:$V$1,0)-1,1,1)=0,NA(),OFFSET(Fact5_predicextreme!$A$1,MATCH($Y18,Fact5_predicextreme!$A$2:$A$26,0),MATCH(AA$2,Fact5_predicextreme!$A$1:$V$1,0)-1,1,1))</f>
        <v>36.340023040771484</v>
      </c>
      <c r="AB18" s="8">
        <f ca="1">IF(OFFSET(Fact5_predicextreme!$A$1,MATCH($Y18,Fact5_predicextreme!$A$2:$A$26,0),MATCH(AB$2,Fact5_predicextreme!$A$1:$V$1,0)-1,1,1)=0,NA(),OFFSET(Fact5_predicextreme!$A$1,MATCH($Y18,Fact5_predicextreme!$A$2:$A$26,0),MATCH(AB$2,Fact5_predicextreme!$A$1:$V$1,0)-1,1,1))</f>
        <v>39.131866455078125</v>
      </c>
      <c r="AC18" s="8">
        <f ca="1">IF(OFFSET(Fact5_predicextreme!$A$1,MATCH($Y18,Fact5_predicextreme!$A$2:$A$26,0),MATCH(AC$2,Fact5_predicextreme!$A$1:$V$1,0)-1,1,1)=0,NA(),OFFSET(Fact5_predicextreme!$A$1,MATCH($Y18,Fact5_predicextreme!$A$2:$A$26,0),MATCH(AC$2,Fact5_predicextreme!$A$1:$V$1,0)-1,1,1))</f>
        <v>36.236225128173828</v>
      </c>
      <c r="AD18" s="8">
        <f ca="1">IF(OFFSET(Fact5_predicextreme!$A$1,MATCH($Y18,Fact5_predicextreme!$A$2:$A$26,0),MATCH(AD$2,Fact5_predicextreme!$A$1:$V$1,0)-1,1,1)=0,NA(),OFFSET(Fact5_predicextreme!$A$1,MATCH($Y18,Fact5_predicextreme!$A$2:$A$26,0),MATCH(AD$2,Fact5_predicextreme!$A$1:$V$1,0)-1,1,1))</f>
        <v>29.151054382324219</v>
      </c>
      <c r="AE18" s="8">
        <f ca="1">IF(OFFSET(Fact5_predicextreme!$A$1,MATCH($Y18,Fact5_predicextreme!$A$2:$A$26,0),MATCH(AE$2,Fact5_predicextreme!$A$1:$V$1,0)-1,1,1)=0,NA(),OFFSET(Fact5_predicextreme!$A$1,MATCH($Y18,Fact5_predicextreme!$A$2:$A$26,0),MATCH(AE$2,Fact5_predicextreme!$A$1:$V$1,0)-1,1,1))</f>
        <v>25.421737670898438</v>
      </c>
      <c r="AF18" s="8">
        <f ca="1">IF(OFFSET(Fact5_predicextreme!$A$1,MATCH($Y18,Fact5_predicextreme!$A$2:$A$26,0),MATCH(AF$2,Fact5_predicextreme!$A$1:$V$1,0)-1,1,1)=0,NA(),OFFSET(Fact5_predicextreme!$A$1,MATCH($Y18,Fact5_predicextreme!$A$2:$A$26,0),MATCH(AF$2,Fact5_predicextreme!$A$1:$V$1,0)-1,1,1))</f>
        <v>18.704830169677734</v>
      </c>
      <c r="AG18" s="8">
        <f ca="1">IF(OFFSET(Fact5_predicextreme!$A$1,MATCH($Y18,Fact5_predicextreme!$A$2:$A$26,0),MATCH(AG$2,Fact5_predicextreme!$A$1:$V$1,0)-1,1,1)=0,NA(),OFFSET(Fact5_predicextreme!$A$1,MATCH($Y18,Fact5_predicextreme!$A$2:$A$26,0),MATCH(AG$2,Fact5_predicextreme!$A$1:$V$1,0)-1,1,1))</f>
        <v>16.461704254150391</v>
      </c>
      <c r="AH18" s="8">
        <f ca="1">IF(OFFSET(Fact5_predicextreme!$A$1,MATCH($Y18,Fact5_predicextreme!$A$2:$A$26,0),MATCH(AH$2,Fact5_predicextreme!$A$1:$V$1,0)-1,1,1)=0,NA(),OFFSET(Fact5_predicextreme!$A$1,MATCH($Y18,Fact5_predicextreme!$A$2:$A$26,0),MATCH(AH$2,Fact5_predicextreme!$A$1:$V$1,0)-1,1,1))</f>
        <v>18.892986297607422</v>
      </c>
      <c r="AI18" s="8">
        <f ca="1">IF(OFFSET(Fact5_predicextreme!$A$1,MATCH($Y18,Fact5_predicextreme!$A$2:$A$26,0),MATCH(AI$2,Fact5_predicextreme!$A$1:$V$1,0)-1,1,1)=0,NA(),OFFSET(Fact5_predicextreme!$A$1,MATCH($Y18,Fact5_predicextreme!$A$2:$A$26,0),MATCH(AI$2,Fact5_predicextreme!$A$1:$V$1,0)-1,1,1))</f>
        <v>17.266027450561523</v>
      </c>
      <c r="AJ18" s="8">
        <f ca="1">IF(OFFSET(Fact5_predicextreme!$A$1,MATCH($Y18,Fact5_predicextreme!$A$2:$A$26,0),MATCH(AJ$2,Fact5_predicextreme!$A$1:$V$1,0)-1,1,1)=0,NA(),OFFSET(Fact5_predicextreme!$A$1,MATCH($Y18,Fact5_predicextreme!$A$2:$A$26,0),MATCH(AJ$2,Fact5_predicextreme!$A$1:$V$1,0)-1,1,1))</f>
        <v>16.544425964355469</v>
      </c>
      <c r="AK18" s="8">
        <f ca="1">IF(OFFSET(Fact5_predicextreme!$A$1,MATCH($Y18,Fact5_predicextreme!$A$2:$A$26,0),MATCH(AK$2,Fact5_predicextreme!$A$1:$V$1,0)-1,1,1)=0,NA(),OFFSET(Fact5_predicextreme!$A$1,MATCH($Y18,Fact5_predicextreme!$A$2:$A$26,0),MATCH(AK$2,Fact5_predicextreme!$A$1:$V$1,0)-1,1,1))</f>
        <v>15.426937103271484</v>
      </c>
      <c r="AL18" s="8">
        <f ca="1">IF(OFFSET(Fact5_predicextreme!$A$1,MATCH($Y18,Fact5_predicextreme!$A$2:$A$26,0),MATCH(AL$2,Fact5_predicextreme!$A$1:$V$1,0)-1,1,1)=0,NA(),OFFSET(Fact5_predicextreme!$A$1,MATCH($Y18,Fact5_predicextreme!$A$2:$A$26,0),MATCH(AL$2,Fact5_predicextreme!$A$1:$V$1,0)-1,1,1))</f>
        <v>14.944316864013672</v>
      </c>
      <c r="AM18" s="8">
        <f ca="1">IF(OFFSET(Fact5_predicextreme!$A$1,MATCH($Y18,Fact5_predicextreme!$A$2:$A$26,0),MATCH(AM$2,Fact5_predicextreme!$A$1:$V$1,0)-1,1,1)=0,NA(),OFFSET(Fact5_predicextreme!$A$1,MATCH($Y18,Fact5_predicextreme!$A$2:$A$26,0),MATCH(AM$2,Fact5_predicextreme!$A$1:$V$1,0)-1,1,1))</f>
        <v>14.880022048950195</v>
      </c>
      <c r="AN18" s="8">
        <f ca="1">IF(OFFSET(Fact5_predicextreme!$A$1,MATCH($Y18,Fact5_predicextreme!$A$2:$A$26,0),MATCH(AN$2,Fact5_predicextreme!$A$1:$V$1,0)-1,1,1)=0,NA(),OFFSET(Fact5_predicextreme!$A$1,MATCH($Y18,Fact5_predicextreme!$A$2:$A$26,0),MATCH(AN$2,Fact5_predicextreme!$A$1:$V$1,0)-1,1,1))</f>
        <v>14.749188423156738</v>
      </c>
      <c r="AO18" s="8">
        <f ca="1">IF(OFFSET(Fact5_predicextreme!$A$1,MATCH($Y18,Fact5_predicextreme!$A$2:$A$26,0),MATCH(AO$2,Fact5_predicextreme!$A$1:$V$1,0)-1,1,1)=0,NA(),OFFSET(Fact5_predicextreme!$A$1,MATCH($Y18,Fact5_predicextreme!$A$2:$A$26,0),MATCH(AO$2,Fact5_predicextreme!$A$1:$V$1,0)-1,1,1))</f>
        <v>12.959710121154785</v>
      </c>
      <c r="AP18" s="8">
        <f ca="1">IF(OFFSET(Fact5_predicextreme!$A$1,MATCH($Y18,Fact5_predicextreme!$A$2:$A$26,0),MATCH(AP$2,Fact5_predicextreme!$A$1:$V$1,0)-1,1,1)=0,NA(),OFFSET(Fact5_predicextreme!$A$1,MATCH($Y18,Fact5_predicextreme!$A$2:$A$26,0),MATCH(AP$2,Fact5_predicextreme!$A$1:$V$1,0)-1,1,1))</f>
        <v>11.822205543518066</v>
      </c>
      <c r="AQ18" s="8">
        <f ca="1">IF(OFFSET(Fact5_predicextreme!$A$1,MATCH($Y18,Fact5_predicextreme!$A$2:$A$26,0),MATCH(AQ$2,Fact5_predicextreme!$A$1:$V$1,0)-1,1,1)=0,NA(),OFFSET(Fact5_predicextreme!$A$1,MATCH($Y18,Fact5_predicextreme!$A$2:$A$26,0),MATCH(AQ$2,Fact5_predicextreme!$A$1:$V$1,0)-1,1,1))</f>
        <v>23.303895950317383</v>
      </c>
      <c r="AR18" s="8">
        <f ca="1">IF(OFFSET(Fact5_predicextreme!$A$1,MATCH($Y18,Fact5_predicextreme!$A$2:$A$26,0),MATCH(AR$2,Fact5_predicextreme!$A$1:$V$1,0)-1,1,1)=0,NA(),OFFSET(Fact5_predicextreme!$A$1,MATCH($Y18,Fact5_predicextreme!$A$2:$A$26,0),MATCH(AR$2,Fact5_predicextreme!$A$1:$V$1,0)-1,1,1))</f>
        <v>14.145053863525391</v>
      </c>
      <c r="AS18" s="8">
        <f ca="1">IF(OFFSET(Fact5_predicextreme!$A$1,MATCH($Y18,Fact5_predicextreme!$A$2:$A$26,0),MATCH(AS$2,Fact5_predicextreme!$A$1:$V$1,0)-1,1,1)=0,NA(),OFFSET(Fact5_predicextreme!$A$1,MATCH($Y18,Fact5_predicextreme!$A$2:$A$26,0),MATCH(AS$2,Fact5_predicextreme!$A$1:$V$1,0)-1,1,1))</f>
        <v>12.462396621704102</v>
      </c>
      <c r="AT18" s="88">
        <f ca="1">IF(OFFSET(Fact5_predicextreme!$A$1,MATCH($Y18,Fact5_predicextreme!$A$2:$A$26,0),MATCH(AT$2,Fact5_predicextreme!$A$1:$V$1,0)-1,1,1)=0,NA(),OFFSET(Fact5_predicextreme!$A$1,MATCH($Y18,Fact5_predicextreme!$A$2:$A$26,0),MATCH(AT$2,Fact5_predicextreme!$A$1:$V$1,0)-1,1,1))</f>
        <v>10.979904174804688</v>
      </c>
      <c r="AU18" s="2563" t="s">
        <v>44</v>
      </c>
      <c r="AV18" s="7547"/>
      <c r="AW18" s="7532">
        <f t="shared" ca="1" si="29"/>
        <v>-0.6957013388094031</v>
      </c>
      <c r="AX18" s="7533">
        <f t="shared" ca="1" si="3"/>
        <v>0.97119698727404979</v>
      </c>
      <c r="AY18" s="7532">
        <f t="shared" ca="1" si="4"/>
        <v>0.19648180802277682</v>
      </c>
      <c r="AZ18" s="7533"/>
      <c r="BA18" s="7532">
        <f t="shared" ca="1" si="5"/>
        <v>7.1326837548573163E-3</v>
      </c>
      <c r="BB18" s="7532">
        <f t="shared" ref="BB18:BB22" ca="1" si="35">IFERROR(AB18/AA18-1,"")</f>
        <v>7.6825581843312118E-2</v>
      </c>
      <c r="BC18" s="7532">
        <f t="shared" ref="BC18:BC22" ca="1" si="36">IFERROR(AC18/AB18-1,"")</f>
        <v>-7.3997015456147008E-2</v>
      </c>
      <c r="BD18" s="7532">
        <f t="shared" ref="BD18:BD22" ca="1" si="37">IFERROR(AD18/AC18-1,"")</f>
        <v>-0.19552728576964429</v>
      </c>
      <c r="BE18" s="7532">
        <f t="shared" ref="BE18:BE22" ca="1" si="38">IFERROR(AE18/AD18-1,"")</f>
        <v>-0.12793076581432528</v>
      </c>
      <c r="BF18" s="7532">
        <f t="shared" ref="BF18:BF22" ca="1" si="39">IFERROR(AF18/AE18-1,"")</f>
        <v>-0.26421905489607389</v>
      </c>
      <c r="BG18" s="7532">
        <f t="shared" ref="BG18:BG22" ca="1" si="40">IFERROR(AG18/AF18-1,"")</f>
        <v>-0.11992228184801479</v>
      </c>
      <c r="BH18" s="7532">
        <f t="shared" ref="BH18:BH22" ca="1" si="41">IFERROR(AH18/AG18-1,"")</f>
        <v>0.14769321608022734</v>
      </c>
      <c r="BI18" s="7532">
        <f t="shared" ref="BI18:BI22" ca="1" si="42">IFERROR(AI18/AH18-1,"")</f>
        <v>-8.6114435347467211E-2</v>
      </c>
      <c r="BJ18" s="7532">
        <f t="shared" ref="BJ18:BJ22" ca="1" si="43">IFERROR(AJ18/AI18-1,"")</f>
        <v>-4.1793139057159756E-2</v>
      </c>
      <c r="BK18" s="7532">
        <f t="shared" ref="BK18:BK22" ca="1" si="44">IFERROR(AK18/AJ18-1,"")</f>
        <v>-6.7544734612828838E-2</v>
      </c>
      <c r="BL18" s="7532">
        <f t="shared" ref="BL18:BL22" ca="1" si="45">IFERROR(AL18/AK18-1,"")</f>
        <v>-3.1284255327356347E-2</v>
      </c>
      <c r="BM18" s="7532">
        <f t="shared" ref="BM18:BM22" ca="1" si="46">IFERROR(AM18/AL18-1,"")</f>
        <v>-4.3022920116408958E-3</v>
      </c>
      <c r="BN18" s="7532">
        <f t="shared" ref="BN18:BN22" ca="1" si="47">IFERROR(AN18/AM18-1,"")</f>
        <v>-8.792569349901469E-3</v>
      </c>
      <c r="BO18" s="7532">
        <f t="shared" ref="BO18:BO22" ca="1" si="48">IFERROR(AO18/AN18-1,"")</f>
        <v>-0.12132723853418337</v>
      </c>
      <c r="BP18" s="7532">
        <f t="shared" ref="BP18:BP22" ca="1" si="49">IFERROR(AP18/AO18-1,"")</f>
        <v>-8.7772378162989328E-2</v>
      </c>
      <c r="BQ18" s="7532">
        <f t="shared" ca="1" si="31"/>
        <v>0.97119698727404979</v>
      </c>
      <c r="BR18" s="7532">
        <f t="shared" ca="1" si="32"/>
        <v>-0.39301763560557157</v>
      </c>
      <c r="BS18" s="7532">
        <f t="shared" ca="1" si="33"/>
        <v>-0.11895728768910596</v>
      </c>
      <c r="BT18" s="7532">
        <f t="shared" ca="1" si="34"/>
        <v>-0.11895725131372836</v>
      </c>
      <c r="BU18" s="7532"/>
      <c r="BV18" s="8"/>
      <c r="ER18" t="s">
        <v>25</v>
      </c>
      <c r="ES18">
        <v>5212.1730000000025</v>
      </c>
      <c r="ET18">
        <v>339.29751237599385</v>
      </c>
      <c r="EU18">
        <v>503.61753725569753</v>
      </c>
      <c r="EV18">
        <v>842.9150496316912</v>
      </c>
      <c r="EW18" t="s">
        <v>25</v>
      </c>
      <c r="EX18" s="35">
        <f t="shared" si="25"/>
        <v>8.3529215288460912E-3</v>
      </c>
      <c r="EY18" s="35">
        <f t="shared" si="26"/>
        <v>4.0637448304503311E-3</v>
      </c>
      <c r="EZ18" s="35">
        <f t="shared" si="27"/>
        <v>7.1382305644169088E-3</v>
      </c>
      <c r="FA18" s="35">
        <f t="shared" si="28"/>
        <v>5.471841449056181E-3</v>
      </c>
      <c r="FF18" t="s">
        <v>25</v>
      </c>
      <c r="FG18" s="35">
        <v>8.3529215288460912E-3</v>
      </c>
      <c r="FH18" s="35">
        <v>4.0637448304503311E-3</v>
      </c>
    </row>
    <row r="19" spans="2:164">
      <c r="B19" s="98" t="s">
        <v>45</v>
      </c>
      <c r="C19">
        <f>IF(Fact5_predicextreme!B16&gt;0,VLOOKUP(Fact5!$B19,Fact5_predicextreme!$A$1:$W$19,23,0),"")</f>
        <v>6861524</v>
      </c>
      <c r="D19">
        <f>IF(Fact5_predicextreme!C16&gt;0,VLOOKUP(Fact5!$B19,Fact5_predicextreme!$A$1:$W$19,23,0),"")</f>
        <v>6861524</v>
      </c>
      <c r="E19">
        <f>IF(Fact5_predicextreme!D16&gt;0,VLOOKUP(Fact5!$B19,Fact5_predicextreme!$A$1:$W$19,23,0),"")</f>
        <v>6861524</v>
      </c>
      <c r="F19">
        <f>IF(Fact5_predicextreme!E16&gt;0,VLOOKUP(Fact5!$B19,Fact5_predicextreme!$A$1:$W$19,23,0),"")</f>
        <v>6861524</v>
      </c>
      <c r="G19">
        <f>IF(Fact5_predicextreme!F16&gt;0,VLOOKUP(Fact5!$B19,Fact5_predicextreme!$A$1:$W$19,23,0),"")</f>
        <v>6861524</v>
      </c>
      <c r="H19">
        <f>IF(Fact5_predicextreme!G16&gt;0,VLOOKUP(Fact5!$B19,Fact5_predicextreme!$A$1:$W$19,23,0),"")</f>
        <v>6861524</v>
      </c>
      <c r="I19">
        <f>IF(Fact5_predicextreme!H16&gt;0,VLOOKUP(Fact5!$B19,Fact5_predicextreme!$A$1:$W$19,23,0),"")</f>
        <v>6861524</v>
      </c>
      <c r="J19">
        <f>IF(Fact5_predicextreme!I16&gt;0,VLOOKUP(Fact5!$B19,Fact5_predicextreme!$A$1:$W$19,23,0),"")</f>
        <v>6861524</v>
      </c>
      <c r="K19">
        <f>IF(Fact5_predicextreme!J16&gt;0,VLOOKUP(Fact5!$B19,Fact5_predicextreme!$A$1:$W$19,23,0),"")</f>
        <v>6861524</v>
      </c>
      <c r="L19">
        <f>IF(Fact5_predicextreme!K16&gt;0,VLOOKUP(Fact5!$B19,Fact5_predicextreme!$A$1:$W$19,23,0),"")</f>
        <v>6861524</v>
      </c>
      <c r="M19">
        <f>IF(Fact5_predicextreme!L16&gt;0,VLOOKUP(Fact5!$B19,Fact5_predicextreme!$A$1:$W$19,23,0),"")</f>
        <v>6861524</v>
      </c>
      <c r="N19">
        <f>IF(Fact5_predicextreme!M16&gt;0,VLOOKUP(Fact5!$B19,Fact5_predicextreme!$A$1:$W$19,23,0),"")</f>
        <v>6861524</v>
      </c>
      <c r="O19">
        <f>IF(Fact5_predicextreme!N16&gt;0,VLOOKUP(Fact5!$B19,Fact5_predicextreme!$A$1:$W$19,23,0),"")</f>
        <v>6861524</v>
      </c>
      <c r="P19">
        <f>IF(Fact5_predicextreme!O16&gt;0,VLOOKUP(Fact5!$B19,Fact5_predicextreme!$A$1:$W$19,23,0),"")</f>
        <v>6861524</v>
      </c>
      <c r="Q19">
        <f>IF(Fact5_predicextreme!P16&gt;0,VLOOKUP(Fact5!$B19,Fact5_predicextreme!$A$1:$W$19,23,0),"")</f>
        <v>6861524</v>
      </c>
      <c r="R19">
        <f>IF(Fact5_predicextreme!Q16&gt;0,VLOOKUP(Fact5!$B19,Fact5_predicextreme!$A$1:$W$19,23,0),"")</f>
        <v>6861524</v>
      </c>
      <c r="S19">
        <f>IF(Fact5_predicextreme!R16&gt;0,VLOOKUP(Fact5!$B19,Fact5_predicextreme!$A$1:$W$19,23,0),"")</f>
        <v>6861524</v>
      </c>
      <c r="T19">
        <f>IF(Fact5_predicextreme!S16&gt;0,VLOOKUP(Fact5!$B19,Fact5_predicextreme!$A$1:$W$19,23,0),"")</f>
        <v>6861524</v>
      </c>
      <c r="U19">
        <f>IF(Fact5_predicextreme!T16&gt;0,VLOOKUP(Fact5!$B19,Fact5_predicextreme!$A$1:$W$19,23,0),"")</f>
        <v>6861524</v>
      </c>
      <c r="V19">
        <f>IF(Fact5_predicextreme!U16&gt;0,VLOOKUP(Fact5!$B19,Fact5_predicextreme!$A$1:$W$19,23,0),"")</f>
        <v>6861524</v>
      </c>
      <c r="W19">
        <f>IF(Fact5_predicextreme!V16&gt;0,VLOOKUP(Fact5!$B19,Fact5_predicextreme!$A$1:$W$19,23,0),"")</f>
        <v>6861524</v>
      </c>
      <c r="X19" s="2562"/>
      <c r="Y19" s="2562" t="s">
        <v>45</v>
      </c>
      <c r="Z19" s="8">
        <f ca="1">IF(OFFSET(Fact5_predicextreme!$A$1,MATCH($Y19,Fact5_predicextreme!$A$2:$A$26,0),MATCH(Z$2,Fact5_predicextreme!$A$1:$V$1,0)-1,1,1)=0,NA(),OFFSET(Fact5_predicextreme!$A$1,MATCH($Y19,Fact5_predicextreme!$A$2:$A$26,0),MATCH(Z$2,Fact5_predicextreme!$A$1:$V$1,0)-1,1,1))</f>
        <v>29.401519775390625</v>
      </c>
      <c r="AA19" s="8">
        <f ca="1">IF(OFFSET(Fact5_predicextreme!$A$1,MATCH($Y19,Fact5_predicextreme!$A$2:$A$26,0),MATCH(AA$2,Fact5_predicextreme!$A$1:$V$1,0)-1,1,1)=0,NA(),OFFSET(Fact5_predicextreme!$A$1,MATCH($Y19,Fact5_predicextreme!$A$2:$A$26,0),MATCH(AA$2,Fact5_predicextreme!$A$1:$V$1,0)-1,1,1))</f>
        <v>25.954771041870117</v>
      </c>
      <c r="AB19" s="8">
        <f ca="1">IF(OFFSET(Fact5_predicextreme!$A$1,MATCH($Y19,Fact5_predicextreme!$A$2:$A$26,0),MATCH(AB$2,Fact5_predicextreme!$A$1:$V$1,0)-1,1,1)=0,NA(),OFFSET(Fact5_predicextreme!$A$1,MATCH($Y19,Fact5_predicextreme!$A$2:$A$26,0),MATCH(AB$2,Fact5_predicextreme!$A$1:$V$1,0)-1,1,1))</f>
        <v>21.66015625</v>
      </c>
      <c r="AC19" s="8">
        <f ca="1">IF(OFFSET(Fact5_predicextreme!$A$1,MATCH($Y19,Fact5_predicextreme!$A$2:$A$26,0),MATCH(AC$2,Fact5_predicextreme!$A$1:$V$1,0)-1,1,1)=0,NA(),OFFSET(Fact5_predicextreme!$A$1,MATCH($Y19,Fact5_predicextreme!$A$2:$A$26,0),MATCH(AC$2,Fact5_predicextreme!$A$1:$V$1,0)-1,1,1))</f>
        <v>26.555629730224609</v>
      </c>
      <c r="AD19" s="8">
        <f ca="1">IF(OFFSET(Fact5_predicextreme!$A$1,MATCH($Y19,Fact5_predicextreme!$A$2:$A$26,0),MATCH(AD$2,Fact5_predicextreme!$A$1:$V$1,0)-1,1,1)=0,NA(),OFFSET(Fact5_predicextreme!$A$1,MATCH($Y19,Fact5_predicextreme!$A$2:$A$26,0),MATCH(AD$2,Fact5_predicextreme!$A$1:$V$1,0)-1,1,1))</f>
        <v>22.036409378051758</v>
      </c>
      <c r="AE19" s="8">
        <f ca="1">IF(OFFSET(Fact5_predicextreme!$A$1,MATCH($Y19,Fact5_predicextreme!$A$2:$A$26,0),MATCH(AE$2,Fact5_predicextreme!$A$1:$V$1,0)-1,1,1)=0,NA(),OFFSET(Fact5_predicextreme!$A$1,MATCH($Y19,Fact5_predicextreme!$A$2:$A$26,0),MATCH(AE$2,Fact5_predicextreme!$A$1:$V$1,0)-1,1,1))</f>
        <v>21.534603118896484</v>
      </c>
      <c r="AF19" s="8">
        <f ca="1">IF(OFFSET(Fact5_predicextreme!$A$1,MATCH($Y19,Fact5_predicextreme!$A$2:$A$26,0),MATCH(AF$2,Fact5_predicextreme!$A$1:$V$1,0)-1,1,1)=0,NA(),OFFSET(Fact5_predicextreme!$A$1,MATCH($Y19,Fact5_predicextreme!$A$2:$A$26,0),MATCH(AF$2,Fact5_predicextreme!$A$1:$V$1,0)-1,1,1))</f>
        <v>20.314241409301758</v>
      </c>
      <c r="AG19" s="8">
        <f ca="1">IF(OFFSET(Fact5_predicextreme!$A$1,MATCH($Y19,Fact5_predicextreme!$A$2:$A$26,0),MATCH(AG$2,Fact5_predicextreme!$A$1:$V$1,0)-1,1,1)=0,NA(),OFFSET(Fact5_predicextreme!$A$1,MATCH($Y19,Fact5_predicextreme!$A$2:$A$26,0),MATCH(AG$2,Fact5_predicextreme!$A$1:$V$1,0)-1,1,1))</f>
        <v>20.313493728637695</v>
      </c>
      <c r="AH19" s="8">
        <f ca="1">IF(OFFSET(Fact5_predicextreme!$A$1,MATCH($Y19,Fact5_predicextreme!$A$2:$A$26,0),MATCH(AH$2,Fact5_predicextreme!$A$1:$V$1,0)-1,1,1)=0,NA(),OFFSET(Fact5_predicextreme!$A$1,MATCH($Y19,Fact5_predicextreme!$A$2:$A$26,0),MATCH(AH$2,Fact5_predicextreme!$A$1:$V$1,0)-1,1,1))</f>
        <v>18.601699829101563</v>
      </c>
      <c r="AI19" s="8">
        <f ca="1">IF(OFFSET(Fact5_predicextreme!$A$1,MATCH($Y19,Fact5_predicextreme!$A$2:$A$26,0),MATCH(AI$2,Fact5_predicextreme!$A$1:$V$1,0)-1,1,1)=0,NA(),OFFSET(Fact5_predicextreme!$A$1,MATCH($Y19,Fact5_predicextreme!$A$2:$A$26,0),MATCH(AI$2,Fact5_predicextreme!$A$1:$V$1,0)-1,1,1))</f>
        <v>18.355260848999023</v>
      </c>
      <c r="AJ19" s="8">
        <f ca="1">IF(OFFSET(Fact5_predicextreme!$A$1,MATCH($Y19,Fact5_predicextreme!$A$2:$A$26,0),MATCH(AJ$2,Fact5_predicextreme!$A$1:$V$1,0)-1,1,1)=0,NA(),OFFSET(Fact5_predicextreme!$A$1,MATCH($Y19,Fact5_predicextreme!$A$2:$A$26,0),MATCH(AJ$2,Fact5_predicextreme!$A$1:$V$1,0)-1,1,1))</f>
        <v>13.512746810913086</v>
      </c>
      <c r="AK19" s="8">
        <f ca="1">IF(OFFSET(Fact5_predicextreme!$A$1,MATCH($Y19,Fact5_predicextreme!$A$2:$A$26,0),MATCH(AK$2,Fact5_predicextreme!$A$1:$V$1,0)-1,1,1)=0,NA(),OFFSET(Fact5_predicextreme!$A$1,MATCH($Y19,Fact5_predicextreme!$A$2:$A$26,0),MATCH(AK$2,Fact5_predicextreme!$A$1:$V$1,0)-1,1,1))</f>
        <v>13.23590087890625</v>
      </c>
      <c r="AL19" s="8">
        <f ca="1">IF(OFFSET(Fact5_predicextreme!$A$1,MATCH($Y19,Fact5_predicextreme!$A$2:$A$26,0),MATCH(AL$2,Fact5_predicextreme!$A$1:$V$1,0)-1,1,1)=0,NA(),OFFSET(Fact5_predicextreme!$A$1,MATCH($Y19,Fact5_predicextreme!$A$2:$A$26,0),MATCH(AL$2,Fact5_predicextreme!$A$1:$V$1,0)-1,1,1))</f>
        <v>13.862668037414551</v>
      </c>
      <c r="AM19" s="8">
        <f ca="1">IF(OFFSET(Fact5_predicextreme!$A$1,MATCH($Y19,Fact5_predicextreme!$A$2:$A$26,0),MATCH(AM$2,Fact5_predicextreme!$A$1:$V$1,0)-1,1,1)=0,NA(),OFFSET(Fact5_predicextreme!$A$1,MATCH($Y19,Fact5_predicextreme!$A$2:$A$26,0),MATCH(AM$2,Fact5_predicextreme!$A$1:$V$1,0)-1,1,1))</f>
        <v>15.528464317321777</v>
      </c>
      <c r="AN19" s="8">
        <f ca="1">IF(OFFSET(Fact5_predicextreme!$A$1,MATCH($Y19,Fact5_predicextreme!$A$2:$A$26,0),MATCH(AN$2,Fact5_predicextreme!$A$1:$V$1,0)-1,1,1)=0,NA(),OFFSET(Fact5_predicextreme!$A$1,MATCH($Y19,Fact5_predicextreme!$A$2:$A$26,0),MATCH(AN$2,Fact5_predicextreme!$A$1:$V$1,0)-1,1,1))</f>
        <v>14.606579780578613</v>
      </c>
      <c r="AO19" s="8">
        <f ca="1">IF(OFFSET(Fact5_predicextreme!$A$1,MATCH($Y19,Fact5_predicextreme!$A$2:$A$26,0),MATCH(AO$2,Fact5_predicextreme!$A$1:$V$1,0)-1,1,1)=0,NA(),OFFSET(Fact5_predicextreme!$A$1,MATCH($Y19,Fact5_predicextreme!$A$2:$A$26,0),MATCH(AO$2,Fact5_predicextreme!$A$1:$V$1,0)-1,1,1))</f>
        <v>12.543441772460938</v>
      </c>
      <c r="AP19" s="8">
        <f ca="1">IF(OFFSET(Fact5_predicextreme!$A$1,MATCH($Y19,Fact5_predicextreme!$A$2:$A$26,0),MATCH(AP$2,Fact5_predicextreme!$A$1:$V$1,0)-1,1,1)=0,NA(),OFFSET(Fact5_predicextreme!$A$1,MATCH($Y19,Fact5_predicextreme!$A$2:$A$26,0),MATCH(AP$2,Fact5_predicextreme!$A$1:$V$1,0)-1,1,1))</f>
        <v>12.439337730407715</v>
      </c>
      <c r="AQ19" s="8">
        <f ca="1">IF(OFFSET(Fact5_predicextreme!$A$1,MATCH($Y19,Fact5_predicextreme!$A$2:$A$26,0),MATCH(AQ$2,Fact5_predicextreme!$A$1:$V$1,0)-1,1,1)=0,NA(),OFFSET(Fact5_predicextreme!$A$1,MATCH($Y19,Fact5_predicextreme!$A$2:$A$26,0),MATCH(AQ$2,Fact5_predicextreme!$A$1:$V$1,0)-1,1,1))</f>
        <v>10.641407012939453</v>
      </c>
      <c r="AR19" s="8">
        <f ca="1">IF(OFFSET(Fact5_predicextreme!$A$1,MATCH($Y19,Fact5_predicextreme!$A$2:$A$26,0),MATCH(AR$2,Fact5_predicextreme!$A$1:$V$1,0)-1,1,1)=0,NA(),OFFSET(Fact5_predicextreme!$A$1,MATCH($Y19,Fact5_predicextreme!$A$2:$A$26,0),MATCH(AR$2,Fact5_predicextreme!$A$1:$V$1,0)-1,1,1))</f>
        <v>11.396774291992188</v>
      </c>
      <c r="AS19" s="8">
        <f ca="1">IF(OFFSET(Fact5_predicextreme!$A$1,MATCH($Y19,Fact5_predicextreme!$A$2:$A$26,0),MATCH(AS$2,Fact5_predicextreme!$A$1:$V$1,0)-1,1,1)=0,NA(),OFFSET(Fact5_predicextreme!$A$1,MATCH($Y19,Fact5_predicextreme!$A$2:$A$26,0),MATCH(AS$2,Fact5_predicextreme!$A$1:$V$1,0)-1,1,1))</f>
        <v>12.367045402526855</v>
      </c>
      <c r="AT19" s="88">
        <f ca="1">IF(OFFSET(Fact5_predicextreme!$A$1,MATCH($Y19,Fact5_predicextreme!$A$2:$A$26,0),MATCH(AT$2,Fact5_predicextreme!$A$1:$V$1,0)-1,1,1)=0,NA(),OFFSET(Fact5_predicextreme!$A$1,MATCH($Y19,Fact5_predicextreme!$A$2:$A$26,0),MATCH(AT$2,Fact5_predicextreme!$A$1:$V$1,0)-1,1,1))</f>
        <v>13.419920921325684</v>
      </c>
      <c r="AU19" s="2562" t="s">
        <v>45</v>
      </c>
      <c r="AV19" s="7511"/>
      <c r="AW19" s="7532">
        <f t="shared" ca="1" si="29"/>
        <v>-0.54356369929699022</v>
      </c>
      <c r="AX19" s="7532">
        <f t="shared" ca="1" si="3"/>
        <v>-0.14453588739481327</v>
      </c>
      <c r="AY19" s="7532">
        <f t="shared" ca="1" si="4"/>
        <v>-8.3811812253236084E-2</v>
      </c>
      <c r="AZ19" s="7532"/>
      <c r="BA19" s="7532">
        <f t="shared" ca="1" si="5"/>
        <v>-0.1172302914900839</v>
      </c>
      <c r="BB19" s="7532">
        <f t="shared" ca="1" si="35"/>
        <v>-0.1654653314006147</v>
      </c>
      <c r="BC19" s="7532">
        <f t="shared" ca="1" si="36"/>
        <v>0.22601284236925157</v>
      </c>
      <c r="BD19" s="7532">
        <f t="shared" ca="1" si="37"/>
        <v>-0.17017937055468302</v>
      </c>
      <c r="BE19" s="7532">
        <f t="shared" ca="1" si="38"/>
        <v>-2.2771688914759003E-2</v>
      </c>
      <c r="BF19" s="7532">
        <f t="shared" ca="1" si="39"/>
        <v>-5.6669802682542403E-2</v>
      </c>
      <c r="BG19" s="7532">
        <f t="shared" ca="1" si="40"/>
        <v>-3.6805738840905988E-5</v>
      </c>
      <c r="BH19" s="7532">
        <f t="shared" ca="1" si="41"/>
        <v>-8.4268807837957871E-2</v>
      </c>
      <c r="BI19" s="7532">
        <f t="shared" ca="1" si="42"/>
        <v>-1.3248196797423617E-2</v>
      </c>
      <c r="BJ19" s="7532">
        <f t="shared" ca="1" si="43"/>
        <v>-0.26382158651534593</v>
      </c>
      <c r="BK19" s="7532">
        <f t="shared" ca="1" si="44"/>
        <v>-2.0487761361979384E-2</v>
      </c>
      <c r="BL19" s="7532">
        <f t="shared" ca="1" si="45"/>
        <v>4.7353569979295074E-2</v>
      </c>
      <c r="BM19" s="7532">
        <f t="shared" ca="1" si="46"/>
        <v>0.12016419028511227</v>
      </c>
      <c r="BN19" s="7532">
        <f t="shared" ca="1" si="47"/>
        <v>-5.9367398984509712E-2</v>
      </c>
      <c r="BO19" s="7532">
        <f t="shared" ca="1" si="48"/>
        <v>-0.14124716662698078</v>
      </c>
      <c r="BP19" s="7532">
        <f t="shared" ca="1" si="49"/>
        <v>-8.2994798350946031E-3</v>
      </c>
      <c r="BQ19" s="7532">
        <f t="shared" ca="1" si="31"/>
        <v>-0.14453588739481327</v>
      </c>
      <c r="BR19" s="7532">
        <f t="shared" ca="1" si="32"/>
        <v>7.0983778567462297E-2</v>
      </c>
      <c r="BS19" s="7532">
        <f t="shared" ca="1" si="33"/>
        <v>8.5135590622025248E-2</v>
      </c>
      <c r="BT19" s="7532">
        <f t="shared" ca="1" si="34"/>
        <v>8.5135574790054847E-2</v>
      </c>
      <c r="BU19" s="7532"/>
      <c r="BV19" s="8"/>
      <c r="ER19" t="s">
        <v>42</v>
      </c>
      <c r="ES19">
        <v>4468.0864999999976</v>
      </c>
      <c r="ET19">
        <v>469.65500282446351</v>
      </c>
      <c r="EU19">
        <v>340.70371845261792</v>
      </c>
      <c r="EV19">
        <v>810.35874258257843</v>
      </c>
      <c r="EW19" t="s">
        <v>42</v>
      </c>
      <c r="EX19" s="35">
        <f t="shared" si="25"/>
        <v>7.1604637679134105E-3</v>
      </c>
      <c r="EY19" s="35">
        <f t="shared" si="26"/>
        <v>5.6250282427890985E-3</v>
      </c>
      <c r="EZ19" s="35">
        <f t="shared" si="27"/>
        <v>4.8291044623296753E-3</v>
      </c>
      <c r="FA19" s="35">
        <f t="shared" si="28"/>
        <v>5.260499926067151E-3</v>
      </c>
      <c r="FF19" t="s">
        <v>42</v>
      </c>
      <c r="FG19" s="35">
        <v>7.1604637679134105E-3</v>
      </c>
      <c r="FH19" s="35">
        <v>5.6250282427890985E-3</v>
      </c>
    </row>
    <row r="20" spans="2:164">
      <c r="B20" s="98" t="s">
        <v>46</v>
      </c>
      <c r="C20">
        <f>IF(Fact5_predicextreme!B17&gt;0,VLOOKUP(Fact5!$B20,Fact5_predicextreme!$A$1:$W$19,23,0),"")</f>
        <v>6364943</v>
      </c>
      <c r="D20">
        <f>IF(Fact5_predicextreme!C17&gt;0,VLOOKUP(Fact5!$B20,Fact5_predicextreme!$A$1:$W$19,23,0),"")</f>
        <v>6364943</v>
      </c>
      <c r="E20">
        <f>IF(Fact5_predicextreme!D17&gt;0,VLOOKUP(Fact5!$B20,Fact5_predicextreme!$A$1:$W$19,23,0),"")</f>
        <v>6364943</v>
      </c>
      <c r="F20">
        <f>IF(Fact5_predicextreme!E17&gt;0,VLOOKUP(Fact5!$B20,Fact5_predicextreme!$A$1:$W$19,23,0),"")</f>
        <v>6364943</v>
      </c>
      <c r="G20">
        <f>IF(Fact5_predicextreme!F17&gt;0,VLOOKUP(Fact5!$B20,Fact5_predicextreme!$A$1:$W$19,23,0),"")</f>
        <v>6364943</v>
      </c>
      <c r="H20">
        <f>IF(Fact5_predicextreme!G17&gt;0,VLOOKUP(Fact5!$B20,Fact5_predicextreme!$A$1:$W$19,23,0),"")</f>
        <v>6364943</v>
      </c>
      <c r="I20">
        <f>IF(Fact5_predicextreme!H17&gt;0,VLOOKUP(Fact5!$B20,Fact5_predicextreme!$A$1:$W$19,23,0),"")</f>
        <v>6364943</v>
      </c>
      <c r="J20">
        <f>IF(Fact5_predicextreme!I17&gt;0,VLOOKUP(Fact5!$B20,Fact5_predicextreme!$A$1:$W$19,23,0),"")</f>
        <v>6364943</v>
      </c>
      <c r="K20">
        <f>IF(Fact5_predicextreme!J17&gt;0,VLOOKUP(Fact5!$B20,Fact5_predicextreme!$A$1:$W$19,23,0),"")</f>
        <v>6364943</v>
      </c>
      <c r="L20">
        <f>IF(Fact5_predicextreme!K17&gt;0,VLOOKUP(Fact5!$B20,Fact5_predicextreme!$A$1:$W$19,23,0),"")</f>
        <v>6364943</v>
      </c>
      <c r="M20">
        <f>IF(Fact5_predicextreme!L17&gt;0,VLOOKUP(Fact5!$B20,Fact5_predicextreme!$A$1:$W$19,23,0),"")</f>
        <v>6364943</v>
      </c>
      <c r="N20">
        <f>IF(Fact5_predicextreme!M17&gt;0,VLOOKUP(Fact5!$B20,Fact5_predicextreme!$A$1:$W$19,23,0),"")</f>
        <v>6364943</v>
      </c>
      <c r="O20">
        <f>IF(Fact5_predicextreme!N17&gt;0,VLOOKUP(Fact5!$B20,Fact5_predicextreme!$A$1:$W$19,23,0),"")</f>
        <v>6364943</v>
      </c>
      <c r="P20">
        <f>IF(Fact5_predicextreme!O17&gt;0,VLOOKUP(Fact5!$B20,Fact5_predicextreme!$A$1:$W$19,23,0),"")</f>
        <v>6364943</v>
      </c>
      <c r="Q20">
        <f>IF(Fact5_predicextreme!P17&gt;0,VLOOKUP(Fact5!$B20,Fact5_predicextreme!$A$1:$W$19,23,0),"")</f>
        <v>6364943</v>
      </c>
      <c r="R20">
        <f>IF(Fact5_predicextreme!Q17&gt;0,VLOOKUP(Fact5!$B20,Fact5_predicextreme!$A$1:$W$19,23,0),"")</f>
        <v>6364943</v>
      </c>
      <c r="S20">
        <f>IF(Fact5_predicextreme!R17&gt;0,VLOOKUP(Fact5!$B20,Fact5_predicextreme!$A$1:$W$19,23,0),"")</f>
        <v>6364943</v>
      </c>
      <c r="T20">
        <f>IF(Fact5_predicextreme!S17&gt;0,VLOOKUP(Fact5!$B20,Fact5_predicextreme!$A$1:$W$19,23,0),"")</f>
        <v>6364943</v>
      </c>
      <c r="U20">
        <f>IF(Fact5_predicextreme!T17&gt;0,VLOOKUP(Fact5!$B20,Fact5_predicextreme!$A$1:$W$19,23,0),"")</f>
        <v>6364943</v>
      </c>
      <c r="V20">
        <f>IF(Fact5_predicextreme!U17&gt;0,VLOOKUP(Fact5!$B20,Fact5_predicextreme!$A$1:$W$19,23,0),"")</f>
        <v>6364943</v>
      </c>
      <c r="W20">
        <f>IF(Fact5_predicextreme!V17&gt;0,VLOOKUP(Fact5!$B20,Fact5_predicextreme!$A$1:$W$19,23,0),"")</f>
        <v>6364943</v>
      </c>
      <c r="X20" s="2562"/>
      <c r="Y20" s="2562" t="s">
        <v>46</v>
      </c>
      <c r="Z20" s="8">
        <f ca="1">IF(OFFSET(Fact5_predicextreme!$A$1,MATCH($Y20,Fact5_predicextreme!$A$2:$A$26,0),MATCH(Z$2,Fact5_predicextreme!$A$1:$V$1,0)-1,1,1)=0,NA(),OFFSET(Fact5_predicextreme!$A$1,MATCH($Y20,Fact5_predicextreme!$A$2:$A$26,0),MATCH(Z$2,Fact5_predicextreme!$A$1:$V$1,0)-1,1,1))</f>
        <v>30.098274230957031</v>
      </c>
      <c r="AA20" s="8">
        <f ca="1">IF(OFFSET(Fact5_predicextreme!$A$1,MATCH($Y20,Fact5_predicextreme!$A$2:$A$26,0),MATCH(AA$2,Fact5_predicextreme!$A$1:$V$1,0)-1,1,1)=0,NA(),OFFSET(Fact5_predicextreme!$A$1,MATCH($Y20,Fact5_predicextreme!$A$2:$A$26,0),MATCH(AA$2,Fact5_predicextreme!$A$1:$V$1,0)-1,1,1))</f>
        <v>29.909538269042969</v>
      </c>
      <c r="AB20" s="8">
        <f ca="1">IF(OFFSET(Fact5_predicextreme!$A$1,MATCH($Y20,Fact5_predicextreme!$A$2:$A$26,0),MATCH(AB$2,Fact5_predicextreme!$A$1:$V$1,0)-1,1,1)=0,NA(),OFFSET(Fact5_predicextreme!$A$1,MATCH($Y20,Fact5_predicextreme!$A$2:$A$26,0),MATCH(AB$2,Fact5_predicextreme!$A$1:$V$1,0)-1,1,1))</f>
        <v>33.278915405273438</v>
      </c>
      <c r="AC20" s="8">
        <f ca="1">IF(OFFSET(Fact5_predicextreme!$A$1,MATCH($Y20,Fact5_predicextreme!$A$2:$A$26,0),MATCH(AC$2,Fact5_predicextreme!$A$1:$V$1,0)-1,1,1)=0,NA(),OFFSET(Fact5_predicextreme!$A$1,MATCH($Y20,Fact5_predicextreme!$A$2:$A$26,0),MATCH(AC$2,Fact5_predicextreme!$A$1:$V$1,0)-1,1,1))</f>
        <v>29.543764114379883</v>
      </c>
      <c r="AD20" s="8">
        <f ca="1">IF(OFFSET(Fact5_predicextreme!$A$1,MATCH($Y20,Fact5_predicextreme!$A$2:$A$26,0),MATCH(AD$2,Fact5_predicextreme!$A$1:$V$1,0)-1,1,1)=0,NA(),OFFSET(Fact5_predicextreme!$A$1,MATCH($Y20,Fact5_predicextreme!$A$2:$A$26,0),MATCH(AD$2,Fact5_predicextreme!$A$1:$V$1,0)-1,1,1))</f>
        <v>26.075855255126953</v>
      </c>
      <c r="AE20" s="8">
        <f ca="1">IF(OFFSET(Fact5_predicextreme!$A$1,MATCH($Y20,Fact5_predicextreme!$A$2:$A$26,0),MATCH(AE$2,Fact5_predicextreme!$A$1:$V$1,0)-1,1,1)=0,NA(),OFFSET(Fact5_predicextreme!$A$1,MATCH($Y20,Fact5_predicextreme!$A$2:$A$26,0),MATCH(AE$2,Fact5_predicextreme!$A$1:$V$1,0)-1,1,1))</f>
        <v>29.958087921142578</v>
      </c>
      <c r="AF20" s="8">
        <f ca="1">IF(OFFSET(Fact5_predicextreme!$A$1,MATCH($Y20,Fact5_predicextreme!$A$2:$A$26,0),MATCH(AF$2,Fact5_predicextreme!$A$1:$V$1,0)-1,1,1)=0,NA(),OFFSET(Fact5_predicextreme!$A$1,MATCH($Y20,Fact5_predicextreme!$A$2:$A$26,0),MATCH(AF$2,Fact5_predicextreme!$A$1:$V$1,0)-1,1,1))</f>
        <v>30.230155944824219</v>
      </c>
      <c r="AG20" s="8">
        <f ca="1">IF(OFFSET(Fact5_predicextreme!$A$1,MATCH($Y20,Fact5_predicextreme!$A$2:$A$26,0),MATCH(AG$2,Fact5_predicextreme!$A$1:$V$1,0)-1,1,1)=0,NA(),OFFSET(Fact5_predicextreme!$A$1,MATCH($Y20,Fact5_predicextreme!$A$2:$A$26,0),MATCH(AG$2,Fact5_predicextreme!$A$1:$V$1,0)-1,1,1))</f>
        <v>29.565187454223633</v>
      </c>
      <c r="AH20" s="8">
        <f ca="1">IF(OFFSET(Fact5_predicextreme!$A$1,MATCH($Y20,Fact5_predicextreme!$A$2:$A$26,0),MATCH(AH$2,Fact5_predicextreme!$A$1:$V$1,0)-1,1,1)=0,NA(),OFFSET(Fact5_predicextreme!$A$1,MATCH($Y20,Fact5_predicextreme!$A$2:$A$26,0),MATCH(AH$2,Fact5_predicextreme!$A$1:$V$1,0)-1,1,1))</f>
        <v>27.949380874633789</v>
      </c>
      <c r="AI20" s="8">
        <f ca="1">IF(OFFSET(Fact5_predicextreme!$A$1,MATCH($Y20,Fact5_predicextreme!$A$2:$A$26,0),MATCH(AI$2,Fact5_predicextreme!$A$1:$V$1,0)-1,1,1)=0,NA(),OFFSET(Fact5_predicextreme!$A$1,MATCH($Y20,Fact5_predicextreme!$A$2:$A$26,0),MATCH(AI$2,Fact5_predicextreme!$A$1:$V$1,0)-1,1,1))</f>
        <v>26.217578887939453</v>
      </c>
      <c r="AJ20" s="8">
        <f ca="1">IF(OFFSET(Fact5_predicextreme!$A$1,MATCH($Y20,Fact5_predicextreme!$A$2:$A$26,0),MATCH(AJ$2,Fact5_predicextreme!$A$1:$V$1,0)-1,1,1)=0,NA(),OFFSET(Fact5_predicextreme!$A$1,MATCH($Y20,Fact5_predicextreme!$A$2:$A$26,0),MATCH(AJ$2,Fact5_predicextreme!$A$1:$V$1,0)-1,1,1))</f>
        <v>23.065671920776367</v>
      </c>
      <c r="AK20" s="8">
        <f ca="1">IF(OFFSET(Fact5_predicextreme!$A$1,MATCH($Y20,Fact5_predicextreme!$A$2:$A$26,0),MATCH(AK$2,Fact5_predicextreme!$A$1:$V$1,0)-1,1,1)=0,NA(),OFFSET(Fact5_predicextreme!$A$1,MATCH($Y20,Fact5_predicextreme!$A$2:$A$26,0),MATCH(AK$2,Fact5_predicextreme!$A$1:$V$1,0)-1,1,1))</f>
        <v>22.834812164306641</v>
      </c>
      <c r="AL20" s="8">
        <f ca="1">IF(OFFSET(Fact5_predicextreme!$A$1,MATCH($Y20,Fact5_predicextreme!$A$2:$A$26,0),MATCH(AL$2,Fact5_predicextreme!$A$1:$V$1,0)-1,1,1)=0,NA(),OFFSET(Fact5_predicextreme!$A$1,MATCH($Y20,Fact5_predicextreme!$A$2:$A$26,0),MATCH(AL$2,Fact5_predicextreme!$A$1:$V$1,0)-1,1,1))</f>
        <v>20.33000373840332</v>
      </c>
      <c r="AM20" s="8">
        <f ca="1">IF(OFFSET(Fact5_predicextreme!$A$1,MATCH($Y20,Fact5_predicextreme!$A$2:$A$26,0),MATCH(AM$2,Fact5_predicextreme!$A$1:$V$1,0)-1,1,1)=0,NA(),OFFSET(Fact5_predicextreme!$A$1,MATCH($Y20,Fact5_predicextreme!$A$2:$A$26,0),MATCH(AM$2,Fact5_predicextreme!$A$1:$V$1,0)-1,1,1))</f>
        <v>20.716344833374023</v>
      </c>
      <c r="AN20" s="8">
        <f ca="1">IF(OFFSET(Fact5_predicextreme!$A$1,MATCH($Y20,Fact5_predicextreme!$A$2:$A$26,0),MATCH(AN$2,Fact5_predicextreme!$A$1:$V$1,0)-1,1,1)=0,NA(),OFFSET(Fact5_predicextreme!$A$1,MATCH($Y20,Fact5_predicextreme!$A$2:$A$26,0),MATCH(AN$2,Fact5_predicextreme!$A$1:$V$1,0)-1,1,1))</f>
        <v>18.393341064453125</v>
      </c>
      <c r="AO20" s="8">
        <f ca="1">IF(OFFSET(Fact5_predicextreme!$A$1,MATCH($Y20,Fact5_predicextreme!$A$2:$A$26,0),MATCH(AO$2,Fact5_predicextreme!$A$1:$V$1,0)-1,1,1)=0,NA(),OFFSET(Fact5_predicextreme!$A$1,MATCH($Y20,Fact5_predicextreme!$A$2:$A$26,0),MATCH(AO$2,Fact5_predicextreme!$A$1:$V$1,0)-1,1,1))</f>
        <v>16.515666961669922</v>
      </c>
      <c r="AP20" s="8">
        <f ca="1">IF(OFFSET(Fact5_predicextreme!$A$1,MATCH($Y20,Fact5_predicextreme!$A$2:$A$26,0),MATCH(AP$2,Fact5_predicextreme!$A$1:$V$1,0)-1,1,1)=0,NA(),OFFSET(Fact5_predicextreme!$A$1,MATCH($Y20,Fact5_predicextreme!$A$2:$A$26,0),MATCH(AP$2,Fact5_predicextreme!$A$1:$V$1,0)-1,1,1))</f>
        <v>14.110957145690918</v>
      </c>
      <c r="AQ20" s="8">
        <f ca="1">IF(OFFSET(Fact5_predicextreme!$A$1,MATCH($Y20,Fact5_predicextreme!$A$2:$A$26,0),MATCH(AQ$2,Fact5_predicextreme!$A$1:$V$1,0)-1,1,1)=0,NA(),OFFSET(Fact5_predicextreme!$A$1,MATCH($Y20,Fact5_predicextreme!$A$2:$A$26,0),MATCH(AQ$2,Fact5_predicextreme!$A$1:$V$1,0)-1,1,1))</f>
        <v>18.446578979492188</v>
      </c>
      <c r="AR20" s="8">
        <f ca="1">IF(OFFSET(Fact5_predicextreme!$A$1,MATCH($Y20,Fact5_predicextreme!$A$2:$A$26,0),MATCH(AR$2,Fact5_predicextreme!$A$1:$V$1,0)-1,1,1)=0,NA(),OFFSET(Fact5_predicextreme!$A$1,MATCH($Y20,Fact5_predicextreme!$A$2:$A$26,0),MATCH(AR$2,Fact5_predicextreme!$A$1:$V$1,0)-1,1,1))</f>
        <v>17.403285980224609</v>
      </c>
      <c r="AS20" s="8">
        <f ca="1">IF(OFFSET(Fact5_predicextreme!$A$1,MATCH($Y20,Fact5_predicextreme!$A$2:$A$26,0),MATCH(AS$2,Fact5_predicextreme!$A$1:$V$1,0)-1,1,1)=0,NA(),OFFSET(Fact5_predicextreme!$A$1,MATCH($Y20,Fact5_predicextreme!$A$2:$A$26,0),MATCH(AS$2,Fact5_predicextreme!$A$1:$V$1,0)-1,1,1))</f>
        <v>17.153528213500977</v>
      </c>
      <c r="AT20" s="8">
        <f ca="1">IF(OFFSET(Fact5_predicextreme!$A$1,MATCH($Y20,Fact5_predicextreme!$A$2:$A$26,0),MATCH(AT$2,Fact5_predicextreme!$A$1:$V$1,0)-1,1,1)=0,NA(),OFFSET(Fact5_predicextreme!$A$1,MATCH($Y20,Fact5_predicextreme!$A$2:$A$26,0),MATCH(AT$2,Fact5_predicextreme!$A$1:$V$1,0)-1,1,1))</f>
        <v>15.566752433776855</v>
      </c>
      <c r="AU20" s="2562" t="s">
        <v>46</v>
      </c>
      <c r="AV20" s="7511"/>
      <c r="AW20" s="7532">
        <f t="shared" ca="1" si="29"/>
        <v>-0.4828024917865239</v>
      </c>
      <c r="AX20" s="7532">
        <f t="shared" ca="1" si="3"/>
        <v>0.30725214378000176</v>
      </c>
      <c r="AY20" s="7532">
        <f t="shared" ca="1" si="4"/>
        <v>0.2333171875260831</v>
      </c>
      <c r="AZ20" s="7532"/>
      <c r="BA20" s="7532">
        <f t="shared" ca="1" si="5"/>
        <v>-6.2706572631311408E-3</v>
      </c>
      <c r="BB20" s="7532">
        <f t="shared" ca="1" si="35"/>
        <v>0.11265226182772103</v>
      </c>
      <c r="BC20" s="7532">
        <f t="shared" ca="1" si="36"/>
        <v>-0.11223777113546418</v>
      </c>
      <c r="BD20" s="7532">
        <f t="shared" ca="1" si="37"/>
        <v>-0.11738209274304989</v>
      </c>
      <c r="BE20" s="7532">
        <f t="shared" ca="1" si="38"/>
        <v>0.14888227550090849</v>
      </c>
      <c r="BF20" s="7532">
        <f t="shared" ca="1" si="39"/>
        <v>9.0816217776579222E-3</v>
      </c>
      <c r="BG20" s="7532">
        <f t="shared" ca="1" si="40"/>
        <v>-2.1996859421244186E-2</v>
      </c>
      <c r="BH20" s="7532">
        <f t="shared" ca="1" si="41"/>
        <v>-5.4652336708219007E-2</v>
      </c>
      <c r="BI20" s="7532">
        <f t="shared" ca="1" si="42"/>
        <v>-6.1962087620555439E-2</v>
      </c>
      <c r="BJ20" s="7532">
        <f t="shared" ca="1" si="43"/>
        <v>-0.12022113028190484</v>
      </c>
      <c r="BK20" s="7532">
        <f t="shared" ca="1" si="44"/>
        <v>-1.0008802573047038E-2</v>
      </c>
      <c r="BL20" s="7532">
        <f t="shared" ca="1" si="45"/>
        <v>-0.10969253470885187</v>
      </c>
      <c r="BM20" s="7532">
        <f t="shared" ca="1" si="46"/>
        <v>1.9003493552778083E-2</v>
      </c>
      <c r="BN20" s="7532">
        <f t="shared" ca="1" si="47"/>
        <v>-0.11213386278348392</v>
      </c>
      <c r="BO20" s="7532">
        <f t="shared" ca="1" si="48"/>
        <v>-0.10208444981276332</v>
      </c>
      <c r="BP20" s="7532">
        <f t="shared" ca="1" si="49"/>
        <v>-0.14560173812900989</v>
      </c>
      <c r="BQ20" s="7532">
        <f t="shared" ca="1" si="31"/>
        <v>0.30725214378000176</v>
      </c>
      <c r="BR20" s="7532">
        <f t="shared" ca="1" si="32"/>
        <v>-5.6557532994461979E-2</v>
      </c>
      <c r="BS20" s="7532">
        <f t="shared" ca="1" si="33"/>
        <v>-1.4351184426172892E-2</v>
      </c>
      <c r="BT20" s="7532">
        <f t="shared" ca="1" si="34"/>
        <v>-9.2504338464621028E-2</v>
      </c>
      <c r="BU20" s="7532"/>
      <c r="BV20" s="8"/>
      <c r="ER20" t="s">
        <v>50</v>
      </c>
      <c r="ES20">
        <v>3423.1084999999985</v>
      </c>
      <c r="ET20">
        <v>110.34600857680914</v>
      </c>
      <c r="EU20">
        <v>188.2030815849518</v>
      </c>
      <c r="EV20">
        <v>298.54909832308755</v>
      </c>
      <c r="EW20" t="s">
        <v>50</v>
      </c>
      <c r="EX20" s="35">
        <f t="shared" si="25"/>
        <v>5.4858034614787389E-3</v>
      </c>
      <c r="EY20" s="35">
        <f t="shared" si="26"/>
        <v>1.3216071605556597E-3</v>
      </c>
      <c r="EZ20" s="35">
        <f t="shared" si="27"/>
        <v>2.6675738827678275E-3</v>
      </c>
      <c r="FA20" s="35">
        <f t="shared" si="28"/>
        <v>1.9380521578021667E-3</v>
      </c>
      <c r="FF20" t="s">
        <v>50</v>
      </c>
      <c r="FG20" s="35">
        <v>5.4858034614787389E-3</v>
      </c>
      <c r="FH20" s="35">
        <v>1.3216071605556597E-3</v>
      </c>
    </row>
    <row r="21" spans="2:164" ht="15" thickBot="1">
      <c r="B21" s="98" t="s">
        <v>50</v>
      </c>
      <c r="C21">
        <f>IF(Fact5_predicextreme!B18&gt;0,VLOOKUP(Fact5!$B21,Fact5_predicextreme!$A$1:$W$19,23,0),"")</f>
        <v>3423109</v>
      </c>
      <c r="D21">
        <f>IF(Fact5_predicextreme!C18&gt;0,VLOOKUP(Fact5!$B21,Fact5_predicextreme!$A$1:$W$19,23,0),"")</f>
        <v>3423109</v>
      </c>
      <c r="E21">
        <f>IF(Fact5_predicextreme!D18&gt;0,VLOOKUP(Fact5!$B21,Fact5_predicextreme!$A$1:$W$19,23,0),"")</f>
        <v>3423109</v>
      </c>
      <c r="F21">
        <f>IF(Fact5_predicextreme!E18&gt;0,VLOOKUP(Fact5!$B21,Fact5_predicextreme!$A$1:$W$19,23,0),"")</f>
        <v>3423109</v>
      </c>
      <c r="G21">
        <f>IF(Fact5_predicextreme!F18&gt;0,VLOOKUP(Fact5!$B21,Fact5_predicextreme!$A$1:$W$19,23,0),"")</f>
        <v>3423109</v>
      </c>
      <c r="H21">
        <f>IF(Fact5_predicextreme!G18&gt;0,VLOOKUP(Fact5!$B21,Fact5_predicextreme!$A$1:$W$19,23,0),"")</f>
        <v>3423109</v>
      </c>
      <c r="I21">
        <f>IF(Fact5_predicextreme!H18&gt;0,VLOOKUP(Fact5!$B21,Fact5_predicextreme!$A$1:$W$19,23,0),"")</f>
        <v>3423109</v>
      </c>
      <c r="J21">
        <f>IF(Fact5_predicextreme!I18&gt;0,VLOOKUP(Fact5!$B21,Fact5_predicextreme!$A$1:$W$19,23,0),"")</f>
        <v>3423109</v>
      </c>
      <c r="K21">
        <f>IF(Fact5_predicextreme!J18&gt;0,VLOOKUP(Fact5!$B21,Fact5_predicextreme!$A$1:$W$19,23,0),"")</f>
        <v>3423109</v>
      </c>
      <c r="L21">
        <f>IF(Fact5_predicextreme!K18&gt;0,VLOOKUP(Fact5!$B21,Fact5_predicextreme!$A$1:$W$19,23,0),"")</f>
        <v>3423109</v>
      </c>
      <c r="M21">
        <f>IF(Fact5_predicextreme!L18&gt;0,VLOOKUP(Fact5!$B21,Fact5_predicextreme!$A$1:$W$19,23,0),"")</f>
        <v>3423109</v>
      </c>
      <c r="N21">
        <f>IF(Fact5_predicextreme!M18&gt;0,VLOOKUP(Fact5!$B21,Fact5_predicextreme!$A$1:$W$19,23,0),"")</f>
        <v>3423109</v>
      </c>
      <c r="O21">
        <f>IF(Fact5_predicextreme!N18&gt;0,VLOOKUP(Fact5!$B21,Fact5_predicextreme!$A$1:$W$19,23,0),"")</f>
        <v>3423109</v>
      </c>
      <c r="P21">
        <f>IF(Fact5_predicextreme!O18&gt;0,VLOOKUP(Fact5!$B21,Fact5_predicextreme!$A$1:$W$19,23,0),"")</f>
        <v>3423109</v>
      </c>
      <c r="Q21">
        <f>IF(Fact5_predicextreme!P18&gt;0,VLOOKUP(Fact5!$B21,Fact5_predicextreme!$A$1:$W$19,23,0),"")</f>
        <v>3423109</v>
      </c>
      <c r="R21">
        <f>IF(Fact5_predicextreme!Q18&gt;0,VLOOKUP(Fact5!$B21,Fact5_predicextreme!$A$1:$W$19,23,0),"")</f>
        <v>3423109</v>
      </c>
      <c r="S21">
        <f>IF(Fact5_predicextreme!R18&gt;0,VLOOKUP(Fact5!$B21,Fact5_predicextreme!$A$1:$W$19,23,0),"")</f>
        <v>3423109</v>
      </c>
      <c r="T21">
        <f>IF(Fact5_predicextreme!S18&gt;0,VLOOKUP(Fact5!$B21,Fact5_predicextreme!$A$1:$W$19,23,0),"")</f>
        <v>3423109</v>
      </c>
      <c r="U21">
        <f>IF(Fact5_predicextreme!T18&gt;0,VLOOKUP(Fact5!$B21,Fact5_predicextreme!$A$1:$W$19,23,0),"")</f>
        <v>3423109</v>
      </c>
      <c r="V21">
        <f>IF(Fact5_predicextreme!U18&gt;0,VLOOKUP(Fact5!$B21,Fact5_predicextreme!$A$1:$W$19,23,0),"")</f>
        <v>3423109</v>
      </c>
      <c r="W21">
        <f>IF(Fact5_predicextreme!V18&gt;0,VLOOKUP(Fact5!$B21,Fact5_predicextreme!$A$1:$W$19,23,0),"")</f>
        <v>3423109</v>
      </c>
      <c r="X21" s="2562"/>
      <c r="Y21" s="2562" t="s">
        <v>50</v>
      </c>
      <c r="Z21" s="8">
        <f ca="1">IF(OFFSET(Fact5_predicextreme!$A$1,MATCH($Y21,Fact5_predicextreme!$A$2:$A$26,0),MATCH(Z$2,Fact5_predicextreme!$A$1:$V$1,0)-1,1,1)=0,NA(),OFFSET(Fact5_predicextreme!$A$1,MATCH($Y21,Fact5_predicextreme!$A$2:$A$26,0),MATCH(Z$2,Fact5_predicextreme!$A$1:$V$1,0)-1,1,1))</f>
        <v>11.772184371948242</v>
      </c>
      <c r="AA21" s="8">
        <f ca="1">IF(OFFSET(Fact5_predicextreme!$A$1,MATCH($Y21,Fact5_predicextreme!$A$2:$A$26,0),MATCH(AA$2,Fact5_predicextreme!$A$1:$V$1,0)-1,1,1)=0,NA(),OFFSET(Fact5_predicextreme!$A$1,MATCH($Y21,Fact5_predicextreme!$A$2:$A$26,0),MATCH(AA$2,Fact5_predicextreme!$A$1:$V$1,0)-1,1,1))</f>
        <v>13.025636672973633</v>
      </c>
      <c r="AB21" s="8">
        <f ca="1">IF(OFFSET(Fact5_predicextreme!$A$1,MATCH($Y21,Fact5_predicextreme!$A$2:$A$26,0),MATCH(AB$2,Fact5_predicextreme!$A$1:$V$1,0)-1,1,1)=0,NA(),OFFSET(Fact5_predicextreme!$A$1,MATCH($Y21,Fact5_predicextreme!$A$2:$A$26,0),MATCH(AB$2,Fact5_predicextreme!$A$1:$V$1,0)-1,1,1))</f>
        <v>12.149932861328125</v>
      </c>
      <c r="AC21" s="8">
        <f ca="1">IF(OFFSET(Fact5_predicextreme!$A$1,MATCH($Y21,Fact5_predicextreme!$A$2:$A$26,0),MATCH(AC$2,Fact5_predicextreme!$A$1:$V$1,0)-1,1,1)=0,NA(),OFFSET(Fact5_predicextreme!$A$1,MATCH($Y21,Fact5_predicextreme!$A$2:$A$26,0),MATCH(AC$2,Fact5_predicextreme!$A$1:$V$1,0)-1,1,1))</f>
        <v>8.6665973663330078</v>
      </c>
      <c r="AD21" s="8">
        <f ca="1">IF(OFFSET(Fact5_predicextreme!$A$1,MATCH($Y21,Fact5_predicextreme!$A$2:$A$26,0),MATCH(AD$2,Fact5_predicextreme!$A$1:$V$1,0)-1,1,1)=0,NA(),OFFSET(Fact5_predicextreme!$A$1,MATCH($Y21,Fact5_predicextreme!$A$2:$A$26,0),MATCH(AD$2,Fact5_predicextreme!$A$1:$V$1,0)-1,1,1))</f>
        <v>9.0558414459228516</v>
      </c>
      <c r="AE21" s="8">
        <f ca="1">IF(OFFSET(Fact5_predicextreme!$A$1,MATCH($Y21,Fact5_predicextreme!$A$2:$A$26,0),MATCH(AE$2,Fact5_predicextreme!$A$1:$V$1,0)-1,1,1)=0,NA(),OFFSET(Fact5_predicextreme!$A$1,MATCH($Y21,Fact5_predicextreme!$A$2:$A$26,0),MATCH(AE$2,Fact5_predicextreme!$A$1:$V$1,0)-1,1,1))</f>
        <v>4.9746270179748535</v>
      </c>
      <c r="AF21" s="8">
        <f ca="1">IF(OFFSET(Fact5_predicextreme!$A$1,MATCH($Y21,Fact5_predicextreme!$A$2:$A$26,0),MATCH(AF$2,Fact5_predicextreme!$A$1:$V$1,0)-1,1,1)=0,NA(),OFFSET(Fact5_predicextreme!$A$1,MATCH($Y21,Fact5_predicextreme!$A$2:$A$26,0),MATCH(AF$2,Fact5_predicextreme!$A$1:$V$1,0)-1,1,1))</f>
        <v>6.0477023124694824</v>
      </c>
      <c r="AG21" s="8">
        <f ca="1">IF(OFFSET(Fact5_predicextreme!$A$1,MATCH($Y21,Fact5_predicextreme!$A$2:$A$26,0),MATCH(AG$2,Fact5_predicextreme!$A$1:$V$1,0)-1,1,1)=0,NA(),OFFSET(Fact5_predicextreme!$A$1,MATCH($Y21,Fact5_predicextreme!$A$2:$A$26,0),MATCH(AG$2,Fact5_predicextreme!$A$1:$V$1,0)-1,1,1))</f>
        <v>4.8753628730773926</v>
      </c>
      <c r="AH21" s="8">
        <f ca="1">IF(OFFSET(Fact5_predicextreme!$A$1,MATCH($Y21,Fact5_predicextreme!$A$2:$A$26,0),MATCH(AH$2,Fact5_predicextreme!$A$1:$V$1,0)-1,1,1)=0,NA(),OFFSET(Fact5_predicextreme!$A$1,MATCH($Y21,Fact5_predicextreme!$A$2:$A$26,0),MATCH(AH$2,Fact5_predicextreme!$A$1:$V$1,0)-1,1,1))</f>
        <v>4.2148504257202148</v>
      </c>
      <c r="AI21" s="8">
        <f ca="1">IF(OFFSET(Fact5_predicextreme!$A$1,MATCH($Y21,Fact5_predicextreme!$A$2:$A$26,0),MATCH(AI$2,Fact5_predicextreme!$A$1:$V$1,0)-1,1,1)=0,NA(),OFFSET(Fact5_predicextreme!$A$1,MATCH($Y21,Fact5_predicextreme!$A$2:$A$26,0),MATCH(AI$2,Fact5_predicextreme!$A$1:$V$1,0)-1,1,1))</f>
        <v>4.2156963348388672</v>
      </c>
      <c r="AJ21" s="8">
        <f ca="1">IF(OFFSET(Fact5_predicextreme!$A$1,MATCH($Y21,Fact5_predicextreme!$A$2:$A$26,0),MATCH(AJ$2,Fact5_predicextreme!$A$1:$V$1,0)-1,1,1)=0,NA(),OFFSET(Fact5_predicextreme!$A$1,MATCH($Y21,Fact5_predicextreme!$A$2:$A$26,0),MATCH(AJ$2,Fact5_predicextreme!$A$1:$V$1,0)-1,1,1))</f>
        <v>3.9434285163879395</v>
      </c>
      <c r="AK21" s="8">
        <f ca="1">IF(OFFSET(Fact5_predicextreme!$A$1,MATCH($Y21,Fact5_predicextreme!$A$2:$A$26,0),MATCH(AK$2,Fact5_predicextreme!$A$1:$V$1,0)-1,1,1)=0,NA(),OFFSET(Fact5_predicextreme!$A$1,MATCH($Y21,Fact5_predicextreme!$A$2:$A$26,0),MATCH(AK$2,Fact5_predicextreme!$A$1:$V$1,0)-1,1,1))</f>
        <v>3.4458074569702148</v>
      </c>
      <c r="AL21" s="8">
        <f ca="1">IF(OFFSET(Fact5_predicextreme!$A$1,MATCH($Y21,Fact5_predicextreme!$A$2:$A$26,0),MATCH(AL$2,Fact5_predicextreme!$A$1:$V$1,0)-1,1,1)=0,NA(),OFFSET(Fact5_predicextreme!$A$1,MATCH($Y21,Fact5_predicextreme!$A$2:$A$26,0),MATCH(AL$2,Fact5_predicextreme!$A$1:$V$1,0)-1,1,1))</f>
        <v>3.8563013076782227</v>
      </c>
      <c r="AM21" s="8">
        <f ca="1">IF(OFFSET(Fact5_predicextreme!$A$1,MATCH($Y21,Fact5_predicextreme!$A$2:$A$26,0),MATCH(AM$2,Fact5_predicextreme!$A$1:$V$1,0)-1,1,1)=0,NA(),OFFSET(Fact5_predicextreme!$A$1,MATCH($Y21,Fact5_predicextreme!$A$2:$A$26,0),MATCH(AM$2,Fact5_predicextreme!$A$1:$V$1,0)-1,1,1))</f>
        <v>3.5427837371826172</v>
      </c>
      <c r="AN21" s="8">
        <f ca="1">IF(OFFSET(Fact5_predicextreme!$A$1,MATCH($Y21,Fact5_predicextreme!$A$2:$A$26,0),MATCH(AN$2,Fact5_predicextreme!$A$1:$V$1,0)-1,1,1)=0,NA(),OFFSET(Fact5_predicextreme!$A$1,MATCH($Y21,Fact5_predicextreme!$A$2:$A$26,0),MATCH(AN$2,Fact5_predicextreme!$A$1:$V$1,0)-1,1,1))</f>
        <v>2.8764021396636963</v>
      </c>
      <c r="AO21" s="8">
        <f ca="1">IF(OFFSET(Fact5_predicextreme!$A$1,MATCH($Y21,Fact5_predicextreme!$A$2:$A$26,0),MATCH(AO$2,Fact5_predicextreme!$A$1:$V$1,0)-1,1,1)=0,NA(),OFFSET(Fact5_predicextreme!$A$1,MATCH($Y21,Fact5_predicextreme!$A$2:$A$26,0),MATCH(AO$2,Fact5_predicextreme!$A$1:$V$1,0)-1,1,1))</f>
        <v>2.8609726428985596</v>
      </c>
      <c r="AP21" s="8">
        <f ca="1">IF(OFFSET(Fact5_predicextreme!$A$1,MATCH($Y21,Fact5_predicextreme!$A$2:$A$26,0),MATCH(AP$2,Fact5_predicextreme!$A$1:$V$1,0)-1,1,1)=0,NA(),OFFSET(Fact5_predicextreme!$A$1,MATCH($Y21,Fact5_predicextreme!$A$2:$A$26,0),MATCH(AP$2,Fact5_predicextreme!$A$1:$V$1,0)-1,1,1))</f>
        <v>3.1808047294616699</v>
      </c>
      <c r="AQ21" s="8">
        <f ca="1">IF(OFFSET(Fact5_predicextreme!$A$1,MATCH($Y21,Fact5_predicextreme!$A$2:$A$26,0),MATCH(AQ$2,Fact5_predicextreme!$A$1:$V$1,0)-1,1,1)=0,NA(),OFFSET(Fact5_predicextreme!$A$1,MATCH($Y21,Fact5_predicextreme!$A$2:$A$26,0),MATCH(AQ$2,Fact5_predicextreme!$A$1:$V$1,0)-1,1,1))</f>
        <v>4.6586627960205078</v>
      </c>
      <c r="AR21" s="8">
        <f ca="1">IF(OFFSET(Fact5_predicextreme!$A$1,MATCH($Y21,Fact5_predicextreme!$A$2:$A$26,0),MATCH(AR$2,Fact5_predicextreme!$A$1:$V$1,0)-1,1,1)=0,NA(),OFFSET(Fact5_predicextreme!$A$1,MATCH($Y21,Fact5_predicextreme!$A$2:$A$26,0),MATCH(AR$2,Fact5_predicextreme!$A$1:$V$1,0)-1,1,1))</f>
        <v>4.559272289276123</v>
      </c>
      <c r="AS21" s="8">
        <f ca="1">IF(OFFSET(Fact5_predicextreme!$A$1,MATCH($Y21,Fact5_predicextreme!$A$2:$A$26,0),MATCH(AS$2,Fact5_predicextreme!$A$1:$V$1,0)-1,1,1)=0,NA(),OFFSET(Fact5_predicextreme!$A$1,MATCH($Y21,Fact5_predicextreme!$A$2:$A$26,0),MATCH(AS$2,Fact5_predicextreme!$A$1:$V$1,0)-1,1,1))</f>
        <v>3.9979178905487061</v>
      </c>
      <c r="AT21" s="88">
        <f ca="1">IF(OFFSET(Fact5_predicextreme!$A$1,MATCH($Y21,Fact5_predicextreme!$A$2:$A$26,0),MATCH(AT$2,Fact5_predicextreme!$A$1:$V$1,0)-1,1,1)=0,NA(),OFFSET(Fact5_predicextreme!$A$1,MATCH($Y21,Fact5_predicextreme!$A$2:$A$26,0),MATCH(AT$2,Fact5_predicextreme!$A$1:$V$1,0)-1,1,1))</f>
        <v>3.5056796073913574</v>
      </c>
      <c r="AU21" s="2562" t="s">
        <v>50</v>
      </c>
      <c r="AV21" s="7511"/>
      <c r="AW21" s="7532">
        <f t="shared" ca="1" si="29"/>
        <v>-0.70220653222650942</v>
      </c>
      <c r="AX21" s="7532">
        <f t="shared" ca="1" si="3"/>
        <v>0.464617665105445</v>
      </c>
      <c r="AY21" s="7532">
        <f t="shared" ca="1" si="4"/>
        <v>0.43337069611555479</v>
      </c>
      <c r="AZ21" s="7532"/>
      <c r="BA21" s="7532">
        <f t="shared" ca="1" si="5"/>
        <v>0.10647576196752606</v>
      </c>
      <c r="BB21" s="7532">
        <f t="shared" ca="1" si="35"/>
        <v>-6.7229252099628267E-2</v>
      </c>
      <c r="BC21" s="7532">
        <f t="shared" ca="1" si="36"/>
        <v>-0.28669586365223332</v>
      </c>
      <c r="BD21" s="7532">
        <f t="shared" ca="1" si="37"/>
        <v>4.4913137548299398E-2</v>
      </c>
      <c r="BE21" s="7532">
        <f t="shared" ca="1" si="38"/>
        <v>-0.45067202780868643</v>
      </c>
      <c r="BF21" s="7532">
        <f t="shared" ca="1" si="39"/>
        <v>0.21570969855976707</v>
      </c>
      <c r="BG21" s="7532">
        <f t="shared" ca="1" si="40"/>
        <v>-0.19384873441520034</v>
      </c>
      <c r="BH21" s="7532">
        <f t="shared" ca="1" si="41"/>
        <v>-0.13547964829544135</v>
      </c>
      <c r="BI21" s="7532">
        <f t="shared" ca="1" si="42"/>
        <v>2.0069730434335575E-4</v>
      </c>
      <c r="BJ21" s="7532">
        <f t="shared" ca="1" si="43"/>
        <v>-6.4584305136231923E-2</v>
      </c>
      <c r="BK21" s="7532">
        <f t="shared" ca="1" si="44"/>
        <v>-0.12618995306995706</v>
      </c>
      <c r="BL21" s="7532">
        <f t="shared" ca="1" si="45"/>
        <v>0.11912849334563269</v>
      </c>
      <c r="BM21" s="7532">
        <f t="shared" ca="1" si="46"/>
        <v>-8.130007109957027E-2</v>
      </c>
      <c r="BN21" s="7532">
        <f t="shared" ca="1" si="47"/>
        <v>-0.18809547715968067</v>
      </c>
      <c r="BO21" s="7532">
        <f t="shared" ca="1" si="48"/>
        <v>-5.3641653760349017E-3</v>
      </c>
      <c r="BP21" s="7532">
        <f t="shared" ca="1" si="49"/>
        <v>0.11179138233180597</v>
      </c>
      <c r="BQ21" s="7532">
        <f t="shared" ca="1" si="31"/>
        <v>0.464617665105445</v>
      </c>
      <c r="BR21" s="7532">
        <f t="shared" ca="1" si="32"/>
        <v>-2.1334556952541273E-2</v>
      </c>
      <c r="BS21" s="7532">
        <f t="shared" ca="1" si="33"/>
        <v>-0.12312368358603631</v>
      </c>
      <c r="BT21" s="7532">
        <f t="shared" ca="1" si="34"/>
        <v>-0.12312366002339026</v>
      </c>
      <c r="BU21" s="7532"/>
      <c r="BV21" s="8"/>
      <c r="ER21" t="s">
        <v>33</v>
      </c>
      <c r="ES21">
        <v>813.83399999999972</v>
      </c>
      <c r="ET21">
        <v>244.92471822784412</v>
      </c>
      <c r="EU21">
        <v>136.56280991741173</v>
      </c>
      <c r="EV21">
        <v>381.48751262260424</v>
      </c>
      <c r="EW21" t="s">
        <v>33</v>
      </c>
      <c r="EX21" s="35">
        <f t="shared" si="25"/>
        <v>1.3042336736533734E-3</v>
      </c>
      <c r="EY21" s="35">
        <f t="shared" si="26"/>
        <v>2.9334478481084386E-3</v>
      </c>
      <c r="EZ21" s="35">
        <f t="shared" si="27"/>
        <v>1.935629225755475E-3</v>
      </c>
      <c r="FA21" s="35">
        <f t="shared" si="28"/>
        <v>2.4764526209109781E-3</v>
      </c>
      <c r="FF21" t="s">
        <v>33</v>
      </c>
      <c r="FG21" s="35">
        <v>1.3042336736533734E-3</v>
      </c>
      <c r="FH21" s="35">
        <v>2.9334478481084386E-3</v>
      </c>
    </row>
    <row r="22" spans="2:164" ht="15" thickBot="1">
      <c r="B22" s="2555" t="s">
        <v>51</v>
      </c>
      <c r="C22">
        <f>IF(Fact5_predicextreme!B19&gt;0,VLOOKUP(Fact5!$B22,Fact5_predicextreme!$A$1:$W$19,23,0),"")</f>
        <v>28838499</v>
      </c>
      <c r="D22">
        <f>IF(Fact5_predicextreme!C19&gt;0,VLOOKUP(Fact5!$B22,Fact5_predicextreme!$A$1:$W$19,23,0),"")</f>
        <v>28838499</v>
      </c>
      <c r="E22">
        <f>IF(Fact5_predicextreme!D19&gt;0,VLOOKUP(Fact5!$B22,Fact5_predicextreme!$A$1:$W$19,23,0),"")</f>
        <v>28838499</v>
      </c>
      <c r="F22">
        <f>IF(Fact5_predicextreme!E19&gt;0,VLOOKUP(Fact5!$B22,Fact5_predicextreme!$A$1:$W$19,23,0),"")</f>
        <v>28838499</v>
      </c>
      <c r="G22">
        <f>IF(Fact5_predicextreme!F19&gt;0,VLOOKUP(Fact5!$B22,Fact5_predicextreme!$A$1:$W$19,23,0),"")</f>
        <v>28838499</v>
      </c>
      <c r="H22">
        <f>IF(Fact5_predicextreme!G19&gt;0,VLOOKUP(Fact5!$B22,Fact5_predicextreme!$A$1:$W$19,23,0),"")</f>
        <v>28838499</v>
      </c>
      <c r="I22">
        <f>IF(Fact5_predicextreme!H19&gt;0,VLOOKUP(Fact5!$B22,Fact5_predicextreme!$A$1:$W$19,23,0),"")</f>
        <v>28838499</v>
      </c>
      <c r="J22">
        <f>IF(Fact5_predicextreme!I19&gt;0,VLOOKUP(Fact5!$B22,Fact5_predicextreme!$A$1:$W$19,23,0),"")</f>
        <v>28838499</v>
      </c>
      <c r="K22">
        <f>IF(Fact5_predicextreme!J19&gt;0,VLOOKUP(Fact5!$B22,Fact5_predicextreme!$A$1:$W$19,23,0),"")</f>
        <v>28838499</v>
      </c>
      <c r="L22">
        <f>IF(Fact5_predicextreme!K19&gt;0,VLOOKUP(Fact5!$B22,Fact5_predicextreme!$A$1:$W$19,23,0),"")</f>
        <v>28838499</v>
      </c>
      <c r="M22">
        <f>IF(Fact5_predicextreme!L19&gt;0,VLOOKUP(Fact5!$B22,Fact5_predicextreme!$A$1:$W$19,23,0),"")</f>
        <v>28838499</v>
      </c>
      <c r="N22">
        <f>IF(Fact5_predicextreme!M19&gt;0,VLOOKUP(Fact5!$B22,Fact5_predicextreme!$A$1:$W$19,23,0),"")</f>
        <v>28838499</v>
      </c>
      <c r="O22">
        <f>IF(Fact5_predicextreme!N19&gt;0,VLOOKUP(Fact5!$B22,Fact5_predicextreme!$A$1:$W$19,23,0),"")</f>
        <v>28838499</v>
      </c>
      <c r="P22">
        <f>IF(Fact5_predicextreme!O19&gt;0,VLOOKUP(Fact5!$B22,Fact5_predicextreme!$A$1:$W$19,23,0),"")</f>
        <v>28838499</v>
      </c>
      <c r="Q22">
        <f>IF(Fact5_predicextreme!P19&gt;0,VLOOKUP(Fact5!$B22,Fact5_predicextreme!$A$1:$W$19,23,0),"")</f>
        <v>28838499</v>
      </c>
      <c r="R22">
        <f>IF(Fact5_predicextreme!Q19&gt;0,VLOOKUP(Fact5!$B22,Fact5_predicextreme!$A$1:$W$19,23,0),"")</f>
        <v>28838499</v>
      </c>
      <c r="S22">
        <f>IF(Fact5_predicextreme!R19&gt;0,VLOOKUP(Fact5!$B22,Fact5_predicextreme!$A$1:$W$19,23,0),"")</f>
        <v>28838499</v>
      </c>
      <c r="T22">
        <f>IF(Fact5_predicextreme!S19&gt;0,VLOOKUP(Fact5!$B22,Fact5_predicextreme!$A$1:$W$19,23,0),"")</f>
        <v>28838499</v>
      </c>
      <c r="U22">
        <f>IF(Fact5_predicextreme!T19&gt;0,VLOOKUP(Fact5!$B22,Fact5_predicextreme!$A$1:$W$19,23,0),"")</f>
        <v>28838499</v>
      </c>
      <c r="V22" s="196">
        <f>U22</f>
        <v>28838499</v>
      </c>
      <c r="W22" s="196">
        <f>V22</f>
        <v>28838499</v>
      </c>
      <c r="X22" s="2562"/>
      <c r="Y22" s="2553" t="s">
        <v>51</v>
      </c>
      <c r="Z22" s="2558">
        <f ca="1">IF(OFFSET(Fact5_predicextreme!$A$1,MATCH($Y22,Fact5_predicextreme!$A$2:$A$26,0),MATCH(Z$2,Fact5_predicextreme!$A$1:$V$1,0)-1,1,1)=0,NA(),OFFSET(Fact5_predicextreme!$A$1,MATCH($Y22,Fact5_predicextreme!$A$2:$A$26,0),MATCH(Z$2,Fact5_predicextreme!$A$1:$V$1,0)-1,1,1))</f>
        <v>34.786518096923828</v>
      </c>
      <c r="AA22" s="2556">
        <f ca="1">IF(OFFSET(Fact5_predicextreme!$A$1,MATCH($Y22,Fact5_predicextreme!$A$2:$A$26,0),MATCH(AA$2,Fact5_predicextreme!$A$1:$V$1,0)-1,1,1)=0,NA(),OFFSET(Fact5_predicextreme!$A$1,MATCH($Y22,Fact5_predicextreme!$A$2:$A$26,0),MATCH(AA$2,Fact5_predicextreme!$A$1:$V$1,0)-1,1,1))</f>
        <v>25.831439971923828</v>
      </c>
      <c r="AB22" s="2556">
        <f ca="1">IF(OFFSET(Fact5_predicextreme!$A$1,MATCH($Y22,Fact5_predicextreme!$A$2:$A$26,0),MATCH(AB$2,Fact5_predicextreme!$A$1:$V$1,0)-1,1,1)=0,NA(),OFFSET(Fact5_predicextreme!$A$1,MATCH($Y22,Fact5_predicextreme!$A$2:$A$26,0),MATCH(AB$2,Fact5_predicextreme!$A$1:$V$1,0)-1,1,1))</f>
        <v>23.026056289672852</v>
      </c>
      <c r="AC22" s="2556">
        <f ca="1">IF(OFFSET(Fact5_predicextreme!$A$1,MATCH($Y22,Fact5_predicextreme!$A$2:$A$26,0),MATCH(AC$2,Fact5_predicextreme!$A$1:$V$1,0)-1,1,1)=0,NA(),OFFSET(Fact5_predicextreme!$A$1,MATCH($Y22,Fact5_predicextreme!$A$2:$A$26,0),MATCH(AC$2,Fact5_predicextreme!$A$1:$V$1,0)-1,1,1))</f>
        <v>13.7447509765625</v>
      </c>
      <c r="AD22" s="2556">
        <f ca="1">IF(OFFSET(Fact5_predicextreme!$A$1,MATCH($Y22,Fact5_predicextreme!$A$2:$A$26,0),MATCH(AD$2,Fact5_predicextreme!$A$1:$V$1,0)-1,1,1)=0,NA(),OFFSET(Fact5_predicextreme!$A$1,MATCH($Y22,Fact5_predicextreme!$A$2:$A$26,0),MATCH(AD$2,Fact5_predicextreme!$A$1:$V$1,0)-1,1,1))</f>
        <v>10.19660758972168</v>
      </c>
      <c r="AE22" s="2556">
        <f ca="1">IF(OFFSET(Fact5_predicextreme!$A$1,MATCH($Y22,Fact5_predicextreme!$A$2:$A$26,0),MATCH(AE$2,Fact5_predicextreme!$A$1:$V$1,0)-1,1,1)=0,NA(),OFFSET(Fact5_predicextreme!$A$1,MATCH($Y22,Fact5_predicextreme!$A$2:$A$26,0),MATCH(AE$2,Fact5_predicextreme!$A$1:$V$1,0)-1,1,1))</f>
        <v>9.0856914520263672</v>
      </c>
      <c r="AF22" s="2556">
        <f ca="1">IF(OFFSET(Fact5_predicextreme!$A$1,MATCH($Y22,Fact5_predicextreme!$A$2:$A$26,0),MATCH(AF$2,Fact5_predicextreme!$A$1:$V$1,0)-1,1,1)=0,NA(),OFFSET(Fact5_predicextreme!$A$1,MATCH($Y22,Fact5_predicextreme!$A$2:$A$26,0),MATCH(AF$2,Fact5_predicextreme!$A$1:$V$1,0)-1,1,1))</f>
        <v>8.0975875854492188</v>
      </c>
      <c r="AG22" s="2556">
        <f ca="1">IF(OFFSET(Fact5_predicextreme!$A$1,MATCH($Y22,Fact5_predicextreme!$A$2:$A$26,0),MATCH(AG$2,Fact5_predicextreme!$A$1:$V$1,0)-1,1,1)=0,NA(),OFFSET(Fact5_predicextreme!$A$1,MATCH($Y22,Fact5_predicextreme!$A$2:$A$26,0),MATCH(AG$2,Fact5_predicextreme!$A$1:$V$1,0)-1,1,1))</f>
        <v>8.1186361312866211</v>
      </c>
      <c r="AH22" s="2556">
        <f ca="1">IF(OFFSET(Fact5_predicextreme!$A$1,MATCH($Y22,Fact5_predicextreme!$A$2:$A$26,0),MATCH(AH$2,Fact5_predicextreme!$A$1:$V$1,0)-1,1,1)=0,NA(),OFFSET(Fact5_predicextreme!$A$1,MATCH($Y22,Fact5_predicextreme!$A$2:$A$26,0),MATCH(AH$2,Fact5_predicextreme!$A$1:$V$1,0)-1,1,1))</f>
        <v>8.4276628494262695</v>
      </c>
      <c r="AI22" s="2556">
        <f ca="1">IF(OFFSET(Fact5_predicextreme!$A$1,MATCH($Y22,Fact5_predicextreme!$A$2:$A$26,0),MATCH(AI$2,Fact5_predicextreme!$A$1:$V$1,0)-1,1,1)=0,NA(),OFFSET(Fact5_predicextreme!$A$1,MATCH($Y22,Fact5_predicextreme!$A$2:$A$26,0),MATCH(AI$2,Fact5_predicextreme!$A$1:$V$1,0)-1,1,1))</f>
        <v>8.5514430999755859</v>
      </c>
      <c r="AJ22" s="2556">
        <f ca="1">IF(OFFSET(Fact5_predicextreme!$A$1,MATCH($Y22,Fact5_predicextreme!$A$2:$A$26,0),MATCH(AJ$2,Fact5_predicextreme!$A$1:$V$1,0)-1,1,1)=0,NA(),OFFSET(Fact5_predicextreme!$A$1,MATCH($Y22,Fact5_predicextreme!$A$2:$A$26,0),MATCH(AJ$2,Fact5_predicextreme!$A$1:$V$1,0)-1,1,1))</f>
        <v>7.9765357971191406</v>
      </c>
      <c r="AK22" s="2556">
        <f ca="1">IF(OFFSET(Fact5_predicextreme!$A$1,MATCH($Y22,Fact5_predicextreme!$A$2:$A$26,0),MATCH(AK$2,Fact5_predicextreme!$A$1:$V$1,0)-1,1,1)=0,NA(),OFFSET(Fact5_predicextreme!$A$1,MATCH($Y22,Fact5_predicextreme!$A$2:$A$26,0),MATCH(AK$2,Fact5_predicextreme!$A$1:$V$1,0)-1,1,1))</f>
        <v>6.1628198623657227</v>
      </c>
      <c r="AL22" s="2556">
        <f ca="1">IF(OFFSET(Fact5_predicextreme!$A$1,MATCH($Y22,Fact5_predicextreme!$A$2:$A$26,0),MATCH(AL$2,Fact5_predicextreme!$A$1:$V$1,0)-1,1,1)=0,NA(),OFFSET(Fact5_predicextreme!$A$1,MATCH($Y22,Fact5_predicextreme!$A$2:$A$26,0),MATCH(AL$2,Fact5_predicextreme!$A$1:$V$1,0)-1,1,1))</f>
        <v>8.7236251831054688</v>
      </c>
      <c r="AM22" s="2556">
        <f ca="1">IF(OFFSET(Fact5_predicextreme!$A$1,MATCH($Y22,Fact5_predicextreme!$A$2:$A$26,0),MATCH(AM$2,Fact5_predicextreme!$A$1:$V$1,0)-1,1,1)=0,NA(),OFFSET(Fact5_predicextreme!$A$1,MATCH($Y22,Fact5_predicextreme!$A$2:$A$26,0),MATCH(AM$2,Fact5_predicextreme!$A$1:$V$1,0)-1,1,1))</f>
        <v>19.372528076171875</v>
      </c>
      <c r="AN22" s="2556">
        <f ca="1">IF(OFFSET(Fact5_predicextreme!$A$1,MATCH($Y22,Fact5_predicextreme!$A$2:$A$26,0),MATCH(AN$2,Fact5_predicextreme!$A$1:$V$1,0)-1,1,1)=0,NA(),OFFSET(Fact5_predicextreme!$A$1,MATCH($Y22,Fact5_predicextreme!$A$2:$A$26,0),MATCH(AN$2,Fact5_predicextreme!$A$1:$V$1,0)-1,1,1))</f>
        <v>17.856193542480469</v>
      </c>
      <c r="AO22" s="2556">
        <f ca="1">IF(OFFSET(Fact5_predicextreme!$A$1,MATCH($Y22,Fact5_predicextreme!$A$2:$A$26,0),MATCH(AO$2,Fact5_predicextreme!$A$1:$V$1,0)-1,1,1)=0,NA(),OFFSET(Fact5_predicextreme!$A$1,MATCH($Y22,Fact5_predicextreme!$A$2:$A$26,0),MATCH(AO$2,Fact5_predicextreme!$A$1:$V$1,0)-1,1,1))</f>
        <v>25.077169418334961</v>
      </c>
      <c r="AP22" s="2561">
        <f ca="1">IF(OFFSET(Fact5_predicextreme!$A$1,MATCH($Y22,Fact5_predicextreme!$A$2:$A$26,0),MATCH(AP$2,Fact5_predicextreme!$A$1:$V$1,0)-1,1,1)=0,NA(),OFFSET(Fact5_predicextreme!$A$1,MATCH($Y22,Fact5_predicextreme!$A$2:$A$26,0),MATCH(AP$2,Fact5_predicextreme!$A$1:$V$1,0)-1,1,1))</f>
        <v>50.179054260253906</v>
      </c>
      <c r="AQ22" s="2556">
        <f ca="1">IF(OFFSET(Fact5_predicextreme!$A$1,MATCH($Y22,Fact5_predicextreme!$A$2:$A$26,0),MATCH(AQ$2,Fact5_predicextreme!$A$1:$V$1,0)-1,1,1)=0,NA(),OFFSET(Fact5_predicextreme!$A$1,MATCH($Y22,Fact5_predicextreme!$A$2:$A$26,0),MATCH(AQ$2,Fact5_predicextreme!$A$1:$V$1,0)-1,1,1))</f>
        <v>75.280937194824219</v>
      </c>
      <c r="AR22" s="2556">
        <f ca="1">IF(OFFSET(Fact5_predicextreme!$A$1,MATCH($Y22,Fact5_predicextreme!$A$2:$A$26,0),MATCH(AR$2,Fact5_predicextreme!$A$1:$V$1,0)-1,1,1)=0,NA(),OFFSET(Fact5_predicextreme!$A$1,MATCH($Y22,Fact5_predicextreme!$A$2:$A$26,0),MATCH(AR$2,Fact5_predicextreme!$A$1:$V$1,0)-1,1,1))</f>
        <v>53.867767333984375</v>
      </c>
      <c r="AS22" s="2567">
        <f ca="1">AR22</f>
        <v>53.867767333984375</v>
      </c>
      <c r="AT22" s="2567">
        <f ca="1">AS22</f>
        <v>53.867767333984375</v>
      </c>
      <c r="AU22" s="2553" t="s">
        <v>51</v>
      </c>
      <c r="AV22" s="7511"/>
      <c r="AW22" s="7534">
        <f t="shared" ca="1" si="29"/>
        <v>0.54852426402365073</v>
      </c>
      <c r="AX22" s="7532">
        <f t="shared" ca="1" si="3"/>
        <v>0.5002462343028482</v>
      </c>
      <c r="AY22" s="7532">
        <f t="shared" ca="1" si="4"/>
        <v>7.3511012276136878E-2</v>
      </c>
      <c r="AZ22" s="7532"/>
      <c r="BA22" s="7532">
        <f t="shared" ca="1" si="5"/>
        <v>-0.25742956222433477</v>
      </c>
      <c r="BB22" s="7532">
        <f t="shared" ca="1" si="35"/>
        <v>-0.1086034570778921</v>
      </c>
      <c r="BC22" s="7532">
        <f t="shared" ca="1" si="36"/>
        <v>-0.40307837331540797</v>
      </c>
      <c r="BD22" s="7532">
        <f t="shared" ca="1" si="37"/>
        <v>-0.258145338019663</v>
      </c>
      <c r="BE22" s="7532">
        <f t="shared" ca="1" si="38"/>
        <v>-0.10894958229197049</v>
      </c>
      <c r="BF22" s="7532">
        <f t="shared" ca="1" si="39"/>
        <v>-0.10875384353458017</v>
      </c>
      <c r="BG22" s="7532">
        <f t="shared" ca="1" si="40"/>
        <v>2.5993600705505049E-3</v>
      </c>
      <c r="BH22" s="7532">
        <f t="shared" ca="1" si="41"/>
        <v>3.8063870968272351E-2</v>
      </c>
      <c r="BI22" s="7532">
        <f t="shared" ca="1" si="42"/>
        <v>1.4687375700813909E-2</v>
      </c>
      <c r="BJ22" s="7532">
        <f t="shared" ca="1" si="43"/>
        <v>-6.7229273016864988E-2</v>
      </c>
      <c r="BK22" s="7532">
        <f t="shared" ca="1" si="44"/>
        <v>-0.22738140727814093</v>
      </c>
      <c r="BL22" s="7532">
        <f t="shared" ca="1" si="45"/>
        <v>0.41552493467766705</v>
      </c>
      <c r="BM22" s="7532">
        <f t="shared" ca="1" si="46"/>
        <v>1.2206969774090601</v>
      </c>
      <c r="BN22" s="7532">
        <f t="shared" ca="1" si="47"/>
        <v>-7.8272413787671358E-2</v>
      </c>
      <c r="BO22" s="7532">
        <f t="shared" ca="1" si="48"/>
        <v>0.40439614740261165</v>
      </c>
      <c r="BP22" s="7532">
        <f t="shared" ca="1" si="49"/>
        <v>1.0009855746943237</v>
      </c>
      <c r="BQ22" s="7532">
        <f t="shared" ca="1" si="31"/>
        <v>0.5002462343028482</v>
      </c>
      <c r="BR22" s="7532">
        <f t="shared" ca="1" si="32"/>
        <v>-0.28444345486060263</v>
      </c>
      <c r="BS22" s="7532">
        <f t="shared" ca="1" si="33"/>
        <v>0</v>
      </c>
      <c r="BT22" s="7532">
        <f t="shared" ca="1" si="34"/>
        <v>0</v>
      </c>
      <c r="BU22" s="7532"/>
      <c r="BV22" s="8"/>
      <c r="ER22" t="s">
        <v>12</v>
      </c>
      <c r="ES22">
        <v>412.62350000000026</v>
      </c>
      <c r="ET22">
        <v>11.767962202093608</v>
      </c>
      <c r="EU22">
        <v>9.7140527994561268</v>
      </c>
      <c r="EV22">
        <v>21.482015001549733</v>
      </c>
      <c r="EW22" t="s">
        <v>12</v>
      </c>
      <c r="EX22" s="35">
        <f t="shared" si="25"/>
        <v>6.6126195666525766E-4</v>
      </c>
      <c r="EY22" s="35">
        <f t="shared" si="26"/>
        <v>1.4094413846069896E-4</v>
      </c>
      <c r="EZ22" s="35">
        <f t="shared" si="27"/>
        <v>1.3768612780104867E-4</v>
      </c>
      <c r="FA22" s="35">
        <f t="shared" si="28"/>
        <v>1.3945198884049811E-4</v>
      </c>
      <c r="FF22" t="s">
        <v>12</v>
      </c>
      <c r="FG22" s="35">
        <v>6.6126195666525766E-4</v>
      </c>
      <c r="FH22" s="35">
        <v>1.4094413846069896E-4</v>
      </c>
    </row>
    <row r="23" spans="2:164" ht="15" thickBot="1">
      <c r="X23" s="2562"/>
      <c r="Y23" s="2557" t="s">
        <v>1251</v>
      </c>
      <c r="Z23" s="2560">
        <f ca="1">SUMPRODUCT(C5:C22,Z5:Z22)/SUM(C5:C22)</f>
        <v>33.446946530933914</v>
      </c>
      <c r="AA23" s="2560">
        <f t="shared" ref="AA23:AT23" ca="1" si="50">SUMPRODUCT(D5:D22,AA5:AA22)/SUM(D5:D22)</f>
        <v>30.031447361963487</v>
      </c>
      <c r="AB23" s="2560">
        <f t="shared" ca="1" si="50"/>
        <v>28.221646908165862</v>
      </c>
      <c r="AC23" s="2560">
        <f t="shared" ca="1" si="50"/>
        <v>25.801681854668441</v>
      </c>
      <c r="AD23" s="2560">
        <f t="shared" ca="1" si="50"/>
        <v>24.946956455225504</v>
      </c>
      <c r="AE23" s="2560">
        <f t="shared" ca="1" si="50"/>
        <v>24.508410600341087</v>
      </c>
      <c r="AF23" s="2560">
        <f t="shared" ca="1" si="50"/>
        <v>23.832217124827334</v>
      </c>
      <c r="AG23" s="2560">
        <f t="shared" ca="1" si="50"/>
        <v>22.863869667002742</v>
      </c>
      <c r="AH23" s="2560">
        <f t="shared" ca="1" si="50"/>
        <v>20.624120564671969</v>
      </c>
      <c r="AI23" s="2560">
        <f t="shared" ca="1" si="50"/>
        <v>18.316526180967916</v>
      </c>
      <c r="AJ23" s="2560">
        <f t="shared" ca="1" si="50"/>
        <v>16.407633197956454</v>
      </c>
      <c r="AK23" s="2560">
        <f t="shared" ca="1" si="50"/>
        <v>14.447771332133126</v>
      </c>
      <c r="AL23" s="2560">
        <f t="shared" ca="1" si="50"/>
        <v>14.215626762807153</v>
      </c>
      <c r="AM23" s="2560">
        <f t="shared" ca="1" si="50"/>
        <v>14.464200962036566</v>
      </c>
      <c r="AN23" s="2560">
        <f t="shared" ca="1" si="50"/>
        <v>14.076534397798968</v>
      </c>
      <c r="AO23" s="2560">
        <f t="shared" ca="1" si="50"/>
        <v>14.413894247480663</v>
      </c>
      <c r="AP23" s="2560">
        <f t="shared" ca="1" si="50"/>
        <v>15.587384087216776</v>
      </c>
      <c r="AQ23" s="2560">
        <f t="shared" ca="1" si="50"/>
        <v>17.645435099312628</v>
      </c>
      <c r="AR23" s="2560">
        <f ca="1">SUMPRODUCT(U5:U22,AR5:AR22)/SUM(U5:U22)</f>
        <v>16.87096567552614</v>
      </c>
      <c r="AS23" s="2560">
        <f ca="1">SUMPRODUCT(V5:V22,AS5:AS22)/SUM(V5:V22)</f>
        <v>14.3174846136525</v>
      </c>
      <c r="AT23" s="2560">
        <f t="shared" ca="1" si="50"/>
        <v>12.376502318729861</v>
      </c>
      <c r="AW23" s="7534">
        <f t="shared" ca="1" si="29"/>
        <v>-0.62996615229784081</v>
      </c>
      <c r="BA23" s="7536"/>
      <c r="BB23" s="7536"/>
      <c r="BC23" s="7536"/>
      <c r="BD23" s="7536"/>
      <c r="BE23" s="7536"/>
      <c r="BF23" s="7536"/>
      <c r="BG23" s="7536"/>
      <c r="BH23" s="7536"/>
      <c r="BI23" s="7536"/>
      <c r="BJ23" s="7536"/>
      <c r="BK23" s="7536"/>
      <c r="BL23" s="7536"/>
      <c r="BM23" s="7536"/>
      <c r="BN23" s="7536"/>
      <c r="BO23" s="7536"/>
      <c r="BP23" s="7536"/>
      <c r="BQ23" s="7536"/>
      <c r="BR23" s="7536"/>
      <c r="BS23" s="7536"/>
      <c r="BT23" s="7536"/>
      <c r="EX23" s="35"/>
      <c r="EY23" s="35"/>
      <c r="EZ23" s="35"/>
      <c r="FA23" s="35"/>
      <c r="FG23" s="35"/>
      <c r="FH23" s="35"/>
    </row>
    <row r="24" spans="2:164" ht="15" thickBot="1">
      <c r="Y24" s="212" t="s">
        <v>1249</v>
      </c>
      <c r="Z24" s="2559">
        <f ca="1">SUMPRODUCT(C5:C21,Z5:Z21)/SUM(C5:C21)</f>
        <v>33.36390280876477</v>
      </c>
      <c r="AA24" s="2559">
        <f t="shared" ref="AA24:AT24" ca="1" si="51">SUMPRODUCT(D5:D21,AA5:AA21)/SUM(D5:D21)</f>
        <v>30.235477528489689</v>
      </c>
      <c r="AB24" s="2559">
        <f t="shared" ca="1" si="51"/>
        <v>28.47404104004454</v>
      </c>
      <c r="AC24" s="2559">
        <f t="shared" ca="1" si="51"/>
        <v>26.387389780013699</v>
      </c>
      <c r="AD24" s="2559">
        <f t="shared" ca="1" si="51"/>
        <v>25.663506655228822</v>
      </c>
      <c r="AE24" s="2559">
        <f t="shared" ca="1" si="51"/>
        <v>25.25762355734205</v>
      </c>
      <c r="AF24" s="2559">
        <f t="shared" ca="1" si="51"/>
        <v>24.596582228746147</v>
      </c>
      <c r="AG24" s="2559">
        <f t="shared" ca="1" si="51"/>
        <v>23.580171371827007</v>
      </c>
      <c r="AH24" s="2559">
        <f t="shared" ca="1" si="51"/>
        <v>21.216606498047401</v>
      </c>
      <c r="AI24" s="2559">
        <f t="shared" ca="1" si="51"/>
        <v>18.79089951942489</v>
      </c>
      <c r="AJ24" s="2559">
        <f t="shared" ca="1" si="51"/>
        <v>16.817203478897135</v>
      </c>
      <c r="AK24" s="2559">
        <f t="shared" ca="1" si="51"/>
        <v>14.850242059219678</v>
      </c>
      <c r="AL24" s="2559">
        <f t="shared" ca="1" si="51"/>
        <v>14.482420102153664</v>
      </c>
      <c r="AM24" s="2559">
        <f t="shared" ca="1" si="51"/>
        <v>14.225761667658883</v>
      </c>
      <c r="AN24" s="2559">
        <f t="shared" ca="1" si="51"/>
        <v>13.893175496990397</v>
      </c>
      <c r="AO24" s="2559">
        <f t="shared" ca="1" si="51"/>
        <v>13.896597226901859</v>
      </c>
      <c r="AP24" s="2559">
        <f t="shared" ca="1" si="51"/>
        <v>13.909272284731687</v>
      </c>
      <c r="AQ24" s="2559">
        <f t="shared" ca="1" si="51"/>
        <v>14.849420456919887</v>
      </c>
      <c r="AR24" s="2559">
        <f t="shared" ca="1" si="51"/>
        <v>15.07617608581586</v>
      </c>
      <c r="AS24" s="2559">
        <f t="shared" ca="1" si="51"/>
        <v>12.398820499066218</v>
      </c>
      <c r="AT24" s="2559">
        <f t="shared" ca="1" si="51"/>
        <v>10.363677231827673</v>
      </c>
      <c r="AW24" s="7534">
        <f t="shared" ca="1" si="29"/>
        <v>-0.68937455275450832</v>
      </c>
      <c r="AX24" s="7537">
        <f ca="1">AVERAGE(AX5:AX22)</f>
        <v>0.26901952762264386</v>
      </c>
      <c r="AY24" s="7537">
        <f ca="1">AVERAGE(AY5:AY22)</f>
        <v>8.6824210060386195E-2</v>
      </c>
      <c r="BA24" s="7537">
        <f ca="1">AVERAGE(BA5:BA22)</f>
        <v>1.1602714940785817E-2</v>
      </c>
      <c r="BB24" s="7537">
        <f t="shared" ref="BB24:BT24" ca="1" si="52">AVERAGE(BB5:BB22)</f>
        <v>-6.1419980229777994E-2</v>
      </c>
      <c r="BC24" s="7537">
        <f t="shared" ca="1" si="52"/>
        <v>-8.9082829445731468E-2</v>
      </c>
      <c r="BD24" s="7537">
        <f t="shared" ca="1" si="52"/>
        <v>-8.0321047032153009E-2</v>
      </c>
      <c r="BE24" s="7537">
        <f t="shared" ca="1" si="52"/>
        <v>-7.0056121475251545E-2</v>
      </c>
      <c r="BF24" s="7537">
        <f t="shared" ca="1" si="52"/>
        <v>-2.8501269274006438E-2</v>
      </c>
      <c r="BG24" s="7537">
        <f t="shared" ca="1" si="52"/>
        <v>-4.7724650952331263E-2</v>
      </c>
      <c r="BH24" s="7537">
        <f t="shared" ca="1" si="52"/>
        <v>-5.6457840003428829E-2</v>
      </c>
      <c r="BI24" s="7537">
        <f t="shared" ca="1" si="52"/>
        <v>-7.7633834523856887E-2</v>
      </c>
      <c r="BJ24" s="7537">
        <f t="shared" ca="1" si="52"/>
        <v>-9.5401989005072324E-2</v>
      </c>
      <c r="BK24" s="7537">
        <f t="shared" ca="1" si="52"/>
        <v>-7.310020321035407E-2</v>
      </c>
      <c r="BL24" s="7537">
        <f t="shared" ca="1" si="52"/>
        <v>8.7544534878324226E-3</v>
      </c>
      <c r="BM24" s="7537">
        <f t="shared" ca="1" si="52"/>
        <v>6.8527673120359539E-2</v>
      </c>
      <c r="BN24" s="7537">
        <f t="shared" ca="1" si="52"/>
        <v>-6.6396412664703974E-2</v>
      </c>
      <c r="BO24" s="7537">
        <f t="shared" ca="1" si="52"/>
        <v>2.5451217518646936E-2</v>
      </c>
      <c r="BP24" s="7537">
        <f t="shared" ca="1" si="52"/>
        <v>5.9099771690577153E-2</v>
      </c>
      <c r="BQ24" s="7537">
        <f t="shared" ca="1" si="52"/>
        <v>0.26901952762264386</v>
      </c>
      <c r="BR24" s="7537">
        <f t="shared" ca="1" si="52"/>
        <v>-0.10518042326610261</v>
      </c>
      <c r="BS24" s="7537">
        <f t="shared" ca="1" si="52"/>
        <v>-6.7520991054553461E-2</v>
      </c>
      <c r="BT24" s="7537">
        <f t="shared" ca="1" si="52"/>
        <v>-7.5312090062225334E-2</v>
      </c>
      <c r="EX24" s="35"/>
      <c r="EY24" s="35"/>
      <c r="EZ24" s="35"/>
      <c r="FA24" s="35"/>
      <c r="FG24" s="35"/>
      <c r="FH24" s="35"/>
    </row>
    <row r="25" spans="2:164" ht="15" thickTop="1">
      <c r="X25" s="2562"/>
      <c r="Y25" s="2557" t="s">
        <v>1250</v>
      </c>
      <c r="Z25" s="170">
        <v>34.508411407470703</v>
      </c>
      <c r="AA25" s="8">
        <v>24.668582916259769</v>
      </c>
      <c r="AB25" s="8">
        <v>22.87045860290527</v>
      </c>
      <c r="AC25" s="8">
        <v>13.49704074859619</v>
      </c>
      <c r="AD25" s="8">
        <v>10.08500862121582</v>
      </c>
      <c r="AE25" s="8">
        <v>9.0231599807739258</v>
      </c>
      <c r="AF25" s="8">
        <v>8.0190935134887695</v>
      </c>
      <c r="AG25" s="8">
        <v>7.9902091026306152</v>
      </c>
      <c r="AH25" s="8">
        <v>8.338841438293457</v>
      </c>
      <c r="AI25" s="8">
        <v>8.4395532608032227</v>
      </c>
      <c r="AJ25" s="8">
        <v>7.9188055992126456</v>
      </c>
      <c r="AK25" s="8">
        <v>6.1240224838256836</v>
      </c>
      <c r="AL25" s="8">
        <v>8.6381149291992188</v>
      </c>
      <c r="AM25" s="8">
        <v>19.373945236206051</v>
      </c>
      <c r="AN25" s="8">
        <v>45.502246856689453</v>
      </c>
      <c r="AO25" s="8">
        <v>78.4765625</v>
      </c>
      <c r="AP25" s="8">
        <v>88.692298889160156</v>
      </c>
      <c r="AQ25" s="8">
        <v>98.908035278320313</v>
      </c>
      <c r="AR25" s="8">
        <v>76.042854309082031</v>
      </c>
      <c r="AS25" s="13"/>
      <c r="AT25" s="13"/>
      <c r="AX25" s="7538" t="s">
        <v>1328</v>
      </c>
      <c r="AY25" s="7538"/>
      <c r="EX25" s="35"/>
      <c r="EY25" s="35"/>
      <c r="EZ25" s="35"/>
      <c r="FA25" s="35"/>
      <c r="FG25" s="35"/>
      <c r="FH25" s="35"/>
    </row>
    <row r="26" spans="2:164">
      <c r="X26" s="2562"/>
      <c r="Y26" s="2562" t="s">
        <v>1091</v>
      </c>
      <c r="Z26" s="122" cm="1">
        <f t="array" aca="1" ref="Z26" ca="1">MEDIAN(IF(ISNA(Z5:Z22),0,Z5:Z22))</f>
        <v>29.366186141967773</v>
      </c>
      <c r="AA26" s="122" cm="1">
        <f t="array" aca="1" ref="AA26" ca="1">MEDIAN(IF(ISNA(AA5:AA22),0,AA5:AA22))</f>
        <v>27.226691246032715</v>
      </c>
      <c r="AB26" s="122" cm="1">
        <f t="array" aca="1" ref="AB26" ca="1">MEDIAN(IF(ISNA(AB5:AB22),0,AB5:AB22))</f>
        <v>27.260764122009277</v>
      </c>
      <c r="AC26" s="122" cm="1">
        <f t="array" aca="1" ref="AC26" ca="1">MEDIAN(IF(ISNA(AC5:AC22),0,AC5:AC22))</f>
        <v>25.88831901550293</v>
      </c>
      <c r="AD26" s="122" cm="1">
        <f t="array" aca="1" ref="AD26" ca="1">MEDIAN(IF(ISNA(AD5:AD22),0,AD5:AD22))</f>
        <v>23.752978324890137</v>
      </c>
      <c r="AE26" s="122" cm="1">
        <f t="array" aca="1" ref="AE26" ca="1">MEDIAN(IF(ISNA(AE5:AE22),0,AE5:AE22))</f>
        <v>21.882673263549805</v>
      </c>
      <c r="AF26" s="122" cm="1">
        <f t="array" aca="1" ref="AF26" ca="1">MEDIAN(IF(ISNA(AF5:AF22),0,AF5:AF22))</f>
        <v>18.99661922454834</v>
      </c>
      <c r="AG26" s="122" cm="1">
        <f t="array" aca="1" ref="AG26" ca="1">MEDIAN(IF(ISNA(AG5:AG22),0,AG5:AG22))</f>
        <v>16.906978607177734</v>
      </c>
      <c r="AH26" s="122" cm="1">
        <f t="array" aca="1" ref="AH26" ca="1">MEDIAN(IF(ISNA(AH5:AH22),0,AH5:AH22))</f>
        <v>16.692220687866211</v>
      </c>
      <c r="AI26" s="122" cm="1">
        <f t="array" aca="1" ref="AI26" ca="1">MEDIAN(IF(ISNA(AI5:AI22),0,AI5:AI22))</f>
        <v>15.684835910797119</v>
      </c>
      <c r="AJ26" s="122" cm="1">
        <f t="array" aca="1" ref="AJ26" ca="1">MEDIAN(IF(ISNA(AJ5:AJ22),0,AJ5:AJ22))</f>
        <v>13.197486877441406</v>
      </c>
      <c r="AK26" s="122" cm="1">
        <f t="array" aca="1" ref="AK26" ca="1">MEDIAN(IF(ISNA(AK5:AK22),0,AK5:AK22))</f>
        <v>12.785266876220703</v>
      </c>
      <c r="AL26" s="122" cm="1">
        <f t="array" aca="1" ref="AL26" ca="1">MEDIAN(IF(ISNA(AL5:AL22),0,AL5:AL22))</f>
        <v>13.31841516494751</v>
      </c>
      <c r="AM26" s="122" cm="1">
        <f t="array" aca="1" ref="AM26" ca="1">MEDIAN(IF(ISNA(AM5:AM22),0,AM5:AM22))</f>
        <v>14.003753662109375</v>
      </c>
      <c r="AN26" s="122" cm="1">
        <f t="array" aca="1" ref="AN26" ca="1">MEDIAN(IF(ISNA(AN5:AN22),0,AN5:AN22))</f>
        <v>13.562172412872314</v>
      </c>
      <c r="AO26" s="122" cm="1">
        <f t="array" aca="1" ref="AO26" ca="1">MEDIAN(IF(ISNA(AO5:AO22),0,AO5:AO22))</f>
        <v>12.751575946807861</v>
      </c>
      <c r="AP26" s="122" cm="1">
        <f t="array" aca="1" ref="AP26" ca="1">MEDIAN(IF(ISNA(AP5:AP22),0,AP5:AP22))</f>
        <v>12.755544662475586</v>
      </c>
      <c r="AQ26" s="122" cm="1">
        <f t="array" aca="1" ref="AQ26" ca="1">MEDIAN(IF(ISNA(AQ5:AQ22),0,AQ5:AQ22))</f>
        <v>14.06494665145874</v>
      </c>
      <c r="AR26" s="122" cm="1">
        <f t="array" aca="1" ref="AR26" ca="1">MEDIAN(IF(ISNA(AR5:AR22),0,AR5:AR22))</f>
        <v>13.389644622802734</v>
      </c>
      <c r="AS26" s="122" cm="1">
        <f t="array" aca="1" ref="AS26" ca="1">MEDIAN(IF(ISNA(AS5:AS22),0,AS5:AS22))</f>
        <v>11.616180419921875</v>
      </c>
      <c r="AT26" s="122" cm="1">
        <f t="array" aca="1" ref="AT26" ca="1">MEDIAN(IF(ISNA(AT5:AT22),0,AT5:AT22))</f>
        <v>10.950963020324707</v>
      </c>
      <c r="ER26" t="s">
        <v>19</v>
      </c>
      <c r="ES26">
        <v>281.99549999999988</v>
      </c>
      <c r="ET26">
        <v>3.7183655987727615</v>
      </c>
      <c r="EU26">
        <v>8.5869366511988616</v>
      </c>
      <c r="EV26">
        <v>12.305301577641959</v>
      </c>
      <c r="EW26" t="s">
        <v>19</v>
      </c>
      <c r="EX26" s="35">
        <f t="shared" si="25"/>
        <v>4.5192020352887672E-4</v>
      </c>
      <c r="EY26" s="35">
        <f t="shared" si="26"/>
        <v>4.4534629428677958E-5</v>
      </c>
      <c r="EZ26" s="35">
        <f t="shared" si="27"/>
        <v>1.2171048290397088E-4</v>
      </c>
      <c r="FA26" s="35">
        <f t="shared" si="28"/>
        <v>7.9880717807919618E-5</v>
      </c>
      <c r="FF26" t="s">
        <v>19</v>
      </c>
      <c r="FG26" s="35">
        <v>4.5192020352887672E-4</v>
      </c>
      <c r="FH26" s="35">
        <v>4.4534629428677958E-5</v>
      </c>
    </row>
    <row r="27" spans="2:164">
      <c r="X27" s="2562"/>
      <c r="Y27" s="2562" t="s">
        <v>1092</v>
      </c>
      <c r="Z27" s="8">
        <f t="shared" ref="Z27:AT27" ca="1" si="53">COUNTIF(Z5:Z22,"&gt;0")</f>
        <v>16</v>
      </c>
      <c r="AA27" s="8">
        <f t="shared" ca="1" si="53"/>
        <v>17</v>
      </c>
      <c r="AB27" s="8">
        <f t="shared" ca="1" si="53"/>
        <v>17</v>
      </c>
      <c r="AC27" s="8">
        <f t="shared" ca="1" si="53"/>
        <v>17</v>
      </c>
      <c r="AD27" s="8">
        <f t="shared" ca="1" si="53"/>
        <v>17</v>
      </c>
      <c r="AE27" s="8">
        <f t="shared" ca="1" si="53"/>
        <v>17</v>
      </c>
      <c r="AF27" s="8">
        <f t="shared" ca="1" si="53"/>
        <v>17</v>
      </c>
      <c r="AG27" s="8">
        <f t="shared" ca="1" si="53"/>
        <v>17</v>
      </c>
      <c r="AH27" s="8">
        <f t="shared" ca="1" si="53"/>
        <v>17</v>
      </c>
      <c r="AI27" s="8">
        <f t="shared" ca="1" si="53"/>
        <v>17</v>
      </c>
      <c r="AJ27" s="8">
        <f t="shared" ca="1" si="53"/>
        <v>17</v>
      </c>
      <c r="AK27" s="8">
        <f t="shared" ca="1" si="53"/>
        <v>17</v>
      </c>
      <c r="AL27" s="8">
        <f t="shared" ca="1" si="53"/>
        <v>17</v>
      </c>
      <c r="AM27" s="8">
        <f t="shared" ca="1" si="53"/>
        <v>17</v>
      </c>
      <c r="AN27" s="8">
        <f t="shared" ca="1" si="53"/>
        <v>18</v>
      </c>
      <c r="AO27" s="8">
        <f t="shared" ca="1" si="53"/>
        <v>18</v>
      </c>
      <c r="AP27" s="8">
        <f t="shared" ca="1" si="53"/>
        <v>18</v>
      </c>
      <c r="AQ27" s="8">
        <f t="shared" ca="1" si="53"/>
        <v>18</v>
      </c>
      <c r="AR27" s="8">
        <f t="shared" ca="1" si="53"/>
        <v>18</v>
      </c>
      <c r="AS27" s="8">
        <f t="shared" ca="1" si="53"/>
        <v>18</v>
      </c>
      <c r="AT27" s="8">
        <f t="shared" ca="1" si="53"/>
        <v>18</v>
      </c>
    </row>
    <row r="28" spans="2:164">
      <c r="Y28" s="141" t="s">
        <v>1093</v>
      </c>
      <c r="Z28" s="8" cm="1">
        <f t="array" aca="1" ref="Z28" ca="1">SUM(IF(ISNA(Z5:Z22),0,Z5:Z22))</f>
        <v>474.07262897491455</v>
      </c>
      <c r="AA28" s="8" cm="1">
        <f t="array" aca="1" ref="AA28" ca="1">SUM(IF(ISNA(AA5:AA22),0,AA5:AA22))</f>
        <v>495.64154624938965</v>
      </c>
      <c r="AB28" s="8" cm="1">
        <f t="array" aca="1" ref="AB28" ca="1">SUM(IF(ISNA(AB5:AB22),0,AB5:AB22))</f>
        <v>463.77431488037109</v>
      </c>
      <c r="AC28" s="8" cm="1">
        <f t="array" aca="1" ref="AC28" ca="1">SUM(IF(ISNA(AC5:AC22),0,AC5:AC22))</f>
        <v>426.27724075317383</v>
      </c>
      <c r="AD28" s="8" cm="1">
        <f t="array" aca="1" ref="AD28" ca="1">SUM(IF(ISNA(AD5:AD22),0,AD5:AD22))</f>
        <v>387.3711519241333</v>
      </c>
      <c r="AE28" s="8" cm="1">
        <f t="array" aca="1" ref="AE28" ca="1">SUM(IF(ISNA(AE5:AE22),0,AE5:AE22))</f>
        <v>367.99622774124146</v>
      </c>
      <c r="AF28" s="8" cm="1">
        <f t="array" aca="1" ref="AF28" ca="1">SUM(IF(ISNA(AF5:AF22),0,AF5:AF22))</f>
        <v>357.87910509109497</v>
      </c>
      <c r="AG28" s="8" cm="1">
        <f t="array" aca="1" ref="AG28" ca="1">SUM(IF(ISNA(AG5:AG22),0,AG5:AG22))</f>
        <v>349.25784492492676</v>
      </c>
      <c r="AH28" s="8" cm="1">
        <f t="array" aca="1" ref="AH28" ca="1">SUM(IF(ISNA(AH5:AH22),0,AH5:AH22))</f>
        <v>327.47603464126587</v>
      </c>
      <c r="AI28" s="8" cm="1">
        <f t="array" aca="1" ref="AI28" ca="1">SUM(IF(ISNA(AI5:AI22),0,AI5:AI22))</f>
        <v>304.07526350021362</v>
      </c>
      <c r="AJ28" s="8" cm="1">
        <f t="array" aca="1" ref="AJ28" ca="1">SUM(IF(ISNA(AJ5:AJ22),0,AJ5:AJ22))</f>
        <v>274.65074777603149</v>
      </c>
      <c r="AK28" s="8" cm="1">
        <f t="array" aca="1" ref="AK28" ca="1">SUM(IF(ISNA(AK5:AK22),0,AK5:AK22))</f>
        <v>252.16303300857544</v>
      </c>
      <c r="AL28" s="8" cm="1">
        <f t="array" aca="1" ref="AL28" ca="1">SUM(IF(ISNA(AL5:AL22),0,AL5:AL22))</f>
        <v>243.64063692092896</v>
      </c>
      <c r="AM28" s="8" cm="1">
        <f t="array" aca="1" ref="AM28" ca="1">SUM(IF(ISNA(AM5:AM22),0,AM5:AM22))</f>
        <v>254.92067718505859</v>
      </c>
      <c r="AN28" s="8" cm="1">
        <f t="array" aca="1" ref="AN28" ca="1">SUM(IF(ISNA(AN5:AN22),0,AN5:AN22))</f>
        <v>272.81872868537903</v>
      </c>
      <c r="AO28" s="8" cm="1">
        <f t="array" aca="1" ref="AO28" ca="1">SUM(IF(ISNA(AO5:AO22),0,AO5:AO22))</f>
        <v>277.39244103431702</v>
      </c>
      <c r="AP28" s="8" cm="1">
        <f t="array" aca="1" ref="AP28" ca="1">SUM(IF(ISNA(AP5:AP22),0,AP5:AP22))</f>
        <v>301.31278324127197</v>
      </c>
      <c r="AQ28" s="8" cm="1">
        <f t="array" aca="1" ref="AQ28" ca="1">SUM(IF(ISNA(AQ5:AQ22),0,AQ5:AQ22))</f>
        <v>367.18349647521973</v>
      </c>
      <c r="AR28" s="8" cm="1">
        <f t="array" aca="1" ref="AR28" ca="1">SUM(IF(ISNA(AR5:AR22),0,AR5:AR22))</f>
        <v>320.59801435470581</v>
      </c>
      <c r="AS28" s="8" cm="1">
        <f t="array" aca="1" ref="AS28" ca="1">SUM(IF(ISNA(AS5:AS22),0,AS5:AS22))</f>
        <v>307.14382815361023</v>
      </c>
      <c r="AT28" s="8" cm="1">
        <f t="array" aca="1" ref="AT28" ca="1">SUM(IF(ISNA(AT5:AT22),0,AT5:AT22))</f>
        <v>289.70119524002075</v>
      </c>
    </row>
    <row r="29" spans="2:164">
      <c r="Y29" s="141" t="s">
        <v>1094</v>
      </c>
      <c r="Z29" s="8">
        <f t="shared" ref="Z29:AT29" ca="1" si="54">Z28/Z27</f>
        <v>29.629539310932159</v>
      </c>
      <c r="AA29" s="8">
        <f t="shared" ca="1" si="54"/>
        <v>29.155385073493509</v>
      </c>
      <c r="AB29" s="8">
        <f t="shared" ca="1" si="54"/>
        <v>27.280842051786536</v>
      </c>
      <c r="AC29" s="8">
        <f t="shared" ca="1" si="54"/>
        <v>25.075131809010227</v>
      </c>
      <c r="AD29" s="8">
        <f t="shared" ca="1" si="54"/>
        <v>22.78653834847843</v>
      </c>
      <c r="AE29" s="8">
        <f t="shared" ca="1" si="54"/>
        <v>21.64683692595538</v>
      </c>
      <c r="AF29" s="8">
        <f t="shared" ca="1" si="54"/>
        <v>21.051712064182055</v>
      </c>
      <c r="AG29" s="8">
        <f t="shared" ca="1" si="54"/>
        <v>20.544579113230984</v>
      </c>
      <c r="AH29" s="8">
        <f t="shared" ca="1" si="54"/>
        <v>19.263296155368579</v>
      </c>
      <c r="AI29" s="8">
        <f t="shared" ca="1" si="54"/>
        <v>17.886780205894919</v>
      </c>
      <c r="AJ29" s="8">
        <f t="shared" ca="1" si="54"/>
        <v>16.155926339766559</v>
      </c>
      <c r="AK29" s="8">
        <f t="shared" ca="1" si="54"/>
        <v>14.833119588739732</v>
      </c>
      <c r="AL29" s="8">
        <f t="shared" ca="1" si="54"/>
        <v>14.33180217181935</v>
      </c>
      <c r="AM29" s="8">
        <f t="shared" ca="1" si="54"/>
        <v>14.995333952062269</v>
      </c>
      <c r="AN29" s="8">
        <f t="shared" ca="1" si="54"/>
        <v>15.156596038076612</v>
      </c>
      <c r="AO29" s="8">
        <f t="shared" ca="1" si="54"/>
        <v>15.410691168573168</v>
      </c>
      <c r="AP29" s="8">
        <f t="shared" ca="1" si="54"/>
        <v>16.739599068959553</v>
      </c>
      <c r="AQ29" s="8">
        <f t="shared" ca="1" si="54"/>
        <v>20.399083137512207</v>
      </c>
      <c r="AR29" s="8">
        <f t="shared" ca="1" si="54"/>
        <v>17.811000797483658</v>
      </c>
      <c r="AS29" s="8">
        <f t="shared" ca="1" si="54"/>
        <v>17.063546008533901</v>
      </c>
      <c r="AT29" s="8">
        <f t="shared" ca="1" si="54"/>
        <v>16.09451084666782</v>
      </c>
    </row>
    <row r="30" spans="2:164">
      <c r="Y30" s="145"/>
      <c r="Z30" s="73"/>
      <c r="AA30" s="73"/>
      <c r="AB30" s="73"/>
      <c r="AC30" s="73"/>
      <c r="AD30" s="73"/>
      <c r="AE30" s="73"/>
      <c r="AF30" s="73"/>
      <c r="AG30" s="73"/>
      <c r="AH30" s="73"/>
      <c r="AI30" s="73"/>
      <c r="AJ30" s="73"/>
      <c r="AK30" s="73"/>
      <c r="AL30" s="73"/>
      <c r="AM30" s="73"/>
      <c r="AN30" s="73"/>
      <c r="AO30" s="73"/>
      <c r="AP30" s="73"/>
      <c r="AQ30" s="73"/>
      <c r="AR30" s="73"/>
      <c r="AS30" s="73"/>
      <c r="AT30" s="73"/>
    </row>
    <row r="31" spans="2:164">
      <c r="Y31" s="145" t="s">
        <v>1251</v>
      </c>
      <c r="Z31" s="73">
        <v>33.446946530933914</v>
      </c>
      <c r="AA31" s="73">
        <v>30.031447361963487</v>
      </c>
      <c r="AB31" s="73">
        <v>28.221646908165862</v>
      </c>
      <c r="AC31" s="73">
        <v>25.801681854668441</v>
      </c>
      <c r="AD31" s="73">
        <v>24.946956455225504</v>
      </c>
      <c r="AE31" s="73">
        <v>24.508410600341087</v>
      </c>
      <c r="AF31" s="73">
        <v>23.832578763423843</v>
      </c>
      <c r="AG31" s="73">
        <v>22.863869667002742</v>
      </c>
      <c r="AH31" s="73">
        <v>20.624120564671969</v>
      </c>
      <c r="AI31" s="73">
        <v>18.316526180967916</v>
      </c>
      <c r="AJ31" s="73">
        <v>16.407633197956454</v>
      </c>
      <c r="AK31" s="73">
        <v>14.447771332133126</v>
      </c>
      <c r="AL31" s="73">
        <v>14.215626762807153</v>
      </c>
      <c r="AM31" s="73">
        <v>14.464200962036566</v>
      </c>
      <c r="AN31" s="73">
        <v>14.076534397798968</v>
      </c>
      <c r="AO31" s="73">
        <v>14.396799946575442</v>
      </c>
      <c r="AP31" s="73">
        <v>15.578836892640046</v>
      </c>
      <c r="AQ31" s="73">
        <v>17.645435099312628</v>
      </c>
      <c r="AR31" s="73">
        <v>16.87096567552614</v>
      </c>
      <c r="AS31" s="73">
        <v>12.371951245159302</v>
      </c>
      <c r="AT31" s="73">
        <v>10.334017988899047</v>
      </c>
    </row>
    <row r="32" spans="2:164">
      <c r="Y32" s="145" t="s">
        <v>1249</v>
      </c>
      <c r="Z32" s="13">
        <v>33.36390280876477</v>
      </c>
      <c r="AA32" s="13">
        <v>30.235477528489689</v>
      </c>
      <c r="AB32" s="13">
        <v>28.47404104004454</v>
      </c>
      <c r="AC32" s="13">
        <v>26.387389780013699</v>
      </c>
      <c r="AD32" s="13">
        <v>25.663506655228822</v>
      </c>
      <c r="AE32" s="13">
        <v>25.25762355734205</v>
      </c>
      <c r="AF32" s="13">
        <v>24.596961435212471</v>
      </c>
      <c r="AG32" s="13">
        <v>23.580171371827007</v>
      </c>
      <c r="AH32" s="13">
        <v>21.216606498047401</v>
      </c>
      <c r="AI32" s="13">
        <v>18.79089951942489</v>
      </c>
      <c r="AJ32" s="13">
        <v>16.817203478897135</v>
      </c>
      <c r="AK32" s="13">
        <v>14.850242059219678</v>
      </c>
      <c r="AL32" s="13">
        <v>14.482420102153664</v>
      </c>
      <c r="AM32" s="13">
        <v>14.225761667658883</v>
      </c>
      <c r="AN32" s="13">
        <v>13.893175496990397</v>
      </c>
      <c r="AO32" s="13">
        <v>13.896597226901859</v>
      </c>
      <c r="AP32" s="13">
        <v>13.909272284731687</v>
      </c>
      <c r="AQ32" s="13">
        <v>14.849420456919887</v>
      </c>
      <c r="AR32" s="13">
        <v>15.07617608581586</v>
      </c>
      <c r="AS32" s="13">
        <v>12.371951245159302</v>
      </c>
      <c r="AT32" s="13">
        <v>10.334017988899047</v>
      </c>
    </row>
    <row r="34" spans="2:74">
      <c r="AA34" s="13"/>
      <c r="AB34" s="13"/>
      <c r="AC34" s="13"/>
      <c r="AD34" s="13"/>
      <c r="AE34" s="13"/>
      <c r="AF34" s="13"/>
      <c r="AG34" s="13"/>
      <c r="AH34" s="13"/>
      <c r="AI34" s="13"/>
      <c r="AJ34" s="13"/>
      <c r="AK34" s="13"/>
      <c r="AL34" s="13"/>
      <c r="AM34" s="13"/>
      <c r="AN34" s="13"/>
      <c r="AO34" s="13"/>
      <c r="AP34" s="13"/>
      <c r="AQ34" s="13"/>
      <c r="AR34" s="13"/>
      <c r="AS34" s="13"/>
      <c r="AT34" s="13"/>
    </row>
    <row r="35" spans="2:74">
      <c r="Y35" s="145"/>
      <c r="Z35" s="13"/>
      <c r="AA35" s="13"/>
      <c r="AB35" s="13"/>
      <c r="AC35" s="13"/>
      <c r="AD35" s="13"/>
      <c r="AE35" s="13"/>
      <c r="AF35" s="13"/>
      <c r="AG35" s="13"/>
      <c r="AH35" s="13"/>
      <c r="AI35" s="13"/>
      <c r="AJ35" s="13"/>
      <c r="AK35" s="13"/>
      <c r="AL35" s="13"/>
      <c r="AM35" s="13"/>
      <c r="AN35" s="13"/>
      <c r="AO35" s="13"/>
      <c r="AP35" s="13"/>
      <c r="AQ35" s="13"/>
      <c r="AR35" s="13"/>
      <c r="AS35" s="13"/>
      <c r="AT35" s="13"/>
    </row>
    <row r="37" spans="2:74">
      <c r="Y37" s="145"/>
      <c r="Z37" s="13"/>
      <c r="AA37" s="13"/>
      <c r="AB37" s="13"/>
      <c r="AC37" s="13"/>
      <c r="AD37" s="13"/>
      <c r="AE37" s="13"/>
      <c r="AF37" s="13"/>
      <c r="AG37" s="13"/>
      <c r="AH37" s="13"/>
      <c r="AI37" s="13"/>
      <c r="AJ37" s="13"/>
      <c r="AK37" s="13"/>
      <c r="AL37" s="13"/>
      <c r="AM37" s="13"/>
      <c r="AN37" s="13"/>
      <c r="AO37" s="13"/>
      <c r="AP37" s="13"/>
      <c r="AQ37" s="13"/>
      <c r="AR37" s="13"/>
      <c r="AS37" s="13"/>
      <c r="AT37" s="13"/>
    </row>
    <row r="38" spans="2:74">
      <c r="Y38" s="2557"/>
      <c r="Z38" s="2562"/>
      <c r="AA38" s="2562"/>
      <c r="AB38" s="2562"/>
      <c r="AC38" s="2562"/>
      <c r="AD38" s="2562"/>
      <c r="AE38" s="2562"/>
      <c r="AF38" s="2562"/>
      <c r="AG38" s="2562"/>
      <c r="AH38" s="2562"/>
      <c r="AI38" s="2562"/>
      <c r="AJ38" s="2562"/>
      <c r="AK38" s="2562"/>
      <c r="AL38" s="2562"/>
      <c r="AM38" s="2562"/>
      <c r="AN38" s="2562"/>
      <c r="AO38" s="2562"/>
      <c r="AP38" s="2562"/>
      <c r="AQ38" s="2562"/>
      <c r="AR38" s="2562"/>
      <c r="AS38" s="2562"/>
      <c r="AT38" s="2562"/>
    </row>
    <row r="39" spans="2:74">
      <c r="Y39" s="3"/>
      <c r="Z39" s="122"/>
      <c r="AB39" s="122"/>
      <c r="AC39" s="170"/>
      <c r="AD39" s="122"/>
      <c r="AE39" s="122"/>
      <c r="AF39" s="122"/>
      <c r="AG39" s="122"/>
      <c r="AH39" s="122"/>
      <c r="AI39" s="122"/>
      <c r="AJ39" s="122"/>
      <c r="AK39" s="122"/>
      <c r="AL39" s="122"/>
      <c r="AM39" s="122"/>
      <c r="AN39" s="122"/>
    </row>
    <row r="40" spans="2:74" ht="15" thickBot="1">
      <c r="Y40" s="212" t="s">
        <v>1253</v>
      </c>
      <c r="Z40" s="21"/>
      <c r="AA40" s="21"/>
      <c r="AB40" s="21"/>
      <c r="AC40" s="21"/>
      <c r="AD40" s="21"/>
      <c r="AE40" s="21"/>
      <c r="AF40" s="21"/>
      <c r="AG40" s="21"/>
      <c r="AH40" s="21"/>
      <c r="AI40" s="21"/>
      <c r="AJ40" s="21"/>
      <c r="AK40" s="21"/>
      <c r="AL40" s="21"/>
      <c r="AM40" s="21"/>
      <c r="AN40" s="21"/>
      <c r="AO40" s="21"/>
      <c r="AP40" s="21"/>
      <c r="AQ40" s="21"/>
      <c r="AR40" s="21"/>
      <c r="AS40" s="21"/>
      <c r="AT40" s="21"/>
      <c r="AX40" s="7530" t="s">
        <v>1325</v>
      </c>
      <c r="AY40" s="7538" t="s">
        <v>1329</v>
      </c>
    </row>
    <row r="41" spans="2:74" ht="15" thickTop="1">
      <c r="B41" s="2553"/>
      <c r="C41" s="2554" t="s">
        <v>1228</v>
      </c>
      <c r="D41" s="2554" t="s">
        <v>1229</v>
      </c>
      <c r="E41" s="2554" t="s">
        <v>1230</v>
      </c>
      <c r="F41" s="2554" t="s">
        <v>1231</v>
      </c>
      <c r="G41" s="2554" t="s">
        <v>1232</v>
      </c>
      <c r="H41" s="2554" t="s">
        <v>1233</v>
      </c>
      <c r="I41" s="2554" t="s">
        <v>1234</v>
      </c>
      <c r="J41" s="2554" t="s">
        <v>1235</v>
      </c>
      <c r="K41" s="2554" t="s">
        <v>1236</v>
      </c>
      <c r="L41" s="2554" t="s">
        <v>1237</v>
      </c>
      <c r="M41" s="2554" t="s">
        <v>1238</v>
      </c>
      <c r="N41" s="2554" t="s">
        <v>1239</v>
      </c>
      <c r="O41" s="2554" t="s">
        <v>1240</v>
      </c>
      <c r="P41" s="2554" t="s">
        <v>1241</v>
      </c>
      <c r="Q41" s="2554" t="s">
        <v>1242</v>
      </c>
      <c r="R41" s="2554" t="s">
        <v>1243</v>
      </c>
      <c r="S41" s="2554" t="s">
        <v>1244</v>
      </c>
      <c r="T41" s="2554" t="s">
        <v>1245</v>
      </c>
      <c r="U41" s="2554" t="s">
        <v>1246</v>
      </c>
      <c r="V41" s="2554" t="s">
        <v>1247</v>
      </c>
      <c r="W41" s="2554" t="s">
        <v>1248</v>
      </c>
      <c r="Y41" s="2564" t="s">
        <v>904</v>
      </c>
      <c r="Z41" s="2554" t="s">
        <v>1228</v>
      </c>
      <c r="AA41" s="2554" t="s">
        <v>1229</v>
      </c>
      <c r="AB41" s="2554" t="s">
        <v>1230</v>
      </c>
      <c r="AC41" s="2554" t="s">
        <v>1231</v>
      </c>
      <c r="AD41" s="2554" t="s">
        <v>1232</v>
      </c>
      <c r="AE41" s="2554" t="s">
        <v>1233</v>
      </c>
      <c r="AF41" s="2554" t="s">
        <v>1234</v>
      </c>
      <c r="AG41" s="2554" t="s">
        <v>1235</v>
      </c>
      <c r="AH41" s="2554" t="s">
        <v>1236</v>
      </c>
      <c r="AI41" s="2554" t="s">
        <v>1237</v>
      </c>
      <c r="AJ41" s="2554" t="s">
        <v>1238</v>
      </c>
      <c r="AK41" s="2554" t="s">
        <v>1239</v>
      </c>
      <c r="AL41" s="2554" t="s">
        <v>1240</v>
      </c>
      <c r="AM41" s="2554" t="s">
        <v>1241</v>
      </c>
      <c r="AN41" s="2554" t="s">
        <v>1242</v>
      </c>
      <c r="AO41" s="2554" t="s">
        <v>1243</v>
      </c>
      <c r="AP41" s="2554" t="s">
        <v>1244</v>
      </c>
      <c r="AQ41" s="2554" t="s">
        <v>1245</v>
      </c>
      <c r="AR41" s="2554" t="s">
        <v>1246</v>
      </c>
      <c r="AS41" s="2554" t="s">
        <v>1247</v>
      </c>
      <c r="AT41" s="2554" t="s">
        <v>1248</v>
      </c>
      <c r="AW41" s="7530" t="s">
        <v>1326</v>
      </c>
      <c r="AX41" s="7530" t="s">
        <v>1327</v>
      </c>
      <c r="BA41" s="2554" t="s">
        <v>1229</v>
      </c>
      <c r="BB41" s="2554" t="s">
        <v>1230</v>
      </c>
      <c r="BC41" s="2554" t="s">
        <v>1231</v>
      </c>
      <c r="BD41" s="2554" t="s">
        <v>1232</v>
      </c>
      <c r="BE41" s="2554" t="s">
        <v>1233</v>
      </c>
      <c r="BF41" s="2554" t="s">
        <v>1234</v>
      </c>
      <c r="BG41" s="2554" t="s">
        <v>1235</v>
      </c>
      <c r="BH41" s="2554" t="s">
        <v>1236</v>
      </c>
      <c r="BI41" s="2554" t="s">
        <v>1237</v>
      </c>
      <c r="BJ41" s="2554" t="s">
        <v>1238</v>
      </c>
      <c r="BK41" s="2554" t="s">
        <v>1239</v>
      </c>
      <c r="BL41" s="2554" t="s">
        <v>1240</v>
      </c>
      <c r="BM41" s="2554" t="s">
        <v>1241</v>
      </c>
      <c r="BN41" s="2554" t="s">
        <v>1242</v>
      </c>
      <c r="BO41" s="2554" t="s">
        <v>1243</v>
      </c>
      <c r="BP41" s="2554" t="s">
        <v>1244</v>
      </c>
      <c r="BQ41" s="2554" t="s">
        <v>1245</v>
      </c>
      <c r="BR41" s="2554" t="s">
        <v>1246</v>
      </c>
      <c r="BS41" s="2554" t="s">
        <v>1247</v>
      </c>
      <c r="BT41" s="2554">
        <v>2023</v>
      </c>
      <c r="BV41" s="76"/>
    </row>
    <row r="42" spans="2:74">
      <c r="B42" s="98" t="s">
        <v>10</v>
      </c>
      <c r="C42">
        <f>IF(Fact5_predicmoderate!B2&gt;0,VLOOKUP(Fact5!$B42,Fact5_predicmoderate!$A$1:$W$19,23,0),"")</f>
        <v>45773884</v>
      </c>
      <c r="D42">
        <f>IF(Fact5_predicmoderate!C2&gt;0,VLOOKUP(Fact5!$B42,Fact5_predicmoderate!$A$1:$W$19,23,0),"")</f>
        <v>45773884</v>
      </c>
      <c r="E42">
        <f>IF(Fact5_predicmoderate!D2&gt;0,VLOOKUP(Fact5!$B42,Fact5_predicmoderate!$A$1:$W$19,23,0),"")</f>
        <v>45773884</v>
      </c>
      <c r="F42">
        <f>IF(Fact5_predicmoderate!E2&gt;0,VLOOKUP(Fact5!$B42,Fact5_predicmoderate!$A$1:$W$19,23,0),"")</f>
        <v>45773884</v>
      </c>
      <c r="G42">
        <f>IF(Fact5_predicmoderate!F2&gt;0,VLOOKUP(Fact5!$B42,Fact5_predicmoderate!$A$1:$W$19,23,0),"")</f>
        <v>45773884</v>
      </c>
      <c r="H42">
        <f>IF(Fact5_predicmoderate!G2&gt;0,VLOOKUP(Fact5!$B42,Fact5_predicmoderate!$A$1:$W$19,23,0),"")</f>
        <v>45773884</v>
      </c>
      <c r="I42">
        <f>IF(Fact5_predicmoderate!H2&gt;0,VLOOKUP(Fact5!$B42,Fact5_predicmoderate!$A$1:$W$19,23,0),"")</f>
        <v>45773884</v>
      </c>
      <c r="J42">
        <f>IF(Fact5_predicmoderate!I2&gt;0,VLOOKUP(Fact5!$B42,Fact5_predicmoderate!$A$1:$W$19,23,0),"")</f>
        <v>45773884</v>
      </c>
      <c r="K42">
        <f>IF(Fact5_predicmoderate!J2&gt;0,VLOOKUP(Fact5!$B42,Fact5_predicmoderate!$A$1:$W$19,23,0),"")</f>
        <v>45773884</v>
      </c>
      <c r="L42">
        <f>IF(Fact5_predicmoderate!K2&gt;0,VLOOKUP(Fact5!$B42,Fact5_predicmoderate!$A$1:$W$19,23,0),"")</f>
        <v>45773884</v>
      </c>
      <c r="M42">
        <f>IF(Fact5_predicmoderate!L2&gt;0,VLOOKUP(Fact5!$B42,Fact5_predicmoderate!$A$1:$W$19,23,0),"")</f>
        <v>45773884</v>
      </c>
      <c r="N42">
        <f>IF(Fact5_predicmoderate!M2&gt;0,VLOOKUP(Fact5!$B42,Fact5_predicmoderate!$A$1:$W$19,23,0),"")</f>
        <v>45773884</v>
      </c>
      <c r="O42">
        <f>IF(Fact5_predicmoderate!N2&gt;0,VLOOKUP(Fact5!$B42,Fact5_predicmoderate!$A$1:$W$19,23,0),"")</f>
        <v>45773884</v>
      </c>
      <c r="P42">
        <f>IF(Fact5_predicmoderate!O2&gt;0,VLOOKUP(Fact5!$B42,Fact5_predicmoderate!$A$1:$W$19,23,0),"")</f>
        <v>45773884</v>
      </c>
      <c r="Q42">
        <f>IF(Fact5_predicmoderate!P2&gt;0,VLOOKUP(Fact5!$B42,Fact5_predicmoderate!$A$1:$W$19,23,0),"")</f>
        <v>45773884</v>
      </c>
      <c r="R42">
        <f>IF(Fact5_predicmoderate!Q2&gt;0,VLOOKUP(Fact5!$B42,Fact5_predicmoderate!$A$1:$W$19,23,0),"")</f>
        <v>45773884</v>
      </c>
      <c r="S42">
        <f>IF(Fact5_predicmoderate!R2&gt;0,VLOOKUP(Fact5!$B42,Fact5_predicmoderate!$A$1:$W$19,23,0),"")</f>
        <v>45773884</v>
      </c>
      <c r="T42">
        <f>IF(Fact5_predicmoderate!S2&gt;0,VLOOKUP(Fact5!$B42,Fact5_predicmoderate!$A$1:$W$19,23,0),"")</f>
        <v>45773884</v>
      </c>
      <c r="U42">
        <f>IF(Fact5_predicmoderate!T2&gt;0,VLOOKUP(Fact5!$B42,Fact5_predicmoderate!$A$1:$W$19,23,0),"")</f>
        <v>45773884</v>
      </c>
      <c r="V42">
        <f>IF(Fact5_predicmoderate!U2&gt;0,VLOOKUP(Fact5!$B42,Fact5_predicmoderate!$A$1:$W$19,23,0),"")</f>
        <v>45773884</v>
      </c>
      <c r="W42">
        <f>IF(Fact5_predicmoderate!V2&gt;0,VLOOKUP(Fact5!$B42,Fact5_predicmoderate!$A$1:$W$19,23,0),"")</f>
        <v>45773884</v>
      </c>
      <c r="Y42" s="2562" t="s">
        <v>10</v>
      </c>
      <c r="Z42" s="8">
        <f ca="1">IF(OFFSET(Fact5_predicmoderate!$A$1,MATCH($Y5,Fact5_predicmoderate!$A$2:$A$26,0),MATCH(Z$2,Fact5_predicmoderate!$A$1:$V$1,0)-1,1,1)=0,NA(),OFFSET(Fact5_predicmoderate!$A$1,MATCH($Y5,Fact5_predicmoderate!$A$2:$A$26,0),MATCH(Z$2,Fact5_predicmoderate!$A$1:$V$1,0)-1,1,1))</f>
        <v>23.022911071777344</v>
      </c>
      <c r="AA42" s="8">
        <f ca="1">IF(OFFSET(Fact5_predicmoderate!$A$1,MATCH($Y5,Fact5_predicmoderate!$A$2:$A$26,0),MATCH(AA$2,Fact5_predicmoderate!$A$1:$V$1,0)-1,1,1)=0,NA(),OFFSET(Fact5_predicmoderate!$A$1,MATCH($Y5,Fact5_predicmoderate!$A$2:$A$26,0),MATCH(AA$2,Fact5_predicmoderate!$A$1:$V$1,0)-1,1,1))</f>
        <v>26.926044464111328</v>
      </c>
      <c r="AB42" s="8">
        <f ca="1">IF(OFFSET(Fact5_predicmoderate!$A$1,MATCH($Y5,Fact5_predicmoderate!$A$2:$A$26,0),MATCH(AB$2,Fact5_predicmoderate!$A$1:$V$1,0)-1,1,1)=0,NA(),OFFSET(Fact5_predicmoderate!$A$1,MATCH($Y5,Fact5_predicmoderate!$A$2:$A$26,0),MATCH(AB$2,Fact5_predicmoderate!$A$1:$V$1,0)-1,1,1))</f>
        <v>27.641334533691406</v>
      </c>
      <c r="AC42" s="8">
        <f ca="1">IF(OFFSET(Fact5_predicmoderate!$A$1,MATCH($Y5,Fact5_predicmoderate!$A$2:$A$26,0),MATCH(AC$2,Fact5_predicmoderate!$A$1:$V$1,0)-1,1,1)=0,NA(),OFFSET(Fact5_predicmoderate!$A$1,MATCH($Y5,Fact5_predicmoderate!$A$2:$A$26,0),MATCH(AC$2,Fact5_predicmoderate!$A$1:$V$1,0)-1,1,1))</f>
        <v>27.848964691162109</v>
      </c>
      <c r="AD42" s="8">
        <f ca="1">IF(OFFSET(Fact5_predicmoderate!$A$1,MATCH($Y5,Fact5_predicmoderate!$A$2:$A$26,0),MATCH(AD$2,Fact5_predicmoderate!$A$1:$V$1,0)-1,1,1)=0,NA(),OFFSET(Fact5_predicmoderate!$A$1,MATCH($Y5,Fact5_predicmoderate!$A$2:$A$26,0),MATCH(AD$2,Fact5_predicmoderate!$A$1:$V$1,0)-1,1,1))</f>
        <v>27.477052688598633</v>
      </c>
      <c r="AE42" s="8">
        <f ca="1">IF(OFFSET(Fact5_predicmoderate!$A$1,MATCH($Y5,Fact5_predicmoderate!$A$2:$A$26,0),MATCH(AE$2,Fact5_predicmoderate!$A$1:$V$1,0)-1,1,1)=0,NA(),OFFSET(Fact5_predicmoderate!$A$1,MATCH($Y5,Fact5_predicmoderate!$A$2:$A$26,0),MATCH(AE$2,Fact5_predicmoderate!$A$1:$V$1,0)-1,1,1))</f>
        <v>26.714622497558594</v>
      </c>
      <c r="AF42" s="8">
        <f ca="1">IF(OFFSET(Fact5_predicmoderate!$A$1,MATCH($Y5,Fact5_predicmoderate!$A$2:$A$26,0),MATCH(AF$2,Fact5_predicmoderate!$A$1:$V$1,0)-1,1,1)=0,NA(),OFFSET(Fact5_predicmoderate!$A$1,MATCH($Y5,Fact5_predicmoderate!$A$2:$A$26,0),MATCH(AF$2,Fact5_predicmoderate!$A$1:$V$1,0)-1,1,1))</f>
        <v>23.234474182128906</v>
      </c>
      <c r="AG42" s="8">
        <f ca="1">IF(OFFSET(Fact5_predicmoderate!$A$1,MATCH($Y5,Fact5_predicmoderate!$A$2:$A$26,0),MATCH(AG$2,Fact5_predicmoderate!$A$1:$V$1,0)-1,1,1)=0,NA(),OFFSET(Fact5_predicmoderate!$A$1,MATCH($Y5,Fact5_predicmoderate!$A$2:$A$26,0),MATCH(AG$2,Fact5_predicmoderate!$A$1:$V$1,0)-1,1,1))</f>
        <v>21.96925163269043</v>
      </c>
      <c r="AH42" s="8">
        <f ca="1">IF(OFFSET(Fact5_predicmoderate!$A$1,MATCH($Y5,Fact5_predicmoderate!$A$2:$A$26,0),MATCH(AH$2,Fact5_predicmoderate!$A$1:$V$1,0)-1,1,1)=0,NA(),OFFSET(Fact5_predicmoderate!$A$1,MATCH($Y5,Fact5_predicmoderate!$A$2:$A$26,0),MATCH(AH$2,Fact5_predicmoderate!$A$1:$V$1,0)-1,1,1))</f>
        <v>18.013568878173828</v>
      </c>
      <c r="AI42" s="8">
        <f ca="1">IF(OFFSET(Fact5_predicmoderate!$A$1,MATCH($Y5,Fact5_predicmoderate!$A$2:$A$26,0),MATCH(AI$2,Fact5_predicmoderate!$A$1:$V$1,0)-1,1,1)=0,NA(),OFFSET(Fact5_predicmoderate!$A$1,MATCH($Y5,Fact5_predicmoderate!$A$2:$A$26,0),MATCH(AI$2,Fact5_predicmoderate!$A$1:$V$1,0)-1,1,1))</f>
        <v>14.993183135986328</v>
      </c>
      <c r="AJ42" s="8">
        <f ca="1">IF(OFFSET(Fact5_predicmoderate!$A$1,MATCH($Y5,Fact5_predicmoderate!$A$2:$A$26,0),MATCH(AJ$2,Fact5_predicmoderate!$A$1:$V$1,0)-1,1,1)=0,NA(),OFFSET(Fact5_predicmoderate!$A$1,MATCH($Y5,Fact5_predicmoderate!$A$2:$A$26,0),MATCH(AJ$2,Fact5_predicmoderate!$A$1:$V$1,0)-1,1,1))</f>
        <v>11.623519897460938</v>
      </c>
      <c r="AK42" s="8">
        <f ca="1">IF(OFFSET(Fact5_predicmoderate!$A$1,MATCH($Y5,Fact5_predicmoderate!$A$2:$A$26,0),MATCH(AK$2,Fact5_predicmoderate!$A$1:$V$1,0)-1,1,1)=0,NA(),OFFSET(Fact5_predicmoderate!$A$1,MATCH($Y5,Fact5_predicmoderate!$A$2:$A$26,0),MATCH(AK$2,Fact5_predicmoderate!$A$1:$V$1,0)-1,1,1))</f>
        <v>14.168858528137207</v>
      </c>
      <c r="AL42" s="8">
        <f ca="1">IF(OFFSET(Fact5_predicmoderate!$A$1,MATCH($Y5,Fact5_predicmoderate!$A$2:$A$26,0),MATCH(AL$2,Fact5_predicmoderate!$A$1:$V$1,0)-1,1,1)=0,NA(),OFFSET(Fact5_predicmoderate!$A$1,MATCH($Y5,Fact5_predicmoderate!$A$2:$A$26,0),MATCH(AL$2,Fact5_predicmoderate!$A$1:$V$1,0)-1,1,1))</f>
        <v>16.860288619995117</v>
      </c>
      <c r="AM42" s="8">
        <f ca="1">IF(OFFSET(Fact5_predicmoderate!$A$1,MATCH($Y5,Fact5_predicmoderate!$A$2:$A$26,0),MATCH(AM$2,Fact5_predicmoderate!$A$1:$V$1,0)-1,1,1)=0,NA(),OFFSET(Fact5_predicmoderate!$A$1,MATCH($Y5,Fact5_predicmoderate!$A$2:$A$26,0),MATCH(AM$2,Fact5_predicmoderate!$A$1:$V$1,0)-1,1,1))</f>
        <v>11.83381175994873</v>
      </c>
      <c r="AN42" s="8">
        <f ca="1">IF(OFFSET(Fact5_predicmoderate!$A$1,MATCH($Y5,Fact5_predicmoderate!$A$2:$A$26,0),MATCH(AN$2,Fact5_predicmoderate!$A$1:$V$1,0)-1,1,1)=0,NA(),OFFSET(Fact5_predicmoderate!$A$1,MATCH($Y5,Fact5_predicmoderate!$A$2:$A$26,0),MATCH(AN$2,Fact5_predicmoderate!$A$1:$V$1,0)-1,1,1))</f>
        <v>9.605499267578125</v>
      </c>
      <c r="AO42" s="8">
        <f ca="1">IF(OFFSET(Fact5_predicmoderate!$A$1,MATCH($Y5,Fact5_predicmoderate!$A$2:$A$26,0),MATCH(AO$2,Fact5_predicmoderate!$A$1:$V$1,0)-1,1,1)=0,NA(),OFFSET(Fact5_predicmoderate!$A$1,MATCH($Y5,Fact5_predicmoderate!$A$2:$A$26,0),MATCH(AO$2,Fact5_predicmoderate!$A$1:$V$1,0)-1,1,1))</f>
        <v>11.343873977661133</v>
      </c>
      <c r="AP42" s="8">
        <f ca="1">IF(OFFSET(Fact5_predicmoderate!$A$1,MATCH($Y5,Fact5_predicmoderate!$A$2:$A$26,0),MATCH(AP$2,Fact5_predicmoderate!$A$1:$V$1,0)-1,1,1)=0,NA(),OFFSET(Fact5_predicmoderate!$A$1,MATCH($Y5,Fact5_predicmoderate!$A$2:$A$26,0),MATCH(AP$2,Fact5_predicmoderate!$A$1:$V$1,0)-1,1,1))</f>
        <v>12.223098754882813</v>
      </c>
      <c r="AQ42" s="8">
        <f ca="1">IF(OFFSET(Fact5_predicmoderate!$A$1,MATCH($Y5,Fact5_predicmoderate!$A$2:$A$26,0),MATCH(AQ$2,Fact5_predicmoderate!$A$1:$V$1,0)-1,1,1)=0,NA(),OFFSET(Fact5_predicmoderate!$A$1,MATCH($Y5,Fact5_predicmoderate!$A$2:$A$26,0),MATCH(AQ$2,Fact5_predicmoderate!$A$1:$V$1,0)-1,1,1))</f>
        <v>15.851166725158691</v>
      </c>
      <c r="AR42" s="8">
        <f ca="1">IF(OFFSET(Fact5_predicmoderate!$A$1,MATCH($Y5,Fact5_predicmoderate!$A$2:$A$26,0),MATCH(AR$2,Fact5_predicmoderate!$A$1:$V$1,0)-1,1,1)=0,NA(),OFFSET(Fact5_predicmoderate!$A$1,MATCH($Y5,Fact5_predicmoderate!$A$2:$A$26,0),MATCH(AR$2,Fact5_predicmoderate!$A$1:$V$1,0)-1,1,1))</f>
        <v>14.83424186706543</v>
      </c>
      <c r="AS42" s="8">
        <f ca="1">IF(OFFSET(Fact5_predicmoderate!$A$1,MATCH($Y5,Fact5_predicmoderate!$A$2:$A$26,0),MATCH(AS$2,Fact5_predicmoderate!$A$1:$V$1,0)-1,1,1)=0,NA(),OFFSET(Fact5_predicmoderate!$A$1,MATCH($Y5,Fact5_predicmoderate!$A$2:$A$26,0),MATCH(AS$2,Fact5_predicmoderate!$A$1:$V$1,0)-1,1,1))</f>
        <v>12.861659049987793</v>
      </c>
      <c r="AT42" s="88">
        <f ca="1">IF(OFFSET(Fact5_predicmoderate!$A$1,MATCH($Y5,Fact5_predicmoderate!$A$2:$A$26,0),MATCH(AT$2,Fact5_predicmoderate!$A$1:$V$1,0)-1,1,1)=0,NA(),OFFSET(Fact5_predicmoderate!$A$1,MATCH($Y5,Fact5_predicmoderate!$A$2:$A$26,0),MATCH(AT$2,Fact5_predicmoderate!$A$1:$V$1,0)-1,1,1))</f>
        <v>11.15138053894043</v>
      </c>
      <c r="AW42" s="7531">
        <f ca="1">AT42/Z42-1</f>
        <v>-0.5156398552652901</v>
      </c>
      <c r="AX42" s="7532">
        <f ca="1">AQ42/AP42-1</f>
        <v>0.29682063796028468</v>
      </c>
      <c r="AY42" s="7532">
        <f ca="1">AR42/AP42-1</f>
        <v>0.21362366160541191</v>
      </c>
      <c r="AZ42" s="7535"/>
      <c r="BA42" s="7532">
        <f t="shared" ref="BA42:BT42" ca="1" si="55">IFERROR(AA42/Z42-1,"")</f>
        <v>0.16953257475413896</v>
      </c>
      <c r="BB42" s="7532">
        <f t="shared" ca="1" si="55"/>
        <v>2.6564988798613243E-2</v>
      </c>
      <c r="BC42" s="7532">
        <f t="shared" ca="1" si="55"/>
        <v>7.5115822362927798E-3</v>
      </c>
      <c r="BD42" s="7532">
        <f t="shared" ca="1" si="55"/>
        <v>-1.335460785303455E-2</v>
      </c>
      <c r="BE42" s="7532">
        <f t="shared" ca="1" si="55"/>
        <v>-2.7747888380925345E-2</v>
      </c>
      <c r="BF42" s="7532">
        <f t="shared" ca="1" si="55"/>
        <v>-0.13027128928165588</v>
      </c>
      <c r="BG42" s="7532">
        <f t="shared" ca="1" si="55"/>
        <v>-5.4454537663332969E-2</v>
      </c>
      <c r="BH42" s="7532">
        <f t="shared" ca="1" si="55"/>
        <v>-0.18005541657279367</v>
      </c>
      <c r="BI42" s="7532">
        <f t="shared" ca="1" si="55"/>
        <v>-0.16767281167959758</v>
      </c>
      <c r="BJ42" s="7532">
        <f t="shared" ca="1" si="55"/>
        <v>-0.22474635359035899</v>
      </c>
      <c r="BK42" s="7532">
        <f t="shared" ca="1" si="55"/>
        <v>0.21898174160069006</v>
      </c>
      <c r="BL42" s="7532">
        <f t="shared" ca="1" si="55"/>
        <v>0.18995391100229697</v>
      </c>
      <c r="BM42" s="7532">
        <f t="shared" ca="1" si="55"/>
        <v>-0.29812519662832693</v>
      </c>
      <c r="BN42" s="7532">
        <f t="shared" ca="1" si="55"/>
        <v>-0.18830048487946027</v>
      </c>
      <c r="BO42" s="7532">
        <f t="shared" ca="1" si="55"/>
        <v>0.18097702801879567</v>
      </c>
      <c r="BP42" s="7532">
        <f t="shared" ca="1" si="55"/>
        <v>7.7506571295933746E-2</v>
      </c>
      <c r="BQ42" s="7532">
        <f t="shared" ca="1" si="55"/>
        <v>0.29682063796028468</v>
      </c>
      <c r="BR42" s="7532">
        <f t="shared" ca="1" si="55"/>
        <v>-6.4154574595396641E-2</v>
      </c>
      <c r="BS42" s="7532">
        <f t="shared" ca="1" si="55"/>
        <v>-0.13297496661808583</v>
      </c>
      <c r="BT42" s="7532">
        <f t="shared" ca="1" si="55"/>
        <v>-0.13297495326226882</v>
      </c>
      <c r="BV42" s="8"/>
    </row>
    <row r="43" spans="2:74">
      <c r="B43" s="99" t="s">
        <v>15</v>
      </c>
      <c r="C43">
        <f>IF(Fact5_predicmoderate!B3&gt;0,VLOOKUP(Fact5!$B43,Fact5_predicmoderate!$A$1:$W$19,23,0),"")</f>
        <v>12388571</v>
      </c>
      <c r="D43">
        <f>IF(Fact5_predicmoderate!C3&gt;0,VLOOKUP(Fact5!$B43,Fact5_predicmoderate!$A$1:$W$19,23,0),"")</f>
        <v>12388571</v>
      </c>
      <c r="E43">
        <f>IF(Fact5_predicmoderate!D3&gt;0,VLOOKUP(Fact5!$B43,Fact5_predicmoderate!$A$1:$W$19,23,0),"")</f>
        <v>12388571</v>
      </c>
      <c r="F43">
        <f>IF(Fact5_predicmoderate!E3&gt;0,VLOOKUP(Fact5!$B43,Fact5_predicmoderate!$A$1:$W$19,23,0),"")</f>
        <v>12388571</v>
      </c>
      <c r="G43">
        <f>IF(Fact5_predicmoderate!F3&gt;0,VLOOKUP(Fact5!$B43,Fact5_predicmoderate!$A$1:$W$19,23,0),"")</f>
        <v>12388571</v>
      </c>
      <c r="H43">
        <f>IF(Fact5_predicmoderate!G3&gt;0,VLOOKUP(Fact5!$B43,Fact5_predicmoderate!$A$1:$W$19,23,0),"")</f>
        <v>12388571</v>
      </c>
      <c r="I43">
        <f>IF(Fact5_predicmoderate!H3&gt;0,VLOOKUP(Fact5!$B43,Fact5_predicmoderate!$A$1:$W$19,23,0),"")</f>
        <v>12388571</v>
      </c>
      <c r="J43">
        <f>IF(Fact5_predicmoderate!I3&gt;0,VLOOKUP(Fact5!$B43,Fact5_predicmoderate!$A$1:$W$19,23,0),"")</f>
        <v>12388571</v>
      </c>
      <c r="K43">
        <f>IF(Fact5_predicmoderate!J3&gt;0,VLOOKUP(Fact5!$B43,Fact5_predicmoderate!$A$1:$W$19,23,0),"")</f>
        <v>12388571</v>
      </c>
      <c r="L43">
        <f>IF(Fact5_predicmoderate!K3&gt;0,VLOOKUP(Fact5!$B43,Fact5_predicmoderate!$A$1:$W$19,23,0),"")</f>
        <v>12388571</v>
      </c>
      <c r="M43">
        <f>IF(Fact5_predicmoderate!L3&gt;0,VLOOKUP(Fact5!$B43,Fact5_predicmoderate!$A$1:$W$19,23,0),"")</f>
        <v>12388571</v>
      </c>
      <c r="N43">
        <f>IF(Fact5_predicmoderate!M3&gt;0,VLOOKUP(Fact5!$B43,Fact5_predicmoderate!$A$1:$W$19,23,0),"")</f>
        <v>12388571</v>
      </c>
      <c r="O43">
        <f>IF(Fact5_predicmoderate!N3&gt;0,VLOOKUP(Fact5!$B43,Fact5_predicmoderate!$A$1:$W$19,23,0),"")</f>
        <v>12388571</v>
      </c>
      <c r="P43">
        <f>IF(Fact5_predicmoderate!O3&gt;0,VLOOKUP(Fact5!$B43,Fact5_predicmoderate!$A$1:$W$19,23,0),"")</f>
        <v>12388571</v>
      </c>
      <c r="Q43">
        <f>IF(Fact5_predicmoderate!P3&gt;0,VLOOKUP(Fact5!$B43,Fact5_predicmoderate!$A$1:$W$19,23,0),"")</f>
        <v>12388571</v>
      </c>
      <c r="R43">
        <f>IF(Fact5_predicmoderate!Q3&gt;0,VLOOKUP(Fact5!$B43,Fact5_predicmoderate!$A$1:$W$19,23,0),"")</f>
        <v>12388571</v>
      </c>
      <c r="S43">
        <f>IF(Fact5_predicmoderate!R3&gt;0,VLOOKUP(Fact5!$B43,Fact5_predicmoderate!$A$1:$W$19,23,0),"")</f>
        <v>12388571</v>
      </c>
      <c r="T43">
        <f>IF(Fact5_predicmoderate!S3&gt;0,VLOOKUP(Fact5!$B43,Fact5_predicmoderate!$A$1:$W$19,23,0),"")</f>
        <v>12388571</v>
      </c>
      <c r="U43">
        <f>IF(Fact5_predicmoderate!T3&gt;0,VLOOKUP(Fact5!$B43,Fact5_predicmoderate!$A$1:$W$19,23,0),"")</f>
        <v>12388571</v>
      </c>
      <c r="V43">
        <f>IF(Fact5_predicmoderate!U3&gt;0,VLOOKUP(Fact5!$B43,Fact5_predicmoderate!$A$1:$W$19,23,0),"")</f>
        <v>12388571</v>
      </c>
      <c r="W43">
        <f>IF(Fact5_predicmoderate!V3&gt;0,VLOOKUP(Fact5!$B43,Fact5_predicmoderate!$A$1:$W$19,23,0),"")</f>
        <v>12388571</v>
      </c>
      <c r="Y43" s="2563" t="s">
        <v>15</v>
      </c>
      <c r="Z43" s="8">
        <f ca="1">IF(OFFSET(Fact5_predicmoderate!$A$1,MATCH($Y6,Fact5_predicmoderate!$A$2:$A$26,0),MATCH(Z$2,Fact5_predicmoderate!$A$1:$V$1,0)-1,1,1)=0,NA(),OFFSET(Fact5_predicmoderate!$A$1,MATCH($Y6,Fact5_predicmoderate!$A$2:$A$26,0),MATCH(Z$2,Fact5_predicmoderate!$A$1:$V$1,0)-1,1,1))</f>
        <v>21.16325569152832</v>
      </c>
      <c r="AA43" s="88">
        <f ca="1">IF(OFFSET(Fact5_predicmoderate!$A$1,MATCH($Y6,Fact5_predicmoderate!$A$2:$A$26,0),MATCH(AA$2,Fact5_predicmoderate!$A$1:$V$1,0)-1,1,1)=0,NA(),OFFSET(Fact5_predicmoderate!$A$1,MATCH($Y6,Fact5_predicmoderate!$A$2:$A$26,0),MATCH(AA$2,Fact5_predicmoderate!$A$1:$V$1,0)-1,1,1))</f>
        <v>21.766212463378906</v>
      </c>
      <c r="AB43" s="8">
        <f ca="1">IF(OFFSET(Fact5_predicmoderate!$A$1,MATCH($Y6,Fact5_predicmoderate!$A$2:$A$26,0),MATCH(AB$2,Fact5_predicmoderate!$A$1:$V$1,0)-1,1,1)=0,NA(),OFFSET(Fact5_predicmoderate!$A$1,MATCH($Y6,Fact5_predicmoderate!$A$2:$A$26,0),MATCH(AB$2,Fact5_predicmoderate!$A$1:$V$1,0)-1,1,1))</f>
        <v>22.369171142578125</v>
      </c>
      <c r="AC43" s="8">
        <f ca="1">IF(OFFSET(Fact5_predicmoderate!$A$1,MATCH($Y6,Fact5_predicmoderate!$A$2:$A$26,0),MATCH(AC$2,Fact5_predicmoderate!$A$1:$V$1,0)-1,1,1)=0,NA(),OFFSET(Fact5_predicmoderate!$A$1,MATCH($Y6,Fact5_predicmoderate!$A$2:$A$26,0),MATCH(AC$2,Fact5_predicmoderate!$A$1:$V$1,0)-1,1,1))</f>
        <v>19.35621452331543</v>
      </c>
      <c r="AD43" s="8">
        <f ca="1">IF(OFFSET(Fact5_predicmoderate!$A$1,MATCH($Y6,Fact5_predicmoderate!$A$2:$A$26,0),MATCH(AD$2,Fact5_predicmoderate!$A$1:$V$1,0)-1,1,1)=0,NA(),OFFSET(Fact5_predicmoderate!$A$1,MATCH($Y6,Fact5_predicmoderate!$A$2:$A$26,0),MATCH(AD$2,Fact5_predicmoderate!$A$1:$V$1,0)-1,1,1))</f>
        <v>21.454442977905273</v>
      </c>
      <c r="AE43" s="8">
        <f ca="1">IF(OFFSET(Fact5_predicmoderate!$A$1,MATCH($Y6,Fact5_predicmoderate!$A$2:$A$26,0),MATCH(AE$2,Fact5_predicmoderate!$A$1:$V$1,0)-1,1,1)=0,NA(),OFFSET(Fact5_predicmoderate!$A$1,MATCH($Y6,Fact5_predicmoderate!$A$2:$A$26,0),MATCH(AE$2,Fact5_predicmoderate!$A$1:$V$1,0)-1,1,1))</f>
        <v>17.52546501159668</v>
      </c>
      <c r="AF43" s="8">
        <f ca="1">IF(OFFSET(Fact5_predicmoderate!$A$1,MATCH($Y6,Fact5_predicmoderate!$A$2:$A$26,0),MATCH(AF$2,Fact5_predicmoderate!$A$1:$V$1,0)-1,1,1)=0,NA(),OFFSET(Fact5_predicmoderate!$A$1,MATCH($Y6,Fact5_predicmoderate!$A$2:$A$26,0),MATCH(AF$2,Fact5_predicmoderate!$A$1:$V$1,0)-1,1,1))</f>
        <v>15.340775489807129</v>
      </c>
      <c r="AG43" s="88">
        <f ca="1">IF(OFFSET(Fact5_predicmoderate!$A$1,MATCH($Y6,Fact5_predicmoderate!$A$2:$A$26,0),MATCH(AG$2,Fact5_predicmoderate!$A$1:$V$1,0)-1,1,1)=0,NA(),OFFSET(Fact5_predicmoderate!$A$1,MATCH($Y6,Fact5_predicmoderate!$A$2:$A$26,0),MATCH(AG$2,Fact5_predicmoderate!$A$1:$V$1,0)-1,1,1))</f>
        <v>14.76222038269043</v>
      </c>
      <c r="AH43" s="8">
        <f ca="1">IF(OFFSET(Fact5_predicmoderate!$A$1,MATCH($Y6,Fact5_predicmoderate!$A$2:$A$26,0),MATCH(AH$2,Fact5_predicmoderate!$A$1:$V$1,0)-1,1,1)=0,NA(),OFFSET(Fact5_predicmoderate!$A$1,MATCH($Y6,Fact5_predicmoderate!$A$2:$A$26,0),MATCH(AH$2,Fact5_predicmoderate!$A$1:$V$1,0)-1,1,1))</f>
        <v>14.183666229248047</v>
      </c>
      <c r="AI43" s="8">
        <f ca="1">IF(OFFSET(Fact5_predicmoderate!$A$1,MATCH($Y6,Fact5_predicmoderate!$A$2:$A$26,0),MATCH(AI$2,Fact5_predicmoderate!$A$1:$V$1,0)-1,1,1)=0,NA(),OFFSET(Fact5_predicmoderate!$A$1,MATCH($Y6,Fact5_predicmoderate!$A$2:$A$26,0),MATCH(AI$2,Fact5_predicmoderate!$A$1:$V$1,0)-1,1,1))</f>
        <v>13.766546249389648</v>
      </c>
      <c r="AJ43" s="8">
        <f ca="1">IF(OFFSET(Fact5_predicmoderate!$A$1,MATCH($Y6,Fact5_predicmoderate!$A$2:$A$26,0),MATCH(AJ$2,Fact5_predicmoderate!$A$1:$V$1,0)-1,1,1)=0,NA(),OFFSET(Fact5_predicmoderate!$A$1,MATCH($Y6,Fact5_predicmoderate!$A$2:$A$26,0),MATCH(AJ$2,Fact5_predicmoderate!$A$1:$V$1,0)-1,1,1))</f>
        <v>13.079665184020996</v>
      </c>
      <c r="AK43" s="8">
        <f ca="1">IF(OFFSET(Fact5_predicmoderate!$A$1,MATCH($Y6,Fact5_predicmoderate!$A$2:$A$26,0),MATCH(AK$2,Fact5_predicmoderate!$A$1:$V$1,0)-1,1,1)=0,NA(),OFFSET(Fact5_predicmoderate!$A$1,MATCH($Y6,Fact5_predicmoderate!$A$2:$A$26,0),MATCH(AK$2,Fact5_predicmoderate!$A$1:$V$1,0)-1,1,1))</f>
        <v>11.993228912353516</v>
      </c>
      <c r="AL43" s="8">
        <f ca="1">IF(OFFSET(Fact5_predicmoderate!$A$1,MATCH($Y6,Fact5_predicmoderate!$A$2:$A$26,0),MATCH(AL$2,Fact5_predicmoderate!$A$1:$V$1,0)-1,1,1)=0,NA(),OFFSET(Fact5_predicmoderate!$A$1,MATCH($Y6,Fact5_predicmoderate!$A$2:$A$26,0),MATCH(AL$2,Fact5_predicmoderate!$A$1:$V$1,0)-1,1,1))</f>
        <v>13.476772308349609</v>
      </c>
      <c r="AM43" s="8">
        <f ca="1">IF(OFFSET(Fact5_predicmoderate!$A$1,MATCH($Y6,Fact5_predicmoderate!$A$2:$A$26,0),MATCH(AM$2,Fact5_predicmoderate!$A$1:$V$1,0)-1,1,1)=0,NA(),OFFSET(Fact5_predicmoderate!$A$1,MATCH($Y6,Fact5_predicmoderate!$A$2:$A$26,0),MATCH(AM$2,Fact5_predicmoderate!$A$1:$V$1,0)-1,1,1))</f>
        <v>12.48131275177002</v>
      </c>
      <c r="AN43" s="8">
        <f ca="1">IF(OFFSET(Fact5_predicmoderate!$A$1,MATCH($Y6,Fact5_predicmoderate!$A$2:$A$26,0),MATCH(AN$2,Fact5_predicmoderate!$A$1:$V$1,0)-1,1,1)=0,NA(),OFFSET(Fact5_predicmoderate!$A$1,MATCH($Y6,Fact5_predicmoderate!$A$2:$A$26,0),MATCH(AN$2,Fact5_predicmoderate!$A$1:$V$1,0)-1,1,1))</f>
        <v>13.498062133789063</v>
      </c>
      <c r="AO43" s="8">
        <f ca="1">IF(OFFSET(Fact5_predicmoderate!$A$1,MATCH($Y6,Fact5_predicmoderate!$A$2:$A$26,0),MATCH(AO$2,Fact5_predicmoderate!$A$1:$V$1,0)-1,1,1)=0,NA(),OFFSET(Fact5_predicmoderate!$A$1,MATCH($Y6,Fact5_predicmoderate!$A$2:$A$26,0),MATCH(AO$2,Fact5_predicmoderate!$A$1:$V$1,0)-1,1,1))</f>
        <v>12.490303993225098</v>
      </c>
      <c r="AP43" s="8">
        <f ca="1">IF(OFFSET(Fact5_predicmoderate!$A$1,MATCH($Y6,Fact5_predicmoderate!$A$2:$A$26,0),MATCH(AP$2,Fact5_predicmoderate!$A$1:$V$1,0)-1,1,1)=0,NA(),OFFSET(Fact5_predicmoderate!$A$1,MATCH($Y6,Fact5_predicmoderate!$A$2:$A$26,0),MATCH(AP$2,Fact5_predicmoderate!$A$1:$V$1,0)-1,1,1))</f>
        <v>11.756442070007324</v>
      </c>
      <c r="AQ43" s="8">
        <f ca="1">IF(OFFSET(Fact5_predicmoderate!$A$1,MATCH($Y6,Fact5_predicmoderate!$A$2:$A$26,0),MATCH(AQ$2,Fact5_predicmoderate!$A$1:$V$1,0)-1,1,1)=0,NA(),OFFSET(Fact5_predicmoderate!$A$1,MATCH($Y6,Fact5_predicmoderate!$A$2:$A$26,0),MATCH(AQ$2,Fact5_predicmoderate!$A$1:$V$1,0)-1,1,1))</f>
        <v>13.420627593994141</v>
      </c>
      <c r="AR43" s="8">
        <f ca="1">IF(OFFSET(Fact5_predicmoderate!$A$1,MATCH($Y6,Fact5_predicmoderate!$A$2:$A$26,0),MATCH(AR$2,Fact5_predicmoderate!$A$1:$V$1,0)-1,1,1)=0,NA(),OFFSET(Fact5_predicmoderate!$A$1,MATCH($Y6,Fact5_predicmoderate!$A$2:$A$26,0),MATCH(AR$2,Fact5_predicmoderate!$A$1:$V$1,0)-1,1,1))</f>
        <v>12.864875793457031</v>
      </c>
      <c r="AS43" s="8">
        <f ca="1">IF(OFFSET(Fact5_predicmoderate!$A$1,MATCH($Y6,Fact5_predicmoderate!$A$2:$A$26,0),MATCH(AS$2,Fact5_predicmoderate!$A$1:$V$1,0)-1,1,1)=0,NA(),OFFSET(Fact5_predicmoderate!$A$1,MATCH($Y6,Fact5_predicmoderate!$A$2:$A$26,0),MATCH(AS$2,Fact5_predicmoderate!$A$1:$V$1,0)-1,1,1))</f>
        <v>12.590672492980957</v>
      </c>
      <c r="AT43" s="88">
        <f ca="1">IF(OFFSET(Fact5_predicmoderate!$A$1,MATCH($Y6,Fact5_predicmoderate!$A$2:$A$26,0),MATCH(AT$2,Fact5_predicmoderate!$A$1:$V$1,0)-1,1,1)=0,NA(),OFFSET(Fact5_predicmoderate!$A$1,MATCH($Y6,Fact5_predicmoderate!$A$2:$A$26,0),MATCH(AT$2,Fact5_predicmoderate!$A$1:$V$1,0)-1,1,1))</f>
        <v>12.32231330871582</v>
      </c>
      <c r="AW43" s="7532">
        <f t="shared" ref="AW43:AW50" ca="1" si="56">AT43/Z43-1</f>
        <v>-0.41774963699708745</v>
      </c>
      <c r="AX43" s="7532">
        <f t="shared" ref="AX43:AX59" ca="1" si="57">AQ43/AP43-1</f>
        <v>0.1415552013165986</v>
      </c>
      <c r="AY43" s="7532">
        <f t="shared" ref="AY43:AY59" ca="1" si="58">AR43/AP43-1</f>
        <v>9.4283093205342228E-2</v>
      </c>
      <c r="AZ43" s="7535"/>
      <c r="BA43" s="7532">
        <f t="shared" ref="BA43:BA59" ca="1" si="59">IFERROR(AA43/Z43-1,"")</f>
        <v>2.8490737939340427E-2</v>
      </c>
      <c r="BB43" s="7532">
        <f t="shared" ref="BB43:BB59" ca="1" si="60">IFERROR(AB43/AA43-1,"")</f>
        <v>2.7701589342366439E-2</v>
      </c>
      <c r="BC43" s="7532">
        <f t="shared" ref="BC43:BC59" ca="1" si="61">IFERROR(AC43/AB43-1,"")</f>
        <v>-0.13469236745780655</v>
      </c>
      <c r="BD43" s="7532">
        <f t="shared" ref="BD43:BD59" ca="1" si="62">IFERROR(AD43/AC43-1,"")</f>
        <v>0.10840076462587422</v>
      </c>
      <c r="BE43" s="7532">
        <f t="shared" ref="BE43:BE59" ca="1" si="63">IFERROR(AE43/AD43-1,"")</f>
        <v>-0.18313120365580349</v>
      </c>
      <c r="BF43" s="7532">
        <f t="shared" ref="BF43:BF59" ca="1" si="64">IFERROR(AF43/AE43-1,"")</f>
        <v>-0.12465800595555854</v>
      </c>
      <c r="BG43" s="7532">
        <f t="shared" ref="BG43:BG59" ca="1" si="65">IFERROR(AG43/AF43-1,"")</f>
        <v>-3.7713550237477134E-2</v>
      </c>
      <c r="BH43" s="7532">
        <f t="shared" ref="BH43:BH59" ca="1" si="66">IFERROR(AH43/AG43-1,"")</f>
        <v>-3.9191540191390928E-2</v>
      </c>
      <c r="BI43" s="7532">
        <f t="shared" ref="BI43:BI59" ca="1" si="67">IFERROR(AI43/AH43-1,"")</f>
        <v>-2.9408474023328135E-2</v>
      </c>
      <c r="BJ43" s="7532">
        <f t="shared" ref="BJ43:BJ59" ca="1" si="68">IFERROR(AJ43/AI43-1,"")</f>
        <v>-4.9894944812254982E-2</v>
      </c>
      <c r="BK43" s="7532">
        <f t="shared" ref="BK43:BK59" ca="1" si="69">IFERROR(AK43/AJ43-1,"")</f>
        <v>-8.306300324833582E-2</v>
      </c>
      <c r="BL43" s="7532">
        <f t="shared" ref="BL43:BL59" ca="1" si="70">IFERROR(AL43/AK43-1,"")</f>
        <v>0.12369841406662241</v>
      </c>
      <c r="BM43" s="7532">
        <f t="shared" ref="BM43:BM59" ca="1" si="71">IFERROR(AM43/AL43-1,"")</f>
        <v>-7.386483453184467E-2</v>
      </c>
      <c r="BN43" s="7532">
        <f t="shared" ref="BN43:BN59" ca="1" si="72">IFERROR(AN43/AM43-1,"")</f>
        <v>8.1461734213402748E-2</v>
      </c>
      <c r="BO43" s="7532">
        <f t="shared" ref="BO43:BO59" ca="1" si="73">IFERROR(AO43/AN43-1,"")</f>
        <v>-7.4659468194422596E-2</v>
      </c>
      <c r="BP43" s="7532">
        <f t="shared" ref="BP43:BP59" ca="1" si="74">IFERROR(AP43/AO43-1,"")</f>
        <v>-5.8754528602012357E-2</v>
      </c>
      <c r="BQ43" s="7532">
        <f t="shared" ref="BQ43:BQ59" ca="1" si="75">IFERROR(AQ43/AP43-1,"")</f>
        <v>0.1415552013165986</v>
      </c>
      <c r="BR43" s="7532">
        <f t="shared" ref="BR43:BR59" ca="1" si="76">IFERROR(AR43/AQ43-1,"")</f>
        <v>-4.1410269128234645E-2</v>
      </c>
      <c r="BS43" s="7532">
        <f t="shared" ref="BS43:BS59" ca="1" si="77">IFERROR(AS43/AR43-1,"")</f>
        <v>-2.1314103989681144E-2</v>
      </c>
      <c r="BT43" s="7532">
        <f t="shared" ref="BT43:BT59" ca="1" si="78">IFERROR(AT43/AS43-1,"")</f>
        <v>-2.1314126343508821E-2</v>
      </c>
      <c r="BV43" s="8"/>
    </row>
    <row r="44" spans="2:74">
      <c r="B44" s="99" t="s">
        <v>17</v>
      </c>
      <c r="C44">
        <f>IF(Fact5_predicmoderate!B4&gt;0,VLOOKUP(Fact5!$B44,Fact5_predicmoderate!$A$1:$W$19,23,0),"")</f>
        <v>216422446</v>
      </c>
      <c r="D44">
        <f>IF(Fact5_predicmoderate!C4&gt;0,VLOOKUP(Fact5!$B44,Fact5_predicmoderate!$A$1:$W$19,23,0),"")</f>
        <v>216422446</v>
      </c>
      <c r="E44">
        <f>IF(Fact5_predicmoderate!D4&gt;0,VLOOKUP(Fact5!$B44,Fact5_predicmoderate!$A$1:$W$19,23,0),"")</f>
        <v>216422446</v>
      </c>
      <c r="F44">
        <f>IF(Fact5_predicmoderate!E4&gt;0,VLOOKUP(Fact5!$B44,Fact5_predicmoderate!$A$1:$W$19,23,0),"")</f>
        <v>216422446</v>
      </c>
      <c r="G44">
        <f>IF(Fact5_predicmoderate!F4&gt;0,VLOOKUP(Fact5!$B44,Fact5_predicmoderate!$A$1:$W$19,23,0),"")</f>
        <v>216422446</v>
      </c>
      <c r="H44">
        <f>IF(Fact5_predicmoderate!G4&gt;0,VLOOKUP(Fact5!$B44,Fact5_predicmoderate!$A$1:$W$19,23,0),"")</f>
        <v>216422446</v>
      </c>
      <c r="I44">
        <f>IF(Fact5_predicmoderate!H4&gt;0,VLOOKUP(Fact5!$B44,Fact5_predicmoderate!$A$1:$W$19,23,0),"")</f>
        <v>216422446</v>
      </c>
      <c r="J44">
        <f>IF(Fact5_predicmoderate!I4&gt;0,VLOOKUP(Fact5!$B44,Fact5_predicmoderate!$A$1:$W$19,23,0),"")</f>
        <v>216422446</v>
      </c>
      <c r="K44">
        <f>IF(Fact5_predicmoderate!J4&gt;0,VLOOKUP(Fact5!$B44,Fact5_predicmoderate!$A$1:$W$19,23,0),"")</f>
        <v>216422446</v>
      </c>
      <c r="L44">
        <f>IF(Fact5_predicmoderate!K4&gt;0,VLOOKUP(Fact5!$B44,Fact5_predicmoderate!$A$1:$W$19,23,0),"")</f>
        <v>216422446</v>
      </c>
      <c r="M44">
        <f>IF(Fact5_predicmoderate!L4&gt;0,VLOOKUP(Fact5!$B44,Fact5_predicmoderate!$A$1:$W$19,23,0),"")</f>
        <v>216422446</v>
      </c>
      <c r="N44">
        <f>IF(Fact5_predicmoderate!M4&gt;0,VLOOKUP(Fact5!$B44,Fact5_predicmoderate!$A$1:$W$19,23,0),"")</f>
        <v>216422446</v>
      </c>
      <c r="O44">
        <f>IF(Fact5_predicmoderate!N4&gt;0,VLOOKUP(Fact5!$B44,Fact5_predicmoderate!$A$1:$W$19,23,0),"")</f>
        <v>216422446</v>
      </c>
      <c r="P44">
        <f>IF(Fact5_predicmoderate!O4&gt;0,VLOOKUP(Fact5!$B44,Fact5_predicmoderate!$A$1:$W$19,23,0),"")</f>
        <v>216422446</v>
      </c>
      <c r="Q44">
        <f>IF(Fact5_predicmoderate!P4&gt;0,VLOOKUP(Fact5!$B44,Fact5_predicmoderate!$A$1:$W$19,23,0),"")</f>
        <v>216422446</v>
      </c>
      <c r="R44">
        <f>IF(Fact5_predicmoderate!Q4&gt;0,VLOOKUP(Fact5!$B44,Fact5_predicmoderate!$A$1:$W$19,23,0),"")</f>
        <v>216422446</v>
      </c>
      <c r="S44">
        <f>IF(Fact5_predicmoderate!R4&gt;0,VLOOKUP(Fact5!$B44,Fact5_predicmoderate!$A$1:$W$19,23,0),"")</f>
        <v>216422446</v>
      </c>
      <c r="T44">
        <f>IF(Fact5_predicmoderate!S4&gt;0,VLOOKUP(Fact5!$B44,Fact5_predicmoderate!$A$1:$W$19,23,0),"")</f>
        <v>216422446</v>
      </c>
      <c r="U44">
        <f>IF(Fact5_predicmoderate!T4&gt;0,VLOOKUP(Fact5!$B44,Fact5_predicmoderate!$A$1:$W$19,23,0),"")</f>
        <v>216422446</v>
      </c>
      <c r="V44">
        <f>IF(Fact5_predicmoderate!U4&gt;0,VLOOKUP(Fact5!$B44,Fact5_predicmoderate!$A$1:$W$19,23,0),"")</f>
        <v>216422446</v>
      </c>
      <c r="W44">
        <f>IF(Fact5_predicmoderate!V4&gt;0,VLOOKUP(Fact5!$B44,Fact5_predicmoderate!$A$1:$W$19,23,0),"")</f>
        <v>216422446</v>
      </c>
      <c r="Y44" s="2563" t="s">
        <v>17</v>
      </c>
      <c r="Z44" s="8">
        <f ca="1">IF(OFFSET(Fact5_predicmoderate!$A$1,MATCH($Y7,Fact5_predicmoderate!$A$2:$A$26,0),MATCH(Z$2,Fact5_predicmoderate!$A$1:$V$1,0)-1,1,1)=0,NA(),OFFSET(Fact5_predicmoderate!$A$1,MATCH($Y7,Fact5_predicmoderate!$A$2:$A$26,0),MATCH(Z$2,Fact5_predicmoderate!$A$1:$V$1,0)-1,1,1))</f>
        <v>24.187110900878906</v>
      </c>
      <c r="AA44" s="8">
        <f ca="1">IF(OFFSET(Fact5_predicmoderate!$A$1,MATCH($Y7,Fact5_predicmoderate!$A$2:$A$26,0),MATCH(AA$2,Fact5_predicmoderate!$A$1:$V$1,0)-1,1,1)=0,NA(),OFFSET(Fact5_predicmoderate!$A$1,MATCH($Y7,Fact5_predicmoderate!$A$2:$A$26,0),MATCH(AA$2,Fact5_predicmoderate!$A$1:$V$1,0)-1,1,1))</f>
        <v>24.079402923583984</v>
      </c>
      <c r="AB44" s="8">
        <f ca="1">IF(OFFSET(Fact5_predicmoderate!$A$1,MATCH($Y7,Fact5_predicmoderate!$A$2:$A$26,0),MATCH(AB$2,Fact5_predicmoderate!$A$1:$V$1,0)-1,1,1)=0,NA(),OFFSET(Fact5_predicmoderate!$A$1,MATCH($Y7,Fact5_predicmoderate!$A$2:$A$26,0),MATCH(AB$2,Fact5_predicmoderate!$A$1:$V$1,0)-1,1,1))</f>
        <v>24.315074920654297</v>
      </c>
      <c r="AC44" s="8">
        <f ca="1">IF(OFFSET(Fact5_predicmoderate!$A$1,MATCH($Y7,Fact5_predicmoderate!$A$2:$A$26,0),MATCH(AC$2,Fact5_predicmoderate!$A$1:$V$1,0)-1,1,1)=0,NA(),OFFSET(Fact5_predicmoderate!$A$1,MATCH($Y7,Fact5_predicmoderate!$A$2:$A$26,0),MATCH(AC$2,Fact5_predicmoderate!$A$1:$V$1,0)-1,1,1))</f>
        <v>23.410049438476563</v>
      </c>
      <c r="AD44" s="8">
        <f ca="1">IF(OFFSET(Fact5_predicmoderate!$A$1,MATCH($Y7,Fact5_predicmoderate!$A$2:$A$26,0),MATCH(AD$2,Fact5_predicmoderate!$A$1:$V$1,0)-1,1,1)=0,NA(),OFFSET(Fact5_predicmoderate!$A$1,MATCH($Y7,Fact5_predicmoderate!$A$2:$A$26,0),MATCH(AD$2,Fact5_predicmoderate!$A$1:$V$1,0)-1,1,1))</f>
        <v>22.861953735351563</v>
      </c>
      <c r="AE44" s="8">
        <f ca="1">IF(OFFSET(Fact5_predicmoderate!$A$1,MATCH($Y7,Fact5_predicmoderate!$A$2:$A$26,0),MATCH(AE$2,Fact5_predicmoderate!$A$1:$V$1,0)-1,1,1)=0,NA(),OFFSET(Fact5_predicmoderate!$A$1,MATCH($Y7,Fact5_predicmoderate!$A$2:$A$26,0),MATCH(AE$2,Fact5_predicmoderate!$A$1:$V$1,0)-1,1,1))</f>
        <v>22.044076919555664</v>
      </c>
      <c r="AF44" s="8">
        <f ca="1">IF(OFFSET(Fact5_predicmoderate!$A$1,MATCH($Y7,Fact5_predicmoderate!$A$2:$A$26,0),MATCH(AF$2,Fact5_predicmoderate!$A$1:$V$1,0)-1,1,1)=0,NA(),OFFSET(Fact5_predicmoderate!$A$1,MATCH($Y7,Fact5_predicmoderate!$A$2:$A$26,0),MATCH(AF$2,Fact5_predicmoderate!$A$1:$V$1,0)-1,1,1))</f>
        <v>21.250957489013672</v>
      </c>
      <c r="AG44" s="88">
        <f ca="1">IF(OFFSET(Fact5_predicmoderate!$A$1,MATCH($Y7,Fact5_predicmoderate!$A$2:$A$26,0),MATCH(AG$2,Fact5_predicmoderate!$A$1:$V$1,0)-1,1,1)=0,NA(),OFFSET(Fact5_predicmoderate!$A$1,MATCH($Y7,Fact5_predicmoderate!$A$2:$A$26,0),MATCH(AG$2,Fact5_predicmoderate!$A$1:$V$1,0)-1,1,1))</f>
        <v>21.153415679931641</v>
      </c>
      <c r="AH44" s="8">
        <f ca="1">IF(OFFSET(Fact5_predicmoderate!$A$1,MATCH($Y7,Fact5_predicmoderate!$A$2:$A$26,0),MATCH(AH$2,Fact5_predicmoderate!$A$1:$V$1,0)-1,1,1)=0,NA(),OFFSET(Fact5_predicmoderate!$A$1,MATCH($Y7,Fact5_predicmoderate!$A$2:$A$26,0),MATCH(AH$2,Fact5_predicmoderate!$A$1:$V$1,0)-1,1,1))</f>
        <v>21.055873870849609</v>
      </c>
      <c r="AI44" s="8">
        <f ca="1">IF(OFFSET(Fact5_predicmoderate!$A$1,MATCH($Y7,Fact5_predicmoderate!$A$2:$A$26,0),MATCH(AI$2,Fact5_predicmoderate!$A$1:$V$1,0)-1,1,1)=0,NA(),OFFSET(Fact5_predicmoderate!$A$1,MATCH($Y7,Fact5_predicmoderate!$A$2:$A$26,0),MATCH(AI$2,Fact5_predicmoderate!$A$1:$V$1,0)-1,1,1))</f>
        <v>19.916238784790039</v>
      </c>
      <c r="AJ44" s="8">
        <f ca="1">IF(OFFSET(Fact5_predicmoderate!$A$1,MATCH($Y7,Fact5_predicmoderate!$A$2:$A$26,0),MATCH(AJ$2,Fact5_predicmoderate!$A$1:$V$1,0)-1,1,1)=0,NA(),OFFSET(Fact5_predicmoderate!$A$1,MATCH($Y7,Fact5_predicmoderate!$A$2:$A$26,0),MATCH(AJ$2,Fact5_predicmoderate!$A$1:$V$1,0)-1,1,1))</f>
        <v>18.982109069824219</v>
      </c>
      <c r="AK44" s="8">
        <f ca="1">IF(OFFSET(Fact5_predicmoderate!$A$1,MATCH($Y7,Fact5_predicmoderate!$A$2:$A$26,0),MATCH(AK$2,Fact5_predicmoderate!$A$1:$V$1,0)-1,1,1)=0,NA(),OFFSET(Fact5_predicmoderate!$A$1,MATCH($Y7,Fact5_predicmoderate!$A$2:$A$26,0),MATCH(AK$2,Fact5_predicmoderate!$A$1:$V$1,0)-1,1,1))</f>
        <v>19.039138793945313</v>
      </c>
      <c r="AL44" s="8">
        <f ca="1">IF(OFFSET(Fact5_predicmoderate!$A$1,MATCH($Y7,Fact5_predicmoderate!$A$2:$A$26,0),MATCH(AL$2,Fact5_predicmoderate!$A$1:$V$1,0)-1,1,1)=0,NA(),OFFSET(Fact5_predicmoderate!$A$1,MATCH($Y7,Fact5_predicmoderate!$A$2:$A$26,0),MATCH(AL$2,Fact5_predicmoderate!$A$1:$V$1,0)-1,1,1))</f>
        <v>19.293371200561523</v>
      </c>
      <c r="AM44" s="8">
        <f ca="1">IF(OFFSET(Fact5_predicmoderate!$A$1,MATCH($Y7,Fact5_predicmoderate!$A$2:$A$26,0),MATCH(AM$2,Fact5_predicmoderate!$A$1:$V$1,0)-1,1,1)=0,NA(),OFFSET(Fact5_predicmoderate!$A$1,MATCH($Y7,Fact5_predicmoderate!$A$2:$A$26,0),MATCH(AM$2,Fact5_predicmoderate!$A$1:$V$1,0)-1,1,1))</f>
        <v>18.592309951782227</v>
      </c>
      <c r="AN44" s="8">
        <f ca="1">IF(OFFSET(Fact5_predicmoderate!$A$1,MATCH($Y7,Fact5_predicmoderate!$A$2:$A$26,0),MATCH(AN$2,Fact5_predicmoderate!$A$1:$V$1,0)-1,1,1)=0,NA(),OFFSET(Fact5_predicmoderate!$A$1,MATCH($Y7,Fact5_predicmoderate!$A$2:$A$26,0),MATCH(AN$2,Fact5_predicmoderate!$A$1:$V$1,0)-1,1,1))</f>
        <v>18.510141372680664</v>
      </c>
      <c r="AO44" s="8">
        <f ca="1">IF(OFFSET(Fact5_predicmoderate!$A$1,MATCH($Y7,Fact5_predicmoderate!$A$2:$A$26,0),MATCH(AO$2,Fact5_predicmoderate!$A$1:$V$1,0)-1,1,1)=0,NA(),OFFSET(Fact5_predicmoderate!$A$1,MATCH($Y7,Fact5_predicmoderate!$A$2:$A$26,0),MATCH(AO$2,Fact5_predicmoderate!$A$1:$V$1,0)-1,1,1))</f>
        <v>19.342800140380859</v>
      </c>
      <c r="AP44" s="8">
        <f ca="1">IF(OFFSET(Fact5_predicmoderate!$A$1,MATCH($Y7,Fact5_predicmoderate!$A$2:$A$26,0),MATCH(AP$2,Fact5_predicmoderate!$A$1:$V$1,0)-1,1,1)=0,NA(),OFFSET(Fact5_predicmoderate!$A$1,MATCH($Y7,Fact5_predicmoderate!$A$2:$A$26,0),MATCH(AP$2,Fact5_predicmoderate!$A$1:$V$1,0)-1,1,1))</f>
        <v>17.71306037902832</v>
      </c>
      <c r="AQ44" s="8">
        <f ca="1">IF(OFFSET(Fact5_predicmoderate!$A$1,MATCH($Y7,Fact5_predicmoderate!$A$2:$A$26,0),MATCH(AQ$2,Fact5_predicmoderate!$A$1:$V$1,0)-1,1,1)=0,NA(),OFFSET(Fact5_predicmoderate!$A$1,MATCH($Y7,Fact5_predicmoderate!$A$2:$A$26,0),MATCH(AQ$2,Fact5_predicmoderate!$A$1:$V$1,0)-1,1,1))</f>
        <v>20.028976440429688</v>
      </c>
      <c r="AR44" s="8">
        <f ca="1">IF(OFFSET(Fact5_predicmoderate!$A$1,MATCH($Y7,Fact5_predicmoderate!$A$2:$A$26,0),MATCH(AR$2,Fact5_predicmoderate!$A$1:$V$1,0)-1,1,1)=0,NA(),OFFSET(Fact5_predicmoderate!$A$1,MATCH($Y7,Fact5_predicmoderate!$A$2:$A$26,0),MATCH(AR$2,Fact5_predicmoderate!$A$1:$V$1,0)-1,1,1))</f>
        <v>19.643621444702148</v>
      </c>
      <c r="AS44" s="8">
        <f ca="1">IF(OFFSET(Fact5_predicmoderate!$A$1,MATCH($Y7,Fact5_predicmoderate!$A$2:$A$26,0),MATCH(AS$2,Fact5_predicmoderate!$A$1:$V$1,0)-1,1,1)=0,NA(),OFFSET(Fact5_predicmoderate!$A$1,MATCH($Y7,Fact5_predicmoderate!$A$2:$A$26,0),MATCH(AS$2,Fact5_predicmoderate!$A$1:$V$1,0)-1,1,1))</f>
        <v>18.57042121887207</v>
      </c>
      <c r="AT44" s="88">
        <f ca="1">IF(OFFSET(Fact5_predicmoderate!$A$1,MATCH($Y7,Fact5_predicmoderate!$A$2:$A$26,0),MATCH(AT$2,Fact5_predicmoderate!$A$1:$V$1,0)-1,1,1)=0,NA(),OFFSET(Fact5_predicmoderate!$A$1,MATCH($Y7,Fact5_predicmoderate!$A$2:$A$26,0),MATCH(AT$2,Fact5_predicmoderate!$A$1:$V$1,0)-1,1,1))</f>
        <v>17.555852890014648</v>
      </c>
      <c r="AW44" s="7531">
        <f t="shared" ca="1" si="56"/>
        <v>-0.27416494834954808</v>
      </c>
      <c r="AX44" s="7532">
        <f t="shared" ca="1" si="57"/>
        <v>0.13074624101340127</v>
      </c>
      <c r="AY44" s="7532">
        <f t="shared" ca="1" si="58"/>
        <v>0.10899082509533753</v>
      </c>
      <c r="AZ44" s="7535"/>
      <c r="BA44" s="7532">
        <f t="shared" ca="1" si="59"/>
        <v>-4.453114625236565E-3</v>
      </c>
      <c r="BB44" s="7532">
        <f t="shared" ca="1" si="60"/>
        <v>9.7872857486631659E-3</v>
      </c>
      <c r="BC44" s="7532">
        <f t="shared" ca="1" si="61"/>
        <v>-3.7220756470257244E-2</v>
      </c>
      <c r="BD44" s="7532">
        <f t="shared" ca="1" si="62"/>
        <v>-2.3412838343867537E-2</v>
      </c>
      <c r="BE44" s="7532">
        <f t="shared" ca="1" si="63"/>
        <v>-3.5774581003162997E-2</v>
      </c>
      <c r="BF44" s="7532">
        <f t="shared" ca="1" si="64"/>
        <v>-3.5978799812588336E-2</v>
      </c>
      <c r="BG44" s="7532">
        <f t="shared" ca="1" si="65"/>
        <v>-4.5899959628857845E-3</v>
      </c>
      <c r="BH44" s="7532">
        <f t="shared" ca="1" si="66"/>
        <v>-4.6111611740590197E-3</v>
      </c>
      <c r="BI44" s="7532">
        <f t="shared" ca="1" si="67"/>
        <v>-5.4124330961030087E-2</v>
      </c>
      <c r="BJ44" s="7532">
        <f t="shared" ca="1" si="68"/>
        <v>-4.6902918018798423E-2</v>
      </c>
      <c r="BK44" s="7532">
        <f t="shared" ca="1" si="69"/>
        <v>3.004393448131415E-3</v>
      </c>
      <c r="BL44" s="7532">
        <f t="shared" ca="1" si="70"/>
        <v>1.3353146345939759E-2</v>
      </c>
      <c r="BM44" s="7532">
        <f t="shared" ca="1" si="71"/>
        <v>-3.6336897346322394E-2</v>
      </c>
      <c r="BN44" s="7532">
        <f t="shared" ca="1" si="72"/>
        <v>-4.4194927534373374E-3</v>
      </c>
      <c r="BO44" s="7532">
        <f t="shared" ca="1" si="73"/>
        <v>4.4983922647350738E-2</v>
      </c>
      <c r="BP44" s="7532">
        <f t="shared" ca="1" si="74"/>
        <v>-8.42556273923456E-2</v>
      </c>
      <c r="BQ44" s="7532">
        <f t="shared" ca="1" si="75"/>
        <v>0.13074624101340127</v>
      </c>
      <c r="BR44" s="7532">
        <f t="shared" ca="1" si="76"/>
        <v>-1.9239874632319021E-2</v>
      </c>
      <c r="BS44" s="7532">
        <f t="shared" ca="1" si="77"/>
        <v>-5.4633522074898133E-2</v>
      </c>
      <c r="BT44" s="7532">
        <f t="shared" ca="1" si="78"/>
        <v>-5.4633565760284108E-2</v>
      </c>
      <c r="BV44" s="8"/>
    </row>
    <row r="45" spans="2:74">
      <c r="B45" s="99" t="s">
        <v>21</v>
      </c>
      <c r="C45">
        <f>IF(Fact5_predicmoderate!B5&gt;0,VLOOKUP(Fact5!$B45,Fact5_predicmoderate!$A$1:$W$19,23,0),"")</f>
        <v>19629590</v>
      </c>
      <c r="D45">
        <f>IF(Fact5_predicmoderate!C5&gt;0,VLOOKUP(Fact5!$B45,Fact5_predicmoderate!$A$1:$W$19,23,0),"")</f>
        <v>19629590</v>
      </c>
      <c r="E45">
        <f>IF(Fact5_predicmoderate!D5&gt;0,VLOOKUP(Fact5!$B45,Fact5_predicmoderate!$A$1:$W$19,23,0),"")</f>
        <v>19629590</v>
      </c>
      <c r="F45">
        <f>IF(Fact5_predicmoderate!E5&gt;0,VLOOKUP(Fact5!$B45,Fact5_predicmoderate!$A$1:$W$19,23,0),"")</f>
        <v>19629590</v>
      </c>
      <c r="G45">
        <f>IF(Fact5_predicmoderate!F5&gt;0,VLOOKUP(Fact5!$B45,Fact5_predicmoderate!$A$1:$W$19,23,0),"")</f>
        <v>19629590</v>
      </c>
      <c r="H45">
        <f>IF(Fact5_predicmoderate!G5&gt;0,VLOOKUP(Fact5!$B45,Fact5_predicmoderate!$A$1:$W$19,23,0),"")</f>
        <v>19629590</v>
      </c>
      <c r="I45">
        <f>IF(Fact5_predicmoderate!H5&gt;0,VLOOKUP(Fact5!$B45,Fact5_predicmoderate!$A$1:$W$19,23,0),"")</f>
        <v>19629590</v>
      </c>
      <c r="J45">
        <f>IF(Fact5_predicmoderate!I5&gt;0,VLOOKUP(Fact5!$B45,Fact5_predicmoderate!$A$1:$W$19,23,0),"")</f>
        <v>19629590</v>
      </c>
      <c r="K45">
        <f>IF(Fact5_predicmoderate!J5&gt;0,VLOOKUP(Fact5!$B45,Fact5_predicmoderate!$A$1:$W$19,23,0),"")</f>
        <v>19629590</v>
      </c>
      <c r="L45">
        <f>IF(Fact5_predicmoderate!K5&gt;0,VLOOKUP(Fact5!$B45,Fact5_predicmoderate!$A$1:$W$19,23,0),"")</f>
        <v>19629590</v>
      </c>
      <c r="M45">
        <f>IF(Fact5_predicmoderate!L5&gt;0,VLOOKUP(Fact5!$B45,Fact5_predicmoderate!$A$1:$W$19,23,0),"")</f>
        <v>19629590</v>
      </c>
      <c r="N45">
        <f>IF(Fact5_predicmoderate!M5&gt;0,VLOOKUP(Fact5!$B45,Fact5_predicmoderate!$A$1:$W$19,23,0),"")</f>
        <v>19629590</v>
      </c>
      <c r="O45">
        <f>IF(Fact5_predicmoderate!N5&gt;0,VLOOKUP(Fact5!$B45,Fact5_predicmoderate!$A$1:$W$19,23,0),"")</f>
        <v>19629590</v>
      </c>
      <c r="P45">
        <f>IF(Fact5_predicmoderate!O5&gt;0,VLOOKUP(Fact5!$B45,Fact5_predicmoderate!$A$1:$W$19,23,0),"")</f>
        <v>19629590</v>
      </c>
      <c r="Q45">
        <f>IF(Fact5_predicmoderate!P5&gt;0,VLOOKUP(Fact5!$B45,Fact5_predicmoderate!$A$1:$W$19,23,0),"")</f>
        <v>19629590</v>
      </c>
      <c r="R45">
        <f>IF(Fact5_predicmoderate!Q5&gt;0,VLOOKUP(Fact5!$B45,Fact5_predicmoderate!$A$1:$W$19,23,0),"")</f>
        <v>19629590</v>
      </c>
      <c r="S45">
        <f>IF(Fact5_predicmoderate!R5&gt;0,VLOOKUP(Fact5!$B45,Fact5_predicmoderate!$A$1:$W$19,23,0),"")</f>
        <v>19629590</v>
      </c>
      <c r="T45">
        <f>IF(Fact5_predicmoderate!S5&gt;0,VLOOKUP(Fact5!$B45,Fact5_predicmoderate!$A$1:$W$19,23,0),"")</f>
        <v>19629590</v>
      </c>
      <c r="U45">
        <f>IF(Fact5_predicmoderate!T5&gt;0,VLOOKUP(Fact5!$B45,Fact5_predicmoderate!$A$1:$W$19,23,0),"")</f>
        <v>19629590</v>
      </c>
      <c r="V45">
        <f>IF(Fact5_predicmoderate!U5&gt;0,VLOOKUP(Fact5!$B45,Fact5_predicmoderate!$A$1:$W$19,23,0),"")</f>
        <v>19629590</v>
      </c>
      <c r="W45">
        <f>IF(Fact5_predicmoderate!V5&gt;0,VLOOKUP(Fact5!$B45,Fact5_predicmoderate!$A$1:$W$19,23,0),"")</f>
        <v>19629590</v>
      </c>
      <c r="Y45" s="2563" t="s">
        <v>21</v>
      </c>
      <c r="Z45" s="8">
        <f ca="1">IF(OFFSET(Fact5_predicmoderate!$A$1,MATCH($Y8,Fact5_predicmoderate!$A$2:$A$26,0),MATCH(Z$2,Fact5_predicmoderate!$A$1:$V$1,0)-1,1,1)=0,NA(),OFFSET(Fact5_predicmoderate!$A$1,MATCH($Y8,Fact5_predicmoderate!$A$2:$A$26,0),MATCH(Z$2,Fact5_predicmoderate!$A$1:$V$1,0)-1,1,1))</f>
        <v>24.52642822265625</v>
      </c>
      <c r="AA45" s="88">
        <f ca="1">IF(OFFSET(Fact5_predicmoderate!$A$1,MATCH($Y8,Fact5_predicmoderate!$A$2:$A$26,0),MATCH(AA$2,Fact5_predicmoderate!$A$1:$V$1,0)-1,1,1)=0,NA(),OFFSET(Fact5_predicmoderate!$A$1,MATCH($Y8,Fact5_predicmoderate!$A$2:$A$26,0),MATCH(AA$2,Fact5_predicmoderate!$A$1:$V$1,0)-1,1,1))</f>
        <v>23.737665176391602</v>
      </c>
      <c r="AB45" s="88">
        <f ca="1">IF(OFFSET(Fact5_predicmoderate!$A$1,MATCH($Y8,Fact5_predicmoderate!$A$2:$A$26,0),MATCH(AB$2,Fact5_predicmoderate!$A$1:$V$1,0)-1,1,1)=0,NA(),OFFSET(Fact5_predicmoderate!$A$1,MATCH($Y8,Fact5_predicmoderate!$A$2:$A$26,0),MATCH(AB$2,Fact5_predicmoderate!$A$1:$V$1,0)-1,1,1))</f>
        <v>22.974269866943359</v>
      </c>
      <c r="AC45" s="8">
        <f ca="1">IF(OFFSET(Fact5_predicmoderate!$A$1,MATCH($Y8,Fact5_predicmoderate!$A$2:$A$26,0),MATCH(AC$2,Fact5_predicmoderate!$A$1:$V$1,0)-1,1,1)=0,NA(),OFFSET(Fact5_predicmoderate!$A$1,MATCH($Y8,Fact5_predicmoderate!$A$2:$A$26,0),MATCH(AC$2,Fact5_predicmoderate!$A$1:$V$1,0)-1,1,1))</f>
        <v>22.235424041748047</v>
      </c>
      <c r="AD45" s="88">
        <f ca="1">IF(OFFSET(Fact5_predicmoderate!$A$1,MATCH($Y8,Fact5_predicmoderate!$A$2:$A$26,0),MATCH(AD$2,Fact5_predicmoderate!$A$1:$V$1,0)-1,1,1)=0,NA(),OFFSET(Fact5_predicmoderate!$A$1,MATCH($Y8,Fact5_predicmoderate!$A$2:$A$26,0),MATCH(AD$2,Fact5_predicmoderate!$A$1:$V$1,0)-1,1,1))</f>
        <v>21.048152923583984</v>
      </c>
      <c r="AE45" s="88">
        <f ca="1">IF(OFFSET(Fact5_predicmoderate!$A$1,MATCH($Y8,Fact5_predicmoderate!$A$2:$A$26,0),MATCH(AE$2,Fact5_predicmoderate!$A$1:$V$1,0)-1,1,1)=0,NA(),OFFSET(Fact5_predicmoderate!$A$1,MATCH($Y8,Fact5_predicmoderate!$A$2:$A$26,0),MATCH(AE$2,Fact5_predicmoderate!$A$1:$V$1,0)-1,1,1))</f>
        <v>19.924278259277344</v>
      </c>
      <c r="AF45" s="8">
        <f ca="1">IF(OFFSET(Fact5_predicmoderate!$A$1,MATCH($Y8,Fact5_predicmoderate!$A$2:$A$26,0),MATCH(AF$2,Fact5_predicmoderate!$A$1:$V$1,0)-1,1,1)=0,NA(),OFFSET(Fact5_predicmoderate!$A$1,MATCH($Y8,Fact5_predicmoderate!$A$2:$A$26,0),MATCH(AF$2,Fact5_predicmoderate!$A$1:$V$1,0)-1,1,1))</f>
        <v>18.86041259765625</v>
      </c>
      <c r="AG45" s="88">
        <f ca="1">IF(OFFSET(Fact5_predicmoderate!$A$1,MATCH($Y8,Fact5_predicmoderate!$A$2:$A$26,0),MATCH(AG$2,Fact5_predicmoderate!$A$1:$V$1,0)-1,1,1)=0,NA(),OFFSET(Fact5_predicmoderate!$A$1,MATCH($Y8,Fact5_predicmoderate!$A$2:$A$26,0),MATCH(AG$2,Fact5_predicmoderate!$A$1:$V$1,0)-1,1,1))</f>
        <v>18.058792114257813</v>
      </c>
      <c r="AH45" s="8">
        <f ca="1">IF(OFFSET(Fact5_predicmoderate!$A$1,MATCH($Y8,Fact5_predicmoderate!$A$2:$A$26,0),MATCH(AH$2,Fact5_predicmoderate!$A$1:$V$1,0)-1,1,1)=0,NA(),OFFSET(Fact5_predicmoderate!$A$1,MATCH($Y8,Fact5_predicmoderate!$A$2:$A$26,0),MATCH(AH$2,Fact5_predicmoderate!$A$1:$V$1,0)-1,1,1))</f>
        <v>17.257173538208008</v>
      </c>
      <c r="AI45" s="88">
        <f ca="1">IF(OFFSET(Fact5_predicmoderate!$A$1,MATCH($Y8,Fact5_predicmoderate!$A$2:$A$26,0),MATCH(AI$2,Fact5_predicmoderate!$A$1:$V$1,0)-1,1,1)=0,NA(),OFFSET(Fact5_predicmoderate!$A$1,MATCH($Y8,Fact5_predicmoderate!$A$2:$A$26,0),MATCH(AI$2,Fact5_predicmoderate!$A$1:$V$1,0)-1,1,1))</f>
        <v>15.269649505615234</v>
      </c>
      <c r="AJ45" s="8">
        <f ca="1">IF(OFFSET(Fact5_predicmoderate!$A$1,MATCH($Y8,Fact5_predicmoderate!$A$2:$A$26,0),MATCH(AJ$2,Fact5_predicmoderate!$A$1:$V$1,0)-1,1,1)=0,NA(),OFFSET(Fact5_predicmoderate!$A$1,MATCH($Y8,Fact5_predicmoderate!$A$2:$A$26,0),MATCH(AJ$2,Fact5_predicmoderate!$A$1:$V$1,0)-1,1,1))</f>
        <v>13.282124519348145</v>
      </c>
      <c r="AK45" s="88">
        <f ca="1">IF(OFFSET(Fact5_predicmoderate!$A$1,MATCH($Y8,Fact5_predicmoderate!$A$2:$A$26,0),MATCH(AK$2,Fact5_predicmoderate!$A$1:$V$1,0)-1,1,1)=0,NA(),OFFSET(Fact5_predicmoderate!$A$1,MATCH($Y8,Fact5_predicmoderate!$A$2:$A$26,0),MATCH(AK$2,Fact5_predicmoderate!$A$1:$V$1,0)-1,1,1))</f>
        <v>13.838159561157227</v>
      </c>
      <c r="AL45" s="8">
        <f ca="1">IF(OFFSET(Fact5_predicmoderate!$A$1,MATCH($Y8,Fact5_predicmoderate!$A$2:$A$26,0),MATCH(AL$2,Fact5_predicmoderate!$A$1:$V$1,0)-1,1,1)=0,NA(),OFFSET(Fact5_predicmoderate!$A$1,MATCH($Y8,Fact5_predicmoderate!$A$2:$A$26,0),MATCH(AL$2,Fact5_predicmoderate!$A$1:$V$1,0)-1,1,1))</f>
        <v>14.394195556640625</v>
      </c>
      <c r="AM45" s="88">
        <f ca="1">IF(OFFSET(Fact5_predicmoderate!$A$1,MATCH($Y8,Fact5_predicmoderate!$A$2:$A$26,0),MATCH(AM$2,Fact5_predicmoderate!$A$1:$V$1,0)-1,1,1)=0,NA(),OFFSET(Fact5_predicmoderate!$A$1,MATCH($Y8,Fact5_predicmoderate!$A$2:$A$26,0),MATCH(AM$2,Fact5_predicmoderate!$A$1:$V$1,0)-1,1,1))</f>
        <v>13.269428253173828</v>
      </c>
      <c r="AN45" s="8">
        <f ca="1">IF(OFFSET(Fact5_predicmoderate!$A$1,MATCH($Y8,Fact5_predicmoderate!$A$2:$A$26,0),MATCH(AN$2,Fact5_predicmoderate!$A$1:$V$1,0)-1,1,1)=0,NA(),OFFSET(Fact5_predicmoderate!$A$1,MATCH($Y8,Fact5_predicmoderate!$A$2:$A$26,0),MATCH(AN$2,Fact5_predicmoderate!$A$1:$V$1,0)-1,1,1))</f>
        <v>12.144660949707031</v>
      </c>
      <c r="AO45" s="88">
        <f ca="1">IF(OFFSET(Fact5_predicmoderate!$A$1,MATCH($Y8,Fact5_predicmoderate!$A$2:$A$26,0),MATCH(AO$2,Fact5_predicmoderate!$A$1:$V$1,0)-1,1,1)=0,NA(),OFFSET(Fact5_predicmoderate!$A$1,MATCH($Y8,Fact5_predicmoderate!$A$2:$A$26,0),MATCH(AO$2,Fact5_predicmoderate!$A$1:$V$1,0)-1,1,1))</f>
        <v>12.608997344970703</v>
      </c>
      <c r="AP45" s="88">
        <f ca="1">IF(OFFSET(Fact5_predicmoderate!$A$1,MATCH($Y8,Fact5_predicmoderate!$A$2:$A$26,0),MATCH(AP$2,Fact5_predicmoderate!$A$1:$V$1,0)-1,1,1)=0,NA(),OFFSET(Fact5_predicmoderate!$A$1,MATCH($Y8,Fact5_predicmoderate!$A$2:$A$26,0),MATCH(AP$2,Fact5_predicmoderate!$A$1:$V$1,0)-1,1,1))</f>
        <v>13.091086387634277</v>
      </c>
      <c r="AQ45" s="8">
        <f ca="1">IF(OFFSET(Fact5_predicmoderate!$A$1,MATCH($Y8,Fact5_predicmoderate!$A$2:$A$26,0),MATCH(AQ$2,Fact5_predicmoderate!$A$1:$V$1,0)-1,1,1)=0,NA(),OFFSET(Fact5_predicmoderate!$A$1,MATCH($Y8,Fact5_predicmoderate!$A$2:$A$26,0),MATCH(AQ$2,Fact5_predicmoderate!$A$1:$V$1,0)-1,1,1))</f>
        <v>13.591607093811035</v>
      </c>
      <c r="AR45" s="88">
        <f ca="1">IF(OFFSET(Fact5_predicmoderate!$A$1,MATCH($Y8,Fact5_predicmoderate!$A$2:$A$26,0),MATCH(AR$2,Fact5_predicmoderate!$A$1:$V$1,0)-1,1,1)=0,NA(),OFFSET(Fact5_predicmoderate!$A$1,MATCH($Y8,Fact5_predicmoderate!$A$2:$A$26,0),MATCH(AR$2,Fact5_predicmoderate!$A$1:$V$1,0)-1,1,1))</f>
        <v>10.79689884185791</v>
      </c>
      <c r="AS45" s="8">
        <f ca="1">IF(OFFSET(Fact5_predicmoderate!$A$1,MATCH($Y8,Fact5_predicmoderate!$A$2:$A$26,0),MATCH(AS$2,Fact5_predicmoderate!$A$1:$V$1,0)-1,1,1)=0,NA(),OFFSET(Fact5_predicmoderate!$A$1,MATCH($Y8,Fact5_predicmoderate!$A$2:$A$26,0),MATCH(AS$2,Fact5_predicmoderate!$A$1:$V$1,0)-1,1,1))</f>
        <v>8.0021905899047852</v>
      </c>
      <c r="AT45" s="88">
        <f ca="1">IF(OFFSET(Fact5_predicmoderate!$A$1,MATCH($Y8,Fact5_predicmoderate!$A$2:$A$26,0),MATCH(AT$2,Fact5_predicmoderate!$A$1:$V$1,0)-1,1,1)=0,NA(),OFFSET(Fact5_predicmoderate!$A$1,MATCH($Y8,Fact5_predicmoderate!$A$2:$A$26,0),MATCH(AT$2,Fact5_predicmoderate!$A$1:$V$1,0)-1,1,1))</f>
        <v>5.9308748245239258</v>
      </c>
      <c r="AW45" s="7531">
        <f t="shared" ca="1" si="56"/>
        <v>-0.75818432383704004</v>
      </c>
      <c r="AX45" s="7532">
        <f t="shared" ca="1" si="57"/>
        <v>3.8233702792576985E-2</v>
      </c>
      <c r="AY45" s="7532">
        <f t="shared" ca="1" si="58"/>
        <v>-0.17524806405245608</v>
      </c>
      <c r="AZ45" s="7535"/>
      <c r="BA45" s="7532">
        <f t="shared" ca="1" si="59"/>
        <v>-3.2159719267073283E-2</v>
      </c>
      <c r="BB45" s="7532">
        <f t="shared" ca="1" si="60"/>
        <v>-3.2159662872297989E-2</v>
      </c>
      <c r="BC45" s="7532">
        <f t="shared" ca="1" si="61"/>
        <v>-3.215970864251072E-2</v>
      </c>
      <c r="BD45" s="7532">
        <f t="shared" ca="1" si="62"/>
        <v>-5.3395479030888038E-2</v>
      </c>
      <c r="BE45" s="7532">
        <f t="shared" ca="1" si="63"/>
        <v>-5.3395405686518238E-2</v>
      </c>
      <c r="BF45" s="7532">
        <f t="shared" ca="1" si="64"/>
        <v>-5.3395442875112775E-2</v>
      </c>
      <c r="BG45" s="7532">
        <f t="shared" ca="1" si="65"/>
        <v>-4.2502807361597839E-2</v>
      </c>
      <c r="BH45" s="7532">
        <f t="shared" ca="1" si="66"/>
        <v>-4.4389379476654445E-2</v>
      </c>
      <c r="BI45" s="7532">
        <f t="shared" ca="1" si="67"/>
        <v>-0.11517088984429136</v>
      </c>
      <c r="BJ45" s="7532">
        <f t="shared" ca="1" si="68"/>
        <v>-0.13016179484252088</v>
      </c>
      <c r="BK45" s="7532">
        <f t="shared" ca="1" si="69"/>
        <v>4.1863411308868725E-2</v>
      </c>
      <c r="BL45" s="7532">
        <f t="shared" ca="1" si="70"/>
        <v>4.0181354538225911E-2</v>
      </c>
      <c r="BM45" s="7532">
        <f t="shared" ca="1" si="71"/>
        <v>-7.8140337821650308E-2</v>
      </c>
      <c r="BN45" s="7532">
        <f t="shared" ca="1" si="72"/>
        <v>-8.4763810618424418E-2</v>
      </c>
      <c r="BO45" s="7532">
        <f t="shared" ca="1" si="73"/>
        <v>3.8233788261900603E-2</v>
      </c>
      <c r="BP45" s="7532">
        <f t="shared" ca="1" si="74"/>
        <v>3.823373337895597E-2</v>
      </c>
      <c r="BQ45" s="7532">
        <f t="shared" ca="1" si="75"/>
        <v>3.8233702792576985E-2</v>
      </c>
      <c r="BR45" s="7532">
        <f t="shared" ca="1" si="76"/>
        <v>-0.20562014724702427</v>
      </c>
      <c r="BS45" s="7532">
        <f t="shared" ca="1" si="77"/>
        <v>-0.25884360804775464</v>
      </c>
      <c r="BT45" s="7532">
        <f t="shared" ca="1" si="78"/>
        <v>-0.25884359315234773</v>
      </c>
      <c r="BV45" s="8"/>
    </row>
    <row r="46" spans="2:74">
      <c r="B46" s="99" t="s">
        <v>23</v>
      </c>
      <c r="C46">
        <f>IF(Fact5_predicmoderate!B6&gt;0,VLOOKUP(Fact5!$B46,Fact5_predicmoderate!$A$1:$W$19,23,0),"")</f>
        <v>52085168</v>
      </c>
      <c r="D46">
        <f>IF(Fact5_predicmoderate!C6&gt;0,VLOOKUP(Fact5!$B46,Fact5_predicmoderate!$A$1:$W$19,23,0),"")</f>
        <v>52085168</v>
      </c>
      <c r="E46">
        <f>IF(Fact5_predicmoderate!D6&gt;0,VLOOKUP(Fact5!$B46,Fact5_predicmoderate!$A$1:$W$19,23,0),"")</f>
        <v>52085168</v>
      </c>
      <c r="F46">
        <f>IF(Fact5_predicmoderate!E6&gt;0,VLOOKUP(Fact5!$B46,Fact5_predicmoderate!$A$1:$W$19,23,0),"")</f>
        <v>52085168</v>
      </c>
      <c r="G46">
        <f>IF(Fact5_predicmoderate!F6&gt;0,VLOOKUP(Fact5!$B46,Fact5_predicmoderate!$A$1:$W$19,23,0),"")</f>
        <v>52085168</v>
      </c>
      <c r="H46">
        <f>IF(Fact5_predicmoderate!G6&gt;0,VLOOKUP(Fact5!$B46,Fact5_predicmoderate!$A$1:$W$19,23,0),"")</f>
        <v>52085168</v>
      </c>
      <c r="I46">
        <f>IF(Fact5_predicmoderate!H6&gt;0,VLOOKUP(Fact5!$B46,Fact5_predicmoderate!$A$1:$W$19,23,0),"")</f>
        <v>52085168</v>
      </c>
      <c r="J46">
        <f>IF(Fact5_predicmoderate!I6&gt;0,VLOOKUP(Fact5!$B46,Fact5_predicmoderate!$A$1:$W$19,23,0),"")</f>
        <v>52085168</v>
      </c>
      <c r="K46">
        <f>IF(Fact5_predicmoderate!J6&gt;0,VLOOKUP(Fact5!$B46,Fact5_predicmoderate!$A$1:$W$19,23,0),"")</f>
        <v>52085168</v>
      </c>
      <c r="L46">
        <f>IF(Fact5_predicmoderate!K6&gt;0,VLOOKUP(Fact5!$B46,Fact5_predicmoderate!$A$1:$W$19,23,0),"")</f>
        <v>52085168</v>
      </c>
      <c r="M46">
        <f>IF(Fact5_predicmoderate!L6&gt;0,VLOOKUP(Fact5!$B46,Fact5_predicmoderate!$A$1:$W$19,23,0),"")</f>
        <v>52085168</v>
      </c>
      <c r="N46">
        <f>IF(Fact5_predicmoderate!M6&gt;0,VLOOKUP(Fact5!$B46,Fact5_predicmoderate!$A$1:$W$19,23,0),"")</f>
        <v>52085168</v>
      </c>
      <c r="O46">
        <f>IF(Fact5_predicmoderate!N6&gt;0,VLOOKUP(Fact5!$B46,Fact5_predicmoderate!$A$1:$W$19,23,0),"")</f>
        <v>52085168</v>
      </c>
      <c r="P46">
        <f>IF(Fact5_predicmoderate!O6&gt;0,VLOOKUP(Fact5!$B46,Fact5_predicmoderate!$A$1:$W$19,23,0),"")</f>
        <v>52085168</v>
      </c>
      <c r="Q46">
        <f>IF(Fact5_predicmoderate!P6&gt;0,VLOOKUP(Fact5!$B46,Fact5_predicmoderate!$A$1:$W$19,23,0),"")</f>
        <v>52085168</v>
      </c>
      <c r="R46">
        <f>IF(Fact5_predicmoderate!Q6&gt;0,VLOOKUP(Fact5!$B46,Fact5_predicmoderate!$A$1:$W$19,23,0),"")</f>
        <v>52085168</v>
      </c>
      <c r="S46">
        <f>IF(Fact5_predicmoderate!R6&gt;0,VLOOKUP(Fact5!$B46,Fact5_predicmoderate!$A$1:$W$19,23,0),"")</f>
        <v>52085168</v>
      </c>
      <c r="T46">
        <f>IF(Fact5_predicmoderate!S6&gt;0,VLOOKUP(Fact5!$B46,Fact5_predicmoderate!$A$1:$W$19,23,0),"")</f>
        <v>52085168</v>
      </c>
      <c r="U46">
        <f>IF(Fact5_predicmoderate!T6&gt;0,VLOOKUP(Fact5!$B46,Fact5_predicmoderate!$A$1:$W$19,23,0),"")</f>
        <v>52085168</v>
      </c>
      <c r="V46">
        <f>IF(Fact5_predicmoderate!U6&gt;0,VLOOKUP(Fact5!$B46,Fact5_predicmoderate!$A$1:$W$19,23,0),"")</f>
        <v>52085168</v>
      </c>
      <c r="W46">
        <f>IF(Fact5_predicmoderate!V6&gt;0,VLOOKUP(Fact5!$B46,Fact5_predicmoderate!$A$1:$W$19,23,0),"")</f>
        <v>52085168</v>
      </c>
      <c r="Y46" s="2563" t="s">
        <v>23</v>
      </c>
      <c r="Z46" s="8">
        <f ca="1">IF(OFFSET(Fact5_predicmoderate!$A$1,MATCH($Y9,Fact5_predicmoderate!$A$2:$A$26,0),MATCH(Z$2,Fact5_predicmoderate!$A$1:$V$1,0)-1,1,1)=0,NA(),OFFSET(Fact5_predicmoderate!$A$1,MATCH($Y9,Fact5_predicmoderate!$A$2:$A$26,0),MATCH(Z$2,Fact5_predicmoderate!$A$1:$V$1,0)-1,1,1))</f>
        <v>26.935308456420898</v>
      </c>
      <c r="AA46" s="8">
        <f ca="1">IF(OFFSET(Fact5_predicmoderate!$A$1,MATCH($Y9,Fact5_predicmoderate!$A$2:$A$26,0),MATCH(AA$2,Fact5_predicmoderate!$A$1:$V$1,0)-1,1,1)=0,NA(),OFFSET(Fact5_predicmoderate!$A$1,MATCH($Y9,Fact5_predicmoderate!$A$2:$A$26,0),MATCH(AA$2,Fact5_predicmoderate!$A$1:$V$1,0)-1,1,1))</f>
        <v>25.400453567504883</v>
      </c>
      <c r="AB46" s="8">
        <f ca="1">IF(OFFSET(Fact5_predicmoderate!$A$1,MATCH($Y9,Fact5_predicmoderate!$A$2:$A$26,0),MATCH(AB$2,Fact5_predicmoderate!$A$1:$V$1,0)-1,1,1)=0,NA(),OFFSET(Fact5_predicmoderate!$A$1,MATCH($Y9,Fact5_predicmoderate!$A$2:$A$26,0),MATCH(AB$2,Fact5_predicmoderate!$A$1:$V$1,0)-1,1,1))</f>
        <v>27.348258972167969</v>
      </c>
      <c r="AC46" s="8">
        <f ca="1">IF(OFFSET(Fact5_predicmoderate!$A$1,MATCH($Y9,Fact5_predicmoderate!$A$2:$A$26,0),MATCH(AC$2,Fact5_predicmoderate!$A$1:$V$1,0)-1,1,1)=0,NA(),OFFSET(Fact5_predicmoderate!$A$1,MATCH($Y9,Fact5_predicmoderate!$A$2:$A$26,0),MATCH(AC$2,Fact5_predicmoderate!$A$1:$V$1,0)-1,1,1))</f>
        <v>22.210733413696289</v>
      </c>
      <c r="AD46" s="8">
        <f ca="1">IF(OFFSET(Fact5_predicmoderate!$A$1,MATCH($Y9,Fact5_predicmoderate!$A$2:$A$26,0),MATCH(AD$2,Fact5_predicmoderate!$A$1:$V$1,0)-1,1,1)=0,NA(),OFFSET(Fact5_predicmoderate!$A$1,MATCH($Y9,Fact5_predicmoderate!$A$2:$A$26,0),MATCH(AD$2,Fact5_predicmoderate!$A$1:$V$1,0)-1,1,1))</f>
        <v>24.052228927612305</v>
      </c>
      <c r="AE46" s="8">
        <f ca="1">IF(OFFSET(Fact5_predicmoderate!$A$1,MATCH($Y9,Fact5_predicmoderate!$A$2:$A$26,0),MATCH(AE$2,Fact5_predicmoderate!$A$1:$V$1,0)-1,1,1)=0,NA(),OFFSET(Fact5_predicmoderate!$A$1,MATCH($Y9,Fact5_predicmoderate!$A$2:$A$26,0),MATCH(AE$2,Fact5_predicmoderate!$A$1:$V$1,0)-1,1,1))</f>
        <v>23.820743560791016</v>
      </c>
      <c r="AF46" s="8">
        <f ca="1">IF(OFFSET(Fact5_predicmoderate!$A$1,MATCH($Y9,Fact5_predicmoderate!$A$2:$A$26,0),MATCH(AF$2,Fact5_predicmoderate!$A$1:$V$1,0)-1,1,1)=0,NA(),OFFSET(Fact5_predicmoderate!$A$1,MATCH($Y9,Fact5_predicmoderate!$A$2:$A$26,0),MATCH(AF$2,Fact5_predicmoderate!$A$1:$V$1,0)-1,1,1))</f>
        <v>24.0496826171875</v>
      </c>
      <c r="AG46" s="8">
        <f ca="1">IF(OFFSET(Fact5_predicmoderate!$A$1,MATCH($Y9,Fact5_predicmoderate!$A$2:$A$26,0),MATCH(AG$2,Fact5_predicmoderate!$A$1:$V$1,0)-1,1,1)=0,NA(),OFFSET(Fact5_predicmoderate!$A$1,MATCH($Y9,Fact5_predicmoderate!$A$2:$A$26,0),MATCH(AG$2,Fact5_predicmoderate!$A$1:$V$1,0)-1,1,1))</f>
        <v>24.44743537902832</v>
      </c>
      <c r="AH46" s="8">
        <f ca="1">IF(OFFSET(Fact5_predicmoderate!$A$1,MATCH($Y9,Fact5_predicmoderate!$A$2:$A$26,0),MATCH(AH$2,Fact5_predicmoderate!$A$1:$V$1,0)-1,1,1)=0,NA(),OFFSET(Fact5_predicmoderate!$A$1,MATCH($Y9,Fact5_predicmoderate!$A$2:$A$26,0),MATCH(AH$2,Fact5_predicmoderate!$A$1:$V$1,0)-1,1,1))</f>
        <v>23.773138046264648</v>
      </c>
      <c r="AI46" s="8">
        <f ca="1">IF(OFFSET(Fact5_predicmoderate!$A$1,MATCH($Y9,Fact5_predicmoderate!$A$2:$A$26,0),MATCH(AI$2,Fact5_predicmoderate!$A$1:$V$1,0)-1,1,1)=0,NA(),OFFSET(Fact5_predicmoderate!$A$1,MATCH($Y9,Fact5_predicmoderate!$A$2:$A$26,0),MATCH(AI$2,Fact5_predicmoderate!$A$1:$V$1,0)-1,1,1))</f>
        <v>22.936904907226563</v>
      </c>
      <c r="AJ46" s="8">
        <f ca="1">IF(OFFSET(Fact5_predicmoderate!$A$1,MATCH($Y9,Fact5_predicmoderate!$A$2:$A$26,0),MATCH(AJ$2,Fact5_predicmoderate!$A$1:$V$1,0)-1,1,1)=0,NA(),OFFSET(Fact5_predicmoderate!$A$1,MATCH($Y9,Fact5_predicmoderate!$A$2:$A$26,0),MATCH(AJ$2,Fact5_predicmoderate!$A$1:$V$1,0)-1,1,1))</f>
        <v>22.844123840332031</v>
      </c>
      <c r="AK46" s="8">
        <f ca="1">IF(OFFSET(Fact5_predicmoderate!$A$1,MATCH($Y9,Fact5_predicmoderate!$A$2:$A$26,0),MATCH(AK$2,Fact5_predicmoderate!$A$1:$V$1,0)-1,1,1)=0,NA(),OFFSET(Fact5_predicmoderate!$A$1,MATCH($Y9,Fact5_predicmoderate!$A$2:$A$26,0),MATCH(AK$2,Fact5_predicmoderate!$A$1:$V$1,0)-1,1,1))</f>
        <v>21.947647094726563</v>
      </c>
      <c r="AL46" s="8">
        <f ca="1">IF(OFFSET(Fact5_predicmoderate!$A$1,MATCH($Y9,Fact5_predicmoderate!$A$2:$A$26,0),MATCH(AL$2,Fact5_predicmoderate!$A$1:$V$1,0)-1,1,1)=0,NA(),OFFSET(Fact5_predicmoderate!$A$1,MATCH($Y9,Fact5_predicmoderate!$A$2:$A$26,0),MATCH(AL$2,Fact5_predicmoderate!$A$1:$V$1,0)-1,1,1))</f>
        <v>22.793067932128906</v>
      </c>
      <c r="AM46" s="8">
        <f ca="1">IF(OFFSET(Fact5_predicmoderate!$A$1,MATCH($Y9,Fact5_predicmoderate!$A$2:$A$26,0),MATCH(AM$2,Fact5_predicmoderate!$A$1:$V$1,0)-1,1,1)=0,NA(),OFFSET(Fact5_predicmoderate!$A$1,MATCH($Y9,Fact5_predicmoderate!$A$2:$A$26,0),MATCH(AM$2,Fact5_predicmoderate!$A$1:$V$1,0)-1,1,1))</f>
        <v>23.11981201171875</v>
      </c>
      <c r="AN46" s="8">
        <f ca="1">IF(OFFSET(Fact5_predicmoderate!$A$1,MATCH($Y9,Fact5_predicmoderate!$A$2:$A$26,0),MATCH(AN$2,Fact5_predicmoderate!$A$1:$V$1,0)-1,1,1)=0,NA(),OFFSET(Fact5_predicmoderate!$A$1,MATCH($Y9,Fact5_predicmoderate!$A$2:$A$26,0),MATCH(AN$2,Fact5_predicmoderate!$A$1:$V$1,0)-1,1,1))</f>
        <v>23.688838958740234</v>
      </c>
      <c r="AO46" s="8">
        <f ca="1">IF(OFFSET(Fact5_predicmoderate!$A$1,MATCH($Y9,Fact5_predicmoderate!$A$2:$A$26,0),MATCH(AO$2,Fact5_predicmoderate!$A$1:$V$1,0)-1,1,1)=0,NA(),OFFSET(Fact5_predicmoderate!$A$1,MATCH($Y9,Fact5_predicmoderate!$A$2:$A$26,0),MATCH(AO$2,Fact5_predicmoderate!$A$1:$V$1,0)-1,1,1))</f>
        <v>23.012002944946289</v>
      </c>
      <c r="AP46" s="8">
        <f ca="1">IF(OFFSET(Fact5_predicmoderate!$A$1,MATCH($Y9,Fact5_predicmoderate!$A$2:$A$26,0),MATCH(AP$2,Fact5_predicmoderate!$A$1:$V$1,0)-1,1,1)=0,NA(),OFFSET(Fact5_predicmoderate!$A$1,MATCH($Y9,Fact5_predicmoderate!$A$2:$A$26,0),MATCH(AP$2,Fact5_predicmoderate!$A$1:$V$1,0)-1,1,1))</f>
        <v>22.513420104980469</v>
      </c>
      <c r="AQ46" s="8">
        <f ca="1">IF(OFFSET(Fact5_predicmoderate!$A$1,MATCH($Y9,Fact5_predicmoderate!$A$2:$A$26,0),MATCH(AQ$2,Fact5_predicmoderate!$A$1:$V$1,0)-1,1,1)=0,NA(),OFFSET(Fact5_predicmoderate!$A$1,MATCH($Y9,Fact5_predicmoderate!$A$2:$A$26,0),MATCH(AQ$2,Fact5_predicmoderate!$A$1:$V$1,0)-1,1,1))</f>
        <v>24.878913879394531</v>
      </c>
      <c r="AR46" s="8">
        <f ca="1">IF(OFFSET(Fact5_predicmoderate!$A$1,MATCH($Y9,Fact5_predicmoderate!$A$2:$A$26,0),MATCH(AR$2,Fact5_predicmoderate!$A$1:$V$1,0)-1,1,1)=0,NA(),OFFSET(Fact5_predicmoderate!$A$1,MATCH($Y9,Fact5_predicmoderate!$A$2:$A$26,0),MATCH(AR$2,Fact5_predicmoderate!$A$1:$V$1,0)-1,1,1))</f>
        <v>24.558988571166992</v>
      </c>
      <c r="AS46" s="8">
        <f ca="1">IF(OFFSET(Fact5_predicmoderate!$A$1,MATCH($Y9,Fact5_predicmoderate!$A$2:$A$26,0),MATCH(AS$2,Fact5_predicmoderate!$A$1:$V$1,0)-1,1,1)=0,NA(),OFFSET(Fact5_predicmoderate!$A$1,MATCH($Y9,Fact5_predicmoderate!$A$2:$A$26,0),MATCH(AS$2,Fact5_predicmoderate!$A$1:$V$1,0)-1,1,1))</f>
        <v>21.709625244140625</v>
      </c>
      <c r="AT46" s="88">
        <f ca="1">IF(OFFSET(Fact5_predicmoderate!$A$1,MATCH($Y9,Fact5_predicmoderate!$A$2:$A$26,0),MATCH(AT$2,Fact5_predicmoderate!$A$1:$V$1,0)-1,1,1)=0,NA(),OFFSET(Fact5_predicmoderate!$A$1,MATCH($Y9,Fact5_predicmoderate!$A$2:$A$26,0),MATCH(AT$2,Fact5_predicmoderate!$A$1:$V$1,0)-1,1,1))</f>
        <v>19.190849304199219</v>
      </c>
      <c r="AW46" s="7532">
        <f t="shared" ca="1" si="56"/>
        <v>-0.28752071522594869</v>
      </c>
      <c r="AX46" s="7532">
        <f t="shared" ca="1" si="57"/>
        <v>0.10507038750148689</v>
      </c>
      <c r="AY46" s="7532">
        <f t="shared" ca="1" si="58"/>
        <v>9.0859960710012233E-2</v>
      </c>
      <c r="AZ46" s="7535"/>
      <c r="BA46" s="7532">
        <f t="shared" ca="1" si="59"/>
        <v>-5.6983007690418086E-2</v>
      </c>
      <c r="BB46" s="7532">
        <f t="shared" ca="1" si="60"/>
        <v>7.6683882808885606E-2</v>
      </c>
      <c r="BC46" s="7532">
        <f t="shared" ca="1" si="61"/>
        <v>-0.18785567167913997</v>
      </c>
      <c r="BD46" s="7532">
        <f t="shared" ca="1" si="62"/>
        <v>8.2910162380340546E-2</v>
      </c>
      <c r="BE46" s="7532">
        <f t="shared" ca="1" si="63"/>
        <v>-9.6242792099630048E-3</v>
      </c>
      <c r="BF46" s="7532">
        <f t="shared" ca="1" si="64"/>
        <v>9.6109114231563986E-3</v>
      </c>
      <c r="BG46" s="7532">
        <f t="shared" ca="1" si="65"/>
        <v>1.6538794634926246E-2</v>
      </c>
      <c r="BH46" s="7532">
        <f t="shared" ca="1" si="66"/>
        <v>-2.7581516110360749E-2</v>
      </c>
      <c r="BI46" s="7532">
        <f t="shared" ca="1" si="67"/>
        <v>-3.5175547183156963E-2</v>
      </c>
      <c r="BJ46" s="7532">
        <f t="shared" ca="1" si="68"/>
        <v>-4.0450560906017952E-3</v>
      </c>
      <c r="BK46" s="7532">
        <f t="shared" ca="1" si="69"/>
        <v>-3.9243209845619464E-2</v>
      </c>
      <c r="BL46" s="7532">
        <f t="shared" ca="1" si="70"/>
        <v>3.8519884785530145E-2</v>
      </c>
      <c r="BM46" s="7532">
        <f t="shared" ca="1" si="71"/>
        <v>1.4335239142128309E-2</v>
      </c>
      <c r="BN46" s="7532">
        <f t="shared" ca="1" si="72"/>
        <v>2.4612092292664922E-2</v>
      </c>
      <c r="BO46" s="7532">
        <f t="shared" ca="1" si="73"/>
        <v>-2.8571936977275114E-2</v>
      </c>
      <c r="BP46" s="7532">
        <f t="shared" ca="1" si="74"/>
        <v>-2.1666207898487833E-2</v>
      </c>
      <c r="BQ46" s="7532">
        <f t="shared" ca="1" si="75"/>
        <v>0.10507038750148689</v>
      </c>
      <c r="BR46" s="7532">
        <f t="shared" ca="1" si="76"/>
        <v>-1.285929561790522E-2</v>
      </c>
      <c r="BS46" s="7532">
        <f t="shared" ca="1" si="77"/>
        <v>-0.11602120009012129</v>
      </c>
      <c r="BT46" s="7532">
        <f t="shared" ca="1" si="78"/>
        <v>-0.1160211616559903</v>
      </c>
      <c r="BV46" s="8"/>
    </row>
    <row r="47" spans="2:74">
      <c r="B47" s="99" t="s">
        <v>25</v>
      </c>
      <c r="C47">
        <f>IF(Fact5_predicmoderate!B7&gt;0,VLOOKUP(Fact5!$B47,Fact5_predicmoderate!$A$1:$W$19,23,0),"")</f>
        <v>5212173</v>
      </c>
      <c r="D47">
        <f>IF(Fact5_predicmoderate!C7&gt;0,VLOOKUP(Fact5!$B47,Fact5_predicmoderate!$A$1:$W$19,23,0),"")</f>
        <v>5212173</v>
      </c>
      <c r="E47">
        <f>IF(Fact5_predicmoderate!D7&gt;0,VLOOKUP(Fact5!$B47,Fact5_predicmoderate!$A$1:$W$19,23,0),"")</f>
        <v>5212173</v>
      </c>
      <c r="F47">
        <f>IF(Fact5_predicmoderate!E7&gt;0,VLOOKUP(Fact5!$B47,Fact5_predicmoderate!$A$1:$W$19,23,0),"")</f>
        <v>5212173</v>
      </c>
      <c r="G47">
        <f>IF(Fact5_predicmoderate!F7&gt;0,VLOOKUP(Fact5!$B47,Fact5_predicmoderate!$A$1:$W$19,23,0),"")</f>
        <v>5212173</v>
      </c>
      <c r="H47">
        <f>IF(Fact5_predicmoderate!G7&gt;0,VLOOKUP(Fact5!$B47,Fact5_predicmoderate!$A$1:$W$19,23,0),"")</f>
        <v>5212173</v>
      </c>
      <c r="I47">
        <f>IF(Fact5_predicmoderate!H7&gt;0,VLOOKUP(Fact5!$B47,Fact5_predicmoderate!$A$1:$W$19,23,0),"")</f>
        <v>5212173</v>
      </c>
      <c r="J47">
        <f>IF(Fact5_predicmoderate!I7&gt;0,VLOOKUP(Fact5!$B47,Fact5_predicmoderate!$A$1:$W$19,23,0),"")</f>
        <v>5212173</v>
      </c>
      <c r="K47">
        <f>IF(Fact5_predicmoderate!J7&gt;0,VLOOKUP(Fact5!$B47,Fact5_predicmoderate!$A$1:$W$19,23,0),"")</f>
        <v>5212173</v>
      </c>
      <c r="L47">
        <f>IF(Fact5_predicmoderate!K7&gt;0,VLOOKUP(Fact5!$B47,Fact5_predicmoderate!$A$1:$W$19,23,0),"")</f>
        <v>5212173</v>
      </c>
      <c r="M47">
        <f>IF(Fact5_predicmoderate!L7&gt;0,VLOOKUP(Fact5!$B47,Fact5_predicmoderate!$A$1:$W$19,23,0),"")</f>
        <v>5212173</v>
      </c>
      <c r="N47">
        <f>IF(Fact5_predicmoderate!M7&gt;0,VLOOKUP(Fact5!$B47,Fact5_predicmoderate!$A$1:$W$19,23,0),"")</f>
        <v>5212173</v>
      </c>
      <c r="O47">
        <f>IF(Fact5_predicmoderate!N7&gt;0,VLOOKUP(Fact5!$B47,Fact5_predicmoderate!$A$1:$W$19,23,0),"")</f>
        <v>5212173</v>
      </c>
      <c r="P47">
        <f>IF(Fact5_predicmoderate!O7&gt;0,VLOOKUP(Fact5!$B47,Fact5_predicmoderate!$A$1:$W$19,23,0),"")</f>
        <v>5212173</v>
      </c>
      <c r="Q47">
        <f>IF(Fact5_predicmoderate!P7&gt;0,VLOOKUP(Fact5!$B47,Fact5_predicmoderate!$A$1:$W$19,23,0),"")</f>
        <v>5212173</v>
      </c>
      <c r="R47">
        <f>IF(Fact5_predicmoderate!Q7&gt;0,VLOOKUP(Fact5!$B47,Fact5_predicmoderate!$A$1:$W$19,23,0),"")</f>
        <v>5212173</v>
      </c>
      <c r="S47">
        <f>IF(Fact5_predicmoderate!R7&gt;0,VLOOKUP(Fact5!$B47,Fact5_predicmoderate!$A$1:$W$19,23,0),"")</f>
        <v>5212173</v>
      </c>
      <c r="T47">
        <f>IF(Fact5_predicmoderate!S7&gt;0,VLOOKUP(Fact5!$B47,Fact5_predicmoderate!$A$1:$W$19,23,0),"")</f>
        <v>5212173</v>
      </c>
      <c r="U47">
        <f>IF(Fact5_predicmoderate!T7&gt;0,VLOOKUP(Fact5!$B47,Fact5_predicmoderate!$A$1:$W$19,23,0),"")</f>
        <v>5212173</v>
      </c>
      <c r="V47">
        <f>IF(Fact5_predicmoderate!U7&gt;0,VLOOKUP(Fact5!$B47,Fact5_predicmoderate!$A$1:$W$19,23,0),"")</f>
        <v>5212173</v>
      </c>
      <c r="W47">
        <f>IF(Fact5_predicmoderate!V7&gt;0,VLOOKUP(Fact5!$B47,Fact5_predicmoderate!$A$1:$W$19,23,0),"")</f>
        <v>5212173</v>
      </c>
      <c r="Y47" s="2563" t="s">
        <v>25</v>
      </c>
      <c r="Z47" s="8">
        <f ca="1">IF(OFFSET(Fact5_predicmoderate!$A$1,MATCH($Y10,Fact5_predicmoderate!$A$2:$A$26,0),MATCH(Z$2,Fact5_predicmoderate!$A$1:$V$1,0)-1,1,1)=0,NA(),OFFSET(Fact5_predicmoderate!$A$1,MATCH($Y10,Fact5_predicmoderate!$A$2:$A$26,0),MATCH(Z$2,Fact5_predicmoderate!$A$1:$V$1,0)-1,1,1))</f>
        <v>20.232477188110352</v>
      </c>
      <c r="AA47" s="8">
        <f ca="1">IF(OFFSET(Fact5_predicmoderate!$A$1,MATCH($Y10,Fact5_predicmoderate!$A$2:$A$26,0),MATCH(AA$2,Fact5_predicmoderate!$A$1:$V$1,0)-1,1,1)=0,NA(),OFFSET(Fact5_predicmoderate!$A$1,MATCH($Y10,Fact5_predicmoderate!$A$2:$A$26,0),MATCH(AA$2,Fact5_predicmoderate!$A$1:$V$1,0)-1,1,1))</f>
        <v>21.898368835449219</v>
      </c>
      <c r="AB47" s="8">
        <f ca="1">IF(OFFSET(Fact5_predicmoderate!$A$1,MATCH($Y10,Fact5_predicmoderate!$A$2:$A$26,0),MATCH(AB$2,Fact5_predicmoderate!$A$1:$V$1,0)-1,1,1)=0,NA(),OFFSET(Fact5_predicmoderate!$A$1,MATCH($Y10,Fact5_predicmoderate!$A$2:$A$26,0),MATCH(AB$2,Fact5_predicmoderate!$A$1:$V$1,0)-1,1,1))</f>
        <v>19.71527099609375</v>
      </c>
      <c r="AC47" s="8">
        <f ca="1">IF(OFFSET(Fact5_predicmoderate!$A$1,MATCH($Y10,Fact5_predicmoderate!$A$2:$A$26,0),MATCH(AC$2,Fact5_predicmoderate!$A$1:$V$1,0)-1,1,1)=0,NA(),OFFSET(Fact5_predicmoderate!$A$1,MATCH($Y10,Fact5_predicmoderate!$A$2:$A$26,0),MATCH(AC$2,Fact5_predicmoderate!$A$1:$V$1,0)-1,1,1))</f>
        <v>20.289663314819336</v>
      </c>
      <c r="AD47" s="8">
        <f ca="1">IF(OFFSET(Fact5_predicmoderate!$A$1,MATCH($Y10,Fact5_predicmoderate!$A$2:$A$26,0),MATCH(AD$2,Fact5_predicmoderate!$A$1:$V$1,0)-1,1,1)=0,NA(),OFFSET(Fact5_predicmoderate!$A$1,MATCH($Y10,Fact5_predicmoderate!$A$2:$A$26,0),MATCH(AD$2,Fact5_predicmoderate!$A$1:$V$1,0)-1,1,1))</f>
        <v>18.388881683349609</v>
      </c>
      <c r="AE47" s="8">
        <f ca="1">IF(OFFSET(Fact5_predicmoderate!$A$1,MATCH($Y10,Fact5_predicmoderate!$A$2:$A$26,0),MATCH(AE$2,Fact5_predicmoderate!$A$1:$V$1,0)-1,1,1)=0,NA(),OFFSET(Fact5_predicmoderate!$A$1,MATCH($Y10,Fact5_predicmoderate!$A$2:$A$26,0),MATCH(AE$2,Fact5_predicmoderate!$A$1:$V$1,0)-1,1,1))</f>
        <v>18.100149154663086</v>
      </c>
      <c r="AF47" s="8">
        <f ca="1">IF(OFFSET(Fact5_predicmoderate!$A$1,MATCH($Y10,Fact5_predicmoderate!$A$2:$A$26,0),MATCH(AF$2,Fact5_predicmoderate!$A$1:$V$1,0)-1,1,1)=0,NA(),OFFSET(Fact5_predicmoderate!$A$1,MATCH($Y10,Fact5_predicmoderate!$A$2:$A$26,0),MATCH(AF$2,Fact5_predicmoderate!$A$1:$V$1,0)-1,1,1))</f>
        <v>17.770160675048828</v>
      </c>
      <c r="AG47" s="8">
        <f ca="1">IF(OFFSET(Fact5_predicmoderate!$A$1,MATCH($Y10,Fact5_predicmoderate!$A$2:$A$26,0),MATCH(AG$2,Fact5_predicmoderate!$A$1:$V$1,0)-1,1,1)=0,NA(),OFFSET(Fact5_predicmoderate!$A$1,MATCH($Y10,Fact5_predicmoderate!$A$2:$A$26,0),MATCH(AG$2,Fact5_predicmoderate!$A$1:$V$1,0)-1,1,1))</f>
        <v>17.093246459960938</v>
      </c>
      <c r="AH47" s="8">
        <f ca="1">IF(OFFSET(Fact5_predicmoderate!$A$1,MATCH($Y10,Fact5_predicmoderate!$A$2:$A$26,0),MATCH(AH$2,Fact5_predicmoderate!$A$1:$V$1,0)-1,1,1)=0,NA(),OFFSET(Fact5_predicmoderate!$A$1,MATCH($Y10,Fact5_predicmoderate!$A$2:$A$26,0),MATCH(AH$2,Fact5_predicmoderate!$A$1:$V$1,0)-1,1,1))</f>
        <v>15.746500015258789</v>
      </c>
      <c r="AI47" s="8">
        <f ca="1">IF(OFFSET(Fact5_predicmoderate!$A$1,MATCH($Y10,Fact5_predicmoderate!$A$2:$A$26,0),MATCH(AI$2,Fact5_predicmoderate!$A$1:$V$1,0)-1,1,1)=0,NA(),OFFSET(Fact5_predicmoderate!$A$1,MATCH($Y10,Fact5_predicmoderate!$A$2:$A$26,0),MATCH(AI$2,Fact5_predicmoderate!$A$1:$V$1,0)-1,1,1))</f>
        <v>15.900924682617188</v>
      </c>
      <c r="AJ47" s="8">
        <f ca="1">IF(OFFSET(Fact5_predicmoderate!$A$1,MATCH($Y10,Fact5_predicmoderate!$A$2:$A$26,0),MATCH(AJ$2,Fact5_predicmoderate!$A$1:$V$1,0)-1,1,1)=0,NA(),OFFSET(Fact5_predicmoderate!$A$1,MATCH($Y10,Fact5_predicmoderate!$A$2:$A$26,0),MATCH(AJ$2,Fact5_predicmoderate!$A$1:$V$1,0)-1,1,1))</f>
        <v>15.414279937744141</v>
      </c>
      <c r="AK47" s="8">
        <f ca="1">IF(OFFSET(Fact5_predicmoderate!$A$1,MATCH($Y10,Fact5_predicmoderate!$A$2:$A$26,0),MATCH(AK$2,Fact5_predicmoderate!$A$1:$V$1,0)-1,1,1)=0,NA(),OFFSET(Fact5_predicmoderate!$A$1,MATCH($Y10,Fact5_predicmoderate!$A$2:$A$26,0),MATCH(AK$2,Fact5_predicmoderate!$A$1:$V$1,0)-1,1,1))</f>
        <v>15.166674613952637</v>
      </c>
      <c r="AL47" s="8">
        <f ca="1">IF(OFFSET(Fact5_predicmoderate!$A$1,MATCH($Y10,Fact5_predicmoderate!$A$2:$A$26,0),MATCH(AL$2,Fact5_predicmoderate!$A$1:$V$1,0)-1,1,1)=0,NA(),OFFSET(Fact5_predicmoderate!$A$1,MATCH($Y10,Fact5_predicmoderate!$A$2:$A$26,0),MATCH(AL$2,Fact5_predicmoderate!$A$1:$V$1,0)-1,1,1))</f>
        <v>13.914436340332031</v>
      </c>
      <c r="AM47" s="8">
        <f ca="1">IF(OFFSET(Fact5_predicmoderate!$A$1,MATCH($Y10,Fact5_predicmoderate!$A$2:$A$26,0),MATCH(AM$2,Fact5_predicmoderate!$A$1:$V$1,0)-1,1,1)=0,NA(),OFFSET(Fact5_predicmoderate!$A$1,MATCH($Y10,Fact5_predicmoderate!$A$2:$A$26,0),MATCH(AM$2,Fact5_predicmoderate!$A$1:$V$1,0)-1,1,1))</f>
        <v>13.958318710327148</v>
      </c>
      <c r="AN47" s="8">
        <f ca="1">IF(OFFSET(Fact5_predicmoderate!$A$1,MATCH($Y10,Fact5_predicmoderate!$A$2:$A$26,0),MATCH(AN$2,Fact5_predicmoderate!$A$1:$V$1,0)-1,1,1)=0,NA(),OFFSET(Fact5_predicmoderate!$A$1,MATCH($Y10,Fact5_predicmoderate!$A$2:$A$26,0),MATCH(AN$2,Fact5_predicmoderate!$A$1:$V$1,0)-1,1,1))</f>
        <v>13.85936164855957</v>
      </c>
      <c r="AO47" s="8">
        <f ca="1">IF(OFFSET(Fact5_predicmoderate!$A$1,MATCH($Y10,Fact5_predicmoderate!$A$2:$A$26,0),MATCH(AO$2,Fact5_predicmoderate!$A$1:$V$1,0)-1,1,1)=0,NA(),OFFSET(Fact5_predicmoderate!$A$1,MATCH($Y10,Fact5_predicmoderate!$A$2:$A$26,0),MATCH(AO$2,Fact5_predicmoderate!$A$1:$V$1,0)-1,1,1))</f>
        <v>14.028373718261719</v>
      </c>
      <c r="AP47" s="8">
        <f ca="1">IF(OFFSET(Fact5_predicmoderate!$A$1,MATCH($Y10,Fact5_predicmoderate!$A$2:$A$26,0),MATCH(AP$2,Fact5_predicmoderate!$A$1:$V$1,0)-1,1,1)=0,NA(),OFFSET(Fact5_predicmoderate!$A$1,MATCH($Y10,Fact5_predicmoderate!$A$2:$A$26,0),MATCH(AP$2,Fact5_predicmoderate!$A$1:$V$1,0)-1,1,1))</f>
        <v>14.879727363586426</v>
      </c>
      <c r="AQ47" s="8">
        <f ca="1">IF(OFFSET(Fact5_predicmoderate!$A$1,MATCH($Y10,Fact5_predicmoderate!$A$2:$A$26,0),MATCH(AQ$2,Fact5_predicmoderate!$A$1:$V$1,0)-1,1,1)=0,NA(),OFFSET(Fact5_predicmoderate!$A$1,MATCH($Y10,Fact5_predicmoderate!$A$2:$A$26,0),MATCH(AQ$2,Fact5_predicmoderate!$A$1:$V$1,0)-1,1,1))</f>
        <v>18.712263107299805</v>
      </c>
      <c r="AR47" s="8">
        <f ca="1">IF(OFFSET(Fact5_predicmoderate!$A$1,MATCH($Y10,Fact5_predicmoderate!$A$2:$A$26,0),MATCH(AR$2,Fact5_predicmoderate!$A$1:$V$1,0)-1,1,1)=0,NA(),OFFSET(Fact5_predicmoderate!$A$1,MATCH($Y10,Fact5_predicmoderate!$A$2:$A$26,0),MATCH(AR$2,Fact5_predicmoderate!$A$1:$V$1,0)-1,1,1))</f>
        <v>16.404233932495117</v>
      </c>
      <c r="AS47" s="8">
        <f ca="1">IF(OFFSET(Fact5_predicmoderate!$A$1,MATCH($Y10,Fact5_predicmoderate!$A$2:$A$26,0),MATCH(AS$2,Fact5_predicmoderate!$A$1:$V$1,0)-1,1,1)=0,NA(),OFFSET(Fact5_predicmoderate!$A$1,MATCH($Y10,Fact5_predicmoderate!$A$2:$A$26,0),MATCH(AS$2,Fact5_predicmoderate!$A$1:$V$1,0)-1,1,1))</f>
        <v>15.634213447570801</v>
      </c>
      <c r="AT47" s="8">
        <f ca="1">IF(OFFSET(Fact5_predicmoderate!$A$1,MATCH($Y10,Fact5_predicmoderate!$A$2:$A$26,0),MATCH(AT$2,Fact5_predicmoderate!$A$1:$V$1,0)-1,1,1)=0,NA(),OFFSET(Fact5_predicmoderate!$A$1,MATCH($Y10,Fact5_predicmoderate!$A$2:$A$26,0),MATCH(AT$2,Fact5_predicmoderate!$A$1:$V$1,0)-1,1,1))</f>
        <v>14.285224914550781</v>
      </c>
      <c r="AW47" s="7532">
        <f t="shared" ca="1" si="56"/>
        <v>-0.29394582869241948</v>
      </c>
      <c r="AX47" s="7533">
        <f t="shared" ca="1" si="57"/>
        <v>0.25756760524338218</v>
      </c>
      <c r="AY47" s="7532">
        <f t="shared" ca="1" si="58"/>
        <v>0.10245527566852153</v>
      </c>
      <c r="AZ47" s="7535"/>
      <c r="BA47" s="7532">
        <f t="shared" ca="1" si="59"/>
        <v>8.2337502810472918E-2</v>
      </c>
      <c r="BB47" s="7532">
        <f t="shared" ca="1" si="60"/>
        <v>-9.9692258165889336E-2</v>
      </c>
      <c r="BC47" s="7532">
        <f t="shared" ca="1" si="61"/>
        <v>2.9134386174016758E-2</v>
      </c>
      <c r="BD47" s="7532">
        <f t="shared" ca="1" si="62"/>
        <v>-9.3682265791045327E-2</v>
      </c>
      <c r="BE47" s="7532">
        <f t="shared" ca="1" si="63"/>
        <v>-1.570147296928659E-2</v>
      </c>
      <c r="BF47" s="7532">
        <f t="shared" ca="1" si="64"/>
        <v>-1.8231257477192897E-2</v>
      </c>
      <c r="BG47" s="7532">
        <f t="shared" ca="1" si="65"/>
        <v>-3.8092745893870794E-2</v>
      </c>
      <c r="BH47" s="7532">
        <f t="shared" ca="1" si="66"/>
        <v>-7.87882189528335E-2</v>
      </c>
      <c r="BI47" s="7532">
        <f t="shared" ca="1" si="67"/>
        <v>9.8069200907349163E-3</v>
      </c>
      <c r="BJ47" s="7532">
        <f t="shared" ca="1" si="68"/>
        <v>-3.0604807870390327E-2</v>
      </c>
      <c r="BK47" s="7532">
        <f t="shared" ca="1" si="69"/>
        <v>-1.606337271617897E-2</v>
      </c>
      <c r="BL47" s="7532">
        <f t="shared" ca="1" si="70"/>
        <v>-8.2565117634198049E-2</v>
      </c>
      <c r="BM47" s="7532">
        <f t="shared" ca="1" si="71"/>
        <v>3.1537296173413942E-3</v>
      </c>
      <c r="BN47" s="7532">
        <f t="shared" ca="1" si="72"/>
        <v>-7.0894685686152537E-3</v>
      </c>
      <c r="BO47" s="7532">
        <f t="shared" ca="1" si="73"/>
        <v>1.2194794680151499E-2</v>
      </c>
      <c r="BP47" s="7532">
        <f t="shared" ca="1" si="74"/>
        <v>6.0687978693955147E-2</v>
      </c>
      <c r="BQ47" s="7532">
        <f t="shared" ca="1" si="75"/>
        <v>0.25756760524338218</v>
      </c>
      <c r="BR47" s="7532">
        <f t="shared" ca="1" si="76"/>
        <v>-0.12334313394216367</v>
      </c>
      <c r="BS47" s="7532">
        <f t="shared" ca="1" si="77"/>
        <v>-4.694035016161191E-2</v>
      </c>
      <c r="BT47" s="7532">
        <f t="shared" ca="1" si="78"/>
        <v>-8.6284387605672697E-2</v>
      </c>
      <c r="BV47" s="8"/>
    </row>
    <row r="48" spans="2:74">
      <c r="B48" s="99" t="s">
        <v>27</v>
      </c>
      <c r="C48">
        <f>IF(Fact5_predicmoderate!B8&gt;0,VLOOKUP(Fact5!$B48,Fact5_predicmoderate!$A$1:$W$19,23,0),"")</f>
        <v>11332973</v>
      </c>
      <c r="D48">
        <f>IF(Fact5_predicmoderate!C8&gt;0,VLOOKUP(Fact5!$B48,Fact5_predicmoderate!$A$1:$W$19,23,0),"")</f>
        <v>11332973</v>
      </c>
      <c r="E48">
        <f>IF(Fact5_predicmoderate!D8&gt;0,VLOOKUP(Fact5!$B48,Fact5_predicmoderate!$A$1:$W$19,23,0),"")</f>
        <v>11332973</v>
      </c>
      <c r="F48">
        <f>IF(Fact5_predicmoderate!E8&gt;0,VLOOKUP(Fact5!$B48,Fact5_predicmoderate!$A$1:$W$19,23,0),"")</f>
        <v>11332973</v>
      </c>
      <c r="G48">
        <f>IF(Fact5_predicmoderate!F8&gt;0,VLOOKUP(Fact5!$B48,Fact5_predicmoderate!$A$1:$W$19,23,0),"")</f>
        <v>11332973</v>
      </c>
      <c r="H48">
        <f>IF(Fact5_predicmoderate!G8&gt;0,VLOOKUP(Fact5!$B48,Fact5_predicmoderate!$A$1:$W$19,23,0),"")</f>
        <v>11332973</v>
      </c>
      <c r="I48">
        <f>IF(Fact5_predicmoderate!H8&gt;0,VLOOKUP(Fact5!$B48,Fact5_predicmoderate!$A$1:$W$19,23,0),"")</f>
        <v>11332973</v>
      </c>
      <c r="J48">
        <f>IF(Fact5_predicmoderate!I8&gt;0,VLOOKUP(Fact5!$B48,Fact5_predicmoderate!$A$1:$W$19,23,0),"")</f>
        <v>11332973</v>
      </c>
      <c r="K48">
        <f>IF(Fact5_predicmoderate!J8&gt;0,VLOOKUP(Fact5!$B48,Fact5_predicmoderate!$A$1:$W$19,23,0),"")</f>
        <v>11332973</v>
      </c>
      <c r="L48">
        <f>IF(Fact5_predicmoderate!K8&gt;0,VLOOKUP(Fact5!$B48,Fact5_predicmoderate!$A$1:$W$19,23,0),"")</f>
        <v>11332973</v>
      </c>
      <c r="M48">
        <f>IF(Fact5_predicmoderate!L8&gt;0,VLOOKUP(Fact5!$B48,Fact5_predicmoderate!$A$1:$W$19,23,0),"")</f>
        <v>11332973</v>
      </c>
      <c r="N48">
        <f>IF(Fact5_predicmoderate!M8&gt;0,VLOOKUP(Fact5!$B48,Fact5_predicmoderate!$A$1:$W$19,23,0),"")</f>
        <v>11332973</v>
      </c>
      <c r="O48">
        <f>IF(Fact5_predicmoderate!N8&gt;0,VLOOKUP(Fact5!$B48,Fact5_predicmoderate!$A$1:$W$19,23,0),"")</f>
        <v>11332973</v>
      </c>
      <c r="P48">
        <f>IF(Fact5_predicmoderate!O8&gt;0,VLOOKUP(Fact5!$B48,Fact5_predicmoderate!$A$1:$W$19,23,0),"")</f>
        <v>11332973</v>
      </c>
      <c r="Q48">
        <f>IF(Fact5_predicmoderate!P8&gt;0,VLOOKUP(Fact5!$B48,Fact5_predicmoderate!$A$1:$W$19,23,0),"")</f>
        <v>11332973</v>
      </c>
      <c r="R48">
        <f>IF(Fact5_predicmoderate!Q8&gt;0,VLOOKUP(Fact5!$B48,Fact5_predicmoderate!$A$1:$W$19,23,0),"")</f>
        <v>11332973</v>
      </c>
      <c r="S48">
        <f>IF(Fact5_predicmoderate!R8&gt;0,VLOOKUP(Fact5!$B48,Fact5_predicmoderate!$A$1:$W$19,23,0),"")</f>
        <v>11332973</v>
      </c>
      <c r="T48">
        <f>IF(Fact5_predicmoderate!S8&gt;0,VLOOKUP(Fact5!$B48,Fact5_predicmoderate!$A$1:$W$19,23,0),"")</f>
        <v>11332973</v>
      </c>
      <c r="U48">
        <f>IF(Fact5_predicmoderate!T8&gt;0,VLOOKUP(Fact5!$B48,Fact5_predicmoderate!$A$1:$W$19,23,0),"")</f>
        <v>11332973</v>
      </c>
      <c r="V48">
        <f>IF(Fact5_predicmoderate!U8&gt;0,VLOOKUP(Fact5!$B48,Fact5_predicmoderate!$A$1:$W$19,23,0),"")</f>
        <v>11332973</v>
      </c>
      <c r="W48">
        <f>IF(Fact5_predicmoderate!V8&gt;0,VLOOKUP(Fact5!$B48,Fact5_predicmoderate!$A$1:$W$19,23,0),"")</f>
        <v>11332973</v>
      </c>
      <c r="Y48" s="2563" t="s">
        <v>27</v>
      </c>
      <c r="Z48" s="8">
        <f ca="1">IF(OFFSET(Fact5_predicmoderate!$A$1,MATCH($Y11,Fact5_predicmoderate!$A$2:$A$26,0),MATCH(Z$2,Fact5_predicmoderate!$A$1:$V$1,0)-1,1,1)=0,NA(),OFFSET(Fact5_predicmoderate!$A$1,MATCH($Y11,Fact5_predicmoderate!$A$2:$A$26,0),MATCH(Z$2,Fact5_predicmoderate!$A$1:$V$1,0)-1,1,1))</f>
        <v>27.390316009521484</v>
      </c>
      <c r="AA48" s="8">
        <f ca="1">IF(OFFSET(Fact5_predicmoderate!$A$1,MATCH($Y11,Fact5_predicmoderate!$A$2:$A$26,0),MATCH(AA$2,Fact5_predicmoderate!$A$1:$V$1,0)-1,1,1)=0,NA(),OFFSET(Fact5_predicmoderate!$A$1,MATCH($Y11,Fact5_predicmoderate!$A$2:$A$26,0),MATCH(AA$2,Fact5_predicmoderate!$A$1:$V$1,0)-1,1,1))</f>
        <v>28.124729156494141</v>
      </c>
      <c r="AB48" s="8">
        <f ca="1">IF(OFFSET(Fact5_predicmoderate!$A$1,MATCH($Y11,Fact5_predicmoderate!$A$2:$A$26,0),MATCH(AB$2,Fact5_predicmoderate!$A$1:$V$1,0)-1,1,1)=0,NA(),OFFSET(Fact5_predicmoderate!$A$1,MATCH($Y11,Fact5_predicmoderate!$A$2:$A$26,0),MATCH(AB$2,Fact5_predicmoderate!$A$1:$V$1,0)-1,1,1))</f>
        <v>26.530986785888672</v>
      </c>
      <c r="AC48" s="8">
        <f ca="1">IF(OFFSET(Fact5_predicmoderate!$A$1,MATCH($Y11,Fact5_predicmoderate!$A$2:$A$26,0),MATCH(AC$2,Fact5_predicmoderate!$A$1:$V$1,0)-1,1,1)=0,NA(),OFFSET(Fact5_predicmoderate!$A$1,MATCH($Y11,Fact5_predicmoderate!$A$2:$A$26,0),MATCH(AC$2,Fact5_predicmoderate!$A$1:$V$1,0)-1,1,1))</f>
        <v>25.531867980957031</v>
      </c>
      <c r="AD48" s="8">
        <f ca="1">IF(OFFSET(Fact5_predicmoderate!$A$1,MATCH($Y11,Fact5_predicmoderate!$A$2:$A$26,0),MATCH(AD$2,Fact5_predicmoderate!$A$1:$V$1,0)-1,1,1)=0,NA(),OFFSET(Fact5_predicmoderate!$A$1,MATCH($Y11,Fact5_predicmoderate!$A$2:$A$26,0),MATCH(AD$2,Fact5_predicmoderate!$A$1:$V$1,0)-1,1,1))</f>
        <v>27.275680541992188</v>
      </c>
      <c r="AE48" s="8">
        <f ca="1">IF(OFFSET(Fact5_predicmoderate!$A$1,MATCH($Y11,Fact5_predicmoderate!$A$2:$A$26,0),MATCH(AE$2,Fact5_predicmoderate!$A$1:$V$1,0)-1,1,1)=0,NA(),OFFSET(Fact5_predicmoderate!$A$1,MATCH($Y11,Fact5_predicmoderate!$A$2:$A$26,0),MATCH(AE$2,Fact5_predicmoderate!$A$1:$V$1,0)-1,1,1))</f>
        <v>27.748525619506836</v>
      </c>
      <c r="AF48" s="8">
        <f ca="1">IF(OFFSET(Fact5_predicmoderate!$A$1,MATCH($Y11,Fact5_predicmoderate!$A$2:$A$26,0),MATCH(AF$2,Fact5_predicmoderate!$A$1:$V$1,0)-1,1,1)=0,NA(),OFFSET(Fact5_predicmoderate!$A$1,MATCH($Y11,Fact5_predicmoderate!$A$2:$A$26,0),MATCH(AF$2,Fact5_predicmoderate!$A$1:$V$1,0)-1,1,1))</f>
        <v>26.284385681152344</v>
      </c>
      <c r="AG48" s="8">
        <f ca="1">IF(OFFSET(Fact5_predicmoderate!$A$1,MATCH($Y11,Fact5_predicmoderate!$A$2:$A$26,0),MATCH(AG$2,Fact5_predicmoderate!$A$1:$V$1,0)-1,1,1)=0,NA(),OFFSET(Fact5_predicmoderate!$A$1,MATCH($Y11,Fact5_predicmoderate!$A$2:$A$26,0),MATCH(AG$2,Fact5_predicmoderate!$A$1:$V$1,0)-1,1,1))</f>
        <v>26.496257781982422</v>
      </c>
      <c r="AH48" s="8">
        <f ca="1">IF(OFFSET(Fact5_predicmoderate!$A$1,MATCH($Y11,Fact5_predicmoderate!$A$2:$A$26,0),MATCH(AH$2,Fact5_predicmoderate!$A$1:$V$1,0)-1,1,1)=0,NA(),OFFSET(Fact5_predicmoderate!$A$1,MATCH($Y11,Fact5_predicmoderate!$A$2:$A$26,0),MATCH(AH$2,Fact5_predicmoderate!$A$1:$V$1,0)-1,1,1))</f>
        <v>28.946372985839844</v>
      </c>
      <c r="AI48" s="8">
        <f ca="1">IF(OFFSET(Fact5_predicmoderate!$A$1,MATCH($Y11,Fact5_predicmoderate!$A$2:$A$26,0),MATCH(AI$2,Fact5_predicmoderate!$A$1:$V$1,0)-1,1,1)=0,NA(),OFFSET(Fact5_predicmoderate!$A$1,MATCH($Y11,Fact5_predicmoderate!$A$2:$A$26,0),MATCH(AI$2,Fact5_predicmoderate!$A$1:$V$1,0)-1,1,1))</f>
        <v>29.316965103149414</v>
      </c>
      <c r="AJ48" s="8">
        <f ca="1">IF(OFFSET(Fact5_predicmoderate!$A$1,MATCH($Y11,Fact5_predicmoderate!$A$2:$A$26,0),MATCH(AJ$2,Fact5_predicmoderate!$A$1:$V$1,0)-1,1,1)=0,NA(),OFFSET(Fact5_predicmoderate!$A$1,MATCH($Y11,Fact5_predicmoderate!$A$2:$A$26,0),MATCH(AJ$2,Fact5_predicmoderate!$A$1:$V$1,0)-1,1,1))</f>
        <v>28.941011428833008</v>
      </c>
      <c r="AK48" s="8">
        <f ca="1">IF(OFFSET(Fact5_predicmoderate!$A$1,MATCH($Y11,Fact5_predicmoderate!$A$2:$A$26,0),MATCH(AK$2,Fact5_predicmoderate!$A$1:$V$1,0)-1,1,1)=0,NA(),OFFSET(Fact5_predicmoderate!$A$1,MATCH($Y11,Fact5_predicmoderate!$A$2:$A$26,0),MATCH(AK$2,Fact5_predicmoderate!$A$1:$V$1,0)-1,1,1))</f>
        <v>26.334131240844727</v>
      </c>
      <c r="AL48" s="8">
        <f ca="1">IF(OFFSET(Fact5_predicmoderate!$A$1,MATCH($Y11,Fact5_predicmoderate!$A$2:$A$26,0),MATCH(AL$2,Fact5_predicmoderate!$A$1:$V$1,0)-1,1,1)=0,NA(),OFFSET(Fact5_predicmoderate!$A$1,MATCH($Y11,Fact5_predicmoderate!$A$2:$A$26,0),MATCH(AL$2,Fact5_predicmoderate!$A$1:$V$1,0)-1,1,1))</f>
        <v>25.451595306396484</v>
      </c>
      <c r="AM48" s="8">
        <f ca="1">IF(OFFSET(Fact5_predicmoderate!$A$1,MATCH($Y11,Fact5_predicmoderate!$A$2:$A$26,0),MATCH(AM$2,Fact5_predicmoderate!$A$1:$V$1,0)-1,1,1)=0,NA(),OFFSET(Fact5_predicmoderate!$A$1,MATCH($Y11,Fact5_predicmoderate!$A$2:$A$26,0),MATCH(AM$2,Fact5_predicmoderate!$A$1:$V$1,0)-1,1,1))</f>
        <v>23.7127685546875</v>
      </c>
      <c r="AN48" s="8">
        <f ca="1">IF(OFFSET(Fact5_predicmoderate!$A$1,MATCH($Y11,Fact5_predicmoderate!$A$2:$A$26,0),MATCH(AN$2,Fact5_predicmoderate!$A$1:$V$1,0)-1,1,1)=0,NA(),OFFSET(Fact5_predicmoderate!$A$1,MATCH($Y11,Fact5_predicmoderate!$A$2:$A$26,0),MATCH(AN$2,Fact5_predicmoderate!$A$1:$V$1,0)-1,1,1))</f>
        <v>22.355861663818359</v>
      </c>
      <c r="AO48" s="8">
        <f ca="1">IF(OFFSET(Fact5_predicmoderate!$A$1,MATCH($Y11,Fact5_predicmoderate!$A$2:$A$26,0),MATCH(AO$2,Fact5_predicmoderate!$A$1:$V$1,0)-1,1,1)=0,NA(),OFFSET(Fact5_predicmoderate!$A$1,MATCH($Y11,Fact5_predicmoderate!$A$2:$A$26,0),MATCH(AO$2,Fact5_predicmoderate!$A$1:$V$1,0)-1,1,1))</f>
        <v>21.285907745361328</v>
      </c>
      <c r="AP48" s="8">
        <f ca="1">IF(OFFSET(Fact5_predicmoderate!$A$1,MATCH($Y11,Fact5_predicmoderate!$A$2:$A$26,0),MATCH(AP$2,Fact5_predicmoderate!$A$1:$V$1,0)-1,1,1)=0,NA(),OFFSET(Fact5_predicmoderate!$A$1,MATCH($Y11,Fact5_predicmoderate!$A$2:$A$26,0),MATCH(AP$2,Fact5_predicmoderate!$A$1:$V$1,0)-1,1,1))</f>
        <v>19.962697982788086</v>
      </c>
      <c r="AQ48" s="8">
        <f ca="1">IF(OFFSET(Fact5_predicmoderate!$A$1,MATCH($Y11,Fact5_predicmoderate!$A$2:$A$26,0),MATCH(AQ$2,Fact5_predicmoderate!$A$1:$V$1,0)-1,1,1)=0,NA(),OFFSET(Fact5_predicmoderate!$A$1,MATCH($Y11,Fact5_predicmoderate!$A$2:$A$26,0),MATCH(AQ$2,Fact5_predicmoderate!$A$1:$V$1,0)-1,1,1))</f>
        <v>25.927192687988281</v>
      </c>
      <c r="AR48" s="8">
        <f ca="1">IF(OFFSET(Fact5_predicmoderate!$A$1,MATCH($Y11,Fact5_predicmoderate!$A$2:$A$26,0),MATCH(AR$2,Fact5_predicmoderate!$A$1:$V$1,0)-1,1,1)=0,NA(),OFFSET(Fact5_predicmoderate!$A$1,MATCH($Y11,Fact5_predicmoderate!$A$2:$A$26,0),MATCH(AR$2,Fact5_predicmoderate!$A$1:$V$1,0)-1,1,1))</f>
        <v>22.693580627441406</v>
      </c>
      <c r="AS48" s="8">
        <f ca="1">IF(OFFSET(Fact5_predicmoderate!$A$1,MATCH($Y11,Fact5_predicmoderate!$A$2:$A$26,0),MATCH(AS$2,Fact5_predicmoderate!$A$1:$V$1,0)-1,1,1)=0,NA(),OFFSET(Fact5_predicmoderate!$A$1,MATCH($Y11,Fact5_predicmoderate!$A$2:$A$26,0),MATCH(AS$2,Fact5_predicmoderate!$A$1:$V$1,0)-1,1,1))</f>
        <v>20.271793365478516</v>
      </c>
      <c r="AT48" s="88">
        <f ca="1">IF(OFFSET(Fact5_predicmoderate!$A$1,MATCH($Y11,Fact5_predicmoderate!$A$2:$A$26,0),MATCH(AT$2,Fact5_predicmoderate!$A$1:$V$1,0)-1,1,1)=0,NA(),OFFSET(Fact5_predicmoderate!$A$1,MATCH($Y11,Fact5_predicmoderate!$A$2:$A$26,0),MATCH(AT$2,Fact5_predicmoderate!$A$1:$V$1,0)-1,1,1))</f>
        <v>18.108451843261719</v>
      </c>
      <c r="AW48" s="7532">
        <f t="shared" ca="1" si="56"/>
        <v>-0.33887393497151264</v>
      </c>
      <c r="AX48" s="7533">
        <f t="shared" ca="1" si="57"/>
        <v>0.29878199381380233</v>
      </c>
      <c r="AY48" s="7532">
        <f t="shared" ca="1" si="58"/>
        <v>0.13679927668133329</v>
      </c>
      <c r="AZ48" s="7535"/>
      <c r="BA48" s="7532">
        <f t="shared" ca="1" si="59"/>
        <v>2.6812876007613617E-2</v>
      </c>
      <c r="BB48" s="7532">
        <f t="shared" ca="1" si="60"/>
        <v>-5.6666941101456425E-2</v>
      </c>
      <c r="BC48" s="7532">
        <f t="shared" ca="1" si="61"/>
        <v>-3.7658561778902699E-2</v>
      </c>
      <c r="BD48" s="7532">
        <f t="shared" ca="1" si="62"/>
        <v>6.8299450801476036E-2</v>
      </c>
      <c r="BE48" s="7532">
        <f t="shared" ca="1" si="63"/>
        <v>1.7335775611049709E-2</v>
      </c>
      <c r="BF48" s="7545">
        <f t="shared" ca="1" si="64"/>
        <v>-5.2764603007419697E-2</v>
      </c>
      <c r="BG48" s="7532">
        <f t="shared" ca="1" si="65"/>
        <v>8.060759090976477E-3</v>
      </c>
      <c r="BH48" s="7532">
        <f t="shared" ca="1" si="66"/>
        <v>9.2470235759991359E-2</v>
      </c>
      <c r="BI48" s="7532">
        <f t="shared" ca="1" si="67"/>
        <v>1.2802713400081656E-2</v>
      </c>
      <c r="BJ48" s="7532">
        <f t="shared" ca="1" si="68"/>
        <v>-1.2823758291270693E-2</v>
      </c>
      <c r="BK48" s="7532">
        <f t="shared" ca="1" si="69"/>
        <v>-9.0075642117715682E-2</v>
      </c>
      <c r="BL48" s="7532">
        <f t="shared" ca="1" si="70"/>
        <v>-3.3513007373465631E-2</v>
      </c>
      <c r="BM48" s="7532">
        <f t="shared" ca="1" si="71"/>
        <v>-6.8318969038140498E-2</v>
      </c>
      <c r="BN48" s="7532">
        <f t="shared" ca="1" si="72"/>
        <v>-5.7222626187228176E-2</v>
      </c>
      <c r="BO48" s="7532">
        <f t="shared" ca="1" si="73"/>
        <v>-4.7860106425183679E-2</v>
      </c>
      <c r="BP48" s="7532">
        <f t="shared" ca="1" si="74"/>
        <v>-6.2163652046344997E-2</v>
      </c>
      <c r="BQ48" s="7532">
        <f t="shared" ca="1" si="75"/>
        <v>0.29878199381380233</v>
      </c>
      <c r="BR48" s="7532">
        <f t="shared" ca="1" si="76"/>
        <v>-0.12471894275098139</v>
      </c>
      <c r="BS48" s="7532">
        <f t="shared" ca="1" si="77"/>
        <v>-0.10671684216436217</v>
      </c>
      <c r="BT48" s="7532">
        <f t="shared" ca="1" si="78"/>
        <v>-0.10671682979468511</v>
      </c>
      <c r="BV48" s="8"/>
    </row>
    <row r="49" spans="2:74" ht="15" thickBot="1">
      <c r="B49" s="99" t="s">
        <v>29</v>
      </c>
      <c r="C49">
        <f>IF(Fact5_predicmoderate!B9&gt;0,VLOOKUP(Fact5!$B49,Fact5_predicmoderate!$A$1:$W$19,23,0),"")</f>
        <v>18190484</v>
      </c>
      <c r="D49">
        <f>IF(Fact5_predicmoderate!C9&gt;0,VLOOKUP(Fact5!$B49,Fact5_predicmoderate!$A$1:$W$19,23,0),"")</f>
        <v>18190484</v>
      </c>
      <c r="E49">
        <f>IF(Fact5_predicmoderate!D9&gt;0,VLOOKUP(Fact5!$B49,Fact5_predicmoderate!$A$1:$W$19,23,0),"")</f>
        <v>18190484</v>
      </c>
      <c r="F49">
        <f>IF(Fact5_predicmoderate!E9&gt;0,VLOOKUP(Fact5!$B49,Fact5_predicmoderate!$A$1:$W$19,23,0),"")</f>
        <v>18190484</v>
      </c>
      <c r="G49">
        <f>IF(Fact5_predicmoderate!F9&gt;0,VLOOKUP(Fact5!$B49,Fact5_predicmoderate!$A$1:$W$19,23,0),"")</f>
        <v>18190484</v>
      </c>
      <c r="H49">
        <f>IF(Fact5_predicmoderate!G9&gt;0,VLOOKUP(Fact5!$B49,Fact5_predicmoderate!$A$1:$W$19,23,0),"")</f>
        <v>18190484</v>
      </c>
      <c r="I49">
        <f>IF(Fact5_predicmoderate!H9&gt;0,VLOOKUP(Fact5!$B49,Fact5_predicmoderate!$A$1:$W$19,23,0),"")</f>
        <v>18190484</v>
      </c>
      <c r="J49">
        <f>IF(Fact5_predicmoderate!I9&gt;0,VLOOKUP(Fact5!$B49,Fact5_predicmoderate!$A$1:$W$19,23,0),"")</f>
        <v>18190484</v>
      </c>
      <c r="K49">
        <f>IF(Fact5_predicmoderate!J9&gt;0,VLOOKUP(Fact5!$B49,Fact5_predicmoderate!$A$1:$W$19,23,0),"")</f>
        <v>18190484</v>
      </c>
      <c r="L49">
        <f>IF(Fact5_predicmoderate!K9&gt;0,VLOOKUP(Fact5!$B49,Fact5_predicmoderate!$A$1:$W$19,23,0),"")</f>
        <v>18190484</v>
      </c>
      <c r="M49">
        <f>IF(Fact5_predicmoderate!L9&gt;0,VLOOKUP(Fact5!$B49,Fact5_predicmoderate!$A$1:$W$19,23,0),"")</f>
        <v>18190484</v>
      </c>
      <c r="N49">
        <f>IF(Fact5_predicmoderate!M9&gt;0,VLOOKUP(Fact5!$B49,Fact5_predicmoderate!$A$1:$W$19,23,0),"")</f>
        <v>18190484</v>
      </c>
      <c r="O49">
        <f>IF(Fact5_predicmoderate!N9&gt;0,VLOOKUP(Fact5!$B49,Fact5_predicmoderate!$A$1:$W$19,23,0),"")</f>
        <v>18190484</v>
      </c>
      <c r="P49">
        <f>IF(Fact5_predicmoderate!O9&gt;0,VLOOKUP(Fact5!$B49,Fact5_predicmoderate!$A$1:$W$19,23,0),"")</f>
        <v>18190484</v>
      </c>
      <c r="Q49">
        <f>IF(Fact5_predicmoderate!P9&gt;0,VLOOKUP(Fact5!$B49,Fact5_predicmoderate!$A$1:$W$19,23,0),"")</f>
        <v>18190484</v>
      </c>
      <c r="R49">
        <f>IF(Fact5_predicmoderate!Q9&gt;0,VLOOKUP(Fact5!$B49,Fact5_predicmoderate!$A$1:$W$19,23,0),"")</f>
        <v>18190484</v>
      </c>
      <c r="S49">
        <f>IF(Fact5_predicmoderate!R9&gt;0,VLOOKUP(Fact5!$B49,Fact5_predicmoderate!$A$1:$W$19,23,0),"")</f>
        <v>18190484</v>
      </c>
      <c r="T49">
        <f>IF(Fact5_predicmoderate!S9&gt;0,VLOOKUP(Fact5!$B49,Fact5_predicmoderate!$A$1:$W$19,23,0),"")</f>
        <v>18190484</v>
      </c>
      <c r="U49">
        <f>IF(Fact5_predicmoderate!T9&gt;0,VLOOKUP(Fact5!$B49,Fact5_predicmoderate!$A$1:$W$19,23,0),"")</f>
        <v>18190484</v>
      </c>
      <c r="V49">
        <f>IF(Fact5_predicmoderate!U9&gt;0,VLOOKUP(Fact5!$B49,Fact5_predicmoderate!$A$1:$W$19,23,0),"")</f>
        <v>18190484</v>
      </c>
      <c r="W49">
        <f>IF(Fact5_predicmoderate!V9&gt;0,VLOOKUP(Fact5!$B49,Fact5_predicmoderate!$A$1:$W$19,23,0),"")</f>
        <v>18190484</v>
      </c>
      <c r="Y49" s="2563" t="s">
        <v>29</v>
      </c>
      <c r="Z49" s="8">
        <f ca="1">IF(OFFSET(Fact5_predicmoderate!$A$1,MATCH($Y12,Fact5_predicmoderate!$A$2:$A$26,0),MATCH(Z$2,Fact5_predicmoderate!$A$1:$V$1,0)-1,1,1)=0,NA(),OFFSET(Fact5_predicmoderate!$A$1,MATCH($Y12,Fact5_predicmoderate!$A$2:$A$26,0),MATCH(Z$2,Fact5_predicmoderate!$A$1:$V$1,0)-1,1,1))</f>
        <v>26.247650146484375</v>
      </c>
      <c r="AA49" s="8">
        <f ca="1">IF(OFFSET(Fact5_predicmoderate!$A$1,MATCH($Y12,Fact5_predicmoderate!$A$2:$A$26,0),MATCH(AA$2,Fact5_predicmoderate!$A$1:$V$1,0)-1,1,1)=0,NA(),OFFSET(Fact5_predicmoderate!$A$1,MATCH($Y12,Fact5_predicmoderate!$A$2:$A$26,0),MATCH(AA$2,Fact5_predicmoderate!$A$1:$V$1,0)-1,1,1))</f>
        <v>25.315877914428711</v>
      </c>
      <c r="AB49" s="8">
        <f ca="1">IF(OFFSET(Fact5_predicmoderate!$A$1,MATCH($Y12,Fact5_predicmoderate!$A$2:$A$26,0),MATCH(AB$2,Fact5_predicmoderate!$A$1:$V$1,0)-1,1,1)=0,NA(),OFFSET(Fact5_predicmoderate!$A$1,MATCH($Y12,Fact5_predicmoderate!$A$2:$A$26,0),MATCH(AB$2,Fact5_predicmoderate!$A$1:$V$1,0)-1,1,1))</f>
        <v>25.582992553710938</v>
      </c>
      <c r="AC49" s="8">
        <f ca="1">IF(OFFSET(Fact5_predicmoderate!$A$1,MATCH($Y12,Fact5_predicmoderate!$A$2:$A$26,0),MATCH(AC$2,Fact5_predicmoderate!$A$1:$V$1,0)-1,1,1)=0,NA(),OFFSET(Fact5_predicmoderate!$A$1,MATCH($Y12,Fact5_predicmoderate!$A$2:$A$26,0),MATCH(AC$2,Fact5_predicmoderate!$A$1:$V$1,0)-1,1,1))</f>
        <v>26.702112197875977</v>
      </c>
      <c r="AD49" s="8">
        <f ca="1">IF(OFFSET(Fact5_predicmoderate!$A$1,MATCH($Y12,Fact5_predicmoderate!$A$2:$A$26,0),MATCH(AD$2,Fact5_predicmoderate!$A$1:$V$1,0)-1,1,1)=0,NA(),OFFSET(Fact5_predicmoderate!$A$1,MATCH($Y12,Fact5_predicmoderate!$A$2:$A$26,0),MATCH(AD$2,Fact5_predicmoderate!$A$1:$V$1,0)-1,1,1))</f>
        <v>26.665180206298828</v>
      </c>
      <c r="AE49" s="8">
        <f ca="1">IF(OFFSET(Fact5_predicmoderate!$A$1,MATCH($Y12,Fact5_predicmoderate!$A$2:$A$26,0),MATCH(AE$2,Fact5_predicmoderate!$A$1:$V$1,0)-1,1,1)=0,NA(),OFFSET(Fact5_predicmoderate!$A$1,MATCH($Y12,Fact5_predicmoderate!$A$2:$A$26,0),MATCH(AE$2,Fact5_predicmoderate!$A$1:$V$1,0)-1,1,1))</f>
        <v>25.818733215332031</v>
      </c>
      <c r="AF49" s="8">
        <f ca="1">IF(OFFSET(Fact5_predicmoderate!$A$1,MATCH($Y12,Fact5_predicmoderate!$A$2:$A$26,0),MATCH(AF$2,Fact5_predicmoderate!$A$1:$V$1,0)-1,1,1)=0,NA(),OFFSET(Fact5_predicmoderate!$A$1,MATCH($Y12,Fact5_predicmoderate!$A$2:$A$26,0),MATCH(AF$2,Fact5_predicmoderate!$A$1:$V$1,0)-1,1,1))</f>
        <v>27.694272994995117</v>
      </c>
      <c r="AG49" s="8">
        <f ca="1">IF(OFFSET(Fact5_predicmoderate!$A$1,MATCH($Y12,Fact5_predicmoderate!$A$2:$A$26,0),MATCH(AG$2,Fact5_predicmoderate!$A$1:$V$1,0)-1,1,1)=0,NA(),OFFSET(Fact5_predicmoderate!$A$1,MATCH($Y12,Fact5_predicmoderate!$A$2:$A$26,0),MATCH(AG$2,Fact5_predicmoderate!$A$1:$V$1,0)-1,1,1))</f>
        <v>25.876665115356445</v>
      </c>
      <c r="AH49" s="8">
        <f ca="1">IF(OFFSET(Fact5_predicmoderate!$A$1,MATCH($Y12,Fact5_predicmoderate!$A$2:$A$26,0),MATCH(AH$2,Fact5_predicmoderate!$A$1:$V$1,0)-1,1,1)=0,NA(),OFFSET(Fact5_predicmoderate!$A$1,MATCH($Y12,Fact5_predicmoderate!$A$2:$A$26,0),MATCH(AH$2,Fact5_predicmoderate!$A$1:$V$1,0)-1,1,1))</f>
        <v>25.998760223388672</v>
      </c>
      <c r="AI49" s="8">
        <f ca="1">IF(OFFSET(Fact5_predicmoderate!$A$1,MATCH($Y12,Fact5_predicmoderate!$A$2:$A$26,0),MATCH(AI$2,Fact5_predicmoderate!$A$1:$V$1,0)-1,1,1)=0,NA(),OFFSET(Fact5_predicmoderate!$A$1,MATCH($Y12,Fact5_predicmoderate!$A$2:$A$26,0),MATCH(AI$2,Fact5_predicmoderate!$A$1:$V$1,0)-1,1,1))</f>
        <v>23.91425895690918</v>
      </c>
      <c r="AJ49" s="8">
        <f ca="1">IF(OFFSET(Fact5_predicmoderate!$A$1,MATCH($Y12,Fact5_predicmoderate!$A$2:$A$26,0),MATCH(AJ$2,Fact5_predicmoderate!$A$1:$V$1,0)-1,1,1)=0,NA(),OFFSET(Fact5_predicmoderate!$A$1,MATCH($Y12,Fact5_predicmoderate!$A$2:$A$26,0),MATCH(AJ$2,Fact5_predicmoderate!$A$1:$V$1,0)-1,1,1))</f>
        <v>25.419008255004883</v>
      </c>
      <c r="AK49" s="8">
        <f ca="1">IF(OFFSET(Fact5_predicmoderate!$A$1,MATCH($Y12,Fact5_predicmoderate!$A$2:$A$26,0),MATCH(AK$2,Fact5_predicmoderate!$A$1:$V$1,0)-1,1,1)=0,NA(),OFFSET(Fact5_predicmoderate!$A$1,MATCH($Y12,Fact5_predicmoderate!$A$2:$A$26,0),MATCH(AK$2,Fact5_predicmoderate!$A$1:$V$1,0)-1,1,1))</f>
        <v>23.049327850341797</v>
      </c>
      <c r="AL49" s="8">
        <f ca="1">IF(OFFSET(Fact5_predicmoderate!$A$1,MATCH($Y12,Fact5_predicmoderate!$A$2:$A$26,0),MATCH(AL$2,Fact5_predicmoderate!$A$1:$V$1,0)-1,1,1)=0,NA(),OFFSET(Fact5_predicmoderate!$A$1,MATCH($Y12,Fact5_predicmoderate!$A$2:$A$26,0),MATCH(AL$2,Fact5_predicmoderate!$A$1:$V$1,0)-1,1,1))</f>
        <v>23.107000350952148</v>
      </c>
      <c r="AM49" s="8">
        <f ca="1">IF(OFFSET(Fact5_predicmoderate!$A$1,MATCH($Y12,Fact5_predicmoderate!$A$2:$A$26,0),MATCH(AM$2,Fact5_predicmoderate!$A$1:$V$1,0)-1,1,1)=0,NA(),OFFSET(Fact5_predicmoderate!$A$1,MATCH($Y12,Fact5_predicmoderate!$A$2:$A$26,0),MATCH(AM$2,Fact5_predicmoderate!$A$1:$V$1,0)-1,1,1))</f>
        <v>23.72966194152832</v>
      </c>
      <c r="AN49" s="8">
        <f ca="1">IF(OFFSET(Fact5_predicmoderate!$A$1,MATCH($Y12,Fact5_predicmoderate!$A$2:$A$26,0),MATCH(AN$2,Fact5_predicmoderate!$A$1:$V$1,0)-1,1,1)=0,NA(),OFFSET(Fact5_predicmoderate!$A$1,MATCH($Y12,Fact5_predicmoderate!$A$2:$A$26,0),MATCH(AN$2,Fact5_predicmoderate!$A$1:$V$1,0)-1,1,1))</f>
        <v>22.28325080871582</v>
      </c>
      <c r="AO49" s="8">
        <f ca="1">IF(OFFSET(Fact5_predicmoderate!$A$1,MATCH($Y12,Fact5_predicmoderate!$A$2:$A$26,0),MATCH(AO$2,Fact5_predicmoderate!$A$1:$V$1,0)-1,1,1)=0,NA(),OFFSET(Fact5_predicmoderate!$A$1,MATCH($Y12,Fact5_predicmoderate!$A$2:$A$26,0),MATCH(AO$2,Fact5_predicmoderate!$A$1:$V$1,0)-1,1,1))</f>
        <v>23.074090957641602</v>
      </c>
      <c r="AP49" s="8">
        <f ca="1">IF(OFFSET(Fact5_predicmoderate!$A$1,MATCH($Y12,Fact5_predicmoderate!$A$2:$A$26,0),MATCH(AP$2,Fact5_predicmoderate!$A$1:$V$1,0)-1,1,1)=0,NA(),OFFSET(Fact5_predicmoderate!$A$1,MATCH($Y12,Fact5_predicmoderate!$A$2:$A$26,0),MATCH(AP$2,Fact5_predicmoderate!$A$1:$V$1,0)-1,1,1))</f>
        <v>23.261062622070313</v>
      </c>
      <c r="AQ49" s="8">
        <f ca="1">IF(OFFSET(Fact5_predicmoderate!$A$1,MATCH($Y12,Fact5_predicmoderate!$A$2:$A$26,0),MATCH(AQ$2,Fact5_predicmoderate!$A$1:$V$1,0)-1,1,1)=0,NA(),OFFSET(Fact5_predicmoderate!$A$1,MATCH($Y12,Fact5_predicmoderate!$A$2:$A$26,0),MATCH(AQ$2,Fact5_predicmoderate!$A$1:$V$1,0)-1,1,1))</f>
        <v>25.683143615722656</v>
      </c>
      <c r="AR49" s="8">
        <f ca="1">IF(OFFSET(Fact5_predicmoderate!$A$1,MATCH($Y12,Fact5_predicmoderate!$A$2:$A$26,0),MATCH(AR$2,Fact5_predicmoderate!$A$1:$V$1,0)-1,1,1)=0,NA(),OFFSET(Fact5_predicmoderate!$A$1,MATCH($Y12,Fact5_predicmoderate!$A$2:$A$26,0),MATCH(AR$2,Fact5_predicmoderate!$A$1:$V$1,0)-1,1,1))</f>
        <v>25.928991317749023</v>
      </c>
      <c r="AS49" s="8">
        <f ca="1">IF(OFFSET(Fact5_predicmoderate!$A$1,MATCH($Y12,Fact5_predicmoderate!$A$2:$A$26,0),MATCH(AS$2,Fact5_predicmoderate!$A$1:$V$1,0)-1,1,1)=0,NA(),OFFSET(Fact5_predicmoderate!$A$1,MATCH($Y12,Fact5_predicmoderate!$A$2:$A$26,0),MATCH(AS$2,Fact5_predicmoderate!$A$1:$V$1,0)-1,1,1))</f>
        <v>25.726709365844727</v>
      </c>
      <c r="AT49" s="8">
        <f ca="1">IF(OFFSET(Fact5_predicmoderate!$A$1,MATCH($Y12,Fact5_predicmoderate!$A$2:$A$26,0),MATCH(AT$2,Fact5_predicmoderate!$A$1:$V$1,0)-1,1,1)=0,NA(),OFFSET(Fact5_predicmoderate!$A$1,MATCH($Y12,Fact5_predicmoderate!$A$2:$A$26,0),MATCH(AT$2,Fact5_predicmoderate!$A$1:$V$1,0)-1,1,1))</f>
        <v>24.52301025390625</v>
      </c>
      <c r="AW49" s="7532">
        <f t="shared" ca="1" si="56"/>
        <v>-6.570644926129221E-2</v>
      </c>
      <c r="AX49" s="7532">
        <f t="shared" ca="1" si="57"/>
        <v>0.1041259822478724</v>
      </c>
      <c r="AY49" s="7532">
        <f t="shared" ca="1" si="58"/>
        <v>0.11469504807348541</v>
      </c>
      <c r="AZ49" s="7535"/>
      <c r="BA49" s="7532">
        <f t="shared" ca="1" si="59"/>
        <v>-3.5499262861840131E-2</v>
      </c>
      <c r="BB49" s="7532">
        <f t="shared" ca="1" si="60"/>
        <v>1.0551269056720436E-2</v>
      </c>
      <c r="BC49" s="7532">
        <f t="shared" ca="1" si="61"/>
        <v>4.3744673021167246E-2</v>
      </c>
      <c r="BD49" s="7532">
        <f t="shared" ca="1" si="62"/>
        <v>-1.3831112424165237E-3</v>
      </c>
      <c r="BE49" s="7532">
        <f t="shared" ca="1" si="63"/>
        <v>-3.1743531617568044E-2</v>
      </c>
      <c r="BF49" s="7532">
        <f t="shared" ca="1" si="64"/>
        <v>7.2642594972449182E-2</v>
      </c>
      <c r="BG49" s="7532">
        <f t="shared" ca="1" si="65"/>
        <v>-6.5631182301378654E-2</v>
      </c>
      <c r="BH49" s="7532">
        <f t="shared" ca="1" si="66"/>
        <v>4.7183478816892332E-3</v>
      </c>
      <c r="BI49" s="7532">
        <f t="shared" ca="1" si="67"/>
        <v>-8.01769487686671E-2</v>
      </c>
      <c r="BJ49" s="7532">
        <f t="shared" ca="1" si="68"/>
        <v>6.292268143483315E-2</v>
      </c>
      <c r="BK49" s="7532">
        <f t="shared" ca="1" si="69"/>
        <v>-9.3224738781714889E-2</v>
      </c>
      <c r="BL49" s="7532">
        <f t="shared" ca="1" si="70"/>
        <v>2.502133727491529E-3</v>
      </c>
      <c r="BM49" s="7532">
        <f t="shared" ca="1" si="71"/>
        <v>2.6946881080153418E-2</v>
      </c>
      <c r="BN49" s="7532">
        <f t="shared" ca="1" si="72"/>
        <v>-6.095371844641384E-2</v>
      </c>
      <c r="BO49" s="7532">
        <f t="shared" ca="1" si="73"/>
        <v>3.5490340063688341E-2</v>
      </c>
      <c r="BP49" s="7532">
        <f t="shared" ca="1" si="74"/>
        <v>8.1030999128826053E-3</v>
      </c>
      <c r="BQ49" s="7532">
        <f t="shared" ca="1" si="75"/>
        <v>0.1041259822478724</v>
      </c>
      <c r="BR49" s="7532">
        <f t="shared" ca="1" si="76"/>
        <v>9.5723368488218608E-3</v>
      </c>
      <c r="BS49" s="7532">
        <f t="shared" ca="1" si="77"/>
        <v>-7.801381450802114E-3</v>
      </c>
      <c r="BT49" s="7532">
        <f t="shared" ca="1" si="78"/>
        <v>-4.6787915812370851E-2</v>
      </c>
      <c r="BV49" s="8"/>
    </row>
    <row r="50" spans="2:74" ht="15" thickBot="1">
      <c r="B50" s="99" t="s">
        <v>31</v>
      </c>
      <c r="C50">
        <f>IF(Fact5_predicmoderate!B10&gt;0,VLOOKUP(Fact5!$B50,Fact5_predicmoderate!$A$1:$W$19,23,0),"")</f>
        <v>18092026</v>
      </c>
      <c r="D50">
        <f>IF(Fact5_predicmoderate!C10&gt;0,VLOOKUP(Fact5!$B50,Fact5_predicmoderate!$A$1:$W$19,23,0),"")</f>
        <v>18092026</v>
      </c>
      <c r="E50">
        <f>IF(Fact5_predicmoderate!D10&gt;0,VLOOKUP(Fact5!$B50,Fact5_predicmoderate!$A$1:$W$19,23,0),"")</f>
        <v>18092026</v>
      </c>
      <c r="F50">
        <f>IF(Fact5_predicmoderate!E10&gt;0,VLOOKUP(Fact5!$B50,Fact5_predicmoderate!$A$1:$W$19,23,0),"")</f>
        <v>18092026</v>
      </c>
      <c r="G50">
        <f>IF(Fact5_predicmoderate!F10&gt;0,VLOOKUP(Fact5!$B50,Fact5_predicmoderate!$A$1:$W$19,23,0),"")</f>
        <v>18092026</v>
      </c>
      <c r="H50">
        <f>IF(Fact5_predicmoderate!G10&gt;0,VLOOKUP(Fact5!$B50,Fact5_predicmoderate!$A$1:$W$19,23,0),"")</f>
        <v>18092026</v>
      </c>
      <c r="I50">
        <f>IF(Fact5_predicmoderate!H10&gt;0,VLOOKUP(Fact5!$B50,Fact5_predicmoderate!$A$1:$W$19,23,0),"")</f>
        <v>18092026</v>
      </c>
      <c r="J50">
        <f>IF(Fact5_predicmoderate!I10&gt;0,VLOOKUP(Fact5!$B50,Fact5_predicmoderate!$A$1:$W$19,23,0),"")</f>
        <v>18092026</v>
      </c>
      <c r="K50">
        <f>IF(Fact5_predicmoderate!J10&gt;0,VLOOKUP(Fact5!$B50,Fact5_predicmoderate!$A$1:$W$19,23,0),"")</f>
        <v>18092026</v>
      </c>
      <c r="L50">
        <f>IF(Fact5_predicmoderate!K10&gt;0,VLOOKUP(Fact5!$B50,Fact5_predicmoderate!$A$1:$W$19,23,0),"")</f>
        <v>18092026</v>
      </c>
      <c r="M50">
        <f>IF(Fact5_predicmoderate!L10&gt;0,VLOOKUP(Fact5!$B50,Fact5_predicmoderate!$A$1:$W$19,23,0),"")</f>
        <v>18092026</v>
      </c>
      <c r="N50">
        <f>IF(Fact5_predicmoderate!M10&gt;0,VLOOKUP(Fact5!$B50,Fact5_predicmoderate!$A$1:$W$19,23,0),"")</f>
        <v>18092026</v>
      </c>
      <c r="O50">
        <f>IF(Fact5_predicmoderate!N10&gt;0,VLOOKUP(Fact5!$B50,Fact5_predicmoderate!$A$1:$W$19,23,0),"")</f>
        <v>18092026</v>
      </c>
      <c r="P50">
        <f>IF(Fact5_predicmoderate!O10&gt;0,VLOOKUP(Fact5!$B50,Fact5_predicmoderate!$A$1:$W$19,23,0),"")</f>
        <v>18092026</v>
      </c>
      <c r="Q50">
        <f>IF(Fact5_predicmoderate!P10&gt;0,VLOOKUP(Fact5!$B50,Fact5_predicmoderate!$A$1:$W$19,23,0),"")</f>
        <v>18092026</v>
      </c>
      <c r="R50">
        <f>IF(Fact5_predicmoderate!Q10&gt;0,VLOOKUP(Fact5!$B50,Fact5_predicmoderate!$A$1:$W$19,23,0),"")</f>
        <v>18092026</v>
      </c>
      <c r="S50">
        <f>IF(Fact5_predicmoderate!R10&gt;0,VLOOKUP(Fact5!$B50,Fact5_predicmoderate!$A$1:$W$19,23,0),"")</f>
        <v>18092026</v>
      </c>
      <c r="T50">
        <f>IF(Fact5_predicmoderate!S10&gt;0,VLOOKUP(Fact5!$B50,Fact5_predicmoderate!$A$1:$W$19,23,0),"")</f>
        <v>18092026</v>
      </c>
      <c r="U50">
        <f>IF(Fact5_predicmoderate!T10&gt;0,VLOOKUP(Fact5!$B50,Fact5_predicmoderate!$A$1:$W$19,23,0),"")</f>
        <v>18092026</v>
      </c>
      <c r="V50">
        <f>IF(Fact5_predicmoderate!U10&gt;0,VLOOKUP(Fact5!$B50,Fact5_predicmoderate!$A$1:$W$19,23,0),"")</f>
        <v>18092026</v>
      </c>
      <c r="W50">
        <f>IF(Fact5_predicmoderate!V10&gt;0,VLOOKUP(Fact5!$B50,Fact5_predicmoderate!$A$1:$W$19,23,0),"")</f>
        <v>18092026</v>
      </c>
      <c r="Y50" s="2563" t="s">
        <v>31</v>
      </c>
      <c r="Z50" s="8">
        <f ca="1">IF(OFFSET(Fact5_predicmoderate!$A$1,MATCH($Y13,Fact5_predicmoderate!$A$2:$A$26,0),MATCH(Z$2,Fact5_predicmoderate!$A$1:$V$1,0)-1,1,1)=0,NA(),OFFSET(Fact5_predicmoderate!$A$1,MATCH($Y13,Fact5_predicmoderate!$A$2:$A$26,0),MATCH(Z$2,Fact5_predicmoderate!$A$1:$V$1,0)-1,1,1))</f>
        <v>19.583856582641602</v>
      </c>
      <c r="AA50" s="8">
        <f ca="1">IF(OFFSET(Fact5_predicmoderate!$A$1,MATCH($Y13,Fact5_predicmoderate!$A$2:$A$26,0),MATCH(AA$2,Fact5_predicmoderate!$A$1:$V$1,0)-1,1,1)=0,NA(),OFFSET(Fact5_predicmoderate!$A$1,MATCH($Y13,Fact5_predicmoderate!$A$2:$A$26,0),MATCH(AA$2,Fact5_predicmoderate!$A$1:$V$1,0)-1,1,1))</f>
        <v>23.13469123840332</v>
      </c>
      <c r="AB50" s="88">
        <f ca="1">IF(OFFSET(Fact5_predicmoderate!$A$1,MATCH($Y13,Fact5_predicmoderate!$A$2:$A$26,0),MATCH(AB$2,Fact5_predicmoderate!$A$1:$V$1,0)-1,1,1)=0,NA(),OFFSET(Fact5_predicmoderate!$A$1,MATCH($Y13,Fact5_predicmoderate!$A$2:$A$26,0),MATCH(AB$2,Fact5_predicmoderate!$A$1:$V$1,0)-1,1,1))</f>
        <v>22.527362823486328</v>
      </c>
      <c r="AC50" s="8">
        <f ca="1">IF(OFFSET(Fact5_predicmoderate!$A$1,MATCH($Y13,Fact5_predicmoderate!$A$2:$A$26,0),MATCH(AC$2,Fact5_predicmoderate!$A$1:$V$1,0)-1,1,1)=0,NA(),OFFSET(Fact5_predicmoderate!$A$1,MATCH($Y13,Fact5_predicmoderate!$A$2:$A$26,0),MATCH(AC$2,Fact5_predicmoderate!$A$1:$V$1,0)-1,1,1))</f>
        <v>21.920036315917969</v>
      </c>
      <c r="AD50" s="88">
        <f ca="1">IF(OFFSET(Fact5_predicmoderate!$A$1,MATCH($Y13,Fact5_predicmoderate!$A$2:$A$26,0),MATCH(AD$2,Fact5_predicmoderate!$A$1:$V$1,0)-1,1,1)=0,NA(),OFFSET(Fact5_predicmoderate!$A$1,MATCH($Y13,Fact5_predicmoderate!$A$2:$A$26,0),MATCH(AD$2,Fact5_predicmoderate!$A$1:$V$1,0)-1,1,1))</f>
        <v>22.049030303955078</v>
      </c>
      <c r="AE50" s="88">
        <f ca="1">IF(OFFSET(Fact5_predicmoderate!$A$1,MATCH($Y13,Fact5_predicmoderate!$A$2:$A$26,0),MATCH(AE$2,Fact5_predicmoderate!$A$1:$V$1,0)-1,1,1)=0,NA(),OFFSET(Fact5_predicmoderate!$A$1,MATCH($Y13,Fact5_predicmoderate!$A$2:$A$26,0),MATCH(AE$2,Fact5_predicmoderate!$A$1:$V$1,0)-1,1,1))</f>
        <v>22.178783416748047</v>
      </c>
      <c r="AF50" s="88">
        <f ca="1">IF(OFFSET(Fact5_predicmoderate!$A$1,MATCH($Y13,Fact5_predicmoderate!$A$2:$A$26,0),MATCH(AF$2,Fact5_predicmoderate!$A$1:$V$1,0)-1,1,1)=0,NA(),OFFSET(Fact5_predicmoderate!$A$1,MATCH($Y13,Fact5_predicmoderate!$A$2:$A$26,0),MATCH(AF$2,Fact5_predicmoderate!$A$1:$V$1,0)-1,1,1))</f>
        <v>22.309299468994141</v>
      </c>
      <c r="AG50" s="8">
        <f ca="1">IF(OFFSET(Fact5_predicmoderate!$A$1,MATCH($Y13,Fact5_predicmoderate!$A$2:$A$26,0),MATCH(AG$2,Fact5_predicmoderate!$A$1:$V$1,0)-1,1,1)=0,NA(),OFFSET(Fact5_predicmoderate!$A$1,MATCH($Y13,Fact5_predicmoderate!$A$2:$A$26,0),MATCH(AG$2,Fact5_predicmoderate!$A$1:$V$1,0)-1,1,1))</f>
        <v>22.440586090087891</v>
      </c>
      <c r="AH50" s="8">
        <f ca="1">IF(OFFSET(Fact5_predicmoderate!$A$1,MATCH($Y13,Fact5_predicmoderate!$A$2:$A$26,0),MATCH(AH$2,Fact5_predicmoderate!$A$1:$V$1,0)-1,1,1)=0,NA(),OFFSET(Fact5_predicmoderate!$A$1,MATCH($Y13,Fact5_predicmoderate!$A$2:$A$26,0),MATCH(AH$2,Fact5_predicmoderate!$A$1:$V$1,0)-1,1,1))</f>
        <v>21.628252029418945</v>
      </c>
      <c r="AI50" s="8">
        <f ca="1">IF(OFFSET(Fact5_predicmoderate!$A$1,MATCH($Y13,Fact5_predicmoderate!$A$2:$A$26,0),MATCH(AI$2,Fact5_predicmoderate!$A$1:$V$1,0)-1,1,1)=0,NA(),OFFSET(Fact5_predicmoderate!$A$1,MATCH($Y13,Fact5_predicmoderate!$A$2:$A$26,0),MATCH(AI$2,Fact5_predicmoderate!$A$1:$V$1,0)-1,1,1))</f>
        <v>22.958154678344727</v>
      </c>
      <c r="AJ50" s="8">
        <f ca="1">IF(OFFSET(Fact5_predicmoderate!$A$1,MATCH($Y13,Fact5_predicmoderate!$A$2:$A$26,0),MATCH(AJ$2,Fact5_predicmoderate!$A$1:$V$1,0)-1,1,1)=0,NA(),OFFSET(Fact5_predicmoderate!$A$1,MATCH($Y13,Fact5_predicmoderate!$A$2:$A$26,0),MATCH(AJ$2,Fact5_predicmoderate!$A$1:$V$1,0)-1,1,1))</f>
        <v>24.208894729614258</v>
      </c>
      <c r="AK50" s="8">
        <f ca="1">IF(OFFSET(Fact5_predicmoderate!$A$1,MATCH($Y13,Fact5_predicmoderate!$A$2:$A$26,0),MATCH(AK$2,Fact5_predicmoderate!$A$1:$V$1,0)-1,1,1)=0,NA(),OFFSET(Fact5_predicmoderate!$A$1,MATCH($Y13,Fact5_predicmoderate!$A$2:$A$26,0),MATCH(AK$2,Fact5_predicmoderate!$A$1:$V$1,0)-1,1,1))</f>
        <v>24.710781097412109</v>
      </c>
      <c r="AL50" s="8">
        <f ca="1">IF(OFFSET(Fact5_predicmoderate!$A$1,MATCH($Y13,Fact5_predicmoderate!$A$2:$A$26,0),MATCH(AL$2,Fact5_predicmoderate!$A$1:$V$1,0)-1,1,1)=0,NA(),OFFSET(Fact5_predicmoderate!$A$1,MATCH($Y13,Fact5_predicmoderate!$A$2:$A$26,0),MATCH(AL$2,Fact5_predicmoderate!$A$1:$V$1,0)-1,1,1))</f>
        <v>26.831098556518555</v>
      </c>
      <c r="AM50" s="8">
        <f ca="1">IF(OFFSET(Fact5_predicmoderate!$A$1,MATCH($Y13,Fact5_predicmoderate!$A$2:$A$26,0),MATCH(AM$2,Fact5_predicmoderate!$A$1:$V$1,0)-1,1,1)=0,NA(),OFFSET(Fact5_predicmoderate!$A$1,MATCH($Y13,Fact5_predicmoderate!$A$2:$A$26,0),MATCH(AM$2,Fact5_predicmoderate!$A$1:$V$1,0)-1,1,1))</f>
        <v>23.629005432128906</v>
      </c>
      <c r="AN50" s="8">
        <f ca="1">IF(OFFSET(Fact5_predicmoderate!$A$1,MATCH($Y13,Fact5_predicmoderate!$A$2:$A$26,0),MATCH(AN$2,Fact5_predicmoderate!$A$1:$V$1,0)-1,1,1)=0,NA(),OFFSET(Fact5_predicmoderate!$A$1,MATCH($Y13,Fact5_predicmoderate!$A$2:$A$26,0),MATCH(AN$2,Fact5_predicmoderate!$A$1:$V$1,0)-1,1,1))</f>
        <v>23.876346588134766</v>
      </c>
      <c r="AO50" s="8">
        <f ca="1">IF(OFFSET(Fact5_predicmoderate!$A$1,MATCH($Y13,Fact5_predicmoderate!$A$2:$A$26,0),MATCH(AO$2,Fact5_predicmoderate!$A$1:$V$1,0)-1,1,1)=0,NA(),OFFSET(Fact5_predicmoderate!$A$1,MATCH($Y13,Fact5_predicmoderate!$A$2:$A$26,0),MATCH(AO$2,Fact5_predicmoderate!$A$1:$V$1,0)-1,1,1))</f>
        <v>25.303462982177734</v>
      </c>
      <c r="AP50" s="8">
        <f ca="1">IF(OFFSET(Fact5_predicmoderate!$A$1,MATCH($Y13,Fact5_predicmoderate!$A$2:$A$26,0),MATCH(AP$2,Fact5_predicmoderate!$A$1:$V$1,0)-1,1,1)=0,NA(),OFFSET(Fact5_predicmoderate!$A$1,MATCH($Y13,Fact5_predicmoderate!$A$2:$A$26,0),MATCH(AP$2,Fact5_predicmoderate!$A$1:$V$1,0)-1,1,1))</f>
        <v>26.264959335327148</v>
      </c>
      <c r="AQ50" s="88">
        <f ca="1">IF(OFFSET(Fact5_predicmoderate!$A$1,MATCH($Y13,Fact5_predicmoderate!$A$2:$A$26,0),MATCH(AQ$2,Fact5_predicmoderate!$A$1:$V$1,0)-1,1,1)=0,NA(),OFFSET(Fact5_predicmoderate!$A$1,MATCH($Y13,Fact5_predicmoderate!$A$2:$A$26,0),MATCH(AQ$2,Fact5_predicmoderate!$A$1:$V$1,0)-1,1,1))</f>
        <v>26.326877593994141</v>
      </c>
      <c r="AR50" s="8">
        <f ca="1">IF(OFFSET(Fact5_predicmoderate!$A$1,MATCH($Y13,Fact5_predicmoderate!$A$2:$A$26,0),MATCH(AR$2,Fact5_predicmoderate!$A$1:$V$1,0)-1,1,1)=0,NA(),OFFSET(Fact5_predicmoderate!$A$1,MATCH($Y13,Fact5_predicmoderate!$A$2:$A$26,0),MATCH(AR$2,Fact5_predicmoderate!$A$1:$V$1,0)-1,1,1))</f>
        <v>26.3887939453125</v>
      </c>
      <c r="AS50" s="8">
        <f ca="1">IF(OFFSET(Fact5_predicmoderate!$A$1,MATCH($Y13,Fact5_predicmoderate!$A$2:$A$26,0),MATCH(AS$2,Fact5_predicmoderate!$A$1:$V$1,0)-1,1,1)=0,NA(),OFFSET(Fact5_predicmoderate!$A$1,MATCH($Y13,Fact5_predicmoderate!$A$2:$A$26,0),MATCH(AS$2,Fact5_predicmoderate!$A$1:$V$1,0)-1,1,1))</f>
        <v>23.455238342285156</v>
      </c>
      <c r="AT50" s="88">
        <f ca="1">IF(OFFSET(Fact5_predicmoderate!$A$1,MATCH($Y13,Fact5_predicmoderate!$A$2:$A$26,0),MATCH(AT$2,Fact5_predicmoderate!$A$1:$V$1,0)-1,1,1)=0,NA(),OFFSET(Fact5_predicmoderate!$A$1,MATCH($Y13,Fact5_predicmoderate!$A$2:$A$26,0),MATCH(AT$2,Fact5_predicmoderate!$A$1:$V$1,0)-1,1,1))</f>
        <v>20.847797393798828</v>
      </c>
      <c r="AW50" s="7534">
        <f t="shared" ca="1" si="56"/>
        <v>6.4539933992242116E-2</v>
      </c>
      <c r="AX50" s="7532">
        <f t="shared" ca="1" si="57"/>
        <v>2.3574473455860723E-3</v>
      </c>
      <c r="AY50" s="7532">
        <f t="shared" ca="1" si="58"/>
        <v>4.7148220716561884E-3</v>
      </c>
      <c r="AZ50" s="7535"/>
      <c r="BA50" s="7532">
        <f t="shared" ca="1" si="59"/>
        <v>0.18131437190512556</v>
      </c>
      <c r="BB50" s="7532">
        <f t="shared" ca="1" si="60"/>
        <v>-2.6251848734805461E-2</v>
      </c>
      <c r="BC50" s="7532">
        <f t="shared" ca="1" si="61"/>
        <v>-2.6959503086405601E-2</v>
      </c>
      <c r="BD50" s="7532">
        <f t="shared" ca="1" si="62"/>
        <v>5.8847524784180205E-3</v>
      </c>
      <c r="BE50" s="7532">
        <f t="shared" ca="1" si="63"/>
        <v>5.8847537059121269E-3</v>
      </c>
      <c r="BF50" s="7532">
        <f t="shared" ca="1" si="64"/>
        <v>5.8847254961484907E-3</v>
      </c>
      <c r="BG50" s="7532">
        <f t="shared" ca="1" si="65"/>
        <v>5.8848383507610347E-3</v>
      </c>
      <c r="BH50" s="7532">
        <f t="shared" ca="1" si="66"/>
        <v>-3.6199324625828644E-2</v>
      </c>
      <c r="BI50" s="7532">
        <f t="shared" ca="1" si="67"/>
        <v>6.1489141476474218E-2</v>
      </c>
      <c r="BJ50" s="7532">
        <f t="shared" ca="1" si="68"/>
        <v>5.4479119458555214E-2</v>
      </c>
      <c r="BK50" s="7532">
        <f t="shared" ca="1" si="69"/>
        <v>2.0731486232781426E-2</v>
      </c>
      <c r="BL50" s="7532">
        <f t="shared" ca="1" si="70"/>
        <v>8.5805359642334489E-2</v>
      </c>
      <c r="BM50" s="7532">
        <f t="shared" ca="1" si="71"/>
        <v>-0.11934260230324067</v>
      </c>
      <c r="BN50" s="7532">
        <f t="shared" ca="1" si="72"/>
        <v>1.0467692206356904E-2</v>
      </c>
      <c r="BO50" s="7532">
        <f t="shared" ca="1" si="73"/>
        <v>5.9771137463390911E-2</v>
      </c>
      <c r="BP50" s="7532">
        <f t="shared" ca="1" si="74"/>
        <v>3.7998607298401543E-2</v>
      </c>
      <c r="BQ50" s="7532">
        <f t="shared" ca="1" si="75"/>
        <v>2.3574473455860723E-3</v>
      </c>
      <c r="BR50" s="7532">
        <f t="shared" ca="1" si="76"/>
        <v>2.351830409713429E-3</v>
      </c>
      <c r="BS50" s="7532">
        <f t="shared" ca="1" si="77"/>
        <v>-0.1111667175508958</v>
      </c>
      <c r="BT50" s="7532">
        <f t="shared" ca="1" si="78"/>
        <v>-0.11116667886446618</v>
      </c>
      <c r="BV50" s="8"/>
    </row>
    <row r="51" spans="2:74" ht="15" thickBot="1">
      <c r="B51" s="99" t="s">
        <v>33</v>
      </c>
      <c r="C51" t="str">
        <f>IF(Fact5_predicmoderate!B11&gt;0,VLOOKUP(Fact5!$B51,Fact5_predicmoderate!$A$1:$W$19,23,0),"")</f>
        <v/>
      </c>
      <c r="D51" t="str">
        <f>IF(Fact5_predicmoderate!C11&gt;0,VLOOKUP(Fact5!$B51,Fact5_predicmoderate!$A$1:$W$19,23,0),"")</f>
        <v/>
      </c>
      <c r="E51" t="str">
        <f>IF(Fact5_predicmoderate!D11&gt;0,VLOOKUP(Fact5!$B51,Fact5_predicmoderate!$A$1:$W$19,23,0),"")</f>
        <v/>
      </c>
      <c r="F51" t="str">
        <f>IF(Fact5_predicmoderate!E11&gt;0,VLOOKUP(Fact5!$B51,Fact5_predicmoderate!$A$1:$W$19,23,0),"")</f>
        <v/>
      </c>
      <c r="G51" t="str">
        <f>IF(Fact5_predicmoderate!F11&gt;0,VLOOKUP(Fact5!$B51,Fact5_predicmoderate!$A$1:$W$19,23,0),"")</f>
        <v/>
      </c>
      <c r="H51" t="str">
        <f>IF(Fact5_predicmoderate!G11&gt;0,VLOOKUP(Fact5!$B51,Fact5_predicmoderate!$A$1:$W$19,23,0),"")</f>
        <v/>
      </c>
      <c r="I51" t="str">
        <f>IF(Fact5_predicmoderate!H11&gt;0,VLOOKUP(Fact5!$B51,Fact5_predicmoderate!$A$1:$W$19,23,0),"")</f>
        <v/>
      </c>
      <c r="J51" t="str">
        <f>IF(Fact5_predicmoderate!I11&gt;0,VLOOKUP(Fact5!$B51,Fact5_predicmoderate!$A$1:$W$19,23,0),"")</f>
        <v/>
      </c>
      <c r="K51" t="str">
        <f>IF(Fact5_predicmoderate!J11&gt;0,VLOOKUP(Fact5!$B51,Fact5_predicmoderate!$A$1:$W$19,23,0),"")</f>
        <v/>
      </c>
      <c r="L51" t="str">
        <f>IF(Fact5_predicmoderate!K11&gt;0,VLOOKUP(Fact5!$B51,Fact5_predicmoderate!$A$1:$W$19,23,0),"")</f>
        <v/>
      </c>
      <c r="M51" t="str">
        <f>IF(Fact5_predicmoderate!L11&gt;0,VLOOKUP(Fact5!$B51,Fact5_predicmoderate!$A$1:$W$19,23,0),"")</f>
        <v/>
      </c>
      <c r="N51" t="str">
        <f>IF(Fact5_predicmoderate!M11&gt;0,VLOOKUP(Fact5!$B51,Fact5_predicmoderate!$A$1:$W$19,23,0),"")</f>
        <v/>
      </c>
      <c r="O51" t="str">
        <f>IF(Fact5_predicmoderate!N11&gt;0,VLOOKUP(Fact5!$B51,Fact5_predicmoderate!$A$1:$W$19,23,0),"")</f>
        <v/>
      </c>
      <c r="P51" t="str">
        <f>IF(Fact5_predicmoderate!O11&gt;0,VLOOKUP(Fact5!$B51,Fact5_predicmoderate!$A$1:$W$19,23,0),"")</f>
        <v/>
      </c>
      <c r="Q51">
        <f>IF(Fact5_predicmoderate!P11&gt;0,VLOOKUP(Fact5!$B51,Fact5_predicmoderate!$A$1:$W$19,23,0),"")</f>
        <v>813834</v>
      </c>
      <c r="R51">
        <f>IF(Fact5_predicmoderate!Q11&gt;0,VLOOKUP(Fact5!$B51,Fact5_predicmoderate!$A$1:$W$19,23,0),"")</f>
        <v>813834</v>
      </c>
      <c r="S51">
        <f>IF(Fact5_predicmoderate!R11&gt;0,VLOOKUP(Fact5!$B51,Fact5_predicmoderate!$A$1:$W$19,23,0),"")</f>
        <v>813834</v>
      </c>
      <c r="T51">
        <f>IF(Fact5_predicmoderate!S11&gt;0,VLOOKUP(Fact5!$B51,Fact5_predicmoderate!$A$1:$W$19,23,0),"")</f>
        <v>813834</v>
      </c>
      <c r="U51">
        <f>IF(Fact5_predicmoderate!T11&gt;0,VLOOKUP(Fact5!$B51,Fact5_predicmoderate!$A$1:$W$19,23,0),"")</f>
        <v>813834</v>
      </c>
      <c r="V51" s="196">
        <f>U51</f>
        <v>813834</v>
      </c>
      <c r="W51" s="196">
        <f>V51</f>
        <v>813834</v>
      </c>
      <c r="Y51" s="2563" t="s">
        <v>33</v>
      </c>
      <c r="Z51" s="2565"/>
      <c r="AA51" s="2565"/>
      <c r="AB51" s="2565"/>
      <c r="AC51" s="2565"/>
      <c r="AD51" s="2565"/>
      <c r="AE51" s="2565"/>
      <c r="AF51" s="2565"/>
      <c r="AG51" s="2565"/>
      <c r="AH51" s="2565"/>
      <c r="AI51" s="2565"/>
      <c r="AJ51" s="2565"/>
      <c r="AK51" s="2565"/>
      <c r="AL51" s="2565"/>
      <c r="AM51" s="2565"/>
      <c r="AN51" s="8">
        <f ca="1">IF(OFFSET(Fact5_predicmoderate!$A$1,MATCH($Y14,Fact5_predicmoderate!$A$2:$A$26,0),MATCH(AN$2,Fact5_predicmoderate!$A$1:$V$1,0)-1,1,1)=0,NA(),OFFSET(Fact5_predicmoderate!$A$1,MATCH($Y14,Fact5_predicmoderate!$A$2:$A$26,0),MATCH(AN$2,Fact5_predicmoderate!$A$1:$V$1,0)-1,1,1))</f>
        <v>25.358680725097656</v>
      </c>
      <c r="AO51" s="8">
        <f ca="1">IF(OFFSET(Fact5_predicmoderate!$A$1,MATCH($Y14,Fact5_predicmoderate!$A$2:$A$26,0),MATCH(AO$2,Fact5_predicmoderate!$A$1:$V$1,0)-1,1,1)=0,NA(),OFFSET(Fact5_predicmoderate!$A$1,MATCH($Y14,Fact5_predicmoderate!$A$2:$A$26,0),MATCH(AO$2,Fact5_predicmoderate!$A$1:$V$1,0)-1,1,1))</f>
        <v>26.687713623046875</v>
      </c>
      <c r="AP51" s="8">
        <f ca="1">IF(OFFSET(Fact5_predicmoderate!$A$1,MATCH($Y14,Fact5_predicmoderate!$A$2:$A$26,0),MATCH(AP$2,Fact5_predicmoderate!$A$1:$V$1,0)-1,1,1)=0,NA(),OFFSET(Fact5_predicmoderate!$A$1,MATCH($Y14,Fact5_predicmoderate!$A$2:$A$26,0),MATCH(AP$2,Fact5_predicmoderate!$A$1:$V$1,0)-1,1,1))</f>
        <v>25.163105010986328</v>
      </c>
      <c r="AQ51" s="88">
        <f ca="1">IF(OFFSET(Fact5_predicmoderate!$A$1,MATCH($Y14,Fact5_predicmoderate!$A$2:$A$26,0),MATCH(AQ$2,Fact5_predicmoderate!$A$1:$V$1,0)-1,1,1)=0,NA(),OFFSET(Fact5_predicmoderate!$A$1,MATCH($Y14,Fact5_predicmoderate!$A$2:$A$26,0),MATCH(AQ$2,Fact5_predicmoderate!$A$1:$V$1,0)-1,1,1))</f>
        <v>25.552265167236328</v>
      </c>
      <c r="AR51" s="8">
        <f ca="1">IF(OFFSET(Fact5_predicmoderate!$A$1,MATCH($Y14,Fact5_predicmoderate!$A$2:$A$26,0),MATCH(AR$2,Fact5_predicmoderate!$A$1:$V$1,0)-1,1,1)=0,NA(),OFFSET(Fact5_predicmoderate!$A$1,MATCH($Y14,Fact5_predicmoderate!$A$2:$A$26,0),MATCH(AR$2,Fact5_predicmoderate!$A$1:$V$1,0)-1,1,1))</f>
        <v>25.941425323486328</v>
      </c>
      <c r="AS51" s="2566">
        <f ca="1">AR51</f>
        <v>25.941425323486328</v>
      </c>
      <c r="AT51" s="2566">
        <f ca="1">AS51</f>
        <v>25.941425323486328</v>
      </c>
      <c r="AW51" s="7534">
        <f ca="1">AT51/AN51-1</f>
        <v>2.2980083416245245E-2</v>
      </c>
      <c r="AX51" s="7532">
        <f t="shared" ca="1" si="57"/>
        <v>1.5465506187733569E-2</v>
      </c>
      <c r="AY51" s="7532">
        <f t="shared" ca="1" si="58"/>
        <v>3.0931012375467137E-2</v>
      </c>
      <c r="AZ51" s="7535"/>
      <c r="BA51" s="7532" t="str">
        <f t="shared" si="59"/>
        <v/>
      </c>
      <c r="BB51" s="7532" t="str">
        <f t="shared" si="60"/>
        <v/>
      </c>
      <c r="BC51" s="7532" t="str">
        <f t="shared" si="61"/>
        <v/>
      </c>
      <c r="BD51" s="7532" t="str">
        <f t="shared" si="62"/>
        <v/>
      </c>
      <c r="BE51" s="7532" t="str">
        <f t="shared" si="63"/>
        <v/>
      </c>
      <c r="BF51" s="7532" t="str">
        <f t="shared" si="64"/>
        <v/>
      </c>
      <c r="BG51" s="7532" t="str">
        <f t="shared" si="65"/>
        <v/>
      </c>
      <c r="BH51" s="7532" t="str">
        <f t="shared" si="66"/>
        <v/>
      </c>
      <c r="BI51" s="7532" t="str">
        <f t="shared" si="67"/>
        <v/>
      </c>
      <c r="BJ51" s="7532" t="str">
        <f t="shared" si="68"/>
        <v/>
      </c>
      <c r="BK51" s="7532" t="str">
        <f t="shared" si="69"/>
        <v/>
      </c>
      <c r="BL51" s="7532" t="str">
        <f t="shared" si="70"/>
        <v/>
      </c>
      <c r="BM51" s="7532" t="str">
        <f t="shared" si="71"/>
        <v/>
      </c>
      <c r="BN51" s="7532" t="str">
        <f t="shared" ca="1" si="72"/>
        <v/>
      </c>
      <c r="BO51" s="7532">
        <f t="shared" ca="1" si="73"/>
        <v>5.2409386448635908E-2</v>
      </c>
      <c r="BP51" s="7532">
        <f t="shared" ca="1" si="74"/>
        <v>-5.7127734267349517E-2</v>
      </c>
      <c r="BQ51" s="7532">
        <f t="shared" ca="1" si="75"/>
        <v>1.5465506187733569E-2</v>
      </c>
      <c r="BR51" s="7532">
        <f t="shared" ca="1" si="76"/>
        <v>1.5229967038264292E-2</v>
      </c>
      <c r="BS51" s="7532">
        <f t="shared" ca="1" si="77"/>
        <v>0</v>
      </c>
      <c r="BT51" s="7532">
        <f t="shared" ca="1" si="78"/>
        <v>0</v>
      </c>
      <c r="BV51" s="8"/>
    </row>
    <row r="52" spans="2:74">
      <c r="B52" s="99" t="s">
        <v>34</v>
      </c>
      <c r="C52">
        <f>IF(Fact5_predicmoderate!B12&gt;0,VLOOKUP(Fact5!$B52,Fact5_predicmoderate!$A$1:$W$19,23,0),"")</f>
        <v>10593798</v>
      </c>
      <c r="D52">
        <f>IF(Fact5_predicmoderate!C12&gt;0,VLOOKUP(Fact5!$B52,Fact5_predicmoderate!$A$1:$W$19,23,0),"")</f>
        <v>10593798</v>
      </c>
      <c r="E52">
        <f>IF(Fact5_predicmoderate!D12&gt;0,VLOOKUP(Fact5!$B52,Fact5_predicmoderate!$A$1:$W$19,23,0),"")</f>
        <v>10593798</v>
      </c>
      <c r="F52">
        <f>IF(Fact5_predicmoderate!E12&gt;0,VLOOKUP(Fact5!$B52,Fact5_predicmoderate!$A$1:$W$19,23,0),"")</f>
        <v>10593798</v>
      </c>
      <c r="G52">
        <f>IF(Fact5_predicmoderate!F12&gt;0,VLOOKUP(Fact5!$B52,Fact5_predicmoderate!$A$1:$W$19,23,0),"")</f>
        <v>10593798</v>
      </c>
      <c r="H52">
        <f>IF(Fact5_predicmoderate!G12&gt;0,VLOOKUP(Fact5!$B52,Fact5_predicmoderate!$A$1:$W$19,23,0),"")</f>
        <v>10593798</v>
      </c>
      <c r="I52">
        <f>IF(Fact5_predicmoderate!H12&gt;0,VLOOKUP(Fact5!$B52,Fact5_predicmoderate!$A$1:$W$19,23,0),"")</f>
        <v>10593798</v>
      </c>
      <c r="J52">
        <f>IF(Fact5_predicmoderate!I12&gt;0,VLOOKUP(Fact5!$B52,Fact5_predicmoderate!$A$1:$W$19,23,0),"")</f>
        <v>10593798</v>
      </c>
      <c r="K52">
        <f>IF(Fact5_predicmoderate!J12&gt;0,VLOOKUP(Fact5!$B52,Fact5_predicmoderate!$A$1:$W$19,23,0),"")</f>
        <v>10593798</v>
      </c>
      <c r="L52">
        <f>IF(Fact5_predicmoderate!K12&gt;0,VLOOKUP(Fact5!$B52,Fact5_predicmoderate!$A$1:$W$19,23,0),"")</f>
        <v>10593798</v>
      </c>
      <c r="M52">
        <f>IF(Fact5_predicmoderate!L12&gt;0,VLOOKUP(Fact5!$B52,Fact5_predicmoderate!$A$1:$W$19,23,0),"")</f>
        <v>10593798</v>
      </c>
      <c r="N52">
        <f>IF(Fact5_predicmoderate!M12&gt;0,VLOOKUP(Fact5!$B52,Fact5_predicmoderate!$A$1:$W$19,23,0),"")</f>
        <v>10593798</v>
      </c>
      <c r="O52">
        <f>IF(Fact5_predicmoderate!N12&gt;0,VLOOKUP(Fact5!$B52,Fact5_predicmoderate!$A$1:$W$19,23,0),"")</f>
        <v>10593798</v>
      </c>
      <c r="P52">
        <f>IF(Fact5_predicmoderate!O12&gt;0,VLOOKUP(Fact5!$B52,Fact5_predicmoderate!$A$1:$W$19,23,0),"")</f>
        <v>10593798</v>
      </c>
      <c r="Q52">
        <f>IF(Fact5_predicmoderate!P12&gt;0,VLOOKUP(Fact5!$B52,Fact5_predicmoderate!$A$1:$W$19,23,0),"")</f>
        <v>10593798</v>
      </c>
      <c r="R52">
        <f>IF(Fact5_predicmoderate!Q12&gt;0,VLOOKUP(Fact5!$B52,Fact5_predicmoderate!$A$1:$W$19,23,0),"")</f>
        <v>10593798</v>
      </c>
      <c r="S52">
        <f>IF(Fact5_predicmoderate!R12&gt;0,VLOOKUP(Fact5!$B52,Fact5_predicmoderate!$A$1:$W$19,23,0),"")</f>
        <v>10593798</v>
      </c>
      <c r="T52">
        <f>IF(Fact5_predicmoderate!S12&gt;0,VLOOKUP(Fact5!$B52,Fact5_predicmoderate!$A$1:$W$19,23,0),"")</f>
        <v>10593798</v>
      </c>
      <c r="U52">
        <f>IF(Fact5_predicmoderate!T12&gt;0,VLOOKUP(Fact5!$B52,Fact5_predicmoderate!$A$1:$W$19,23,0),"")</f>
        <v>10593798</v>
      </c>
      <c r="V52">
        <f>IF(Fact5_predicmoderate!U12&gt;0,VLOOKUP(Fact5!$B52,Fact5_predicmoderate!$A$1:$W$19,23,0),"")</f>
        <v>10593798</v>
      </c>
      <c r="W52">
        <f>IF(Fact5_predicmoderate!V12&gt;0,VLOOKUP(Fact5!$B52,Fact5_predicmoderate!$A$1:$W$19,23,0),"")</f>
        <v>10593798</v>
      </c>
      <c r="Y52" s="2563" t="s">
        <v>34</v>
      </c>
      <c r="Z52" s="8">
        <f ca="1">IF(OFFSET(Fact5_predicmoderate!$A$1,MATCH($Y15,Fact5_predicmoderate!$A$2:$A$26,0),MATCH(Z$2,Fact5_predicmoderate!$A$1:$V$1,0)-1,1,1)=0,NA(),OFFSET(Fact5_predicmoderate!$A$1,MATCH($Y15,Fact5_predicmoderate!$A$2:$A$26,0),MATCH(Z$2,Fact5_predicmoderate!$A$1:$V$1,0)-1,1,1))</f>
        <v>25.238725662231445</v>
      </c>
      <c r="AA52" s="8">
        <f ca="1">IF(OFFSET(Fact5_predicmoderate!$A$1,MATCH($Y15,Fact5_predicmoderate!$A$2:$A$26,0),MATCH(AA$2,Fact5_predicmoderate!$A$1:$V$1,0)-1,1,1)=0,NA(),OFFSET(Fact5_predicmoderate!$A$1,MATCH($Y15,Fact5_predicmoderate!$A$2:$A$26,0),MATCH(AA$2,Fact5_predicmoderate!$A$1:$V$1,0)-1,1,1))</f>
        <v>21.617813110351563</v>
      </c>
      <c r="AB52" s="8">
        <f ca="1">IF(OFFSET(Fact5_predicmoderate!$A$1,MATCH($Y15,Fact5_predicmoderate!$A$2:$A$26,0),MATCH(AB$2,Fact5_predicmoderate!$A$1:$V$1,0)-1,1,1)=0,NA(),OFFSET(Fact5_predicmoderate!$A$1,MATCH($Y15,Fact5_predicmoderate!$A$2:$A$26,0),MATCH(AB$2,Fact5_predicmoderate!$A$1:$V$1,0)-1,1,1))</f>
        <v>21.263576507568359</v>
      </c>
      <c r="AC52" s="8">
        <f ca="1">IF(OFFSET(Fact5_predicmoderate!$A$1,MATCH($Y15,Fact5_predicmoderate!$A$2:$A$26,0),MATCH(AC$2,Fact5_predicmoderate!$A$1:$V$1,0)-1,1,1)=0,NA(),OFFSET(Fact5_predicmoderate!$A$1,MATCH($Y15,Fact5_predicmoderate!$A$2:$A$26,0),MATCH(AC$2,Fact5_predicmoderate!$A$1:$V$1,0)-1,1,1))</f>
        <v>21.827304840087891</v>
      </c>
      <c r="AD52" s="8">
        <f ca="1">IF(OFFSET(Fact5_predicmoderate!$A$1,MATCH($Y15,Fact5_predicmoderate!$A$2:$A$26,0),MATCH(AD$2,Fact5_predicmoderate!$A$1:$V$1,0)-1,1,1)=0,NA(),OFFSET(Fact5_predicmoderate!$A$1,MATCH($Y15,Fact5_predicmoderate!$A$2:$A$26,0),MATCH(AD$2,Fact5_predicmoderate!$A$1:$V$1,0)-1,1,1))</f>
        <v>22.471349716186523</v>
      </c>
      <c r="AE52" s="8">
        <f ca="1">IF(OFFSET(Fact5_predicmoderate!$A$1,MATCH($Y15,Fact5_predicmoderate!$A$2:$A$26,0),MATCH(AE$2,Fact5_predicmoderate!$A$1:$V$1,0)-1,1,1)=0,NA(),OFFSET(Fact5_predicmoderate!$A$1,MATCH($Y15,Fact5_predicmoderate!$A$2:$A$26,0),MATCH(AE$2,Fact5_predicmoderate!$A$1:$V$1,0)-1,1,1))</f>
        <v>25.144832611083984</v>
      </c>
      <c r="AF52" s="8">
        <f ca="1">IF(OFFSET(Fact5_predicmoderate!$A$1,MATCH($Y15,Fact5_predicmoderate!$A$2:$A$26,0),MATCH(AF$2,Fact5_predicmoderate!$A$1:$V$1,0)-1,1,1)=0,NA(),OFFSET(Fact5_predicmoderate!$A$1,MATCH($Y15,Fact5_predicmoderate!$A$2:$A$26,0),MATCH(AF$2,Fact5_predicmoderate!$A$1:$V$1,0)-1,1,1))</f>
        <v>23.927602767944336</v>
      </c>
      <c r="AG52" s="8">
        <f ca="1">IF(OFFSET(Fact5_predicmoderate!$A$1,MATCH($Y15,Fact5_predicmoderate!$A$2:$A$26,0),MATCH(AG$2,Fact5_predicmoderate!$A$1:$V$1,0)-1,1,1)=0,NA(),OFFSET(Fact5_predicmoderate!$A$1,MATCH($Y15,Fact5_predicmoderate!$A$2:$A$26,0),MATCH(AG$2,Fact5_predicmoderate!$A$1:$V$1,0)-1,1,1))</f>
        <v>24.214496612548828</v>
      </c>
      <c r="AH52" s="8">
        <f ca="1">IF(OFFSET(Fact5_predicmoderate!$A$1,MATCH($Y15,Fact5_predicmoderate!$A$2:$A$26,0),MATCH(AH$2,Fact5_predicmoderate!$A$1:$V$1,0)-1,1,1)=0,NA(),OFFSET(Fact5_predicmoderate!$A$1,MATCH($Y15,Fact5_predicmoderate!$A$2:$A$26,0),MATCH(AH$2,Fact5_predicmoderate!$A$1:$V$1,0)-1,1,1))</f>
        <v>24.735809326171875</v>
      </c>
      <c r="AI52" s="8">
        <f ca="1">IF(OFFSET(Fact5_predicmoderate!$A$1,MATCH($Y15,Fact5_predicmoderate!$A$2:$A$26,0),MATCH(AI$2,Fact5_predicmoderate!$A$1:$V$1,0)-1,1,1)=0,NA(),OFFSET(Fact5_predicmoderate!$A$1,MATCH($Y15,Fact5_predicmoderate!$A$2:$A$26,0),MATCH(AI$2,Fact5_predicmoderate!$A$1:$V$1,0)-1,1,1))</f>
        <v>25.125608444213867</v>
      </c>
      <c r="AJ52" s="8">
        <f ca="1">IF(OFFSET(Fact5_predicmoderate!$A$1,MATCH($Y15,Fact5_predicmoderate!$A$2:$A$26,0),MATCH(AJ$2,Fact5_predicmoderate!$A$1:$V$1,0)-1,1,1)=0,NA(),OFFSET(Fact5_predicmoderate!$A$1,MATCH($Y15,Fact5_predicmoderate!$A$2:$A$26,0),MATCH(AJ$2,Fact5_predicmoderate!$A$1:$V$1,0)-1,1,1))</f>
        <v>24.646450042724609</v>
      </c>
      <c r="AK52" s="8">
        <f ca="1">IF(OFFSET(Fact5_predicmoderate!$A$1,MATCH($Y15,Fact5_predicmoderate!$A$2:$A$26,0),MATCH(AK$2,Fact5_predicmoderate!$A$1:$V$1,0)-1,1,1)=0,NA(),OFFSET(Fact5_predicmoderate!$A$1,MATCH($Y15,Fact5_predicmoderate!$A$2:$A$26,0),MATCH(AK$2,Fact5_predicmoderate!$A$1:$V$1,0)-1,1,1))</f>
        <v>25.719768524169922</v>
      </c>
      <c r="AL52" s="8">
        <f ca="1">IF(OFFSET(Fact5_predicmoderate!$A$1,MATCH($Y15,Fact5_predicmoderate!$A$2:$A$26,0),MATCH(AL$2,Fact5_predicmoderate!$A$1:$V$1,0)-1,1,1)=0,NA(),OFFSET(Fact5_predicmoderate!$A$1,MATCH($Y15,Fact5_predicmoderate!$A$2:$A$26,0),MATCH(AL$2,Fact5_predicmoderate!$A$1:$V$1,0)-1,1,1))</f>
        <v>25.288368225097656</v>
      </c>
      <c r="AM52" s="8">
        <f ca="1">IF(OFFSET(Fact5_predicmoderate!$A$1,MATCH($Y15,Fact5_predicmoderate!$A$2:$A$26,0),MATCH(AM$2,Fact5_predicmoderate!$A$1:$V$1,0)-1,1,1)=0,NA(),OFFSET(Fact5_predicmoderate!$A$1,MATCH($Y15,Fact5_predicmoderate!$A$2:$A$26,0),MATCH(AM$2,Fact5_predicmoderate!$A$1:$V$1,0)-1,1,1))</f>
        <v>24.651557922363281</v>
      </c>
      <c r="AN52" s="8">
        <f ca="1">IF(OFFSET(Fact5_predicmoderate!$A$1,MATCH($Y15,Fact5_predicmoderate!$A$2:$A$26,0),MATCH(AN$2,Fact5_predicmoderate!$A$1:$V$1,0)-1,1,1)=0,NA(),OFFSET(Fact5_predicmoderate!$A$1,MATCH($Y15,Fact5_predicmoderate!$A$2:$A$26,0),MATCH(AN$2,Fact5_predicmoderate!$A$1:$V$1,0)-1,1,1))</f>
        <v>24.973546981811523</v>
      </c>
      <c r="AO52" s="8">
        <f ca="1">IF(OFFSET(Fact5_predicmoderate!$A$1,MATCH($Y15,Fact5_predicmoderate!$A$2:$A$26,0),MATCH(AO$2,Fact5_predicmoderate!$A$1:$V$1,0)-1,1,1)=0,NA(),OFFSET(Fact5_predicmoderate!$A$1,MATCH($Y15,Fact5_predicmoderate!$A$2:$A$26,0),MATCH(AO$2,Fact5_predicmoderate!$A$1:$V$1,0)-1,1,1))</f>
        <v>25.136354446411133</v>
      </c>
      <c r="AP52" s="8">
        <f ca="1">IF(OFFSET(Fact5_predicmoderate!$A$1,MATCH($Y15,Fact5_predicmoderate!$A$2:$A$26,0),MATCH(AP$2,Fact5_predicmoderate!$A$1:$V$1,0)-1,1,1)=0,NA(),OFFSET(Fact5_predicmoderate!$A$1,MATCH($Y15,Fact5_predicmoderate!$A$2:$A$26,0),MATCH(AP$2,Fact5_predicmoderate!$A$1:$V$1,0)-1,1,1))</f>
        <v>23.31724739074707</v>
      </c>
      <c r="AQ52" s="88">
        <f ca="1">IF(OFFSET(Fact5_predicmoderate!$A$1,MATCH($Y15,Fact5_predicmoderate!$A$2:$A$26,0),MATCH(AQ$2,Fact5_predicmoderate!$A$1:$V$1,0)-1,1,1)=0,NA(),OFFSET(Fact5_predicmoderate!$A$1,MATCH($Y15,Fact5_predicmoderate!$A$2:$A$26,0),MATCH(AQ$2,Fact5_predicmoderate!$A$1:$V$1,0)-1,1,1))</f>
        <v>23.132257461547852</v>
      </c>
      <c r="AR52" s="88">
        <f ca="1">IF(OFFSET(Fact5_predicmoderate!$A$1,MATCH($Y15,Fact5_predicmoderate!$A$2:$A$26,0),MATCH(AR$2,Fact5_predicmoderate!$A$1:$V$1,0)-1,1,1)=0,NA(),OFFSET(Fact5_predicmoderate!$A$1,MATCH($Y15,Fact5_predicmoderate!$A$2:$A$26,0),MATCH(AR$2,Fact5_predicmoderate!$A$1:$V$1,0)-1,1,1))</f>
        <v>22.948734283447266</v>
      </c>
      <c r="AS52" s="8">
        <f ca="1">IF(OFFSET(Fact5_predicmoderate!$A$1,MATCH($Y15,Fact5_predicmoderate!$A$2:$A$26,0),MATCH(AS$2,Fact5_predicmoderate!$A$1:$V$1,0)-1,1,1)=0,NA(),OFFSET(Fact5_predicmoderate!$A$1,MATCH($Y15,Fact5_predicmoderate!$A$2:$A$26,0),MATCH(AS$2,Fact5_predicmoderate!$A$1:$V$1,0)-1,1,1))</f>
        <v>22.766666412353516</v>
      </c>
      <c r="AT52" s="8">
        <f ca="1">IF(OFFSET(Fact5_predicmoderate!$A$1,MATCH($Y15,Fact5_predicmoderate!$A$2:$A$26,0),MATCH(AT$2,Fact5_predicmoderate!$A$1:$V$1,0)-1,1,1)=0,NA(),OFFSET(Fact5_predicmoderate!$A$1,MATCH($Y15,Fact5_predicmoderate!$A$2:$A$26,0),MATCH(AT$2,Fact5_predicmoderate!$A$1:$V$1,0)-1,1,1))</f>
        <v>25.065221786499023</v>
      </c>
      <c r="AW52" s="7532">
        <f t="shared" ref="AW52:AW61" ca="1" si="79">AT52/Z52-1</f>
        <v>-6.8745101497760253E-3</v>
      </c>
      <c r="AX52" s="7532">
        <f t="shared" ca="1" si="57"/>
        <v>-7.9336092335079433E-3</v>
      </c>
      <c r="AY52" s="7532">
        <f t="shared" ca="1" si="58"/>
        <v>-1.5804314339695202E-2</v>
      </c>
      <c r="AZ52" s="7535"/>
      <c r="BA52" s="7532">
        <f t="shared" ca="1" si="59"/>
        <v>-0.14346653631955775</v>
      </c>
      <c r="BB52" s="7532">
        <f t="shared" ca="1" si="60"/>
        <v>-1.6386329226501628E-2</v>
      </c>
      <c r="BC52" s="7532">
        <f t="shared" ca="1" si="61"/>
        <v>2.6511454097051024E-2</v>
      </c>
      <c r="BD52" s="7532">
        <f t="shared" ca="1" si="62"/>
        <v>2.9506385731864704E-2</v>
      </c>
      <c r="BE52" s="7532">
        <f t="shared" ca="1" si="63"/>
        <v>0.11897295572645117</v>
      </c>
      <c r="BF52" s="7532">
        <f t="shared" ca="1" si="64"/>
        <v>-4.8408747115822437E-2</v>
      </c>
      <c r="BG52" s="7532">
        <f t="shared" ca="1" si="65"/>
        <v>1.1990078880314892E-2</v>
      </c>
      <c r="BH52" s="7532">
        <f t="shared" ca="1" si="66"/>
        <v>2.1528951105796779E-2</v>
      </c>
      <c r="BI52" s="7532">
        <f t="shared" ca="1" si="67"/>
        <v>1.5758494614104279E-2</v>
      </c>
      <c r="BJ52" s="7532">
        <f t="shared" ca="1" si="68"/>
        <v>-1.907051932903947E-2</v>
      </c>
      <c r="BK52" s="7532">
        <f t="shared" ca="1" si="69"/>
        <v>4.3548603534574681E-2</v>
      </c>
      <c r="BL52" s="7532">
        <f t="shared" ca="1" si="70"/>
        <v>-1.6773101930013912E-2</v>
      </c>
      <c r="BM52" s="7532">
        <f t="shared" ca="1" si="71"/>
        <v>-2.5181945195750788E-2</v>
      </c>
      <c r="BN52" s="7532">
        <f t="shared" ca="1" si="72"/>
        <v>1.3061610972511462E-2</v>
      </c>
      <c r="BO52" s="7532">
        <f t="shared" ca="1" si="73"/>
        <v>6.5191966811195545E-3</v>
      </c>
      <c r="BP52" s="7532">
        <f t="shared" ca="1" si="74"/>
        <v>-7.2369565743603204E-2</v>
      </c>
      <c r="BQ52" s="7532">
        <f t="shared" ca="1" si="75"/>
        <v>-7.9336092335079433E-3</v>
      </c>
      <c r="BR52" s="7532">
        <f t="shared" ca="1" si="76"/>
        <v>-7.9336475657705297E-3</v>
      </c>
      <c r="BS52" s="7532">
        <f t="shared" ca="1" si="77"/>
        <v>-7.933678121197052E-3</v>
      </c>
      <c r="BT52" s="7532">
        <f t="shared" ca="1" si="78"/>
        <v>0.10096143776667632</v>
      </c>
      <c r="BV52" s="8"/>
    </row>
    <row r="53" spans="2:74">
      <c r="B53" s="99" t="s">
        <v>38</v>
      </c>
      <c r="C53" t="str">
        <f>IF(Fact5_predicmoderate!B13&gt;0,VLOOKUP(Fact5!$B53,Fact5_predicmoderate!$A$1:$W$19,23,0),"")</f>
        <v/>
      </c>
      <c r="D53">
        <f>IF(Fact5_predicmoderate!C13&gt;0,VLOOKUP(Fact5!$B53,Fact5_predicmoderate!$A$1:$W$19,23,0),"")</f>
        <v>128455567</v>
      </c>
      <c r="E53">
        <f>IF(Fact5_predicmoderate!D13&gt;0,VLOOKUP(Fact5!$B53,Fact5_predicmoderate!$A$1:$W$19,23,0),"")</f>
        <v>128455567</v>
      </c>
      <c r="F53">
        <f>IF(Fact5_predicmoderate!E13&gt;0,VLOOKUP(Fact5!$B53,Fact5_predicmoderate!$A$1:$W$19,23,0),"")</f>
        <v>128455567</v>
      </c>
      <c r="G53">
        <f>IF(Fact5_predicmoderate!F13&gt;0,VLOOKUP(Fact5!$B53,Fact5_predicmoderate!$A$1:$W$19,23,0),"")</f>
        <v>128455567</v>
      </c>
      <c r="H53">
        <f>IF(Fact5_predicmoderate!G13&gt;0,VLOOKUP(Fact5!$B53,Fact5_predicmoderate!$A$1:$W$19,23,0),"")</f>
        <v>128455567</v>
      </c>
      <c r="I53">
        <f>IF(Fact5_predicmoderate!H13&gt;0,VLOOKUP(Fact5!$B53,Fact5_predicmoderate!$A$1:$W$19,23,0),"")</f>
        <v>128455567</v>
      </c>
      <c r="J53">
        <f>IF(Fact5_predicmoderate!I13&gt;0,VLOOKUP(Fact5!$B53,Fact5_predicmoderate!$A$1:$W$19,23,0),"")</f>
        <v>128455567</v>
      </c>
      <c r="K53">
        <f>IF(Fact5_predicmoderate!J13&gt;0,VLOOKUP(Fact5!$B53,Fact5_predicmoderate!$A$1:$W$19,23,0),"")</f>
        <v>128455567</v>
      </c>
      <c r="L53">
        <f>IF(Fact5_predicmoderate!K13&gt;0,VLOOKUP(Fact5!$B53,Fact5_predicmoderate!$A$1:$W$19,23,0),"")</f>
        <v>128455567</v>
      </c>
      <c r="M53">
        <f>IF(Fact5_predicmoderate!L13&gt;0,VLOOKUP(Fact5!$B53,Fact5_predicmoderate!$A$1:$W$19,23,0),"")</f>
        <v>128455567</v>
      </c>
      <c r="N53">
        <f>IF(Fact5_predicmoderate!M13&gt;0,VLOOKUP(Fact5!$B53,Fact5_predicmoderate!$A$1:$W$19,23,0),"")</f>
        <v>128455567</v>
      </c>
      <c r="O53">
        <f>IF(Fact5_predicmoderate!N13&gt;0,VLOOKUP(Fact5!$B53,Fact5_predicmoderate!$A$1:$W$19,23,0),"")</f>
        <v>128455567</v>
      </c>
      <c r="P53">
        <f>IF(Fact5_predicmoderate!O13&gt;0,VLOOKUP(Fact5!$B53,Fact5_predicmoderate!$A$1:$W$19,23,0),"")</f>
        <v>128455567</v>
      </c>
      <c r="Q53">
        <f>IF(Fact5_predicmoderate!P13&gt;0,VLOOKUP(Fact5!$B53,Fact5_predicmoderate!$A$1:$W$19,23,0),"")</f>
        <v>128455567</v>
      </c>
      <c r="R53">
        <f>IF(Fact5_predicmoderate!Q13&gt;0,VLOOKUP(Fact5!$B53,Fact5_predicmoderate!$A$1:$W$19,23,0),"")</f>
        <v>128455567</v>
      </c>
      <c r="S53">
        <f>IF(Fact5_predicmoderate!R13&gt;0,VLOOKUP(Fact5!$B53,Fact5_predicmoderate!$A$1:$W$19,23,0),"")</f>
        <v>128455567</v>
      </c>
      <c r="T53">
        <f>IF(Fact5_predicmoderate!S13&gt;0,VLOOKUP(Fact5!$B53,Fact5_predicmoderate!$A$1:$W$19,23,0),"")</f>
        <v>128455567</v>
      </c>
      <c r="U53">
        <f>IF(Fact5_predicmoderate!T13&gt;0,VLOOKUP(Fact5!$B53,Fact5_predicmoderate!$A$1:$W$19,23,0),"")</f>
        <v>128455567</v>
      </c>
      <c r="V53">
        <f>IF(Fact5_predicmoderate!U13&gt;0,VLOOKUP(Fact5!$B53,Fact5_predicmoderate!$A$1:$W$19,23,0),"")</f>
        <v>128455567</v>
      </c>
      <c r="W53">
        <f>IF(Fact5_predicmoderate!V13&gt;0,VLOOKUP(Fact5!$B53,Fact5_predicmoderate!$A$1:$W$19,23,0),"")</f>
        <v>128455567</v>
      </c>
      <c r="Y53" s="2563" t="s">
        <v>38</v>
      </c>
      <c r="Z53" s="2565"/>
      <c r="AA53" s="8">
        <f ca="1">IF(OFFSET(Fact5_predicmoderate!$A$1,MATCH($Y16,Fact5_predicmoderate!$A$2:$A$26,0),MATCH(AA$2,Fact5_predicmoderate!$A$1:$V$1,0)-1,1,1)=0,NA(),OFFSET(Fact5_predicmoderate!$A$1,MATCH($Y16,Fact5_predicmoderate!$A$2:$A$26,0),MATCH(AA$2,Fact5_predicmoderate!$A$1:$V$1,0)-1,1,1))</f>
        <v>28.230533599853516</v>
      </c>
      <c r="AB53" s="8">
        <f ca="1">IF(OFFSET(Fact5_predicmoderate!$A$1,MATCH($Y16,Fact5_predicmoderate!$A$2:$A$26,0),MATCH(AB$2,Fact5_predicmoderate!$A$1:$V$1,0)-1,1,1)=0,NA(),OFFSET(Fact5_predicmoderate!$A$1,MATCH($Y16,Fact5_predicmoderate!$A$2:$A$26,0),MATCH(AB$2,Fact5_predicmoderate!$A$1:$V$1,0)-1,1,1))</f>
        <v>26.66510009765625</v>
      </c>
      <c r="AC53" s="8">
        <f ca="1">IF(OFFSET(Fact5_predicmoderate!$A$1,MATCH($Y16,Fact5_predicmoderate!$A$2:$A$26,0),MATCH(AC$2,Fact5_predicmoderate!$A$1:$V$1,0)-1,1,1)=0,NA(),OFFSET(Fact5_predicmoderate!$A$1,MATCH($Y16,Fact5_predicmoderate!$A$2:$A$26,0),MATCH(AC$2,Fact5_predicmoderate!$A$1:$V$1,0)-1,1,1))</f>
        <v>27.607574462890625</v>
      </c>
      <c r="AD53" s="88">
        <f ca="1">IF(OFFSET(Fact5_predicmoderate!$A$1,MATCH($Y16,Fact5_predicmoderate!$A$2:$A$26,0),MATCH(AD$2,Fact5_predicmoderate!$A$1:$V$1,0)-1,1,1)=0,NA(),OFFSET(Fact5_predicmoderate!$A$1,MATCH($Y16,Fact5_predicmoderate!$A$2:$A$26,0),MATCH(AD$2,Fact5_predicmoderate!$A$1:$V$1,0)-1,1,1))</f>
        <v>28.190956115722656</v>
      </c>
      <c r="AE53" s="8">
        <f ca="1">IF(OFFSET(Fact5_predicmoderate!$A$1,MATCH($Y16,Fact5_predicmoderate!$A$2:$A$26,0),MATCH(AE$2,Fact5_predicmoderate!$A$1:$V$1,0)-1,1,1)=0,NA(),OFFSET(Fact5_predicmoderate!$A$1,MATCH($Y16,Fact5_predicmoderate!$A$2:$A$26,0),MATCH(AE$2,Fact5_predicmoderate!$A$1:$V$1,0)-1,1,1))</f>
        <v>28.774335861206055</v>
      </c>
      <c r="AF53" s="88">
        <f ca="1">IF(OFFSET(Fact5_predicmoderate!$A$1,MATCH($Y16,Fact5_predicmoderate!$A$2:$A$26,0),MATCH(AF$2,Fact5_predicmoderate!$A$1:$V$1,0)-1,1,1)=0,NA(),OFFSET(Fact5_predicmoderate!$A$1,MATCH($Y16,Fact5_predicmoderate!$A$2:$A$26,0),MATCH(AF$2,Fact5_predicmoderate!$A$1:$V$1,0)-1,1,1))</f>
        <v>29.746423721313477</v>
      </c>
      <c r="AG53" s="8">
        <f ca="1">IF(OFFSET(Fact5_predicmoderate!$A$1,MATCH($Y16,Fact5_predicmoderate!$A$2:$A$26,0),MATCH(AG$2,Fact5_predicmoderate!$A$1:$V$1,0)-1,1,1)=0,NA(),OFFSET(Fact5_predicmoderate!$A$1,MATCH($Y16,Fact5_predicmoderate!$A$2:$A$26,0),MATCH(AG$2,Fact5_predicmoderate!$A$1:$V$1,0)-1,1,1))</f>
        <v>30.718511581420898</v>
      </c>
      <c r="AH53" s="88">
        <f ca="1">IF(OFFSET(Fact5_predicmoderate!$A$1,MATCH($Y16,Fact5_predicmoderate!$A$2:$A$26,0),MATCH(AH$2,Fact5_predicmoderate!$A$1:$V$1,0)-1,1,1)=0,NA(),OFFSET(Fact5_predicmoderate!$A$1,MATCH($Y16,Fact5_predicmoderate!$A$2:$A$26,0),MATCH(AH$2,Fact5_predicmoderate!$A$1:$V$1,0)-1,1,1))</f>
        <v>30.259502410888672</v>
      </c>
      <c r="AI53" s="8">
        <f ca="1">IF(OFFSET(Fact5_predicmoderate!$A$1,MATCH($Y16,Fact5_predicmoderate!$A$2:$A$26,0),MATCH(AI$2,Fact5_predicmoderate!$A$1:$V$1,0)-1,1,1)=0,NA(),OFFSET(Fact5_predicmoderate!$A$1,MATCH($Y16,Fact5_predicmoderate!$A$2:$A$26,0),MATCH(AI$2,Fact5_predicmoderate!$A$1:$V$1,0)-1,1,1))</f>
        <v>29.800493240356445</v>
      </c>
      <c r="AJ53" s="88">
        <f ca="1">IF(OFFSET(Fact5_predicmoderate!$A$1,MATCH($Y16,Fact5_predicmoderate!$A$2:$A$26,0),MATCH(AJ$2,Fact5_predicmoderate!$A$1:$V$1,0)-1,1,1)=0,NA(),OFFSET(Fact5_predicmoderate!$A$1,MATCH($Y16,Fact5_predicmoderate!$A$2:$A$26,0),MATCH(AJ$2,Fact5_predicmoderate!$A$1:$V$1,0)-1,1,1))</f>
        <v>29.188619613647461</v>
      </c>
      <c r="AK53" s="8">
        <f ca="1">IF(OFFSET(Fact5_predicmoderate!$A$1,MATCH($Y16,Fact5_predicmoderate!$A$2:$A$26,0),MATCH(AK$2,Fact5_predicmoderate!$A$1:$V$1,0)-1,1,1)=0,NA(),OFFSET(Fact5_predicmoderate!$A$1,MATCH($Y16,Fact5_predicmoderate!$A$2:$A$26,0),MATCH(AK$2,Fact5_predicmoderate!$A$1:$V$1,0)-1,1,1))</f>
        <v>28.576745986938477</v>
      </c>
      <c r="AL53" s="88">
        <f ca="1">IF(OFFSET(Fact5_predicmoderate!$A$1,MATCH($Y16,Fact5_predicmoderate!$A$2:$A$26,0),MATCH(AL$2,Fact5_predicmoderate!$A$1:$V$1,0)-1,1,1)=0,NA(),OFFSET(Fact5_predicmoderate!$A$1,MATCH($Y16,Fact5_predicmoderate!$A$2:$A$26,0),MATCH(AL$2,Fact5_predicmoderate!$A$1:$V$1,0)-1,1,1))</f>
        <v>26.971405029296875</v>
      </c>
      <c r="AM53" s="8">
        <f ca="1">IF(OFFSET(Fact5_predicmoderate!$A$1,MATCH($Y16,Fact5_predicmoderate!$A$2:$A$26,0),MATCH(AM$2,Fact5_predicmoderate!$A$1:$V$1,0)-1,1,1)=0,NA(),OFFSET(Fact5_predicmoderate!$A$1,MATCH($Y16,Fact5_predicmoderate!$A$2:$A$26,0),MATCH(AM$2,Fact5_predicmoderate!$A$1:$V$1,0)-1,1,1))</f>
        <v>25.366062164306641</v>
      </c>
      <c r="AN53" s="88">
        <f ca="1">IF(OFFSET(Fact5_predicmoderate!$A$1,MATCH($Y16,Fact5_predicmoderate!$A$2:$A$26,0),MATCH(AN$2,Fact5_predicmoderate!$A$1:$V$1,0)-1,1,1)=0,NA(),OFFSET(Fact5_predicmoderate!$A$1,MATCH($Y16,Fact5_predicmoderate!$A$2:$A$26,0),MATCH(AN$2,Fact5_predicmoderate!$A$1:$V$1,0)-1,1,1))</f>
        <v>24.932767868041992</v>
      </c>
      <c r="AO53" s="8">
        <f ca="1">IF(OFFSET(Fact5_predicmoderate!$A$1,MATCH($Y16,Fact5_predicmoderate!$A$2:$A$26,0),MATCH(AO$2,Fact5_predicmoderate!$A$1:$V$1,0)-1,1,1)=0,NA(),OFFSET(Fact5_predicmoderate!$A$1,MATCH($Y16,Fact5_predicmoderate!$A$2:$A$26,0),MATCH(AO$2,Fact5_predicmoderate!$A$1:$V$1,0)-1,1,1))</f>
        <v>24.499473571777344</v>
      </c>
      <c r="AP53" s="88">
        <f ca="1">IF(OFFSET(Fact5_predicmoderate!$A$1,MATCH($Y16,Fact5_predicmoderate!$A$2:$A$26,0),MATCH(AP$2,Fact5_predicmoderate!$A$1:$V$1,0)-1,1,1)=0,NA(),OFFSET(Fact5_predicmoderate!$A$1,MATCH($Y16,Fact5_predicmoderate!$A$2:$A$26,0),MATCH(AP$2,Fact5_predicmoderate!$A$1:$V$1,0)-1,1,1))</f>
        <v>25.111042022705078</v>
      </c>
      <c r="AQ53" s="8">
        <f ca="1">IF(OFFSET(Fact5_predicmoderate!$A$1,MATCH($Y16,Fact5_predicmoderate!$A$2:$A$26,0),MATCH(AQ$2,Fact5_predicmoderate!$A$1:$V$1,0)-1,1,1)=0,NA(),OFFSET(Fact5_predicmoderate!$A$1,MATCH($Y16,Fact5_predicmoderate!$A$2:$A$26,0),MATCH(AQ$2,Fact5_predicmoderate!$A$1:$V$1,0)-1,1,1))</f>
        <v>25.722610473632813</v>
      </c>
      <c r="AR53" s="88">
        <f ca="1">IF(OFFSET(Fact5_predicmoderate!$A$1,MATCH($Y16,Fact5_predicmoderate!$A$2:$A$26,0),MATCH(AR$2,Fact5_predicmoderate!$A$1:$V$1,0)-1,1,1)=0,NA(),OFFSET(Fact5_predicmoderate!$A$1,MATCH($Y16,Fact5_predicmoderate!$A$2:$A$26,0),MATCH(AR$2,Fact5_predicmoderate!$A$1:$V$1,0)-1,1,1))</f>
        <v>23.714412689208984</v>
      </c>
      <c r="AS53" s="8">
        <f ca="1">IF(OFFSET(Fact5_predicmoderate!$A$1,MATCH($Y16,Fact5_predicmoderate!$A$2:$A$26,0),MATCH(AS$2,Fact5_predicmoderate!$A$1:$V$1,0)-1,1,1)=0,NA(),OFFSET(Fact5_predicmoderate!$A$1,MATCH($Y16,Fact5_predicmoderate!$A$2:$A$26,0),MATCH(AS$2,Fact5_predicmoderate!$A$1:$V$1,0)-1,1,1))</f>
        <v>21.706216812133789</v>
      </c>
      <c r="AT53" s="88">
        <f ca="1">IF(OFFSET(Fact5_predicmoderate!$A$1,MATCH($Y16,Fact5_predicmoderate!$A$2:$A$26,0),MATCH(AT$2,Fact5_predicmoderate!$A$1:$V$1,0)-1,1,1)=0,NA(),OFFSET(Fact5_predicmoderate!$A$1,MATCH($Y16,Fact5_predicmoderate!$A$2:$A$26,0),MATCH(AT$2,Fact5_predicmoderate!$A$1:$V$1,0)-1,1,1))</f>
        <v>19.868080139160156</v>
      </c>
      <c r="AW53" s="7532" t="e">
        <f t="shared" ca="1" si="79"/>
        <v>#DIV/0!</v>
      </c>
      <c r="AX53" s="7532">
        <f t="shared" ca="1" si="57"/>
        <v>2.4354562840313898E-2</v>
      </c>
      <c r="AY53" s="7532">
        <f t="shared" ca="1" si="58"/>
        <v>-5.5618135329998597E-2</v>
      </c>
      <c r="AZ53" s="7535"/>
      <c r="BA53" s="7532" t="str">
        <f t="shared" ca="1" si="59"/>
        <v/>
      </c>
      <c r="BB53" s="7532">
        <f t="shared" ca="1" si="60"/>
        <v>-5.5451785799946363E-2</v>
      </c>
      <c r="BC53" s="7532">
        <f t="shared" ca="1" si="61"/>
        <v>3.5344865077675536E-2</v>
      </c>
      <c r="BD53" s="7532">
        <f t="shared" ca="1" si="62"/>
        <v>2.1131217217803755E-2</v>
      </c>
      <c r="BE53" s="7532">
        <f t="shared" ca="1" si="63"/>
        <v>2.0693861644445422E-2</v>
      </c>
      <c r="BF53" s="7532">
        <f t="shared" ca="1" si="64"/>
        <v>3.378315540613408E-2</v>
      </c>
      <c r="BG53" s="7532">
        <f t="shared" ca="1" si="65"/>
        <v>3.2679150583433625E-2</v>
      </c>
      <c r="BH53" s="7532">
        <f t="shared" ca="1" si="66"/>
        <v>-1.4942428747421577E-2</v>
      </c>
      <c r="BI53" s="7532">
        <f t="shared" ca="1" si="67"/>
        <v>-1.5169091821121805E-2</v>
      </c>
      <c r="BJ53" s="7532">
        <f t="shared" ca="1" si="68"/>
        <v>-2.0532332192420677E-2</v>
      </c>
      <c r="BK53" s="7532">
        <f t="shared" ca="1" si="69"/>
        <v>-2.0962746262344512E-2</v>
      </c>
      <c r="BL53" s="7532">
        <f t="shared" ca="1" si="70"/>
        <v>-5.6176478538716434E-2</v>
      </c>
      <c r="BM53" s="7532">
        <f t="shared" ca="1" si="71"/>
        <v>-5.9520179362049563E-2</v>
      </c>
      <c r="BN53" s="7532">
        <f t="shared" ca="1" si="72"/>
        <v>-1.7081653961817933E-2</v>
      </c>
      <c r="BO53" s="7532">
        <f t="shared" ca="1" si="73"/>
        <v>-1.7378507615274819E-2</v>
      </c>
      <c r="BP53" s="7532">
        <f t="shared" ca="1" si="74"/>
        <v>2.4962513955085308E-2</v>
      </c>
      <c r="BQ53" s="7532">
        <f t="shared" ca="1" si="75"/>
        <v>2.4354562840313898E-2</v>
      </c>
      <c r="BR53" s="7532">
        <f t="shared" ca="1" si="76"/>
        <v>-7.8071305650814438E-2</v>
      </c>
      <c r="BS53" s="7532">
        <f t="shared" ca="1" si="77"/>
        <v>-8.4682505250868179E-2</v>
      </c>
      <c r="BT53" s="7532">
        <f t="shared" ca="1" si="78"/>
        <v>-8.4682498515637805E-2</v>
      </c>
      <c r="BV53" s="8"/>
    </row>
    <row r="54" spans="2:74">
      <c r="B54" s="99" t="s">
        <v>42</v>
      </c>
      <c r="C54">
        <f>IF(Fact5_predicmoderate!B14&gt;0,VLOOKUP(Fact5!$B54,Fact5_predicmoderate!$A$1:$W$19,23,0),"")</f>
        <v>4468087</v>
      </c>
      <c r="D54">
        <f>IF(Fact5_predicmoderate!C14&gt;0,VLOOKUP(Fact5!$B54,Fact5_predicmoderate!$A$1:$W$19,23,0),"")</f>
        <v>4468087</v>
      </c>
      <c r="E54">
        <f>IF(Fact5_predicmoderate!D14&gt;0,VLOOKUP(Fact5!$B54,Fact5_predicmoderate!$A$1:$W$19,23,0),"")</f>
        <v>4468087</v>
      </c>
      <c r="F54">
        <f>IF(Fact5_predicmoderate!E14&gt;0,VLOOKUP(Fact5!$B54,Fact5_predicmoderate!$A$1:$W$19,23,0),"")</f>
        <v>4468087</v>
      </c>
      <c r="G54">
        <f>IF(Fact5_predicmoderate!F14&gt;0,VLOOKUP(Fact5!$B54,Fact5_predicmoderate!$A$1:$W$19,23,0),"")</f>
        <v>4468087</v>
      </c>
      <c r="H54">
        <f>IF(Fact5_predicmoderate!G14&gt;0,VLOOKUP(Fact5!$B54,Fact5_predicmoderate!$A$1:$W$19,23,0),"")</f>
        <v>4468087</v>
      </c>
      <c r="I54">
        <f>IF(Fact5_predicmoderate!H14&gt;0,VLOOKUP(Fact5!$B54,Fact5_predicmoderate!$A$1:$W$19,23,0),"")</f>
        <v>4468087</v>
      </c>
      <c r="J54">
        <f>IF(Fact5_predicmoderate!I14&gt;0,VLOOKUP(Fact5!$B54,Fact5_predicmoderate!$A$1:$W$19,23,0),"")</f>
        <v>4468087</v>
      </c>
      <c r="K54">
        <f>IF(Fact5_predicmoderate!J14&gt;0,VLOOKUP(Fact5!$B54,Fact5_predicmoderate!$A$1:$W$19,23,0),"")</f>
        <v>4468087</v>
      </c>
      <c r="L54">
        <f>IF(Fact5_predicmoderate!K14&gt;0,VLOOKUP(Fact5!$B54,Fact5_predicmoderate!$A$1:$W$19,23,0),"")</f>
        <v>4468087</v>
      </c>
      <c r="M54">
        <f>IF(Fact5_predicmoderate!L14&gt;0,VLOOKUP(Fact5!$B54,Fact5_predicmoderate!$A$1:$W$19,23,0),"")</f>
        <v>4468087</v>
      </c>
      <c r="N54">
        <f>IF(Fact5_predicmoderate!M14&gt;0,VLOOKUP(Fact5!$B54,Fact5_predicmoderate!$A$1:$W$19,23,0),"")</f>
        <v>4468087</v>
      </c>
      <c r="O54">
        <f>IF(Fact5_predicmoderate!N14&gt;0,VLOOKUP(Fact5!$B54,Fact5_predicmoderate!$A$1:$W$19,23,0),"")</f>
        <v>4468087</v>
      </c>
      <c r="P54">
        <f>IF(Fact5_predicmoderate!O14&gt;0,VLOOKUP(Fact5!$B54,Fact5_predicmoderate!$A$1:$W$19,23,0),"")</f>
        <v>4468087</v>
      </c>
      <c r="Q54">
        <f>IF(Fact5_predicmoderate!P14&gt;0,VLOOKUP(Fact5!$B54,Fact5_predicmoderate!$A$1:$W$19,23,0),"")</f>
        <v>4468087</v>
      </c>
      <c r="R54">
        <f>IF(Fact5_predicmoderate!Q14&gt;0,VLOOKUP(Fact5!$B54,Fact5_predicmoderate!$A$1:$W$19,23,0),"")</f>
        <v>4468087</v>
      </c>
      <c r="S54">
        <f>IF(Fact5_predicmoderate!R14&gt;0,VLOOKUP(Fact5!$B54,Fact5_predicmoderate!$A$1:$W$19,23,0),"")</f>
        <v>4468087</v>
      </c>
      <c r="T54">
        <f>IF(Fact5_predicmoderate!S14&gt;0,VLOOKUP(Fact5!$B54,Fact5_predicmoderate!$A$1:$W$19,23,0),"")</f>
        <v>4468087</v>
      </c>
      <c r="U54">
        <f>IF(Fact5_predicmoderate!T14&gt;0,VLOOKUP(Fact5!$B54,Fact5_predicmoderate!$A$1:$W$19,23,0),"")</f>
        <v>4468087</v>
      </c>
      <c r="V54">
        <f>IF(Fact5_predicmoderate!U14&gt;0,VLOOKUP(Fact5!$B54,Fact5_predicmoderate!$A$1:$W$19,23,0),"")</f>
        <v>4468087</v>
      </c>
      <c r="W54">
        <f>IF(Fact5_predicmoderate!V14&gt;0,VLOOKUP(Fact5!$B54,Fact5_predicmoderate!$A$1:$W$19,23,0),"")</f>
        <v>4468087</v>
      </c>
      <c r="Y54" s="2563" t="s">
        <v>42</v>
      </c>
      <c r="Z54" s="8">
        <f ca="1">IF(OFFSET(Fact5_predicmoderate!$A$1,MATCH($Y17,Fact5_predicmoderate!$A$2:$A$26,0),MATCH(Z$2,Fact5_predicmoderate!$A$1:$V$1,0)-1,1,1)=0,NA(),OFFSET(Fact5_predicmoderate!$A$1,MATCH($Y17,Fact5_predicmoderate!$A$2:$A$26,0),MATCH(Z$2,Fact5_predicmoderate!$A$1:$V$1,0)-1,1,1))</f>
        <v>17.59663200378418</v>
      </c>
      <c r="AA54" s="8">
        <f ca="1">IF(OFFSET(Fact5_predicmoderate!$A$1,MATCH($Y17,Fact5_predicmoderate!$A$2:$A$26,0),MATCH(AA$2,Fact5_predicmoderate!$A$1:$V$1,0)-1,1,1)=0,NA(),OFFSET(Fact5_predicmoderate!$A$1,MATCH($Y17,Fact5_predicmoderate!$A$2:$A$26,0),MATCH(AA$2,Fact5_predicmoderate!$A$1:$V$1,0)-1,1,1))</f>
        <v>16.453123092651367</v>
      </c>
      <c r="AB54" s="8">
        <f ca="1">IF(OFFSET(Fact5_predicmoderate!$A$1,MATCH($Y17,Fact5_predicmoderate!$A$2:$A$26,0),MATCH(AB$2,Fact5_predicmoderate!$A$1:$V$1,0)-1,1,1)=0,NA(),OFFSET(Fact5_predicmoderate!$A$1,MATCH($Y17,Fact5_predicmoderate!$A$2:$A$26,0),MATCH(AB$2,Fact5_predicmoderate!$A$1:$V$1,0)-1,1,1))</f>
        <v>17.940937042236328</v>
      </c>
      <c r="AC54" s="8">
        <f ca="1">IF(OFFSET(Fact5_predicmoderate!$A$1,MATCH($Y17,Fact5_predicmoderate!$A$2:$A$26,0),MATCH(AC$2,Fact5_predicmoderate!$A$1:$V$1,0)-1,1,1)=0,NA(),OFFSET(Fact5_predicmoderate!$A$1,MATCH($Y17,Fact5_predicmoderate!$A$2:$A$26,0),MATCH(AC$2,Fact5_predicmoderate!$A$1:$V$1,0)-1,1,1))</f>
        <v>16.841392517089844</v>
      </c>
      <c r="AD54" s="8">
        <f ca="1">IF(OFFSET(Fact5_predicmoderate!$A$1,MATCH($Y17,Fact5_predicmoderate!$A$2:$A$26,0),MATCH(AD$2,Fact5_predicmoderate!$A$1:$V$1,0)-1,1,1)=0,NA(),OFFSET(Fact5_predicmoderate!$A$1,MATCH($Y17,Fact5_predicmoderate!$A$2:$A$26,0),MATCH(AD$2,Fact5_predicmoderate!$A$1:$V$1,0)-1,1,1))</f>
        <v>15.837926864624023</v>
      </c>
      <c r="AE54" s="8">
        <f ca="1">IF(OFFSET(Fact5_predicmoderate!$A$1,MATCH($Y17,Fact5_predicmoderate!$A$2:$A$26,0),MATCH(AE$2,Fact5_predicmoderate!$A$1:$V$1,0)-1,1,1)=0,NA(),OFFSET(Fact5_predicmoderate!$A$1,MATCH($Y17,Fact5_predicmoderate!$A$2:$A$26,0),MATCH(AE$2,Fact5_predicmoderate!$A$1:$V$1,0)-1,1,1))</f>
        <v>14.377239227294922</v>
      </c>
      <c r="AF54" s="8">
        <f ca="1">IF(OFFSET(Fact5_predicmoderate!$A$1,MATCH($Y17,Fact5_predicmoderate!$A$2:$A$26,0),MATCH(AF$2,Fact5_predicmoderate!$A$1:$V$1,0)-1,1,1)=0,NA(),OFFSET(Fact5_predicmoderate!$A$1,MATCH($Y17,Fact5_predicmoderate!$A$2:$A$26,0),MATCH(AF$2,Fact5_predicmoderate!$A$1:$V$1,0)-1,1,1))</f>
        <v>14.995941162109375</v>
      </c>
      <c r="AG54" s="8">
        <f ca="1">IF(OFFSET(Fact5_predicmoderate!$A$1,MATCH($Y17,Fact5_predicmoderate!$A$2:$A$26,0),MATCH(AG$2,Fact5_predicmoderate!$A$1:$V$1,0)-1,1,1)=0,NA(),OFFSET(Fact5_predicmoderate!$A$1,MATCH($Y17,Fact5_predicmoderate!$A$2:$A$26,0),MATCH(AG$2,Fact5_predicmoderate!$A$1:$V$1,0)-1,1,1))</f>
        <v>13.019922256469727</v>
      </c>
      <c r="AH54" s="8">
        <f ca="1">IF(OFFSET(Fact5_predicmoderate!$A$1,MATCH($Y17,Fact5_predicmoderate!$A$2:$A$26,0),MATCH(AH$2,Fact5_predicmoderate!$A$1:$V$1,0)-1,1,1)=0,NA(),OFFSET(Fact5_predicmoderate!$A$1,MATCH($Y17,Fact5_predicmoderate!$A$2:$A$26,0),MATCH(AH$2,Fact5_predicmoderate!$A$1:$V$1,0)-1,1,1))</f>
        <v>14.472837448120117</v>
      </c>
      <c r="AI54" s="8">
        <f ca="1">IF(OFFSET(Fact5_predicmoderate!$A$1,MATCH($Y17,Fact5_predicmoderate!$A$2:$A$26,0),MATCH(AI$2,Fact5_predicmoderate!$A$1:$V$1,0)-1,1,1)=0,NA(),OFFSET(Fact5_predicmoderate!$A$1,MATCH($Y17,Fact5_predicmoderate!$A$2:$A$26,0),MATCH(AI$2,Fact5_predicmoderate!$A$1:$V$1,0)-1,1,1))</f>
        <v>12.902566909790039</v>
      </c>
      <c r="AJ54" s="8">
        <f ca="1">IF(OFFSET(Fact5_predicmoderate!$A$1,MATCH($Y17,Fact5_predicmoderate!$A$2:$A$26,0),MATCH(AJ$2,Fact5_predicmoderate!$A$1:$V$1,0)-1,1,1)=0,NA(),OFFSET(Fact5_predicmoderate!$A$1,MATCH($Y17,Fact5_predicmoderate!$A$2:$A$26,0),MATCH(AJ$2,Fact5_predicmoderate!$A$1:$V$1,0)-1,1,1))</f>
        <v>11.964855194091797</v>
      </c>
      <c r="AK54" s="8">
        <f ca="1">IF(OFFSET(Fact5_predicmoderate!$A$1,MATCH($Y17,Fact5_predicmoderate!$A$2:$A$26,0),MATCH(AK$2,Fact5_predicmoderate!$A$1:$V$1,0)-1,1,1)=0,NA(),OFFSET(Fact5_predicmoderate!$A$1,MATCH($Y17,Fact5_predicmoderate!$A$2:$A$26,0),MATCH(AK$2,Fact5_predicmoderate!$A$1:$V$1,0)-1,1,1))</f>
        <v>10.928615570068359</v>
      </c>
      <c r="AL54" s="8">
        <f ca="1">IF(OFFSET(Fact5_predicmoderate!$A$1,MATCH($Y17,Fact5_predicmoderate!$A$2:$A$26,0),MATCH(AL$2,Fact5_predicmoderate!$A$1:$V$1,0)-1,1,1)=0,NA(),OFFSET(Fact5_predicmoderate!$A$1,MATCH($Y17,Fact5_predicmoderate!$A$2:$A$26,0),MATCH(AL$2,Fact5_predicmoderate!$A$1:$V$1,0)-1,1,1))</f>
        <v>10.789382934570313</v>
      </c>
      <c r="AM54" s="8">
        <f ca="1">IF(OFFSET(Fact5_predicmoderate!$A$1,MATCH($Y17,Fact5_predicmoderate!$A$2:$A$26,0),MATCH(AM$2,Fact5_predicmoderate!$A$1:$V$1,0)-1,1,1)=0,NA(),OFFSET(Fact5_predicmoderate!$A$1,MATCH($Y17,Fact5_predicmoderate!$A$2:$A$26,0),MATCH(AM$2,Fact5_predicmoderate!$A$1:$V$1,0)-1,1,1))</f>
        <v>9.9543170928955078</v>
      </c>
      <c r="AN54" s="8">
        <f ca="1">IF(OFFSET(Fact5_predicmoderate!$A$1,MATCH($Y17,Fact5_predicmoderate!$A$2:$A$26,0),MATCH(AN$2,Fact5_predicmoderate!$A$1:$V$1,0)-1,1,1)=0,NA(),OFFSET(Fact5_predicmoderate!$A$1,MATCH($Y17,Fact5_predicmoderate!$A$2:$A$26,0),MATCH(AN$2,Fact5_predicmoderate!$A$1:$V$1,0)-1,1,1))</f>
        <v>10.177567481994629</v>
      </c>
      <c r="AO54" s="8">
        <f ca="1">IF(OFFSET(Fact5_predicmoderate!$A$1,MATCH($Y17,Fact5_predicmoderate!$A$2:$A$26,0),MATCH(AO$2,Fact5_predicmoderate!$A$1:$V$1,0)-1,1,1)=0,NA(),OFFSET(Fact5_predicmoderate!$A$1,MATCH($Y17,Fact5_predicmoderate!$A$2:$A$26,0),MATCH(AO$2,Fact5_predicmoderate!$A$1:$V$1,0)-1,1,1))</f>
        <v>9.0083036422729492</v>
      </c>
      <c r="AP54" s="8">
        <f ca="1">IF(OFFSET(Fact5_predicmoderate!$A$1,MATCH($Y17,Fact5_predicmoderate!$A$2:$A$26,0),MATCH(AP$2,Fact5_predicmoderate!$A$1:$V$1,0)-1,1,1)=0,NA(),OFFSET(Fact5_predicmoderate!$A$1,MATCH($Y17,Fact5_predicmoderate!$A$2:$A$26,0),MATCH(AP$2,Fact5_predicmoderate!$A$1:$V$1,0)-1,1,1))</f>
        <v>9.2068519592285156</v>
      </c>
      <c r="AQ54" s="88">
        <f ca="1">IF(OFFSET(Fact5_predicmoderate!$A$1,MATCH($Y17,Fact5_predicmoderate!$A$2:$A$26,0),MATCH(AQ$2,Fact5_predicmoderate!$A$1:$V$1,0)-1,1,1)=0,NA(),OFFSET(Fact5_predicmoderate!$A$1,MATCH($Y17,Fact5_predicmoderate!$A$2:$A$26,0),MATCH(AQ$2,Fact5_predicmoderate!$A$1:$V$1,0)-1,1,1))</f>
        <v>9.6165342330932617</v>
      </c>
      <c r="AR54" s="88">
        <f ca="1">IF(OFFSET(Fact5_predicmoderate!$A$1,MATCH($Y17,Fact5_predicmoderate!$A$2:$A$26,0),MATCH(AR$2,Fact5_predicmoderate!$A$1:$V$1,0)-1,1,1)=0,NA(),OFFSET(Fact5_predicmoderate!$A$1,MATCH($Y17,Fact5_predicmoderate!$A$2:$A$26,0),MATCH(AR$2,Fact5_predicmoderate!$A$1:$V$1,0)-1,1,1))</f>
        <v>10.044445991516113</v>
      </c>
      <c r="AS54" s="8">
        <f ca="1">IF(OFFSET(Fact5_predicmoderate!$A$1,MATCH($Y17,Fact5_predicmoderate!$A$2:$A$26,0),MATCH(AS$2,Fact5_predicmoderate!$A$1:$V$1,0)-1,1,1)=0,NA(),OFFSET(Fact5_predicmoderate!$A$1,MATCH($Y17,Fact5_predicmoderate!$A$2:$A$26,0),MATCH(AS$2,Fact5_predicmoderate!$A$1:$V$1,0)-1,1,1))</f>
        <v>10.491399765014648</v>
      </c>
      <c r="AT54" s="88">
        <f ca="1">IF(OFFSET(Fact5_predicmoderate!$A$1,MATCH($Y17,Fact5_predicmoderate!$A$2:$A$26,0),MATCH(AT$2,Fact5_predicmoderate!$A$1:$V$1,0)-1,1,1)=0,NA(),OFFSET(Fact5_predicmoderate!$A$1,MATCH($Y17,Fact5_predicmoderate!$A$2:$A$26,0),MATCH(AT$2,Fact5_predicmoderate!$A$1:$V$1,0)-1,1,1))</f>
        <v>10.95824146270752</v>
      </c>
      <c r="AW54" s="7532">
        <f t="shared" ca="1" si="79"/>
        <v>-0.37725347325835223</v>
      </c>
      <c r="AX54" s="7532">
        <f t="shared" ca="1" si="57"/>
        <v>4.4497541144245201E-2</v>
      </c>
      <c r="AY54" s="7532">
        <f t="shared" ca="1" si="58"/>
        <v>9.0975073347196789E-2</v>
      </c>
      <c r="AZ54" s="7535"/>
      <c r="BA54" s="7532">
        <f t="shared" ca="1" si="59"/>
        <v>-6.4984532886003366E-2</v>
      </c>
      <c r="BB54" s="7532">
        <f t="shared" ca="1" si="60"/>
        <v>9.0427449014192307E-2</v>
      </c>
      <c r="BC54" s="7532">
        <f t="shared" ca="1" si="61"/>
        <v>-6.1286906172066224E-2</v>
      </c>
      <c r="BD54" s="7532">
        <f t="shared" ca="1" si="62"/>
        <v>-5.9583294638347217E-2</v>
      </c>
      <c r="BE54" s="7532">
        <f t="shared" ca="1" si="63"/>
        <v>-9.2227199292839845E-2</v>
      </c>
      <c r="BF54" s="7532">
        <f t="shared" ca="1" si="64"/>
        <v>4.3033431177792458E-2</v>
      </c>
      <c r="BG54" s="7532">
        <f t="shared" ca="1" si="65"/>
        <v>-0.13177024931469494</v>
      </c>
      <c r="BH54" s="7532">
        <f t="shared" ca="1" si="66"/>
        <v>0.11159169486810283</v>
      </c>
      <c r="BI54" s="7532">
        <f t="shared" ca="1" si="67"/>
        <v>-0.1084977665201402</v>
      </c>
      <c r="BJ54" s="7532">
        <f t="shared" ca="1" si="68"/>
        <v>-7.2676369148431785E-2</v>
      </c>
      <c r="BK54" s="7532">
        <f t="shared" ca="1" si="69"/>
        <v>-8.6606950708031039E-2</v>
      </c>
      <c r="BL54" s="7532">
        <f t="shared" ca="1" si="70"/>
        <v>-1.2740189697895699E-2</v>
      </c>
      <c r="BM54" s="7532">
        <f t="shared" ca="1" si="71"/>
        <v>-7.7396997283242785E-2</v>
      </c>
      <c r="BN54" s="7532">
        <f t="shared" ca="1" si="72"/>
        <v>2.242749422343171E-2</v>
      </c>
      <c r="BO54" s="7532">
        <f t="shared" ca="1" si="73"/>
        <v>-0.11488637553032699</v>
      </c>
      <c r="BP54" s="7532">
        <f t="shared" ca="1" si="74"/>
        <v>2.2040588865571253E-2</v>
      </c>
      <c r="BQ54" s="7532">
        <f t="shared" ca="1" si="75"/>
        <v>4.4497541144245201E-2</v>
      </c>
      <c r="BR54" s="7532">
        <f t="shared" ca="1" si="76"/>
        <v>4.4497502743793493E-2</v>
      </c>
      <c r="BS54" s="7532">
        <f t="shared" ca="1" si="77"/>
        <v>4.4497603339800795E-2</v>
      </c>
      <c r="BT54" s="7532">
        <f t="shared" ca="1" si="78"/>
        <v>4.4497560682954296E-2</v>
      </c>
      <c r="BV54" s="8"/>
    </row>
    <row r="55" spans="2:74">
      <c r="B55" s="99" t="s">
        <v>44</v>
      </c>
      <c r="C55">
        <f>IF(Fact5_predicmoderate!B15&gt;0,VLOOKUP(Fact5!$B55,Fact5_predicmoderate!$A$1:$W$19,23,0),"")</f>
        <v>34352719</v>
      </c>
      <c r="D55">
        <f>IF(Fact5_predicmoderate!C15&gt;0,VLOOKUP(Fact5!$B55,Fact5_predicmoderate!$A$1:$W$19,23,0),"")</f>
        <v>34352719</v>
      </c>
      <c r="E55">
        <f>IF(Fact5_predicmoderate!D15&gt;0,VLOOKUP(Fact5!$B55,Fact5_predicmoderate!$A$1:$W$19,23,0),"")</f>
        <v>34352719</v>
      </c>
      <c r="F55">
        <f>IF(Fact5_predicmoderate!E15&gt;0,VLOOKUP(Fact5!$B55,Fact5_predicmoderate!$A$1:$W$19,23,0),"")</f>
        <v>34352719</v>
      </c>
      <c r="G55">
        <f>IF(Fact5_predicmoderate!F15&gt;0,VLOOKUP(Fact5!$B55,Fact5_predicmoderate!$A$1:$W$19,23,0),"")</f>
        <v>34352719</v>
      </c>
      <c r="H55">
        <f>IF(Fact5_predicmoderate!G15&gt;0,VLOOKUP(Fact5!$B55,Fact5_predicmoderate!$A$1:$W$19,23,0),"")</f>
        <v>34352719</v>
      </c>
      <c r="I55">
        <f>IF(Fact5_predicmoderate!H15&gt;0,VLOOKUP(Fact5!$B55,Fact5_predicmoderate!$A$1:$W$19,23,0),"")</f>
        <v>34352719</v>
      </c>
      <c r="J55">
        <f>IF(Fact5_predicmoderate!I15&gt;0,VLOOKUP(Fact5!$B55,Fact5_predicmoderate!$A$1:$W$19,23,0),"")</f>
        <v>34352719</v>
      </c>
      <c r="K55">
        <f>IF(Fact5_predicmoderate!J15&gt;0,VLOOKUP(Fact5!$B55,Fact5_predicmoderate!$A$1:$W$19,23,0),"")</f>
        <v>34352719</v>
      </c>
      <c r="L55">
        <f>IF(Fact5_predicmoderate!K15&gt;0,VLOOKUP(Fact5!$B55,Fact5_predicmoderate!$A$1:$W$19,23,0),"")</f>
        <v>34352719</v>
      </c>
      <c r="M55">
        <f>IF(Fact5_predicmoderate!L15&gt;0,VLOOKUP(Fact5!$B55,Fact5_predicmoderate!$A$1:$W$19,23,0),"")</f>
        <v>34352719</v>
      </c>
      <c r="N55">
        <f>IF(Fact5_predicmoderate!M15&gt;0,VLOOKUP(Fact5!$B55,Fact5_predicmoderate!$A$1:$W$19,23,0),"")</f>
        <v>34352719</v>
      </c>
      <c r="O55">
        <f>IF(Fact5_predicmoderate!N15&gt;0,VLOOKUP(Fact5!$B55,Fact5_predicmoderate!$A$1:$W$19,23,0),"")</f>
        <v>34352719</v>
      </c>
      <c r="P55">
        <f>IF(Fact5_predicmoderate!O15&gt;0,VLOOKUP(Fact5!$B55,Fact5_predicmoderate!$A$1:$W$19,23,0),"")</f>
        <v>34352719</v>
      </c>
      <c r="Q55">
        <f>IF(Fact5_predicmoderate!P15&gt;0,VLOOKUP(Fact5!$B55,Fact5_predicmoderate!$A$1:$W$19,23,0),"")</f>
        <v>34352719</v>
      </c>
      <c r="R55">
        <f>IF(Fact5_predicmoderate!Q15&gt;0,VLOOKUP(Fact5!$B55,Fact5_predicmoderate!$A$1:$W$19,23,0),"")</f>
        <v>34352719</v>
      </c>
      <c r="S55">
        <f>IF(Fact5_predicmoderate!R15&gt;0,VLOOKUP(Fact5!$B55,Fact5_predicmoderate!$A$1:$W$19,23,0),"")</f>
        <v>34352719</v>
      </c>
      <c r="T55">
        <f>IF(Fact5_predicmoderate!S15&gt;0,VLOOKUP(Fact5!$B55,Fact5_predicmoderate!$A$1:$W$19,23,0),"")</f>
        <v>34352719</v>
      </c>
      <c r="U55">
        <f>IF(Fact5_predicmoderate!T15&gt;0,VLOOKUP(Fact5!$B55,Fact5_predicmoderate!$A$1:$W$19,23,0),"")</f>
        <v>34352719</v>
      </c>
      <c r="V55">
        <f>IF(Fact5_predicmoderate!U15&gt;0,VLOOKUP(Fact5!$B55,Fact5_predicmoderate!$A$1:$W$19,23,0),"")</f>
        <v>34352719</v>
      </c>
      <c r="W55">
        <f>IF(Fact5_predicmoderate!V15&gt;0,VLOOKUP(Fact5!$B55,Fact5_predicmoderate!$A$1:$W$19,23,0),"")</f>
        <v>34352719</v>
      </c>
      <c r="Y55" s="2563" t="s">
        <v>44</v>
      </c>
      <c r="Z55" s="8">
        <f ca="1">IF(OFFSET(Fact5_predicmoderate!$A$1,MATCH($Y18,Fact5_predicmoderate!$A$2:$A$26,0),MATCH(Z$2,Fact5_predicmoderate!$A$1:$V$1,0)-1,1,1)=0,NA(),OFFSET(Fact5_predicmoderate!$A$1,MATCH($Y18,Fact5_predicmoderate!$A$2:$A$26,0),MATCH(Z$2,Fact5_predicmoderate!$A$1:$V$1,0)-1,1,1))</f>
        <v>26.549615859985352</v>
      </c>
      <c r="AA55" s="8">
        <f ca="1">IF(OFFSET(Fact5_predicmoderate!$A$1,MATCH($Y18,Fact5_predicmoderate!$A$2:$A$26,0),MATCH(AA$2,Fact5_predicmoderate!$A$1:$V$1,0)-1,1,1)=0,NA(),OFFSET(Fact5_predicmoderate!$A$1,MATCH($Y18,Fact5_predicmoderate!$A$2:$A$26,0),MATCH(AA$2,Fact5_predicmoderate!$A$1:$V$1,0)-1,1,1))</f>
        <v>26.959007263183594</v>
      </c>
      <c r="AB55" s="8">
        <f ca="1">IF(OFFSET(Fact5_predicmoderate!$A$1,MATCH($Y18,Fact5_predicmoderate!$A$2:$A$26,0),MATCH(AB$2,Fact5_predicmoderate!$A$1:$V$1,0)-1,1,1)=0,NA(),OFFSET(Fact5_predicmoderate!$A$1,MATCH($Y18,Fact5_predicmoderate!$A$2:$A$26,0),MATCH(AB$2,Fact5_predicmoderate!$A$1:$V$1,0)-1,1,1))</f>
        <v>26.376331329345703</v>
      </c>
      <c r="AC55" s="8">
        <f ca="1">IF(OFFSET(Fact5_predicmoderate!$A$1,MATCH($Y18,Fact5_predicmoderate!$A$2:$A$26,0),MATCH(AC$2,Fact5_predicmoderate!$A$1:$V$1,0)-1,1,1)=0,NA(),OFFSET(Fact5_predicmoderate!$A$1,MATCH($Y18,Fact5_predicmoderate!$A$2:$A$26,0),MATCH(AC$2,Fact5_predicmoderate!$A$1:$V$1,0)-1,1,1))</f>
        <v>25.781492233276367</v>
      </c>
      <c r="AD55" s="8">
        <f ca="1">IF(OFFSET(Fact5_predicmoderate!$A$1,MATCH($Y18,Fact5_predicmoderate!$A$2:$A$26,0),MATCH(AD$2,Fact5_predicmoderate!$A$1:$V$1,0)-1,1,1)=0,NA(),OFFSET(Fact5_predicmoderate!$A$1,MATCH($Y18,Fact5_predicmoderate!$A$2:$A$26,0),MATCH(AD$2,Fact5_predicmoderate!$A$1:$V$1,0)-1,1,1))</f>
        <v>24.946033477783203</v>
      </c>
      <c r="AE55" s="8">
        <f ca="1">IF(OFFSET(Fact5_predicmoderate!$A$1,MATCH($Y18,Fact5_predicmoderate!$A$2:$A$26,0),MATCH(AE$2,Fact5_predicmoderate!$A$1:$V$1,0)-1,1,1)=0,NA(),OFFSET(Fact5_predicmoderate!$A$1,MATCH($Y18,Fact5_predicmoderate!$A$2:$A$26,0),MATCH(AE$2,Fact5_predicmoderate!$A$1:$V$1,0)-1,1,1))</f>
        <v>24.539430618286133</v>
      </c>
      <c r="AF55" s="8">
        <f ca="1">IF(OFFSET(Fact5_predicmoderate!$A$1,MATCH($Y18,Fact5_predicmoderate!$A$2:$A$26,0),MATCH(AF$2,Fact5_predicmoderate!$A$1:$V$1,0)-1,1,1)=0,NA(),OFFSET(Fact5_predicmoderate!$A$1,MATCH($Y18,Fact5_predicmoderate!$A$2:$A$26,0),MATCH(AF$2,Fact5_predicmoderate!$A$1:$V$1,0)-1,1,1))</f>
        <v>21.329034805297852</v>
      </c>
      <c r="AG55" s="8">
        <f ca="1">IF(OFFSET(Fact5_predicmoderate!$A$1,MATCH($Y18,Fact5_predicmoderate!$A$2:$A$26,0),MATCH(AG$2,Fact5_predicmoderate!$A$1:$V$1,0)-1,1,1)=0,NA(),OFFSET(Fact5_predicmoderate!$A$1,MATCH($Y18,Fact5_predicmoderate!$A$2:$A$26,0),MATCH(AG$2,Fact5_predicmoderate!$A$1:$V$1,0)-1,1,1))</f>
        <v>20.19951057434082</v>
      </c>
      <c r="AH55" s="8">
        <f ca="1">IF(OFFSET(Fact5_predicmoderate!$A$1,MATCH($Y18,Fact5_predicmoderate!$A$2:$A$26,0),MATCH(AH$2,Fact5_predicmoderate!$A$1:$V$1,0)-1,1,1)=0,NA(),OFFSET(Fact5_predicmoderate!$A$1,MATCH($Y18,Fact5_predicmoderate!$A$2:$A$26,0),MATCH(AH$2,Fact5_predicmoderate!$A$1:$V$1,0)-1,1,1))</f>
        <v>22.834062576293945</v>
      </c>
      <c r="AI55" s="8">
        <f ca="1">IF(OFFSET(Fact5_predicmoderate!$A$1,MATCH($Y18,Fact5_predicmoderate!$A$2:$A$26,0),MATCH(AI$2,Fact5_predicmoderate!$A$1:$V$1,0)-1,1,1)=0,NA(),OFFSET(Fact5_predicmoderate!$A$1,MATCH($Y18,Fact5_predicmoderate!$A$2:$A$26,0),MATCH(AI$2,Fact5_predicmoderate!$A$1:$V$1,0)-1,1,1))</f>
        <v>22.219751358032227</v>
      </c>
      <c r="AJ55" s="8">
        <f ca="1">IF(OFFSET(Fact5_predicmoderate!$A$1,MATCH($Y18,Fact5_predicmoderate!$A$2:$A$26,0),MATCH(AJ$2,Fact5_predicmoderate!$A$1:$V$1,0)-1,1,1)=0,NA(),OFFSET(Fact5_predicmoderate!$A$1,MATCH($Y18,Fact5_predicmoderate!$A$2:$A$26,0),MATCH(AJ$2,Fact5_predicmoderate!$A$1:$V$1,0)-1,1,1))</f>
        <v>21.910720825195313</v>
      </c>
      <c r="AK55" s="8">
        <f ca="1">IF(OFFSET(Fact5_predicmoderate!$A$1,MATCH($Y18,Fact5_predicmoderate!$A$2:$A$26,0),MATCH(AK$2,Fact5_predicmoderate!$A$1:$V$1,0)-1,1,1)=0,NA(),OFFSET(Fact5_predicmoderate!$A$1,MATCH($Y18,Fact5_predicmoderate!$A$2:$A$26,0),MATCH(AK$2,Fact5_predicmoderate!$A$1:$V$1,0)-1,1,1))</f>
        <v>22.156919479370117</v>
      </c>
      <c r="AL55" s="8">
        <f ca="1">IF(OFFSET(Fact5_predicmoderate!$A$1,MATCH($Y18,Fact5_predicmoderate!$A$2:$A$26,0),MATCH(AL$2,Fact5_predicmoderate!$A$1:$V$1,0)-1,1,1)=0,NA(),OFFSET(Fact5_predicmoderate!$A$1,MATCH($Y18,Fact5_predicmoderate!$A$2:$A$26,0),MATCH(AL$2,Fact5_predicmoderate!$A$1:$V$1,0)-1,1,1))</f>
        <v>22.409946441650391</v>
      </c>
      <c r="AM55" s="8">
        <f ca="1">IF(OFFSET(Fact5_predicmoderate!$A$1,MATCH($Y18,Fact5_predicmoderate!$A$2:$A$26,0),MATCH(AM$2,Fact5_predicmoderate!$A$1:$V$1,0)-1,1,1)=0,NA(),OFFSET(Fact5_predicmoderate!$A$1,MATCH($Y18,Fact5_predicmoderate!$A$2:$A$26,0),MATCH(AM$2,Fact5_predicmoderate!$A$1:$V$1,0)-1,1,1))</f>
        <v>21.096639633178711</v>
      </c>
      <c r="AN55" s="8">
        <f ca="1">IF(OFFSET(Fact5_predicmoderate!$A$1,MATCH($Y18,Fact5_predicmoderate!$A$2:$A$26,0),MATCH(AN$2,Fact5_predicmoderate!$A$1:$V$1,0)-1,1,1)=0,NA(),OFFSET(Fact5_predicmoderate!$A$1,MATCH($Y18,Fact5_predicmoderate!$A$2:$A$26,0),MATCH(AN$2,Fact5_predicmoderate!$A$1:$V$1,0)-1,1,1))</f>
        <v>22.17463493347168</v>
      </c>
      <c r="AO55" s="8">
        <f ca="1">IF(OFFSET(Fact5_predicmoderate!$A$1,MATCH($Y18,Fact5_predicmoderate!$A$2:$A$26,0),MATCH(AO$2,Fact5_predicmoderate!$A$1:$V$1,0)-1,1,1)=0,NA(),OFFSET(Fact5_predicmoderate!$A$1,MATCH($Y18,Fact5_predicmoderate!$A$2:$A$26,0),MATCH(AO$2,Fact5_predicmoderate!$A$1:$V$1,0)-1,1,1))</f>
        <v>21.958845138549805</v>
      </c>
      <c r="AP55" s="8">
        <f ca="1">IF(OFFSET(Fact5_predicmoderate!$A$1,MATCH($Y18,Fact5_predicmoderate!$A$2:$A$26,0),MATCH(AP$2,Fact5_predicmoderate!$A$1:$V$1,0)-1,1,1)=0,NA(),OFFSET(Fact5_predicmoderate!$A$1,MATCH($Y18,Fact5_predicmoderate!$A$2:$A$26,0),MATCH(AP$2,Fact5_predicmoderate!$A$1:$V$1,0)-1,1,1))</f>
        <v>21.402103424072266</v>
      </c>
      <c r="AQ55" s="8">
        <f ca="1">IF(OFFSET(Fact5_predicmoderate!$A$1,MATCH($Y18,Fact5_predicmoderate!$A$2:$A$26,0),MATCH(AQ$2,Fact5_predicmoderate!$A$1:$V$1,0)-1,1,1)=0,NA(),OFFSET(Fact5_predicmoderate!$A$1,MATCH($Y18,Fact5_predicmoderate!$A$2:$A$26,0),MATCH(AQ$2,Fact5_predicmoderate!$A$1:$V$1,0)-1,1,1))</f>
        <v>26.611644744873047</v>
      </c>
      <c r="AR55" s="8">
        <f ca="1">IF(OFFSET(Fact5_predicmoderate!$A$1,MATCH($Y18,Fact5_predicmoderate!$A$2:$A$26,0),MATCH(AR$2,Fact5_predicmoderate!$A$1:$V$1,0)-1,1,1)=0,NA(),OFFSET(Fact5_predicmoderate!$A$1,MATCH($Y18,Fact5_predicmoderate!$A$2:$A$26,0),MATCH(AR$2,Fact5_predicmoderate!$A$1:$V$1,0)-1,1,1))</f>
        <v>26.276815414428711</v>
      </c>
      <c r="AS55" s="8">
        <f ca="1">IF(OFFSET(Fact5_predicmoderate!$A$1,MATCH($Y18,Fact5_predicmoderate!$A$2:$A$26,0),MATCH(AS$2,Fact5_predicmoderate!$A$1:$V$1,0)-1,1,1)=0,NA(),OFFSET(Fact5_predicmoderate!$A$1,MATCH($Y18,Fact5_predicmoderate!$A$2:$A$26,0),MATCH(AS$2,Fact5_predicmoderate!$A$1:$V$1,0)-1,1,1))</f>
        <v>25.205045700073242</v>
      </c>
      <c r="AT55" s="88">
        <f ca="1">IF(OFFSET(Fact5_predicmoderate!$A$1,MATCH($Y18,Fact5_predicmoderate!$A$2:$A$26,0),MATCH(AT$2,Fact5_predicmoderate!$A$1:$V$1,0)-1,1,1)=0,NA(),OFFSET(Fact5_predicmoderate!$A$1,MATCH($Y18,Fact5_predicmoderate!$A$2:$A$26,0),MATCH(AT$2,Fact5_predicmoderate!$A$1:$V$1,0)-1,1,1))</f>
        <v>24.176990509033203</v>
      </c>
      <c r="AW55" s="7532">
        <f t="shared" ca="1" si="79"/>
        <v>-8.9365712990525314E-2</v>
      </c>
      <c r="AX55" s="7533">
        <f t="shared" ca="1" si="57"/>
        <v>0.24341258508924346</v>
      </c>
      <c r="AY55" s="7532">
        <f t="shared" ca="1" si="58"/>
        <v>0.22776789242470241</v>
      </c>
      <c r="AZ55" s="7535"/>
      <c r="BA55" s="7532">
        <f t="shared" ca="1" si="59"/>
        <v>1.5419861641586374E-2</v>
      </c>
      <c r="BB55" s="7532">
        <f t="shared" ca="1" si="60"/>
        <v>-2.1613404683251014E-2</v>
      </c>
      <c r="BC55" s="7532">
        <f t="shared" ca="1" si="61"/>
        <v>-2.2552002727063591E-2</v>
      </c>
      <c r="BD55" s="7532">
        <f t="shared" ca="1" si="62"/>
        <v>-3.240536846873554E-2</v>
      </c>
      <c r="BE55" s="7532">
        <f t="shared" ca="1" si="63"/>
        <v>-1.6299299039231552E-2</v>
      </c>
      <c r="BF55" s="7532">
        <f t="shared" ca="1" si="64"/>
        <v>-0.13082601071420052</v>
      </c>
      <c r="BG55" s="7532">
        <f t="shared" ca="1" si="65"/>
        <v>-5.2957118841424178E-2</v>
      </c>
      <c r="BH55" s="7532">
        <f t="shared" ca="1" si="66"/>
        <v>0.13042652653672526</v>
      </c>
      <c r="BI55" s="7532">
        <f t="shared" ca="1" si="67"/>
        <v>-2.6903281718229533E-2</v>
      </c>
      <c r="BJ55" s="7532">
        <f t="shared" ca="1" si="68"/>
        <v>-1.3907920383870676E-2</v>
      </c>
      <c r="BK55" s="7532">
        <f t="shared" ca="1" si="69"/>
        <v>1.1236447040651409E-2</v>
      </c>
      <c r="BL55" s="7532">
        <f t="shared" ca="1" si="70"/>
        <v>1.141977171130959E-2</v>
      </c>
      <c r="BM55" s="7532">
        <f t="shared" ca="1" si="71"/>
        <v>-5.8603745970173815E-2</v>
      </c>
      <c r="BN55" s="7532">
        <f t="shared" ca="1" si="72"/>
        <v>5.1097962473492853E-2</v>
      </c>
      <c r="BO55" s="7532">
        <f t="shared" ca="1" si="73"/>
        <v>-9.731379820650421E-3</v>
      </c>
      <c r="BP55" s="7532">
        <f t="shared" ca="1" si="74"/>
        <v>-2.5353870431926828E-2</v>
      </c>
      <c r="BQ55" s="7532">
        <f t="shared" ca="1" si="75"/>
        <v>0.24341258508924346</v>
      </c>
      <c r="BR55" s="7532">
        <f t="shared" ca="1" si="76"/>
        <v>-1.2582060735229161E-2</v>
      </c>
      <c r="BS55" s="7532">
        <f t="shared" ca="1" si="77"/>
        <v>-4.0787656245701465E-2</v>
      </c>
      <c r="BT55" s="7532">
        <f t="shared" ca="1" si="78"/>
        <v>-4.0787674153554554E-2</v>
      </c>
      <c r="BV55" s="8"/>
    </row>
    <row r="56" spans="2:74">
      <c r="B56" s="98" t="s">
        <v>45</v>
      </c>
      <c r="C56">
        <f>IF(Fact5_predicmoderate!B16&gt;0,VLOOKUP(Fact5!$B56,Fact5_predicmoderate!$A$1:$W$19,23,0),"")</f>
        <v>6861524</v>
      </c>
      <c r="D56">
        <f>IF(Fact5_predicmoderate!C16&gt;0,VLOOKUP(Fact5!$B56,Fact5_predicmoderate!$A$1:$W$19,23,0),"")</f>
        <v>6861524</v>
      </c>
      <c r="E56">
        <f>IF(Fact5_predicmoderate!D16&gt;0,VLOOKUP(Fact5!$B56,Fact5_predicmoderate!$A$1:$W$19,23,0),"")</f>
        <v>6861524</v>
      </c>
      <c r="F56">
        <f>IF(Fact5_predicmoderate!E16&gt;0,VLOOKUP(Fact5!$B56,Fact5_predicmoderate!$A$1:$W$19,23,0),"")</f>
        <v>6861524</v>
      </c>
      <c r="G56">
        <f>IF(Fact5_predicmoderate!F16&gt;0,VLOOKUP(Fact5!$B56,Fact5_predicmoderate!$A$1:$W$19,23,0),"")</f>
        <v>6861524</v>
      </c>
      <c r="H56">
        <f>IF(Fact5_predicmoderate!G16&gt;0,VLOOKUP(Fact5!$B56,Fact5_predicmoderate!$A$1:$W$19,23,0),"")</f>
        <v>6861524</v>
      </c>
      <c r="I56">
        <f>IF(Fact5_predicmoderate!H16&gt;0,VLOOKUP(Fact5!$B56,Fact5_predicmoderate!$A$1:$W$19,23,0),"")</f>
        <v>6861524</v>
      </c>
      <c r="J56">
        <f>IF(Fact5_predicmoderate!I16&gt;0,VLOOKUP(Fact5!$B56,Fact5_predicmoderate!$A$1:$W$19,23,0),"")</f>
        <v>6861524</v>
      </c>
      <c r="K56">
        <f>IF(Fact5_predicmoderate!J16&gt;0,VLOOKUP(Fact5!$B56,Fact5_predicmoderate!$A$1:$W$19,23,0),"")</f>
        <v>6861524</v>
      </c>
      <c r="L56">
        <f>IF(Fact5_predicmoderate!K16&gt;0,VLOOKUP(Fact5!$B56,Fact5_predicmoderate!$A$1:$W$19,23,0),"")</f>
        <v>6861524</v>
      </c>
      <c r="M56">
        <f>IF(Fact5_predicmoderate!L16&gt;0,VLOOKUP(Fact5!$B56,Fact5_predicmoderate!$A$1:$W$19,23,0),"")</f>
        <v>6861524</v>
      </c>
      <c r="N56">
        <f>IF(Fact5_predicmoderate!M16&gt;0,VLOOKUP(Fact5!$B56,Fact5_predicmoderate!$A$1:$W$19,23,0),"")</f>
        <v>6861524</v>
      </c>
      <c r="O56">
        <f>IF(Fact5_predicmoderate!N16&gt;0,VLOOKUP(Fact5!$B56,Fact5_predicmoderate!$A$1:$W$19,23,0),"")</f>
        <v>6861524</v>
      </c>
      <c r="P56">
        <f>IF(Fact5_predicmoderate!O16&gt;0,VLOOKUP(Fact5!$B56,Fact5_predicmoderate!$A$1:$W$19,23,0),"")</f>
        <v>6861524</v>
      </c>
      <c r="Q56">
        <f>IF(Fact5_predicmoderate!P16&gt;0,VLOOKUP(Fact5!$B56,Fact5_predicmoderate!$A$1:$W$19,23,0),"")</f>
        <v>6861524</v>
      </c>
      <c r="R56">
        <f>IF(Fact5_predicmoderate!Q16&gt;0,VLOOKUP(Fact5!$B56,Fact5_predicmoderate!$A$1:$W$19,23,0),"")</f>
        <v>6861524</v>
      </c>
      <c r="S56">
        <f>IF(Fact5_predicmoderate!R16&gt;0,VLOOKUP(Fact5!$B56,Fact5_predicmoderate!$A$1:$W$19,23,0),"")</f>
        <v>6861524</v>
      </c>
      <c r="T56">
        <f>IF(Fact5_predicmoderate!S16&gt;0,VLOOKUP(Fact5!$B56,Fact5_predicmoderate!$A$1:$W$19,23,0),"")</f>
        <v>6861524</v>
      </c>
      <c r="U56">
        <f>IF(Fact5_predicmoderate!T16&gt;0,VLOOKUP(Fact5!$B56,Fact5_predicmoderate!$A$1:$W$19,23,0),"")</f>
        <v>6861524</v>
      </c>
      <c r="V56">
        <f>IF(Fact5_predicmoderate!U16&gt;0,VLOOKUP(Fact5!$B56,Fact5_predicmoderate!$A$1:$W$19,23,0),"")</f>
        <v>6861524</v>
      </c>
      <c r="W56">
        <f>IF(Fact5_predicmoderate!V16&gt;0,VLOOKUP(Fact5!$B56,Fact5_predicmoderate!$A$1:$W$19,23,0),"")</f>
        <v>6861524</v>
      </c>
      <c r="Y56" s="2562" t="s">
        <v>45</v>
      </c>
      <c r="Z56" s="8">
        <f ca="1">IF(OFFSET(Fact5_predicmoderate!$A$1,MATCH($Y19,Fact5_predicmoderate!$A$2:$A$26,0),MATCH(Z$2,Fact5_predicmoderate!$A$1:$V$1,0)-1,1,1)=0,NA(),OFFSET(Fact5_predicmoderate!$A$1,MATCH($Y19,Fact5_predicmoderate!$A$2:$A$26,0),MATCH(Z$2,Fact5_predicmoderate!$A$1:$V$1,0)-1,1,1))</f>
        <v>24.827672958374023</v>
      </c>
      <c r="AA56" s="8">
        <f ca="1">IF(OFFSET(Fact5_predicmoderate!$A$1,MATCH($Y19,Fact5_predicmoderate!$A$2:$A$26,0),MATCH(AA$2,Fact5_predicmoderate!$A$1:$V$1,0)-1,1,1)=0,NA(),OFFSET(Fact5_predicmoderate!$A$1,MATCH($Y19,Fact5_predicmoderate!$A$2:$A$26,0),MATCH(AA$2,Fact5_predicmoderate!$A$1:$V$1,0)-1,1,1))</f>
        <v>26.736730575561523</v>
      </c>
      <c r="AB56" s="8">
        <f ca="1">IF(OFFSET(Fact5_predicmoderate!$A$1,MATCH($Y19,Fact5_predicmoderate!$A$2:$A$26,0),MATCH(AB$2,Fact5_predicmoderate!$A$1:$V$1,0)-1,1,1)=0,NA(),OFFSET(Fact5_predicmoderate!$A$1,MATCH($Y19,Fact5_predicmoderate!$A$2:$A$26,0),MATCH(AB$2,Fact5_predicmoderate!$A$1:$V$1,0)-1,1,1))</f>
        <v>25.157958984375</v>
      </c>
      <c r="AC56" s="8">
        <f ca="1">IF(OFFSET(Fact5_predicmoderate!$A$1,MATCH($Y19,Fact5_predicmoderate!$A$2:$A$26,0),MATCH(AC$2,Fact5_predicmoderate!$A$1:$V$1,0)-1,1,1)=0,NA(),OFFSET(Fact5_predicmoderate!$A$1,MATCH($Y19,Fact5_predicmoderate!$A$2:$A$26,0),MATCH(AC$2,Fact5_predicmoderate!$A$1:$V$1,0)-1,1,1))</f>
        <v>23.99897575378418</v>
      </c>
      <c r="AD56" s="8">
        <f ca="1">IF(OFFSET(Fact5_predicmoderate!$A$1,MATCH($Y19,Fact5_predicmoderate!$A$2:$A$26,0),MATCH(AD$2,Fact5_predicmoderate!$A$1:$V$1,0)-1,1,1)=0,NA(),OFFSET(Fact5_predicmoderate!$A$1,MATCH($Y19,Fact5_predicmoderate!$A$2:$A$26,0),MATCH(AD$2,Fact5_predicmoderate!$A$1:$V$1,0)-1,1,1))</f>
        <v>24.774364471435547</v>
      </c>
      <c r="AE56" s="8">
        <f ca="1">IF(OFFSET(Fact5_predicmoderate!$A$1,MATCH($Y19,Fact5_predicmoderate!$A$2:$A$26,0),MATCH(AE$2,Fact5_predicmoderate!$A$1:$V$1,0)-1,1,1)=0,NA(),OFFSET(Fact5_predicmoderate!$A$1,MATCH($Y19,Fact5_predicmoderate!$A$2:$A$26,0),MATCH(AE$2,Fact5_predicmoderate!$A$1:$V$1,0)-1,1,1))</f>
        <v>24.475152969360352</v>
      </c>
      <c r="AF56" s="8">
        <f ca="1">IF(OFFSET(Fact5_predicmoderate!$A$1,MATCH($Y19,Fact5_predicmoderate!$A$2:$A$26,0),MATCH(AF$2,Fact5_predicmoderate!$A$1:$V$1,0)-1,1,1)=0,NA(),OFFSET(Fact5_predicmoderate!$A$1,MATCH($Y19,Fact5_predicmoderate!$A$2:$A$26,0),MATCH(AF$2,Fact5_predicmoderate!$A$1:$V$1,0)-1,1,1))</f>
        <v>21.062740325927734</v>
      </c>
      <c r="AG56" s="8">
        <f ca="1">IF(OFFSET(Fact5_predicmoderate!$A$1,MATCH($Y19,Fact5_predicmoderate!$A$2:$A$26,0),MATCH(AG$2,Fact5_predicmoderate!$A$1:$V$1,0)-1,1,1)=0,NA(),OFFSET(Fact5_predicmoderate!$A$1,MATCH($Y19,Fact5_predicmoderate!$A$2:$A$26,0),MATCH(AG$2,Fact5_predicmoderate!$A$1:$V$1,0)-1,1,1))</f>
        <v>19.792831420898438</v>
      </c>
      <c r="AH56" s="8">
        <f ca="1">IF(OFFSET(Fact5_predicmoderate!$A$1,MATCH($Y19,Fact5_predicmoderate!$A$2:$A$26,0),MATCH(AH$2,Fact5_predicmoderate!$A$1:$V$1,0)-1,1,1)=0,NA(),OFFSET(Fact5_predicmoderate!$A$1,MATCH($Y19,Fact5_predicmoderate!$A$2:$A$26,0),MATCH(AH$2,Fact5_predicmoderate!$A$1:$V$1,0)-1,1,1))</f>
        <v>19.51426887512207</v>
      </c>
      <c r="AI56" s="8">
        <f ca="1">IF(OFFSET(Fact5_predicmoderate!$A$1,MATCH($Y19,Fact5_predicmoderate!$A$2:$A$26,0),MATCH(AI$2,Fact5_predicmoderate!$A$1:$V$1,0)-1,1,1)=0,NA(),OFFSET(Fact5_predicmoderate!$A$1,MATCH($Y19,Fact5_predicmoderate!$A$2:$A$26,0),MATCH(AI$2,Fact5_predicmoderate!$A$1:$V$1,0)-1,1,1))</f>
        <v>18.080142974853516</v>
      </c>
      <c r="AJ56" s="8">
        <f ca="1">IF(OFFSET(Fact5_predicmoderate!$A$1,MATCH($Y19,Fact5_predicmoderate!$A$2:$A$26,0),MATCH(AJ$2,Fact5_predicmoderate!$A$1:$V$1,0)-1,1,1)=0,NA(),OFFSET(Fact5_predicmoderate!$A$1,MATCH($Y19,Fact5_predicmoderate!$A$2:$A$26,0),MATCH(AJ$2,Fact5_predicmoderate!$A$1:$V$1,0)-1,1,1))</f>
        <v>18.317001342773438</v>
      </c>
      <c r="AK56" s="8">
        <f ca="1">IF(OFFSET(Fact5_predicmoderate!$A$1,MATCH($Y19,Fact5_predicmoderate!$A$2:$A$26,0),MATCH(AK$2,Fact5_predicmoderate!$A$1:$V$1,0)-1,1,1)=0,NA(),OFFSET(Fact5_predicmoderate!$A$1,MATCH($Y19,Fact5_predicmoderate!$A$2:$A$26,0),MATCH(AK$2,Fact5_predicmoderate!$A$1:$V$1,0)-1,1,1))</f>
        <v>16.63810920715332</v>
      </c>
      <c r="AL56" s="8">
        <f ca="1">IF(OFFSET(Fact5_predicmoderate!$A$1,MATCH($Y19,Fact5_predicmoderate!$A$2:$A$26,0),MATCH(AL$2,Fact5_predicmoderate!$A$1:$V$1,0)-1,1,1)=0,NA(),OFFSET(Fact5_predicmoderate!$A$1,MATCH($Y19,Fact5_predicmoderate!$A$2:$A$26,0),MATCH(AL$2,Fact5_predicmoderate!$A$1:$V$1,0)-1,1,1))</f>
        <v>15.717448234558105</v>
      </c>
      <c r="AM56" s="8">
        <f ca="1">IF(OFFSET(Fact5_predicmoderate!$A$1,MATCH($Y19,Fact5_predicmoderate!$A$2:$A$26,0),MATCH(AM$2,Fact5_predicmoderate!$A$1:$V$1,0)-1,1,1)=0,NA(),OFFSET(Fact5_predicmoderate!$A$1,MATCH($Y19,Fact5_predicmoderate!$A$2:$A$26,0),MATCH(AM$2,Fact5_predicmoderate!$A$1:$V$1,0)-1,1,1))</f>
        <v>19.927719116210938</v>
      </c>
      <c r="AN56" s="8">
        <f ca="1">IF(OFFSET(Fact5_predicmoderate!$A$1,MATCH($Y19,Fact5_predicmoderate!$A$2:$A$26,0),MATCH(AN$2,Fact5_predicmoderate!$A$1:$V$1,0)-1,1,1)=0,NA(),OFFSET(Fact5_predicmoderate!$A$1,MATCH($Y19,Fact5_predicmoderate!$A$2:$A$26,0),MATCH(AN$2,Fact5_predicmoderate!$A$1:$V$1,0)-1,1,1))</f>
        <v>19.372299194335938</v>
      </c>
      <c r="AO56" s="8">
        <f ca="1">IF(OFFSET(Fact5_predicmoderate!$A$1,MATCH($Y19,Fact5_predicmoderate!$A$2:$A$26,0),MATCH(AO$2,Fact5_predicmoderate!$A$1:$V$1,0)-1,1,1)=0,NA(),OFFSET(Fact5_predicmoderate!$A$1,MATCH($Y19,Fact5_predicmoderate!$A$2:$A$26,0),MATCH(AO$2,Fact5_predicmoderate!$A$1:$V$1,0)-1,1,1))</f>
        <v>16.144527435302734</v>
      </c>
      <c r="AP56" s="8">
        <f ca="1">IF(OFFSET(Fact5_predicmoderate!$A$1,MATCH($Y19,Fact5_predicmoderate!$A$2:$A$26,0),MATCH(AP$2,Fact5_predicmoderate!$A$1:$V$1,0)-1,1,1)=0,NA(),OFFSET(Fact5_predicmoderate!$A$1,MATCH($Y19,Fact5_predicmoderate!$A$2:$A$26,0),MATCH(AP$2,Fact5_predicmoderate!$A$1:$V$1,0)-1,1,1))</f>
        <v>17.142047882080078</v>
      </c>
      <c r="AQ56" s="8">
        <f ca="1">IF(OFFSET(Fact5_predicmoderate!$A$1,MATCH($Y19,Fact5_predicmoderate!$A$2:$A$26,0),MATCH(AQ$2,Fact5_predicmoderate!$A$1:$V$1,0)-1,1,1)=0,NA(),OFFSET(Fact5_predicmoderate!$A$1,MATCH($Y19,Fact5_predicmoderate!$A$2:$A$26,0),MATCH(AQ$2,Fact5_predicmoderate!$A$1:$V$1,0)-1,1,1))</f>
        <v>19.56251335144043</v>
      </c>
      <c r="AR56" s="8">
        <f ca="1">IF(OFFSET(Fact5_predicmoderate!$A$1,MATCH($Y19,Fact5_predicmoderate!$A$2:$A$26,0),MATCH(AR$2,Fact5_predicmoderate!$A$1:$V$1,0)-1,1,1)=0,NA(),OFFSET(Fact5_predicmoderate!$A$1,MATCH($Y19,Fact5_predicmoderate!$A$2:$A$26,0),MATCH(AR$2,Fact5_predicmoderate!$A$1:$V$1,0)-1,1,1))</f>
        <v>19.53570556640625</v>
      </c>
      <c r="AS56" s="8">
        <f ca="1">IF(OFFSET(Fact5_predicmoderate!$A$1,MATCH($Y19,Fact5_predicmoderate!$A$2:$A$26,0),MATCH(AS$2,Fact5_predicmoderate!$A$1:$V$1,0)-1,1,1)=0,NA(),OFFSET(Fact5_predicmoderate!$A$1,MATCH($Y19,Fact5_predicmoderate!$A$2:$A$26,0),MATCH(AS$2,Fact5_predicmoderate!$A$1:$V$1,0)-1,1,1))</f>
        <v>18.956794738769531</v>
      </c>
      <c r="AT56" s="88">
        <f ca="1">IF(OFFSET(Fact5_predicmoderate!$A$1,MATCH($Y19,Fact5_predicmoderate!$A$2:$A$26,0),MATCH(AT$2,Fact5_predicmoderate!$A$1:$V$1,0)-1,1,1)=0,NA(),OFFSET(Fact5_predicmoderate!$A$1,MATCH($Y19,Fact5_predicmoderate!$A$2:$A$26,0),MATCH(AT$2,Fact5_predicmoderate!$A$1:$V$1,0)-1,1,1))</f>
        <v>18.395038604736328</v>
      </c>
      <c r="AW56" s="7532">
        <f t="shared" ca="1" si="79"/>
        <v>-0.25909131171586741</v>
      </c>
      <c r="AX56" s="7532">
        <f t="shared" ca="1" si="57"/>
        <v>0.14120048468016777</v>
      </c>
      <c r="AY56" s="7532">
        <f t="shared" ca="1" si="58"/>
        <v>0.13963662339483074</v>
      </c>
      <c r="AZ56" s="7535"/>
      <c r="BA56" s="7532">
        <f t="shared" ca="1" si="59"/>
        <v>7.6892329796200309E-2</v>
      </c>
      <c r="BB56" s="7532">
        <f t="shared" ca="1" si="60"/>
        <v>-5.9048790080174829E-2</v>
      </c>
      <c r="BC56" s="7532">
        <f t="shared" ca="1" si="61"/>
        <v>-4.6068253442603901E-2</v>
      </c>
      <c r="BD56" s="7532">
        <f t="shared" ca="1" si="62"/>
        <v>3.2309242094596513E-2</v>
      </c>
      <c r="BE56" s="7532">
        <f t="shared" ca="1" si="63"/>
        <v>-1.2077464284509953E-2</v>
      </c>
      <c r="BF56" s="7532">
        <f t="shared" ca="1" si="64"/>
        <v>-0.13942354712571181</v>
      </c>
      <c r="BG56" s="7532">
        <f t="shared" ca="1" si="65"/>
        <v>-6.0291722984690099E-2</v>
      </c>
      <c r="BH56" s="7532">
        <f t="shared" ca="1" si="66"/>
        <v>-1.4073910894943698E-2</v>
      </c>
      <c r="BI56" s="7532">
        <f t="shared" ca="1" si="67"/>
        <v>-7.3491141761240275E-2</v>
      </c>
      <c r="BJ56" s="7532">
        <f t="shared" ca="1" si="68"/>
        <v>1.3100469849677276E-2</v>
      </c>
      <c r="BK56" s="7532">
        <f t="shared" ca="1" si="69"/>
        <v>-9.1657586534080071E-2</v>
      </c>
      <c r="BL56" s="7532">
        <f t="shared" ca="1" si="70"/>
        <v>-5.5334471070750624E-2</v>
      </c>
      <c r="BM56" s="7532">
        <f t="shared" ca="1" si="71"/>
        <v>0.26787241916252458</v>
      </c>
      <c r="BN56" s="7532">
        <f t="shared" ca="1" si="72"/>
        <v>-2.7871725742218745E-2</v>
      </c>
      <c r="BO56" s="7532">
        <f t="shared" ca="1" si="73"/>
        <v>-0.16661789737260191</v>
      </c>
      <c r="BP56" s="7532">
        <f t="shared" ca="1" si="74"/>
        <v>6.1786908955668629E-2</v>
      </c>
      <c r="BQ56" s="7532">
        <f t="shared" ca="1" si="75"/>
        <v>0.14120048468016777</v>
      </c>
      <c r="BR56" s="7532">
        <f t="shared" ca="1" si="76"/>
        <v>-1.3703650728603689E-3</v>
      </c>
      <c r="BS56" s="7532">
        <f t="shared" ca="1" si="77"/>
        <v>-2.9633474238689339E-2</v>
      </c>
      <c r="BT56" s="7532">
        <f t="shared" ca="1" si="78"/>
        <v>-2.9633497739168235E-2</v>
      </c>
      <c r="BV56" s="8"/>
    </row>
    <row r="57" spans="2:74">
      <c r="B57" s="98" t="s">
        <v>46</v>
      </c>
      <c r="C57">
        <f>IF(Fact5_predicmoderate!B17&gt;0,VLOOKUP(Fact5!$B57,Fact5_predicmoderate!$A$1:$W$19,23,0),"")</f>
        <v>6364943</v>
      </c>
      <c r="D57">
        <f>IF(Fact5_predicmoderate!C17&gt;0,VLOOKUP(Fact5!$B57,Fact5_predicmoderate!$A$1:$W$19,23,0),"")</f>
        <v>6364943</v>
      </c>
      <c r="E57">
        <f>IF(Fact5_predicmoderate!D17&gt;0,VLOOKUP(Fact5!$B57,Fact5_predicmoderate!$A$1:$W$19,23,0),"")</f>
        <v>6364943</v>
      </c>
      <c r="F57">
        <f>IF(Fact5_predicmoderate!E17&gt;0,VLOOKUP(Fact5!$B57,Fact5_predicmoderate!$A$1:$W$19,23,0),"")</f>
        <v>6364943</v>
      </c>
      <c r="G57">
        <f>IF(Fact5_predicmoderate!F17&gt;0,VLOOKUP(Fact5!$B57,Fact5_predicmoderate!$A$1:$W$19,23,0),"")</f>
        <v>6364943</v>
      </c>
      <c r="H57">
        <f>IF(Fact5_predicmoderate!G17&gt;0,VLOOKUP(Fact5!$B57,Fact5_predicmoderate!$A$1:$W$19,23,0),"")</f>
        <v>6364943</v>
      </c>
      <c r="I57">
        <f>IF(Fact5_predicmoderate!H17&gt;0,VLOOKUP(Fact5!$B57,Fact5_predicmoderate!$A$1:$W$19,23,0),"")</f>
        <v>6364943</v>
      </c>
      <c r="J57">
        <f>IF(Fact5_predicmoderate!I17&gt;0,VLOOKUP(Fact5!$B57,Fact5_predicmoderate!$A$1:$W$19,23,0),"")</f>
        <v>6364943</v>
      </c>
      <c r="K57">
        <f>IF(Fact5_predicmoderate!J17&gt;0,VLOOKUP(Fact5!$B57,Fact5_predicmoderate!$A$1:$W$19,23,0),"")</f>
        <v>6364943</v>
      </c>
      <c r="L57">
        <f>IF(Fact5_predicmoderate!K17&gt;0,VLOOKUP(Fact5!$B57,Fact5_predicmoderate!$A$1:$W$19,23,0),"")</f>
        <v>6364943</v>
      </c>
      <c r="M57">
        <f>IF(Fact5_predicmoderate!L17&gt;0,VLOOKUP(Fact5!$B57,Fact5_predicmoderate!$A$1:$W$19,23,0),"")</f>
        <v>6364943</v>
      </c>
      <c r="N57">
        <f>IF(Fact5_predicmoderate!M17&gt;0,VLOOKUP(Fact5!$B57,Fact5_predicmoderate!$A$1:$W$19,23,0),"")</f>
        <v>6364943</v>
      </c>
      <c r="O57">
        <f>IF(Fact5_predicmoderate!N17&gt;0,VLOOKUP(Fact5!$B57,Fact5_predicmoderate!$A$1:$W$19,23,0),"")</f>
        <v>6364943</v>
      </c>
      <c r="P57">
        <f>IF(Fact5_predicmoderate!O17&gt;0,VLOOKUP(Fact5!$B57,Fact5_predicmoderate!$A$1:$W$19,23,0),"")</f>
        <v>6364943</v>
      </c>
      <c r="Q57">
        <f>IF(Fact5_predicmoderate!P17&gt;0,VLOOKUP(Fact5!$B57,Fact5_predicmoderate!$A$1:$W$19,23,0),"")</f>
        <v>6364943</v>
      </c>
      <c r="R57">
        <f>IF(Fact5_predicmoderate!Q17&gt;0,VLOOKUP(Fact5!$B57,Fact5_predicmoderate!$A$1:$W$19,23,0),"")</f>
        <v>6364943</v>
      </c>
      <c r="S57">
        <f>IF(Fact5_predicmoderate!R17&gt;0,VLOOKUP(Fact5!$B57,Fact5_predicmoderate!$A$1:$W$19,23,0),"")</f>
        <v>6364943</v>
      </c>
      <c r="T57">
        <f>IF(Fact5_predicmoderate!S17&gt;0,VLOOKUP(Fact5!$B57,Fact5_predicmoderate!$A$1:$W$19,23,0),"")</f>
        <v>6364943</v>
      </c>
      <c r="U57">
        <f>IF(Fact5_predicmoderate!T17&gt;0,VLOOKUP(Fact5!$B57,Fact5_predicmoderate!$A$1:$W$19,23,0),"")</f>
        <v>6364943</v>
      </c>
      <c r="V57">
        <f>IF(Fact5_predicmoderate!U17&gt;0,VLOOKUP(Fact5!$B57,Fact5_predicmoderate!$A$1:$W$19,23,0),"")</f>
        <v>6364943</v>
      </c>
      <c r="W57">
        <f>IF(Fact5_predicmoderate!V17&gt;0,VLOOKUP(Fact5!$B57,Fact5_predicmoderate!$A$1:$W$19,23,0),"")</f>
        <v>6364943</v>
      </c>
      <c r="Y57" s="2562" t="s">
        <v>46</v>
      </c>
      <c r="Z57" s="8">
        <f ca="1">IF(OFFSET(Fact5_predicmoderate!$A$1,MATCH($Y20,Fact5_predicmoderate!$A$2:$A$26,0),MATCH(Z$2,Fact5_predicmoderate!$A$1:$V$1,0)-1,1,1)=0,NA(),OFFSET(Fact5_predicmoderate!$A$1,MATCH($Y20,Fact5_predicmoderate!$A$2:$A$26,0),MATCH(Z$2,Fact5_predicmoderate!$A$1:$V$1,0)-1,1,1))</f>
        <v>26.592439651489258</v>
      </c>
      <c r="AA57" s="8">
        <f ca="1">IF(OFFSET(Fact5_predicmoderate!$A$1,MATCH($Y20,Fact5_predicmoderate!$A$2:$A$26,0),MATCH(AA$2,Fact5_predicmoderate!$A$1:$V$1,0)-1,1,1)=0,NA(),OFFSET(Fact5_predicmoderate!$A$1,MATCH($Y20,Fact5_predicmoderate!$A$2:$A$26,0),MATCH(AA$2,Fact5_predicmoderate!$A$1:$V$1,0)-1,1,1))</f>
        <v>29.330665588378906</v>
      </c>
      <c r="AB57" s="8">
        <f ca="1">IF(OFFSET(Fact5_predicmoderate!$A$1,MATCH($Y20,Fact5_predicmoderate!$A$2:$A$26,0),MATCH(AB$2,Fact5_predicmoderate!$A$1:$V$1,0)-1,1,1)=0,NA(),OFFSET(Fact5_predicmoderate!$A$1,MATCH($Y20,Fact5_predicmoderate!$A$2:$A$26,0),MATCH(AB$2,Fact5_predicmoderate!$A$1:$V$1,0)-1,1,1))</f>
        <v>28.630033493041992</v>
      </c>
      <c r="AC57" s="8">
        <f ca="1">IF(OFFSET(Fact5_predicmoderate!$A$1,MATCH($Y20,Fact5_predicmoderate!$A$2:$A$26,0),MATCH(AC$2,Fact5_predicmoderate!$A$1:$V$1,0)-1,1,1)=0,NA(),OFFSET(Fact5_predicmoderate!$A$1,MATCH($Y20,Fact5_predicmoderate!$A$2:$A$26,0),MATCH(AC$2,Fact5_predicmoderate!$A$1:$V$1,0)-1,1,1))</f>
        <v>30.840646743774414</v>
      </c>
      <c r="AD57" s="8">
        <f ca="1">IF(OFFSET(Fact5_predicmoderate!$A$1,MATCH($Y20,Fact5_predicmoderate!$A$2:$A$26,0),MATCH(AD$2,Fact5_predicmoderate!$A$1:$V$1,0)-1,1,1)=0,NA(),OFFSET(Fact5_predicmoderate!$A$1,MATCH($Y20,Fact5_predicmoderate!$A$2:$A$26,0),MATCH(AD$2,Fact5_predicmoderate!$A$1:$V$1,0)-1,1,1))</f>
        <v>31.429758071899414</v>
      </c>
      <c r="AE57" s="8">
        <f ca="1">IF(OFFSET(Fact5_predicmoderate!$A$1,MATCH($Y20,Fact5_predicmoderate!$A$2:$A$26,0),MATCH(AE$2,Fact5_predicmoderate!$A$1:$V$1,0)-1,1,1)=0,NA(),OFFSET(Fact5_predicmoderate!$A$1,MATCH($Y20,Fact5_predicmoderate!$A$2:$A$26,0),MATCH(AE$2,Fact5_predicmoderate!$A$1:$V$1,0)-1,1,1))</f>
        <v>29.746971130371094</v>
      </c>
      <c r="AF57" s="8">
        <f ca="1">IF(OFFSET(Fact5_predicmoderate!$A$1,MATCH($Y20,Fact5_predicmoderate!$A$2:$A$26,0),MATCH(AF$2,Fact5_predicmoderate!$A$1:$V$1,0)-1,1,1)=0,NA(),OFFSET(Fact5_predicmoderate!$A$1,MATCH($Y20,Fact5_predicmoderate!$A$2:$A$26,0),MATCH(AF$2,Fact5_predicmoderate!$A$1:$V$1,0)-1,1,1))</f>
        <v>29.420948028564453</v>
      </c>
      <c r="AG57" s="8">
        <f ca="1">IF(OFFSET(Fact5_predicmoderate!$A$1,MATCH($Y20,Fact5_predicmoderate!$A$2:$A$26,0),MATCH(AG$2,Fact5_predicmoderate!$A$1:$V$1,0)-1,1,1)=0,NA(),OFFSET(Fact5_predicmoderate!$A$1,MATCH($Y20,Fact5_predicmoderate!$A$2:$A$26,0),MATCH(AG$2,Fact5_predicmoderate!$A$1:$V$1,0)-1,1,1))</f>
        <v>28.542270660400391</v>
      </c>
      <c r="AH57" s="8">
        <f ca="1">IF(OFFSET(Fact5_predicmoderate!$A$1,MATCH($Y20,Fact5_predicmoderate!$A$2:$A$26,0),MATCH(AH$2,Fact5_predicmoderate!$A$1:$V$1,0)-1,1,1)=0,NA(),OFFSET(Fact5_predicmoderate!$A$1,MATCH($Y20,Fact5_predicmoderate!$A$2:$A$26,0),MATCH(AH$2,Fact5_predicmoderate!$A$1:$V$1,0)-1,1,1))</f>
        <v>32.268283843994141</v>
      </c>
      <c r="AI57" s="8">
        <f ca="1">IF(OFFSET(Fact5_predicmoderate!$A$1,MATCH($Y20,Fact5_predicmoderate!$A$2:$A$26,0),MATCH(AI$2,Fact5_predicmoderate!$A$1:$V$1,0)-1,1,1)=0,NA(),OFFSET(Fact5_predicmoderate!$A$1,MATCH($Y20,Fact5_predicmoderate!$A$2:$A$26,0),MATCH(AI$2,Fact5_predicmoderate!$A$1:$V$1,0)-1,1,1))</f>
        <v>31.364419937133789</v>
      </c>
      <c r="AJ57" s="8">
        <f ca="1">IF(OFFSET(Fact5_predicmoderate!$A$1,MATCH($Y20,Fact5_predicmoderate!$A$2:$A$26,0),MATCH(AJ$2,Fact5_predicmoderate!$A$1:$V$1,0)-1,1,1)=0,NA(),OFFSET(Fact5_predicmoderate!$A$1,MATCH($Y20,Fact5_predicmoderate!$A$2:$A$26,0),MATCH(AJ$2,Fact5_predicmoderate!$A$1:$V$1,0)-1,1,1))</f>
        <v>30.711528778076172</v>
      </c>
      <c r="AK57" s="8">
        <f ca="1">IF(OFFSET(Fact5_predicmoderate!$A$1,MATCH($Y20,Fact5_predicmoderate!$A$2:$A$26,0),MATCH(AK$2,Fact5_predicmoderate!$A$1:$V$1,0)-1,1,1)=0,NA(),OFFSET(Fact5_predicmoderate!$A$1,MATCH($Y20,Fact5_predicmoderate!$A$2:$A$26,0),MATCH(AK$2,Fact5_predicmoderate!$A$1:$V$1,0)-1,1,1))</f>
        <v>30.953285217285156</v>
      </c>
      <c r="AL57" s="8">
        <f ca="1">IF(OFFSET(Fact5_predicmoderate!$A$1,MATCH($Y20,Fact5_predicmoderate!$A$2:$A$26,0),MATCH(AL$2,Fact5_predicmoderate!$A$1:$V$1,0)-1,1,1)=0,NA(),OFFSET(Fact5_predicmoderate!$A$1,MATCH($Y20,Fact5_predicmoderate!$A$2:$A$26,0),MATCH(AL$2,Fact5_predicmoderate!$A$1:$V$1,0)-1,1,1))</f>
        <v>31.63670539855957</v>
      </c>
      <c r="AM57" s="8">
        <f ca="1">IF(OFFSET(Fact5_predicmoderate!$A$1,MATCH($Y20,Fact5_predicmoderate!$A$2:$A$26,0),MATCH(AM$2,Fact5_predicmoderate!$A$1:$V$1,0)-1,1,1)=0,NA(),OFFSET(Fact5_predicmoderate!$A$1,MATCH($Y20,Fact5_predicmoderate!$A$2:$A$26,0),MATCH(AM$2,Fact5_predicmoderate!$A$1:$V$1,0)-1,1,1))</f>
        <v>29.288789749145508</v>
      </c>
      <c r="AN57" s="8">
        <f ca="1">IF(OFFSET(Fact5_predicmoderate!$A$1,MATCH($Y20,Fact5_predicmoderate!$A$2:$A$26,0),MATCH(AN$2,Fact5_predicmoderate!$A$1:$V$1,0)-1,1,1)=0,NA(),OFFSET(Fact5_predicmoderate!$A$1,MATCH($Y20,Fact5_predicmoderate!$A$2:$A$26,0),MATCH(AN$2,Fact5_predicmoderate!$A$1:$V$1,0)-1,1,1))</f>
        <v>29.577552795410156</v>
      </c>
      <c r="AO57" s="8">
        <f ca="1">IF(OFFSET(Fact5_predicmoderate!$A$1,MATCH($Y20,Fact5_predicmoderate!$A$2:$A$26,0),MATCH(AO$2,Fact5_predicmoderate!$A$1:$V$1,0)-1,1,1)=0,NA(),OFFSET(Fact5_predicmoderate!$A$1,MATCH($Y20,Fact5_predicmoderate!$A$2:$A$26,0),MATCH(AO$2,Fact5_predicmoderate!$A$1:$V$1,0)-1,1,1))</f>
        <v>28.159633636474609</v>
      </c>
      <c r="AP57" s="8">
        <f ca="1">IF(OFFSET(Fact5_predicmoderate!$A$1,MATCH($Y20,Fact5_predicmoderate!$A$2:$A$26,0),MATCH(AP$2,Fact5_predicmoderate!$A$1:$V$1,0)-1,1,1)=0,NA(),OFFSET(Fact5_predicmoderate!$A$1,MATCH($Y20,Fact5_predicmoderate!$A$2:$A$26,0),MATCH(AP$2,Fact5_predicmoderate!$A$1:$V$1,0)-1,1,1))</f>
        <v>28.522609710693359</v>
      </c>
      <c r="AQ57" s="8">
        <f ca="1">IF(OFFSET(Fact5_predicmoderate!$A$1,MATCH($Y20,Fact5_predicmoderate!$A$2:$A$26,0),MATCH(AQ$2,Fact5_predicmoderate!$A$1:$V$1,0)-1,1,1)=0,NA(),OFFSET(Fact5_predicmoderate!$A$1,MATCH($Y20,Fact5_predicmoderate!$A$2:$A$26,0),MATCH(AQ$2,Fact5_predicmoderate!$A$1:$V$1,0)-1,1,1))</f>
        <v>24.419033050537109</v>
      </c>
      <c r="AR57" s="8">
        <f ca="1">IF(OFFSET(Fact5_predicmoderate!$A$1,MATCH($Y20,Fact5_predicmoderate!$A$2:$A$26,0),MATCH(AR$2,Fact5_predicmoderate!$A$1:$V$1,0)-1,1,1)=0,NA(),OFFSET(Fact5_predicmoderate!$A$1,MATCH($Y20,Fact5_predicmoderate!$A$2:$A$26,0),MATCH(AR$2,Fact5_predicmoderate!$A$1:$V$1,0)-1,1,1))</f>
        <v>24.470205307006836</v>
      </c>
      <c r="AS57" s="8">
        <f ca="1">IF(OFFSET(Fact5_predicmoderate!$A$1,MATCH($Y20,Fact5_predicmoderate!$A$2:$A$26,0),MATCH(AS$2,Fact5_predicmoderate!$A$1:$V$1,0)-1,1,1)=0,NA(),OFFSET(Fact5_predicmoderate!$A$1,MATCH($Y20,Fact5_predicmoderate!$A$2:$A$26,0),MATCH(AS$2,Fact5_predicmoderate!$A$1:$V$1,0)-1,1,1))</f>
        <v>23.633247375488281</v>
      </c>
      <c r="AT57" s="8">
        <f ca="1">IF(OFFSET(Fact5_predicmoderate!$A$1,MATCH($Y20,Fact5_predicmoderate!$A$2:$A$26,0),MATCH(AT$2,Fact5_predicmoderate!$A$1:$V$1,0)-1,1,1)=0,NA(),OFFSET(Fact5_predicmoderate!$A$1,MATCH($Y20,Fact5_predicmoderate!$A$2:$A$26,0),MATCH(AT$2,Fact5_predicmoderate!$A$1:$V$1,0)-1,1,1))</f>
        <v>23.091104507446289</v>
      </c>
      <c r="AW57" s="7532">
        <f t="shared" ca="1" si="79"/>
        <v>-0.13166656350188932</v>
      </c>
      <c r="AX57" s="7532">
        <f t="shared" ca="1" si="57"/>
        <v>-0.14387100976309986</v>
      </c>
      <c r="AY57" s="7532">
        <f t="shared" ca="1" si="58"/>
        <v>-0.1420769152889696</v>
      </c>
      <c r="AZ57" s="7535"/>
      <c r="BA57" s="7532">
        <f t="shared" ca="1" si="59"/>
        <v>0.10297009122802692</v>
      </c>
      <c r="BB57" s="7532">
        <f t="shared" ca="1" si="60"/>
        <v>-2.3887357524355335E-2</v>
      </c>
      <c r="BC57" s="7532">
        <f t="shared" ca="1" si="61"/>
        <v>7.7213086434902989E-2</v>
      </c>
      <c r="BD57" s="7532">
        <f t="shared" ca="1" si="62"/>
        <v>1.9101782560507319E-2</v>
      </c>
      <c r="BE57" s="7532">
        <f t="shared" ca="1" si="63"/>
        <v>-5.3541199320680133E-2</v>
      </c>
      <c r="BF57" s="7532">
        <f t="shared" ca="1" si="64"/>
        <v>-1.0959875557675747E-2</v>
      </c>
      <c r="BG57" s="7532">
        <f t="shared" ca="1" si="65"/>
        <v>-2.9865705459625747E-2</v>
      </c>
      <c r="BH57" s="7532">
        <f t="shared" ca="1" si="66"/>
        <v>0.13054368476588052</v>
      </c>
      <c r="BI57" s="7532">
        <f t="shared" ca="1" si="67"/>
        <v>-2.8010907280666575E-2</v>
      </c>
      <c r="BJ57" s="7532">
        <f t="shared" ca="1" si="68"/>
        <v>-2.0816299500078683E-2</v>
      </c>
      <c r="BK57" s="7532">
        <f t="shared" ca="1" si="69"/>
        <v>7.8718464637803631E-3</v>
      </c>
      <c r="BL57" s="7532">
        <f t="shared" ca="1" si="70"/>
        <v>2.2079083899397389E-2</v>
      </c>
      <c r="BM57" s="7532">
        <f t="shared" ca="1" si="71"/>
        <v>-7.4214922819395901E-2</v>
      </c>
      <c r="BN57" s="7532">
        <f t="shared" ca="1" si="72"/>
        <v>9.8591662113001188E-3</v>
      </c>
      <c r="BO57" s="7532">
        <f t="shared" ca="1" si="73"/>
        <v>-4.793902892316293E-2</v>
      </c>
      <c r="BP57" s="7532">
        <f t="shared" ca="1" si="74"/>
        <v>1.288994306192226E-2</v>
      </c>
      <c r="BQ57" s="7532">
        <f t="shared" ca="1" si="75"/>
        <v>-0.14387100976309986</v>
      </c>
      <c r="BR57" s="7532">
        <f t="shared" ca="1" si="76"/>
        <v>2.0955889761817836E-3</v>
      </c>
      <c r="BS57" s="7532">
        <f t="shared" ca="1" si="77"/>
        <v>-3.4203143006687364E-2</v>
      </c>
      <c r="BT57" s="7532">
        <f t="shared" ca="1" si="78"/>
        <v>-2.2939838077618013E-2</v>
      </c>
      <c r="BV57" s="8"/>
    </row>
    <row r="58" spans="2:74" ht="15" thickBot="1">
      <c r="B58" s="98" t="s">
        <v>50</v>
      </c>
      <c r="C58">
        <f>IF(Fact5_predicmoderate!B18&gt;0,VLOOKUP(Fact5!$B58,Fact5_predicmoderate!$A$1:$W$19,23,0),"")</f>
        <v>3423109</v>
      </c>
      <c r="D58">
        <f>IF(Fact5_predicmoderate!C18&gt;0,VLOOKUP(Fact5!$B58,Fact5_predicmoderate!$A$1:$W$19,23,0),"")</f>
        <v>3423109</v>
      </c>
      <c r="E58">
        <f>IF(Fact5_predicmoderate!D18&gt;0,VLOOKUP(Fact5!$B58,Fact5_predicmoderate!$A$1:$W$19,23,0),"")</f>
        <v>3423109</v>
      </c>
      <c r="F58">
        <f>IF(Fact5_predicmoderate!E18&gt;0,VLOOKUP(Fact5!$B58,Fact5_predicmoderate!$A$1:$W$19,23,0),"")</f>
        <v>3423109</v>
      </c>
      <c r="G58">
        <f>IF(Fact5_predicmoderate!F18&gt;0,VLOOKUP(Fact5!$B58,Fact5_predicmoderate!$A$1:$W$19,23,0),"")</f>
        <v>3423109</v>
      </c>
      <c r="H58">
        <f>IF(Fact5_predicmoderate!G18&gt;0,VLOOKUP(Fact5!$B58,Fact5_predicmoderate!$A$1:$W$19,23,0),"")</f>
        <v>3423109</v>
      </c>
      <c r="I58">
        <f>IF(Fact5_predicmoderate!H18&gt;0,VLOOKUP(Fact5!$B58,Fact5_predicmoderate!$A$1:$W$19,23,0),"")</f>
        <v>3423109</v>
      </c>
      <c r="J58">
        <f>IF(Fact5_predicmoderate!I18&gt;0,VLOOKUP(Fact5!$B58,Fact5_predicmoderate!$A$1:$W$19,23,0),"")</f>
        <v>3423109</v>
      </c>
      <c r="K58">
        <f>IF(Fact5_predicmoderate!J18&gt;0,VLOOKUP(Fact5!$B58,Fact5_predicmoderate!$A$1:$W$19,23,0),"")</f>
        <v>3423109</v>
      </c>
      <c r="L58">
        <f>IF(Fact5_predicmoderate!K18&gt;0,VLOOKUP(Fact5!$B58,Fact5_predicmoderate!$A$1:$W$19,23,0),"")</f>
        <v>3423109</v>
      </c>
      <c r="M58">
        <f>IF(Fact5_predicmoderate!L18&gt;0,VLOOKUP(Fact5!$B58,Fact5_predicmoderate!$A$1:$W$19,23,0),"")</f>
        <v>3423109</v>
      </c>
      <c r="N58">
        <f>IF(Fact5_predicmoderate!M18&gt;0,VLOOKUP(Fact5!$B58,Fact5_predicmoderate!$A$1:$W$19,23,0),"")</f>
        <v>3423109</v>
      </c>
      <c r="O58">
        <f>IF(Fact5_predicmoderate!N18&gt;0,VLOOKUP(Fact5!$B58,Fact5_predicmoderate!$A$1:$W$19,23,0),"")</f>
        <v>3423109</v>
      </c>
      <c r="P58">
        <f>IF(Fact5_predicmoderate!O18&gt;0,VLOOKUP(Fact5!$B58,Fact5_predicmoderate!$A$1:$W$19,23,0),"")</f>
        <v>3423109</v>
      </c>
      <c r="Q58">
        <f>IF(Fact5_predicmoderate!P18&gt;0,VLOOKUP(Fact5!$B58,Fact5_predicmoderate!$A$1:$W$19,23,0),"")</f>
        <v>3423109</v>
      </c>
      <c r="R58">
        <f>IF(Fact5_predicmoderate!Q18&gt;0,VLOOKUP(Fact5!$B58,Fact5_predicmoderate!$A$1:$W$19,23,0),"")</f>
        <v>3423109</v>
      </c>
      <c r="S58">
        <f>IF(Fact5_predicmoderate!R18&gt;0,VLOOKUP(Fact5!$B58,Fact5_predicmoderate!$A$1:$W$19,23,0),"")</f>
        <v>3423109</v>
      </c>
      <c r="T58">
        <f>IF(Fact5_predicmoderate!S18&gt;0,VLOOKUP(Fact5!$B58,Fact5_predicmoderate!$A$1:$W$19,23,0),"")</f>
        <v>3423109</v>
      </c>
      <c r="U58">
        <f>IF(Fact5_predicmoderate!T18&gt;0,VLOOKUP(Fact5!$B58,Fact5_predicmoderate!$A$1:$W$19,23,0),"")</f>
        <v>3423109</v>
      </c>
      <c r="V58">
        <f>IF(Fact5_predicmoderate!U18&gt;0,VLOOKUP(Fact5!$B58,Fact5_predicmoderate!$A$1:$W$19,23,0),"")</f>
        <v>3423109</v>
      </c>
      <c r="W58">
        <f>IF(Fact5_predicmoderate!V18&gt;0,VLOOKUP(Fact5!$B58,Fact5_predicmoderate!$A$1:$W$19,23,0),"")</f>
        <v>3423109</v>
      </c>
      <c r="Y58" s="2562" t="s">
        <v>50</v>
      </c>
      <c r="Z58" s="8">
        <f ca="1">IF(OFFSET(Fact5_predicmoderate!$A$1,MATCH($Y21,Fact5_predicmoderate!$A$2:$A$26,0),MATCH(Z$2,Fact5_predicmoderate!$A$1:$V$1,0)-1,1,1)=0,NA(),OFFSET(Fact5_predicmoderate!$A$1,MATCH($Y21,Fact5_predicmoderate!$A$2:$A$26,0),MATCH(Z$2,Fact5_predicmoderate!$A$1:$V$1,0)-1,1,1))</f>
        <v>23.439687728881836</v>
      </c>
      <c r="AA58" s="8">
        <f ca="1">IF(OFFSET(Fact5_predicmoderate!$A$1,MATCH($Y21,Fact5_predicmoderate!$A$2:$A$26,0),MATCH(AA$2,Fact5_predicmoderate!$A$1:$V$1,0)-1,1,1)=0,NA(),OFFSET(Fact5_predicmoderate!$A$1,MATCH($Y21,Fact5_predicmoderate!$A$2:$A$26,0),MATCH(AA$2,Fact5_predicmoderate!$A$1:$V$1,0)-1,1,1))</f>
        <v>22.164831161499023</v>
      </c>
      <c r="AB58" s="8">
        <f ca="1">IF(OFFSET(Fact5_predicmoderate!$A$1,MATCH($Y21,Fact5_predicmoderate!$A$2:$A$26,0),MATCH(AB$2,Fact5_predicmoderate!$A$1:$V$1,0)-1,1,1)=0,NA(),OFFSET(Fact5_predicmoderate!$A$1,MATCH($Y21,Fact5_predicmoderate!$A$2:$A$26,0),MATCH(AB$2,Fact5_predicmoderate!$A$1:$V$1,0)-1,1,1))</f>
        <v>19.436775207519531</v>
      </c>
      <c r="AC58" s="8">
        <f ca="1">IF(OFFSET(Fact5_predicmoderate!$A$1,MATCH($Y21,Fact5_predicmoderate!$A$2:$A$26,0),MATCH(AC$2,Fact5_predicmoderate!$A$1:$V$1,0)-1,1,1)=0,NA(),OFFSET(Fact5_predicmoderate!$A$1,MATCH($Y21,Fact5_predicmoderate!$A$2:$A$26,0),MATCH(AC$2,Fact5_predicmoderate!$A$1:$V$1,0)-1,1,1))</f>
        <v>19.40281867980957</v>
      </c>
      <c r="AD58" s="8">
        <f ca="1">IF(OFFSET(Fact5_predicmoderate!$A$1,MATCH($Y21,Fact5_predicmoderate!$A$2:$A$26,0),MATCH(AD$2,Fact5_predicmoderate!$A$1:$V$1,0)-1,1,1)=0,NA(),OFFSET(Fact5_predicmoderate!$A$1,MATCH($Y21,Fact5_predicmoderate!$A$2:$A$26,0),MATCH(AD$2,Fact5_predicmoderate!$A$1:$V$1,0)-1,1,1))</f>
        <v>18.065956115722656</v>
      </c>
      <c r="AE58" s="8">
        <f ca="1">IF(OFFSET(Fact5_predicmoderate!$A$1,MATCH($Y21,Fact5_predicmoderate!$A$2:$A$26,0),MATCH(AE$2,Fact5_predicmoderate!$A$1:$V$1,0)-1,1,1)=0,NA(),OFFSET(Fact5_predicmoderate!$A$1,MATCH($Y21,Fact5_predicmoderate!$A$2:$A$26,0),MATCH(AE$2,Fact5_predicmoderate!$A$1:$V$1,0)-1,1,1))</f>
        <v>16.686208724975586</v>
      </c>
      <c r="AF58" s="8">
        <f ca="1">IF(OFFSET(Fact5_predicmoderate!$A$1,MATCH($Y21,Fact5_predicmoderate!$A$2:$A$26,0),MATCH(AF$2,Fact5_predicmoderate!$A$1:$V$1,0)-1,1,1)=0,NA(),OFFSET(Fact5_predicmoderate!$A$1,MATCH($Y21,Fact5_predicmoderate!$A$2:$A$26,0),MATCH(AF$2,Fact5_predicmoderate!$A$1:$V$1,0)-1,1,1))</f>
        <v>14.489025115966797</v>
      </c>
      <c r="AG58" s="8">
        <f ca="1">IF(OFFSET(Fact5_predicmoderate!$A$1,MATCH($Y21,Fact5_predicmoderate!$A$2:$A$26,0),MATCH(AG$2,Fact5_predicmoderate!$A$1:$V$1,0)-1,1,1)=0,NA(),OFFSET(Fact5_predicmoderate!$A$1,MATCH($Y21,Fact5_predicmoderate!$A$2:$A$26,0),MATCH(AG$2,Fact5_predicmoderate!$A$1:$V$1,0)-1,1,1))</f>
        <v>14.635176658630371</v>
      </c>
      <c r="AH58" s="8">
        <f ca="1">IF(OFFSET(Fact5_predicmoderate!$A$1,MATCH($Y21,Fact5_predicmoderate!$A$2:$A$26,0),MATCH(AH$2,Fact5_predicmoderate!$A$1:$V$1,0)-1,1,1)=0,NA(),OFFSET(Fact5_predicmoderate!$A$1,MATCH($Y21,Fact5_predicmoderate!$A$2:$A$26,0),MATCH(AH$2,Fact5_predicmoderate!$A$1:$V$1,0)-1,1,1))</f>
        <v>11.45377254486084</v>
      </c>
      <c r="AI58" s="8">
        <f ca="1">IF(OFFSET(Fact5_predicmoderate!$A$1,MATCH($Y21,Fact5_predicmoderate!$A$2:$A$26,0),MATCH(AI$2,Fact5_predicmoderate!$A$1:$V$1,0)-1,1,1)=0,NA(),OFFSET(Fact5_predicmoderate!$A$1,MATCH($Y21,Fact5_predicmoderate!$A$2:$A$26,0),MATCH(AI$2,Fact5_predicmoderate!$A$1:$V$1,0)-1,1,1))</f>
        <v>10.370741844177246</v>
      </c>
      <c r="AJ58" s="8">
        <f ca="1">IF(OFFSET(Fact5_predicmoderate!$A$1,MATCH($Y21,Fact5_predicmoderate!$A$2:$A$26,0),MATCH(AJ$2,Fact5_predicmoderate!$A$1:$V$1,0)-1,1,1)=0,NA(),OFFSET(Fact5_predicmoderate!$A$1,MATCH($Y21,Fact5_predicmoderate!$A$2:$A$26,0),MATCH(AJ$2,Fact5_predicmoderate!$A$1:$V$1,0)-1,1,1))</f>
        <v>9.9814338684082031</v>
      </c>
      <c r="AK58" s="8">
        <f ca="1">IF(OFFSET(Fact5_predicmoderate!$A$1,MATCH($Y21,Fact5_predicmoderate!$A$2:$A$26,0),MATCH(AK$2,Fact5_predicmoderate!$A$1:$V$1,0)-1,1,1)=0,NA(),OFFSET(Fact5_predicmoderate!$A$1,MATCH($Y21,Fact5_predicmoderate!$A$2:$A$26,0),MATCH(AK$2,Fact5_predicmoderate!$A$1:$V$1,0)-1,1,1))</f>
        <v>9.1623029708862305</v>
      </c>
      <c r="AL58" s="8">
        <f ca="1">IF(OFFSET(Fact5_predicmoderate!$A$1,MATCH($Y21,Fact5_predicmoderate!$A$2:$A$26,0),MATCH(AL$2,Fact5_predicmoderate!$A$1:$V$1,0)-1,1,1)=0,NA(),OFFSET(Fact5_predicmoderate!$A$1,MATCH($Y21,Fact5_predicmoderate!$A$2:$A$26,0),MATCH(AL$2,Fact5_predicmoderate!$A$1:$V$1,0)-1,1,1))</f>
        <v>8.8388557434082031</v>
      </c>
      <c r="AM58" s="8">
        <f ca="1">IF(OFFSET(Fact5_predicmoderate!$A$1,MATCH($Y21,Fact5_predicmoderate!$A$2:$A$26,0),MATCH(AM$2,Fact5_predicmoderate!$A$1:$V$1,0)-1,1,1)=0,NA(),OFFSET(Fact5_predicmoderate!$A$1,MATCH($Y21,Fact5_predicmoderate!$A$2:$A$26,0),MATCH(AM$2,Fact5_predicmoderate!$A$1:$V$1,0)-1,1,1))</f>
        <v>9.1115398406982422</v>
      </c>
      <c r="AN58" s="8">
        <f ca="1">IF(OFFSET(Fact5_predicmoderate!$A$1,MATCH($Y21,Fact5_predicmoderate!$A$2:$A$26,0),MATCH(AN$2,Fact5_predicmoderate!$A$1:$V$1,0)-1,1,1)=0,NA(),OFFSET(Fact5_predicmoderate!$A$1,MATCH($Y21,Fact5_predicmoderate!$A$2:$A$26,0),MATCH(AN$2,Fact5_predicmoderate!$A$1:$V$1,0)-1,1,1))</f>
        <v>8.0856437683105469</v>
      </c>
      <c r="AO58" s="8">
        <f ca="1">IF(OFFSET(Fact5_predicmoderate!$A$1,MATCH($Y21,Fact5_predicmoderate!$A$2:$A$26,0),MATCH(AO$2,Fact5_predicmoderate!$A$1:$V$1,0)-1,1,1)=0,NA(),OFFSET(Fact5_predicmoderate!$A$1,MATCH($Y21,Fact5_predicmoderate!$A$2:$A$26,0),MATCH(AO$2,Fact5_predicmoderate!$A$1:$V$1,0)-1,1,1))</f>
        <v>8.7572975158691406</v>
      </c>
      <c r="AP58" s="8">
        <f ca="1">IF(OFFSET(Fact5_predicmoderate!$A$1,MATCH($Y21,Fact5_predicmoderate!$A$2:$A$26,0),MATCH(AP$2,Fact5_predicmoderate!$A$1:$V$1,0)-1,1,1)=0,NA(),OFFSET(Fact5_predicmoderate!$A$1,MATCH($Y21,Fact5_predicmoderate!$A$2:$A$26,0),MATCH(AP$2,Fact5_predicmoderate!$A$1:$V$1,0)-1,1,1))</f>
        <v>9.0725812911987305</v>
      </c>
      <c r="AQ58" s="8">
        <f ca="1">IF(OFFSET(Fact5_predicmoderate!$A$1,MATCH($Y21,Fact5_predicmoderate!$A$2:$A$26,0),MATCH(AQ$2,Fact5_predicmoderate!$A$1:$V$1,0)-1,1,1)=0,NA(),OFFSET(Fact5_predicmoderate!$A$1,MATCH($Y21,Fact5_predicmoderate!$A$2:$A$26,0),MATCH(AQ$2,Fact5_predicmoderate!$A$1:$V$1,0)-1,1,1))</f>
        <v>11.151027679443359</v>
      </c>
      <c r="AR58" s="8">
        <f ca="1">IF(OFFSET(Fact5_predicmoderate!$A$1,MATCH($Y21,Fact5_predicmoderate!$A$2:$A$26,0),MATCH(AR$2,Fact5_predicmoderate!$A$1:$V$1,0)-1,1,1)=0,NA(),OFFSET(Fact5_predicmoderate!$A$1,MATCH($Y21,Fact5_predicmoderate!$A$2:$A$26,0),MATCH(AR$2,Fact5_predicmoderate!$A$1:$V$1,0)-1,1,1))</f>
        <v>10.096809387207031</v>
      </c>
      <c r="AS58" s="8">
        <f ca="1">IF(OFFSET(Fact5_predicmoderate!$A$1,MATCH($Y21,Fact5_predicmoderate!$A$2:$A$26,0),MATCH(AS$2,Fact5_predicmoderate!$A$1:$V$1,0)-1,1,1)=0,NA(),OFFSET(Fact5_predicmoderate!$A$1,MATCH($Y21,Fact5_predicmoderate!$A$2:$A$26,0),MATCH(AS$2,Fact5_predicmoderate!$A$1:$V$1,0)-1,1,1))</f>
        <v>10.314765930175781</v>
      </c>
      <c r="AT58" s="88">
        <f ca="1">IF(OFFSET(Fact5_predicmoderate!$A$1,MATCH($Y21,Fact5_predicmoderate!$A$2:$A$26,0),MATCH(AT$2,Fact5_predicmoderate!$A$1:$V$1,0)-1,1,1)=0,NA(),OFFSET(Fact5_predicmoderate!$A$1,MATCH($Y21,Fact5_predicmoderate!$A$2:$A$26,0),MATCH(AT$2,Fact5_predicmoderate!$A$1:$V$1,0)-1,1,1))</f>
        <v>10.53742790222168</v>
      </c>
      <c r="AW58" s="7532">
        <f t="shared" ca="1" si="79"/>
        <v>-0.55044503902508457</v>
      </c>
      <c r="AX58" s="7532">
        <f t="shared" ca="1" si="57"/>
        <v>0.22909096336903811</v>
      </c>
      <c r="AY58" s="7532">
        <f t="shared" ca="1" si="58"/>
        <v>0.11289268876564384</v>
      </c>
      <c r="AZ58" s="7535"/>
      <c r="BA58" s="7532">
        <f t="shared" ca="1" si="59"/>
        <v>-5.4388803388876417E-2</v>
      </c>
      <c r="BB58" s="7532">
        <f t="shared" ca="1" si="60"/>
        <v>-0.12308038505243424</v>
      </c>
      <c r="BC58" s="7532">
        <f t="shared" ca="1" si="61"/>
        <v>-1.7470247686367513E-3</v>
      </c>
      <c r="BD58" s="7532">
        <f t="shared" ca="1" si="62"/>
        <v>-6.8900430713092375E-2</v>
      </c>
      <c r="BE58" s="7532">
        <f t="shared" ca="1" si="63"/>
        <v>-7.6372785470583904E-2</v>
      </c>
      <c r="BF58" s="7532">
        <f t="shared" ca="1" si="64"/>
        <v>-0.13167662260631374</v>
      </c>
      <c r="BG58" s="7532">
        <f t="shared" ca="1" si="65"/>
        <v>1.0087051509249934E-2</v>
      </c>
      <c r="BH58" s="7532">
        <f t="shared" ca="1" si="66"/>
        <v>-0.21738064308868155</v>
      </c>
      <c r="BI58" s="7532">
        <f t="shared" ca="1" si="67"/>
        <v>-9.455667959545222E-2</v>
      </c>
      <c r="BJ58" s="7532">
        <f t="shared" ca="1" si="68"/>
        <v>-3.7539067273921534E-2</v>
      </c>
      <c r="BK58" s="7532">
        <f t="shared" ca="1" si="69"/>
        <v>-8.206545355317818E-2</v>
      </c>
      <c r="BL58" s="7532">
        <f t="shared" ca="1" si="70"/>
        <v>-3.5301957215975066E-2</v>
      </c>
      <c r="BM58" s="7532">
        <f t="shared" ca="1" si="71"/>
        <v>3.0850610667947587E-2</v>
      </c>
      <c r="BN58" s="7532">
        <f t="shared" ca="1" si="72"/>
        <v>-0.11259305126509533</v>
      </c>
      <c r="BO58" s="7532">
        <f t="shared" ca="1" si="73"/>
        <v>8.3067442346514975E-2</v>
      </c>
      <c r="BP58" s="7532">
        <f t="shared" ca="1" si="74"/>
        <v>3.6002405394844894E-2</v>
      </c>
      <c r="BQ58" s="7532">
        <f t="shared" ca="1" si="75"/>
        <v>0.22909096336903811</v>
      </c>
      <c r="BR58" s="7532">
        <f t="shared" ca="1" si="76"/>
        <v>-9.4540012144329388E-2</v>
      </c>
      <c r="BS58" s="7532">
        <f t="shared" ca="1" si="77"/>
        <v>2.1586675018834045E-2</v>
      </c>
      <c r="BT58" s="7532">
        <f t="shared" ca="1" si="78"/>
        <v>2.1586720780013335E-2</v>
      </c>
      <c r="BV58" s="8"/>
    </row>
    <row r="59" spans="2:74" ht="15" thickBot="1">
      <c r="B59" s="2555" t="s">
        <v>51</v>
      </c>
      <c r="C59">
        <f>IF(Fact5_predicmoderate!B19&gt;0,VLOOKUP(Fact5!$B59,Fact5_predicmoderate!$A$1:$W$19,23,0),"")</f>
        <v>28838499</v>
      </c>
      <c r="D59">
        <f>IF(Fact5_predicmoderate!C19&gt;0,VLOOKUP(Fact5!$B59,Fact5_predicmoderate!$A$1:$W$19,23,0),"")</f>
        <v>28838499</v>
      </c>
      <c r="E59">
        <f>IF(Fact5_predicmoderate!D19&gt;0,VLOOKUP(Fact5!$B59,Fact5_predicmoderate!$A$1:$W$19,23,0),"")</f>
        <v>28838499</v>
      </c>
      <c r="F59">
        <f>IF(Fact5_predicmoderate!E19&gt;0,VLOOKUP(Fact5!$B59,Fact5_predicmoderate!$A$1:$W$19,23,0),"")</f>
        <v>28838499</v>
      </c>
      <c r="G59">
        <f>IF(Fact5_predicmoderate!F19&gt;0,VLOOKUP(Fact5!$B59,Fact5_predicmoderate!$A$1:$W$19,23,0),"")</f>
        <v>28838499</v>
      </c>
      <c r="H59">
        <f>IF(Fact5_predicmoderate!G19&gt;0,VLOOKUP(Fact5!$B59,Fact5_predicmoderate!$A$1:$W$19,23,0),"")</f>
        <v>28838499</v>
      </c>
      <c r="I59">
        <f>IF(Fact5_predicmoderate!H19&gt;0,VLOOKUP(Fact5!$B59,Fact5_predicmoderate!$A$1:$W$19,23,0),"")</f>
        <v>28838499</v>
      </c>
      <c r="J59">
        <f>IF(Fact5_predicmoderate!I19&gt;0,VLOOKUP(Fact5!$B59,Fact5_predicmoderate!$A$1:$W$19,23,0),"")</f>
        <v>28838499</v>
      </c>
      <c r="K59">
        <f>IF(Fact5_predicmoderate!J19&gt;0,VLOOKUP(Fact5!$B59,Fact5_predicmoderate!$A$1:$W$19,23,0),"")</f>
        <v>28838499</v>
      </c>
      <c r="L59">
        <f>IF(Fact5_predicmoderate!K19&gt;0,VLOOKUP(Fact5!$B59,Fact5_predicmoderate!$A$1:$W$19,23,0),"")</f>
        <v>28838499</v>
      </c>
      <c r="M59">
        <f>IF(Fact5_predicmoderate!L19&gt;0,VLOOKUP(Fact5!$B59,Fact5_predicmoderate!$A$1:$W$19,23,0),"")</f>
        <v>28838499</v>
      </c>
      <c r="N59">
        <f>IF(Fact5_predicmoderate!M19&gt;0,VLOOKUP(Fact5!$B59,Fact5_predicmoderate!$A$1:$W$19,23,0),"")</f>
        <v>28838499</v>
      </c>
      <c r="O59">
        <f>IF(Fact5_predicmoderate!N19&gt;0,VLOOKUP(Fact5!$B59,Fact5_predicmoderate!$A$1:$W$19,23,0),"")</f>
        <v>28838499</v>
      </c>
      <c r="P59">
        <f>IF(Fact5_predicmoderate!O19&gt;0,VLOOKUP(Fact5!$B59,Fact5_predicmoderate!$A$1:$W$19,23,0),"")</f>
        <v>28838499</v>
      </c>
      <c r="Q59">
        <f>IF(Fact5_predicmoderate!P19&gt;0,VLOOKUP(Fact5!$B59,Fact5_predicmoderate!$A$1:$W$19,23,0),"")</f>
        <v>28838499</v>
      </c>
      <c r="R59">
        <f>IF(Fact5_predicmoderate!Q19&gt;0,VLOOKUP(Fact5!$B59,Fact5_predicmoderate!$A$1:$W$19,23,0),"")</f>
        <v>28838499</v>
      </c>
      <c r="S59">
        <f>IF(Fact5_predicmoderate!R19&gt;0,VLOOKUP(Fact5!$B59,Fact5_predicmoderate!$A$1:$W$19,23,0),"")</f>
        <v>28838499</v>
      </c>
      <c r="T59">
        <f>IF(Fact5_predicmoderate!S19&gt;0,VLOOKUP(Fact5!$B59,Fact5_predicmoderate!$A$1:$W$19,23,0),"")</f>
        <v>28838499</v>
      </c>
      <c r="U59">
        <f>IF(Fact5_predicmoderate!T19&gt;0,VLOOKUP(Fact5!$B59,Fact5_predicmoderate!$A$1:$W$19,23,0),"")</f>
        <v>28838499</v>
      </c>
      <c r="V59" s="196">
        <f>U59</f>
        <v>28838499</v>
      </c>
      <c r="W59" s="196">
        <f>V59</f>
        <v>28838499</v>
      </c>
      <c r="Y59" s="2553" t="s">
        <v>51</v>
      </c>
      <c r="Z59" s="2558">
        <f ca="1">IF(OFFSET(Fact5_predicmoderate!$A$1,MATCH($Y22,Fact5_predicmoderate!$A$2:$A$26,0),MATCH(Z$2,Fact5_predicmoderate!$A$1:$V$1,0)-1,1,1)=0,NA(),OFFSET(Fact5_predicmoderate!$A$1,MATCH($Y22,Fact5_predicmoderate!$A$2:$A$26,0),MATCH(Z$2,Fact5_predicmoderate!$A$1:$V$1,0)-1,1,1))</f>
        <v>30.183271408081055</v>
      </c>
      <c r="AA59" s="2556">
        <f ca="1">IF(OFFSET(Fact5_predicmoderate!$A$1,MATCH($Y22,Fact5_predicmoderate!$A$2:$A$26,0),MATCH(AA$2,Fact5_predicmoderate!$A$1:$V$1,0)-1,1,1)=0,NA(),OFFSET(Fact5_predicmoderate!$A$1,MATCH($Y22,Fact5_predicmoderate!$A$2:$A$26,0),MATCH(AA$2,Fact5_predicmoderate!$A$1:$V$1,0)-1,1,1))</f>
        <v>28.839504241943359</v>
      </c>
      <c r="AB59" s="2556">
        <f ca="1">IF(OFFSET(Fact5_predicmoderate!$A$1,MATCH($Y22,Fact5_predicmoderate!$A$2:$A$26,0),MATCH(AB$2,Fact5_predicmoderate!$A$1:$V$1,0)-1,1,1)=0,NA(),OFFSET(Fact5_predicmoderate!$A$1,MATCH($Y22,Fact5_predicmoderate!$A$2:$A$26,0),MATCH(AB$2,Fact5_predicmoderate!$A$1:$V$1,0)-1,1,1))</f>
        <v>26.629961013793945</v>
      </c>
      <c r="AC59" s="2556">
        <f ca="1">IF(OFFSET(Fact5_predicmoderate!$A$1,MATCH($Y22,Fact5_predicmoderate!$A$2:$A$26,0),MATCH(AC$2,Fact5_predicmoderate!$A$1:$V$1,0)-1,1,1)=0,NA(),OFFSET(Fact5_predicmoderate!$A$1,MATCH($Y22,Fact5_predicmoderate!$A$2:$A$26,0),MATCH(AC$2,Fact5_predicmoderate!$A$1:$V$1,0)-1,1,1))</f>
        <v>23.002622604370117</v>
      </c>
      <c r="AD59" s="2556">
        <f ca="1">IF(OFFSET(Fact5_predicmoderate!$A$1,MATCH($Y22,Fact5_predicmoderate!$A$2:$A$26,0),MATCH(AD$2,Fact5_predicmoderate!$A$1:$V$1,0)-1,1,1)=0,NA(),OFFSET(Fact5_predicmoderate!$A$1,MATCH($Y22,Fact5_predicmoderate!$A$2:$A$26,0),MATCH(AD$2,Fact5_predicmoderate!$A$1:$V$1,0)-1,1,1))</f>
        <v>18.286838531494141</v>
      </c>
      <c r="AE59" s="2556">
        <f ca="1">IF(OFFSET(Fact5_predicmoderate!$A$1,MATCH($Y22,Fact5_predicmoderate!$A$2:$A$26,0),MATCH(AE$2,Fact5_predicmoderate!$A$1:$V$1,0)-1,1,1)=0,NA(),OFFSET(Fact5_predicmoderate!$A$1,MATCH($Y22,Fact5_predicmoderate!$A$2:$A$26,0),MATCH(AE$2,Fact5_predicmoderate!$A$1:$V$1,0)-1,1,1))</f>
        <v>18.340126037597656</v>
      </c>
      <c r="AF59" s="2556">
        <f ca="1">IF(OFFSET(Fact5_predicmoderate!$A$1,MATCH($Y22,Fact5_predicmoderate!$A$2:$A$26,0),MATCH(AF$2,Fact5_predicmoderate!$A$1:$V$1,0)-1,1,1)=0,NA(),OFFSET(Fact5_predicmoderate!$A$1,MATCH($Y22,Fact5_predicmoderate!$A$2:$A$26,0),MATCH(AF$2,Fact5_predicmoderate!$A$1:$V$1,0)-1,1,1))</f>
        <v>18.439153671264648</v>
      </c>
      <c r="AG59" s="2556">
        <f ca="1">IF(OFFSET(Fact5_predicmoderate!$A$1,MATCH($Y22,Fact5_predicmoderate!$A$2:$A$26,0),MATCH(AG$2,Fact5_predicmoderate!$A$1:$V$1,0)-1,1,1)=0,NA(),OFFSET(Fact5_predicmoderate!$A$1,MATCH($Y22,Fact5_predicmoderate!$A$2:$A$26,0),MATCH(AG$2,Fact5_predicmoderate!$A$1:$V$1,0)-1,1,1))</f>
        <v>19.611307144165039</v>
      </c>
      <c r="AH59" s="2556">
        <f ca="1">IF(OFFSET(Fact5_predicmoderate!$A$1,MATCH($Y22,Fact5_predicmoderate!$A$2:$A$26,0),MATCH(AH$2,Fact5_predicmoderate!$A$1:$V$1,0)-1,1,1)=0,NA(),OFFSET(Fact5_predicmoderate!$A$1,MATCH($Y22,Fact5_predicmoderate!$A$2:$A$26,0),MATCH(AH$2,Fact5_predicmoderate!$A$1:$V$1,0)-1,1,1))</f>
        <v>19.705734252929688</v>
      </c>
      <c r="AI59" s="2556">
        <f ca="1">IF(OFFSET(Fact5_predicmoderate!$A$1,MATCH($Y22,Fact5_predicmoderate!$A$2:$A$26,0),MATCH(AI$2,Fact5_predicmoderate!$A$1:$V$1,0)-1,1,1)=0,NA(),OFFSET(Fact5_predicmoderate!$A$1,MATCH($Y22,Fact5_predicmoderate!$A$2:$A$26,0),MATCH(AI$2,Fact5_predicmoderate!$A$1:$V$1,0)-1,1,1))</f>
        <v>16.01618766784668</v>
      </c>
      <c r="AJ59" s="2556">
        <f ca="1">IF(OFFSET(Fact5_predicmoderate!$A$1,MATCH($Y22,Fact5_predicmoderate!$A$2:$A$26,0),MATCH(AJ$2,Fact5_predicmoderate!$A$1:$V$1,0)-1,1,1)=0,NA(),OFFSET(Fact5_predicmoderate!$A$1,MATCH($Y22,Fact5_predicmoderate!$A$2:$A$26,0),MATCH(AJ$2,Fact5_predicmoderate!$A$1:$V$1,0)-1,1,1))</f>
        <v>17.943737030029297</v>
      </c>
      <c r="AK59" s="2556">
        <f ca="1">IF(OFFSET(Fact5_predicmoderate!$A$1,MATCH($Y22,Fact5_predicmoderate!$A$2:$A$26,0),MATCH(AK$2,Fact5_predicmoderate!$A$1:$V$1,0)-1,1,1)=0,NA(),OFFSET(Fact5_predicmoderate!$A$1,MATCH($Y22,Fact5_predicmoderate!$A$2:$A$26,0),MATCH(AK$2,Fact5_predicmoderate!$A$1:$V$1,0)-1,1,1))</f>
        <v>16.117481231689453</v>
      </c>
      <c r="AL59" s="2556">
        <f ca="1">IF(OFFSET(Fact5_predicmoderate!$A$1,MATCH($Y22,Fact5_predicmoderate!$A$2:$A$26,0),MATCH(AL$2,Fact5_predicmoderate!$A$1:$V$1,0)-1,1,1)=0,NA(),OFFSET(Fact5_predicmoderate!$A$1,MATCH($Y22,Fact5_predicmoderate!$A$2:$A$26,0),MATCH(AL$2,Fact5_predicmoderate!$A$1:$V$1,0)-1,1,1))</f>
        <v>19.957935333251953</v>
      </c>
      <c r="AM59" s="2556">
        <f ca="1">IF(OFFSET(Fact5_predicmoderate!$A$1,MATCH($Y22,Fact5_predicmoderate!$A$2:$A$26,0),MATCH(AM$2,Fact5_predicmoderate!$A$1:$V$1,0)-1,1,1)=0,NA(),OFFSET(Fact5_predicmoderate!$A$1,MATCH($Y22,Fact5_predicmoderate!$A$2:$A$26,0),MATCH(AM$2,Fact5_predicmoderate!$A$1:$V$1,0)-1,1,1))</f>
        <v>27.126041412353516</v>
      </c>
      <c r="AN59" s="2556">
        <f ca="1">IF(OFFSET(Fact5_predicmoderate!$A$1,MATCH($Y22,Fact5_predicmoderate!$A$2:$A$26,0),MATCH(AN$2,Fact5_predicmoderate!$A$1:$V$1,0)-1,1,1)=0,NA(),OFFSET(Fact5_predicmoderate!$A$1,MATCH($Y22,Fact5_predicmoderate!$A$2:$A$26,0),MATCH(AN$2,Fact5_predicmoderate!$A$1:$V$1,0)-1,1,1))</f>
        <v>20.817943572998047</v>
      </c>
      <c r="AO59" s="2556">
        <f ca="1">IF(OFFSET(Fact5_predicmoderate!$A$1,MATCH($Y22,Fact5_predicmoderate!$A$2:$A$26,0),MATCH(AO$2,Fact5_predicmoderate!$A$1:$V$1,0)-1,1,1)=0,NA(),OFFSET(Fact5_predicmoderate!$A$1,MATCH($Y22,Fact5_predicmoderate!$A$2:$A$26,0),MATCH(AO$2,Fact5_predicmoderate!$A$1:$V$1,0)-1,1,1))</f>
        <v>5.5889129638671875</v>
      </c>
      <c r="AP59" s="2561">
        <f ca="1">IF(OFFSET(Fact5_predicmoderate!$A$1,MATCH($Y22,Fact5_predicmoderate!$A$2:$A$26,0),MATCH(AP$2,Fact5_predicmoderate!$A$1:$V$1,0)-1,1,1)=0,NA(),OFFSET(Fact5_predicmoderate!$A$1,MATCH($Y22,Fact5_predicmoderate!$A$2:$A$26,0),MATCH(AP$2,Fact5_predicmoderate!$A$1:$V$1,0)-1,1,1))</f>
        <v>10.141746520996094</v>
      </c>
      <c r="AQ59" s="2556">
        <f ca="1">IF(OFFSET(Fact5_predicmoderate!$A$1,MATCH($Y22,Fact5_predicmoderate!$A$2:$A$26,0),MATCH(AQ$2,Fact5_predicmoderate!$A$1:$V$1,0)-1,1,1)=0,NA(),OFFSET(Fact5_predicmoderate!$A$1,MATCH($Y22,Fact5_predicmoderate!$A$2:$A$26,0),MATCH(AQ$2,Fact5_predicmoderate!$A$1:$V$1,0)-1,1,1))</f>
        <v>14.694580078125</v>
      </c>
      <c r="AR59" s="2556">
        <f ca="1">IF(OFFSET(Fact5_predicmoderate!$A$1,MATCH($Y22,Fact5_predicmoderate!$A$2:$A$26,0),MATCH(AR$2,Fact5_predicmoderate!$A$1:$V$1,0)-1,1,1)=0,NA(),OFFSET(Fact5_predicmoderate!$A$1,MATCH($Y22,Fact5_predicmoderate!$A$2:$A$26,0),MATCH(AR$2,Fact5_predicmoderate!$A$1:$V$1,0)-1,1,1))</f>
        <v>17.13670539855957</v>
      </c>
      <c r="AS59" s="2567">
        <f ca="1">AR59</f>
        <v>17.13670539855957</v>
      </c>
      <c r="AT59" s="2567">
        <f ca="1">AS59</f>
        <v>17.13670539855957</v>
      </c>
      <c r="AW59" s="7534">
        <f t="shared" ca="1" si="79"/>
        <v>-0.43224492909103585</v>
      </c>
      <c r="AX59" s="7532">
        <f t="shared" ca="1" si="57"/>
        <v>0.44892006990150457</v>
      </c>
      <c r="AY59" s="7532">
        <f t="shared" ca="1" si="58"/>
        <v>0.6897193558409358</v>
      </c>
      <c r="AZ59" s="7535"/>
      <c r="BA59" s="7532">
        <f t="shared" ca="1" si="59"/>
        <v>-4.45202624980513E-2</v>
      </c>
      <c r="BB59" s="7532">
        <f t="shared" ca="1" si="60"/>
        <v>-7.6615159872821859E-2</v>
      </c>
      <c r="BC59" s="7532">
        <f t="shared" ca="1" si="61"/>
        <v>-0.13621268193163771</v>
      </c>
      <c r="BD59" s="7532">
        <f t="shared" ca="1" si="62"/>
        <v>-0.20501071351664291</v>
      </c>
      <c r="BE59" s="7532">
        <f t="shared" ca="1" si="63"/>
        <v>2.9139813320788743E-3</v>
      </c>
      <c r="BF59" s="7532">
        <f t="shared" ca="1" si="64"/>
        <v>5.3995067135299557E-3</v>
      </c>
      <c r="BG59" s="7532">
        <f t="shared" ca="1" si="65"/>
        <v>6.356872412897463E-2</v>
      </c>
      <c r="BH59" s="7532">
        <f t="shared" ca="1" si="66"/>
        <v>4.8149319201673535E-3</v>
      </c>
      <c r="BI59" s="7532">
        <f t="shared" ca="1" si="67"/>
        <v>-0.18723212937546219</v>
      </c>
      <c r="BJ59" s="7532">
        <f t="shared" ca="1" si="68"/>
        <v>0.12035007344801985</v>
      </c>
      <c r="BK59" s="7532">
        <f t="shared" ca="1" si="69"/>
        <v>-0.10177678124036027</v>
      </c>
      <c r="BL59" s="7532">
        <f t="shared" ca="1" si="70"/>
        <v>0.23827880090913811</v>
      </c>
      <c r="BM59" s="7532">
        <f t="shared" ca="1" si="71"/>
        <v>0.35916070271852063</v>
      </c>
      <c r="BN59" s="7532">
        <f t="shared" ca="1" si="72"/>
        <v>-0.23254767415059274</v>
      </c>
      <c r="BO59" s="7532">
        <f t="shared" ca="1" si="73"/>
        <v>-0.73153385951548566</v>
      </c>
      <c r="BP59" s="7532">
        <f t="shared" ca="1" si="74"/>
        <v>0.81461879735171672</v>
      </c>
      <c r="BQ59" s="7532">
        <f t="shared" ca="1" si="75"/>
        <v>0.44892006990150457</v>
      </c>
      <c r="BR59" s="7532">
        <f t="shared" ca="1" si="76"/>
        <v>0.16619224962202406</v>
      </c>
      <c r="BS59" s="7532">
        <f t="shared" ca="1" si="77"/>
        <v>0</v>
      </c>
      <c r="BT59" s="7532">
        <f t="shared" ca="1" si="78"/>
        <v>0</v>
      </c>
      <c r="BV59" s="8"/>
    </row>
    <row r="60" spans="2:74" ht="15" thickBot="1">
      <c r="Y60" s="2557" t="s">
        <v>1251</v>
      </c>
      <c r="Z60" s="2560">
        <f ca="1">SUMPRODUCT(C42:C59,Z42:Z59)/SUM(C42:C59)</f>
        <v>24.757639843523286</v>
      </c>
      <c r="AA60" s="2560">
        <f t="shared" ref="AA60:AT60" ca="1" si="80">SUMPRODUCT(D42:D59,AA42:AA59)/SUM(D42:D59)</f>
        <v>25.618402436402516</v>
      </c>
      <c r="AB60" s="2560">
        <f t="shared" ca="1" si="80"/>
        <v>25.354223748077416</v>
      </c>
      <c r="AC60" s="2560">
        <f t="shared" ca="1" si="80"/>
        <v>24.548331920654881</v>
      </c>
      <c r="AD60" s="2560">
        <f t="shared" ca="1" si="80"/>
        <v>24.374113532152201</v>
      </c>
      <c r="AE60" s="2560">
        <f t="shared" ca="1" si="80"/>
        <v>23.993255383640754</v>
      </c>
      <c r="AF60" s="2560">
        <f t="shared" ca="1" si="80"/>
        <v>23.391620783043269</v>
      </c>
      <c r="AG60" s="2560">
        <f t="shared" ca="1" si="80"/>
        <v>23.371138441250825</v>
      </c>
      <c r="AH60" s="2560">
        <f t="shared" ca="1" si="80"/>
        <v>23.058302809125102</v>
      </c>
      <c r="AI60" s="2560">
        <f t="shared" ca="1" si="80"/>
        <v>21.949616778394532</v>
      </c>
      <c r="AJ60" s="2560">
        <f t="shared" ca="1" si="80"/>
        <v>21.287243131396956</v>
      </c>
      <c r="AK60" s="2560">
        <f t="shared" ca="1" si="80"/>
        <v>21.103950659350307</v>
      </c>
      <c r="AL60" s="2560">
        <f t="shared" ca="1" si="80"/>
        <v>21.392135924517209</v>
      </c>
      <c r="AM60" s="2560">
        <f t="shared" ca="1" si="80"/>
        <v>20.580076328757848</v>
      </c>
      <c r="AN60" s="2560">
        <f t="shared" ca="1" si="80"/>
        <v>20.042475417332149</v>
      </c>
      <c r="AO60" s="2560">
        <f t="shared" ca="1" si="80"/>
        <v>19.587749812074865</v>
      </c>
      <c r="AP60" s="2560">
        <f t="shared" ca="1" si="80"/>
        <v>19.352732866600142</v>
      </c>
      <c r="AQ60" s="2560">
        <f t="shared" ca="1" si="80"/>
        <v>21.50305710307445</v>
      </c>
      <c r="AR60" s="2560">
        <f t="shared" ca="1" si="80"/>
        <v>20.77521887369187</v>
      </c>
      <c r="AS60" s="2560">
        <f t="shared" ca="1" si="80"/>
        <v>19.298074420374096</v>
      </c>
      <c r="AT60" s="2560">
        <f t="shared" ca="1" si="80"/>
        <v>17.974158375896259</v>
      </c>
      <c r="AW60" s="7534">
        <f t="shared" ca="1" si="79"/>
        <v>-0.27399548222289927</v>
      </c>
    </row>
    <row r="61" spans="2:74" ht="15" thickBot="1">
      <c r="Y61" s="212" t="s">
        <v>1249</v>
      </c>
      <c r="Z61" s="2559">
        <f ca="1">SUMPRODUCT(C42:C58,Z42:Z58)/SUM(C42:C58)</f>
        <v>24.421290034615307</v>
      </c>
      <c r="AA61" s="2559">
        <f t="shared" ref="AA61:AT61" ca="1" si="81">SUMPRODUCT(D42:D58,AA42:AA58)/SUM(D42:D58)</f>
        <v>25.461926059874962</v>
      </c>
      <c r="AB61" s="2559">
        <f t="shared" ca="1" si="81"/>
        <v>25.292250312653206</v>
      </c>
      <c r="AC61" s="2559">
        <f t="shared" ca="1" si="81"/>
        <v>24.62342020024948</v>
      </c>
      <c r="AD61" s="2559">
        <f t="shared" ca="1" si="81"/>
        <v>24.669824376618912</v>
      </c>
      <c r="AE61" s="2559">
        <f t="shared" ca="1" si="81"/>
        <v>24.267876072309697</v>
      </c>
      <c r="AF61" s="2559">
        <f t="shared" ca="1" si="81"/>
        <v>23.632204333426547</v>
      </c>
      <c r="AG61" s="2559">
        <f ca="1">SUMPRODUCT(J42:J58,AG42:AG58)/SUM(J42:J58)</f>
        <v>23.553785502176023</v>
      </c>
      <c r="AH61" s="2559">
        <f t="shared" ca="1" si="81"/>
        <v>23.221165646565158</v>
      </c>
      <c r="AI61" s="2559">
        <f t="shared" ca="1" si="81"/>
        <v>22.237854016349743</v>
      </c>
      <c r="AJ61" s="2559">
        <f t="shared" ca="1" si="81"/>
        <v>21.449665728143145</v>
      </c>
      <c r="AK61" s="2559">
        <f t="shared" ca="1" si="81"/>
        <v>21.3461859921062</v>
      </c>
      <c r="AL61" s="2559">
        <f t="shared" ca="1" si="81"/>
        <v>21.461807274658586</v>
      </c>
      <c r="AM61" s="2559">
        <f t="shared" ca="1" si="81"/>
        <v>20.262082996353705</v>
      </c>
      <c r="AN61" s="2559">
        <f t="shared" ca="1" si="81"/>
        <v>20.004855890493324</v>
      </c>
      <c r="AO61" s="2559">
        <f t="shared" ca="1" si="81"/>
        <v>20.266861668152615</v>
      </c>
      <c r="AP61" s="2559">
        <f t="shared" ca="1" si="81"/>
        <v>19.799576422339619</v>
      </c>
      <c r="AQ61" s="2559">
        <f t="shared" ca="1" si="81"/>
        <v>21.833350078098878</v>
      </c>
      <c r="AR61" s="2559">
        <f t="shared" ca="1" si="81"/>
        <v>20.951730512926908</v>
      </c>
      <c r="AS61" s="2559">
        <f t="shared" ca="1" si="81"/>
        <v>19.402926798038695</v>
      </c>
      <c r="AT61" s="2559">
        <f t="shared" ca="1" si="81"/>
        <v>18.014784911656605</v>
      </c>
      <c r="AW61" s="7534">
        <f t="shared" ca="1" si="79"/>
        <v>-0.26233278888535261</v>
      </c>
      <c r="AX61" s="7537">
        <f ca="1">AVERAGE(AX42:AX59)</f>
        <v>0.13168868296947947</v>
      </c>
      <c r="AY61" s="7537">
        <f ca="1">AVERAGE(AY42:AY59)</f>
        <v>9.8310954458264307E-2</v>
      </c>
      <c r="BA61" s="7537">
        <f ca="1">AVERAGE(BA42:BA59)</f>
        <v>1.5457194159090512E-2</v>
      </c>
      <c r="BB61" s="7537">
        <f t="shared" ref="BB61:BT61" ca="1" si="82">AVERAGE(BB42:BB59)</f>
        <v>-2.0537497549676074E-2</v>
      </c>
      <c r="BC61" s="7537">
        <f t="shared" ca="1" si="82"/>
        <v>-2.970314065387792E-2</v>
      </c>
      <c r="BD61" s="7537">
        <f t="shared" ca="1" si="82"/>
        <v>-1.0799079512187582E-2</v>
      </c>
      <c r="BE61" s="7537">
        <f t="shared" ca="1" si="82"/>
        <v>-2.5990293053596222E-2</v>
      </c>
      <c r="BF61" s="7537">
        <f t="shared" ca="1" si="82"/>
        <v>-4.1543522137649516E-2</v>
      </c>
      <c r="BG61" s="7537">
        <f t="shared" ca="1" si="82"/>
        <v>-2.1709424637784781E-2</v>
      </c>
      <c r="BH61" s="7537">
        <f t="shared" ca="1" si="82"/>
        <v>-9.4775980586243782E-3</v>
      </c>
      <c r="BI61" s="7537">
        <f t="shared" ca="1" si="82"/>
        <v>-5.3866631232411116E-2</v>
      </c>
      <c r="BJ61" s="7537">
        <f t="shared" ca="1" si="82"/>
        <v>-2.5462929244286673E-2</v>
      </c>
      <c r="BK61" s="7537">
        <f t="shared" ca="1" si="82"/>
        <v>-2.1029503257534166E-2</v>
      </c>
      <c r="BL61" s="7537">
        <f t="shared" ca="1" si="82"/>
        <v>2.7846325715721817E-2</v>
      </c>
      <c r="BM61" s="7537">
        <f t="shared" ca="1" si="82"/>
        <v>-1.5689826230089552E-2</v>
      </c>
      <c r="BN61" s="7537">
        <f t="shared" ca="1" si="82"/>
        <v>-3.4109173763537844E-2</v>
      </c>
      <c r="BO61" s="7537">
        <f t="shared" ca="1" si="82"/>
        <v>-4.0307306875713107E-2</v>
      </c>
      <c r="BP61" s="7537">
        <f t="shared" ca="1" si="82"/>
        <v>4.5174442321270429E-2</v>
      </c>
      <c r="BQ61" s="7537">
        <f t="shared" ca="1" si="82"/>
        <v>0.13168868296947947</v>
      </c>
      <c r="BR61" s="7537">
        <f t="shared" ca="1" si="82"/>
        <v>-3.0328008524679435E-2</v>
      </c>
      <c r="BS61" s="7537">
        <f t="shared" ca="1" si="82"/>
        <v>-5.4864937258484542E-2</v>
      </c>
      <c r="BT61" s="7537">
        <f t="shared" ca="1" si="82"/>
        <v>-5.2541166750440516E-2</v>
      </c>
    </row>
    <row r="62" spans="2:74" ht="15" thickTop="1">
      <c r="Y62" s="141"/>
      <c r="Z62" s="13"/>
      <c r="AA62" s="13"/>
      <c r="AB62" s="13"/>
      <c r="AC62" s="13"/>
      <c r="AD62" s="13"/>
      <c r="AE62" s="13"/>
      <c r="AF62" s="13"/>
      <c r="AG62" s="13"/>
      <c r="AH62" s="13"/>
      <c r="AI62" s="13"/>
      <c r="AJ62" s="13"/>
      <c r="AK62" s="13"/>
      <c r="AL62" s="13"/>
      <c r="AM62" s="13"/>
      <c r="AN62" s="13"/>
      <c r="AO62" s="13"/>
      <c r="AP62" s="13"/>
      <c r="AQ62" s="13"/>
      <c r="AR62" s="13"/>
      <c r="AS62" s="13"/>
      <c r="AT62" s="13"/>
    </row>
    <row r="63" spans="2:74">
      <c r="Y63" s="141"/>
      <c r="Z63" s="13"/>
      <c r="AA63" s="13"/>
      <c r="AB63" s="13"/>
      <c r="AC63" s="13"/>
      <c r="AD63" s="13"/>
      <c r="AE63" s="13"/>
      <c r="AF63" s="13"/>
      <c r="AG63" s="13"/>
      <c r="AH63" s="13"/>
      <c r="AI63" s="13"/>
      <c r="AJ63" s="13"/>
      <c r="AK63" s="13"/>
      <c r="AL63" s="13"/>
      <c r="AM63" s="13"/>
      <c r="AN63" s="13"/>
      <c r="AO63" s="13"/>
      <c r="AP63" s="13"/>
      <c r="AQ63" s="13"/>
      <c r="AR63" s="13"/>
      <c r="AS63" s="13"/>
      <c r="AT63" s="13"/>
    </row>
    <row r="64" spans="2:74">
      <c r="Y64" s="180"/>
      <c r="Z64" s="100"/>
      <c r="AA64" s="100"/>
      <c r="AB64" s="100"/>
      <c r="AC64" s="100"/>
      <c r="AD64" s="100"/>
      <c r="AE64" s="100"/>
      <c r="AF64" s="100"/>
      <c r="AG64" s="100"/>
      <c r="AH64" s="100"/>
      <c r="AI64" s="100"/>
      <c r="AJ64" s="100"/>
      <c r="AK64" s="100"/>
      <c r="AL64" s="100"/>
      <c r="AM64" s="100"/>
      <c r="AN64" s="100"/>
      <c r="AO64" s="100"/>
      <c r="AP64" s="100"/>
      <c r="AQ64" s="100"/>
      <c r="AR64" s="100"/>
      <c r="AS64" s="100"/>
      <c r="AT64" s="100"/>
    </row>
    <row r="65" spans="2:74">
      <c r="Y65" s="180"/>
      <c r="Z65" s="100"/>
      <c r="AA65" s="100"/>
      <c r="AB65" s="100"/>
      <c r="AC65" s="100"/>
      <c r="AD65" s="100"/>
      <c r="AE65" s="100"/>
      <c r="AF65" s="100"/>
      <c r="AG65" s="100"/>
      <c r="AH65" s="100"/>
      <c r="AI65" s="100"/>
      <c r="AJ65" s="100"/>
      <c r="AK65" s="100"/>
      <c r="AL65" s="100"/>
      <c r="AM65" s="100"/>
      <c r="AN65" s="100"/>
      <c r="AO65" s="100"/>
      <c r="AP65" s="100"/>
      <c r="AQ65" s="100"/>
      <c r="AR65" s="100"/>
      <c r="AS65" s="100"/>
      <c r="AT65" s="100"/>
    </row>
    <row r="66" spans="2:74">
      <c r="Y66" s="180"/>
      <c r="Z66" s="100"/>
      <c r="AA66" s="100"/>
      <c r="AB66" s="100"/>
      <c r="AC66" s="100"/>
      <c r="AD66" s="100"/>
      <c r="AE66" s="100"/>
      <c r="AF66" s="100"/>
      <c r="AG66" s="100"/>
      <c r="AH66" s="100"/>
      <c r="AI66" s="100"/>
      <c r="AJ66" s="100"/>
      <c r="AK66" s="100"/>
      <c r="AL66" s="100"/>
      <c r="AM66" s="100"/>
      <c r="AN66" s="100"/>
      <c r="AO66" s="100"/>
      <c r="AP66" s="100"/>
      <c r="AQ66" s="100"/>
      <c r="AR66" s="100"/>
      <c r="AS66" s="100"/>
      <c r="AT66" s="100"/>
    </row>
    <row r="67" spans="2:74">
      <c r="Y67" s="145"/>
      <c r="Z67" s="13"/>
      <c r="AA67" s="13"/>
      <c r="AB67" s="13"/>
      <c r="AC67" s="13"/>
      <c r="AD67" s="13"/>
      <c r="AE67" s="13"/>
      <c r="AF67" s="13"/>
      <c r="AG67" s="13"/>
      <c r="AH67" s="13"/>
      <c r="AI67" s="13"/>
      <c r="AJ67" s="13"/>
      <c r="AK67" s="13"/>
      <c r="AL67" s="13"/>
      <c r="AM67" s="13"/>
      <c r="AN67" s="13"/>
      <c r="AO67" s="13"/>
      <c r="AP67" s="13"/>
      <c r="AQ67" s="13"/>
      <c r="AR67" s="13"/>
      <c r="AS67" s="13"/>
      <c r="AT67" s="13"/>
    </row>
    <row r="68" spans="2:74">
      <c r="Y68" s="180"/>
      <c r="Z68" s="13"/>
      <c r="AA68" s="13"/>
      <c r="AB68" s="13"/>
      <c r="AC68" s="13"/>
      <c r="AD68" s="13"/>
      <c r="AE68" s="13"/>
      <c r="AF68" s="13"/>
      <c r="AG68" s="13"/>
      <c r="AH68" s="13"/>
      <c r="AI68" s="13"/>
      <c r="AJ68" s="13"/>
      <c r="AK68" s="13"/>
      <c r="AL68" s="13"/>
      <c r="AM68" s="13"/>
      <c r="AN68" s="13"/>
      <c r="AO68" s="13"/>
      <c r="AP68" s="13"/>
      <c r="AQ68" s="13"/>
      <c r="AR68" s="13"/>
      <c r="AS68" s="13"/>
      <c r="AT68" s="13"/>
    </row>
    <row r="69" spans="2:74">
      <c r="Y69" s="180"/>
      <c r="Z69" s="13"/>
      <c r="AA69" s="13"/>
      <c r="AB69" s="13"/>
      <c r="AC69" s="13"/>
      <c r="AD69" s="13"/>
      <c r="AE69" s="13"/>
      <c r="AF69" s="13"/>
      <c r="AG69" s="13"/>
      <c r="AH69" s="13"/>
      <c r="AI69" s="13"/>
      <c r="AJ69" s="13"/>
      <c r="AK69" s="13"/>
      <c r="AL69" s="13"/>
      <c r="AM69" s="13"/>
      <c r="AN69" s="13"/>
      <c r="AO69" s="13"/>
      <c r="AP69" s="13"/>
      <c r="AQ69" s="13"/>
      <c r="AR69" s="13"/>
      <c r="AS69" s="13"/>
      <c r="AT69" s="13"/>
    </row>
    <row r="70" spans="2:74" ht="15" thickBot="1">
      <c r="X70" s="3"/>
      <c r="Y70" s="212" t="s">
        <v>1254</v>
      </c>
      <c r="Z70" s="21"/>
      <c r="AA70" s="21"/>
      <c r="AB70" s="21"/>
      <c r="AC70" s="21"/>
      <c r="AD70" s="21"/>
      <c r="AE70" s="21"/>
      <c r="AF70" s="21"/>
      <c r="AG70" s="21"/>
      <c r="AH70" s="21"/>
      <c r="AI70" s="21"/>
      <c r="AJ70" s="21"/>
      <c r="AK70" s="21"/>
      <c r="AL70" s="21"/>
      <c r="AM70" s="21"/>
      <c r="AN70" s="21"/>
      <c r="AO70" s="21"/>
      <c r="AP70" s="21"/>
      <c r="AQ70" s="21"/>
      <c r="AR70" s="21"/>
      <c r="AS70" s="21"/>
      <c r="AT70" s="21"/>
      <c r="AX70" s="7530" t="s">
        <v>1325</v>
      </c>
      <c r="AY70" s="7538" t="s">
        <v>1329</v>
      </c>
    </row>
    <row r="71" spans="2:74" ht="15" thickTop="1">
      <c r="B71" s="2553"/>
      <c r="C71" s="2554" t="s">
        <v>1228</v>
      </c>
      <c r="D71" s="2554" t="s">
        <v>1229</v>
      </c>
      <c r="E71" s="2554" t="s">
        <v>1230</v>
      </c>
      <c r="F71" s="2554" t="s">
        <v>1231</v>
      </c>
      <c r="G71" s="2554" t="s">
        <v>1232</v>
      </c>
      <c r="H71" s="2554" t="s">
        <v>1233</v>
      </c>
      <c r="I71" s="2554" t="s">
        <v>1234</v>
      </c>
      <c r="J71" s="2554" t="s">
        <v>1235</v>
      </c>
      <c r="K71" s="2554" t="s">
        <v>1236</v>
      </c>
      <c r="L71" s="2554" t="s">
        <v>1237</v>
      </c>
      <c r="M71" s="2554" t="s">
        <v>1238</v>
      </c>
      <c r="N71" s="2554" t="s">
        <v>1239</v>
      </c>
      <c r="O71" s="2554" t="s">
        <v>1240</v>
      </c>
      <c r="P71" s="2554" t="s">
        <v>1241</v>
      </c>
      <c r="Q71" s="2554" t="s">
        <v>1242</v>
      </c>
      <c r="R71" s="2554" t="s">
        <v>1243</v>
      </c>
      <c r="S71" s="2554" t="s">
        <v>1244</v>
      </c>
      <c r="T71" s="2554" t="s">
        <v>1245</v>
      </c>
      <c r="U71" s="2554" t="s">
        <v>1246</v>
      </c>
      <c r="V71" s="2554" t="s">
        <v>1247</v>
      </c>
      <c r="W71" s="2554" t="s">
        <v>1248</v>
      </c>
      <c r="X71" s="2562"/>
      <c r="Y71" s="2564" t="s">
        <v>904</v>
      </c>
      <c r="Z71" s="2554" t="s">
        <v>1228</v>
      </c>
      <c r="AA71" s="2554" t="s">
        <v>1229</v>
      </c>
      <c r="AB71" s="2554" t="s">
        <v>1230</v>
      </c>
      <c r="AC71" s="2554" t="s">
        <v>1231</v>
      </c>
      <c r="AD71" s="2554" t="s">
        <v>1232</v>
      </c>
      <c r="AE71" s="2554" t="s">
        <v>1233</v>
      </c>
      <c r="AF71" s="2554" t="s">
        <v>1234</v>
      </c>
      <c r="AG71" s="2554" t="s">
        <v>1235</v>
      </c>
      <c r="AH71" s="2554" t="s">
        <v>1236</v>
      </c>
      <c r="AI71" s="2554" t="s">
        <v>1237</v>
      </c>
      <c r="AJ71" s="2554" t="s">
        <v>1238</v>
      </c>
      <c r="AK71" s="2554" t="s">
        <v>1239</v>
      </c>
      <c r="AL71" s="2554" t="s">
        <v>1240</v>
      </c>
      <c r="AM71" s="2554" t="s">
        <v>1241</v>
      </c>
      <c r="AN71" s="2554" t="s">
        <v>1242</v>
      </c>
      <c r="AO71" s="2554" t="s">
        <v>1243</v>
      </c>
      <c r="AP71" s="2554" t="s">
        <v>1244</v>
      </c>
      <c r="AQ71" s="2554" t="s">
        <v>1245</v>
      </c>
      <c r="AR71" s="2554" t="s">
        <v>1246</v>
      </c>
      <c r="AS71" s="2554" t="s">
        <v>1247</v>
      </c>
      <c r="AT71" s="2554" t="s">
        <v>1248</v>
      </c>
      <c r="AW71" s="7530" t="s">
        <v>1326</v>
      </c>
      <c r="AX71" s="7530" t="s">
        <v>1327</v>
      </c>
      <c r="BA71" s="2554" t="s">
        <v>1229</v>
      </c>
      <c r="BB71" s="2554" t="s">
        <v>1230</v>
      </c>
      <c r="BC71" s="2554" t="s">
        <v>1231</v>
      </c>
      <c r="BD71" s="2554" t="s">
        <v>1232</v>
      </c>
      <c r="BE71" s="2554" t="s">
        <v>1233</v>
      </c>
      <c r="BF71" s="2554" t="s">
        <v>1234</v>
      </c>
      <c r="BG71" s="2554" t="s">
        <v>1235</v>
      </c>
      <c r="BH71" s="2554" t="s">
        <v>1236</v>
      </c>
      <c r="BI71" s="2554" t="s">
        <v>1237</v>
      </c>
      <c r="BJ71" s="2554" t="s">
        <v>1238</v>
      </c>
      <c r="BK71" s="2554" t="s">
        <v>1239</v>
      </c>
      <c r="BL71" s="2554" t="s">
        <v>1240</v>
      </c>
      <c r="BM71" s="2554" t="s">
        <v>1241</v>
      </c>
      <c r="BN71" s="2554" t="s">
        <v>1242</v>
      </c>
      <c r="BO71" s="2554" t="s">
        <v>1243</v>
      </c>
      <c r="BP71" s="2554" t="s">
        <v>1244</v>
      </c>
      <c r="BQ71" s="2554" t="s">
        <v>1245</v>
      </c>
      <c r="BR71" s="2554" t="s">
        <v>1246</v>
      </c>
      <c r="BS71" s="2554" t="s">
        <v>1247</v>
      </c>
      <c r="BT71" s="2554">
        <v>2023</v>
      </c>
      <c r="BV71" s="76"/>
    </row>
    <row r="72" spans="2:74">
      <c r="B72" s="98" t="s">
        <v>10</v>
      </c>
      <c r="C72">
        <f>IF(Fact5_predicmoderate!B2&gt;0,VLOOKUP(Fact5!$B72,Fact5_predicmoderate!$A$1:$W$19,23,0),"")</f>
        <v>45773884</v>
      </c>
      <c r="D72">
        <f>IF(Fact5_predicmoderate!C2&gt;0,VLOOKUP(Fact5!$B72,Fact5_predicmoderate!$A$1:$W$19,23,0),"")</f>
        <v>45773884</v>
      </c>
      <c r="E72">
        <f>IF(Fact5_predicmoderate!D2&gt;0,VLOOKUP(Fact5!$B72,Fact5_predicmoderate!$A$1:$W$19,23,0),"")</f>
        <v>45773884</v>
      </c>
      <c r="F72">
        <f>IF(Fact5_predicmoderate!E2&gt;0,VLOOKUP(Fact5!$B72,Fact5_predicmoderate!$A$1:$W$19,23,0),"")</f>
        <v>45773884</v>
      </c>
      <c r="G72">
        <f>IF(Fact5_predicmoderate!F2&gt;0,VLOOKUP(Fact5!$B72,Fact5_predicmoderate!$A$1:$W$19,23,0),"")</f>
        <v>45773884</v>
      </c>
      <c r="H72">
        <f>IF(Fact5_predicmoderate!G2&gt;0,VLOOKUP(Fact5!$B72,Fact5_predicmoderate!$A$1:$W$19,23,0),"")</f>
        <v>45773884</v>
      </c>
      <c r="I72">
        <f>IF(Fact5_predicmoderate!H2&gt;0,VLOOKUP(Fact5!$B72,Fact5_predicmoderate!$A$1:$W$19,23,0),"")</f>
        <v>45773884</v>
      </c>
      <c r="J72">
        <f>IF(Fact5_predicmoderate!I2&gt;0,VLOOKUP(Fact5!$B72,Fact5_predicmoderate!$A$1:$W$19,23,0),"")</f>
        <v>45773884</v>
      </c>
      <c r="K72">
        <f>IF(Fact5_predicmoderate!J2&gt;0,VLOOKUP(Fact5!$B72,Fact5_predicmoderate!$A$1:$W$19,23,0),"")</f>
        <v>45773884</v>
      </c>
      <c r="L72">
        <f>IF(Fact5_predicmoderate!K2&gt;0,VLOOKUP(Fact5!$B72,Fact5_predicmoderate!$A$1:$W$19,23,0),"")</f>
        <v>45773884</v>
      </c>
      <c r="M72">
        <f>IF(Fact5_predicmoderate!L2&gt;0,VLOOKUP(Fact5!$B72,Fact5_predicmoderate!$A$1:$W$19,23,0),"")</f>
        <v>45773884</v>
      </c>
      <c r="N72">
        <f>IF(Fact5_predicmoderate!M2&gt;0,VLOOKUP(Fact5!$B72,Fact5_predicmoderate!$A$1:$W$19,23,0),"")</f>
        <v>45773884</v>
      </c>
      <c r="O72">
        <f>IF(Fact5_predicmoderate!N2&gt;0,VLOOKUP(Fact5!$B72,Fact5_predicmoderate!$A$1:$W$19,23,0),"")</f>
        <v>45773884</v>
      </c>
      <c r="P72">
        <f>IF(Fact5_predicmoderate!O2&gt;0,VLOOKUP(Fact5!$B72,Fact5_predicmoderate!$A$1:$W$19,23,0),"")</f>
        <v>45773884</v>
      </c>
      <c r="Q72">
        <f>IF(Fact5_predicmoderate!P2&gt;0,VLOOKUP(Fact5!$B72,Fact5_predicmoderate!$A$1:$W$19,23,0),"")</f>
        <v>45773884</v>
      </c>
      <c r="R72">
        <f>IF(Fact5_predicmoderate!Q2&gt;0,VLOOKUP(Fact5!$B72,Fact5_predicmoderate!$A$1:$W$19,23,0),"")</f>
        <v>45773884</v>
      </c>
      <c r="S72">
        <f>IF(Fact5_predicmoderate!R2&gt;0,VLOOKUP(Fact5!$B72,Fact5_predicmoderate!$A$1:$W$19,23,0),"")</f>
        <v>45773884</v>
      </c>
      <c r="T72">
        <f>IF(Fact5_predicmoderate!S2&gt;0,VLOOKUP(Fact5!$B72,Fact5_predicmoderate!$A$1:$W$19,23,0),"")</f>
        <v>45773884</v>
      </c>
      <c r="U72">
        <f>IF(Fact5_predicmoderate!T2&gt;0,VLOOKUP(Fact5!$B72,Fact5_predicmoderate!$A$1:$W$19,23,0),"")</f>
        <v>45773884</v>
      </c>
      <c r="V72">
        <f>IF(Fact5_predicmoderate!U2&gt;0,VLOOKUP(Fact5!$B72,Fact5_predicmoderate!$A$1:$W$19,23,0),"")</f>
        <v>45773884</v>
      </c>
      <c r="W72">
        <f>IF(Fact5_predicmoderate!V2&gt;0,VLOOKUP(Fact5!$B72,Fact5_predicmoderate!$A$1:$W$19,23,0),"")</f>
        <v>45773884</v>
      </c>
      <c r="X72" s="2562"/>
      <c r="Y72" s="2562" t="s">
        <v>10</v>
      </c>
      <c r="Z72" s="8">
        <f ca="1">IF(OFFSET(Fact5_predicpoor_under5!$A$1,MATCH($Y5,Fact5_predicpoor_under5!$A$2:$A$26,0),MATCH(Z$2,Fact5_predicpoor_under5!$A$1:$V$1,0)-1,1,1)=0,NA(),OFFSET(Fact5_predicpoor_under5!$A$1,MATCH($Y5,Fact5_predicpoor_under5!$A$2:$A$26,0),MATCH(Z$2,Fact5_predicpoor_under5!$A$1:$V$1,0)-1,1,1))</f>
        <v>80.181297302246094</v>
      </c>
      <c r="AA72" s="8">
        <f ca="1">IF(OFFSET(Fact5_predicpoor_under5!$A$1,MATCH($Y5,Fact5_predicpoor_under5!$A$2:$A$26,0),MATCH(AA$2,Fact5_predicpoor_under5!$A$1:$V$1,0)-1,1,1)=0,NA(),OFFSET(Fact5_predicpoor_under5!$A$1,MATCH($Y5,Fact5_predicpoor_under5!$A$2:$A$26,0),MATCH(AA$2,Fact5_predicpoor_under5!$A$1:$V$1,0)-1,1,1))</f>
        <v>74.628303527832031</v>
      </c>
      <c r="AB72" s="8">
        <f ca="1">IF(OFFSET(Fact5_predicpoor_under5!$A$1,MATCH($Y5,Fact5_predicpoor_under5!$A$2:$A$26,0),MATCH(AB$2,Fact5_predicpoor_under5!$A$1:$V$1,0)-1,1,1)=0,NA(),OFFSET(Fact5_predicpoor_under5!$A$1,MATCH($Y5,Fact5_predicpoor_under5!$A$2:$A$26,0),MATCH(AB$2,Fact5_predicpoor_under5!$A$1:$V$1,0)-1,1,1))</f>
        <v>69.6734619140625</v>
      </c>
      <c r="AC72" s="8">
        <f ca="1">IF(OFFSET(Fact5_predicpoor_under5!$A$1,MATCH($Y5,Fact5_predicpoor_under5!$A$2:$A$26,0),MATCH(AC$2,Fact5_predicpoor_under5!$A$1:$V$1,0)-1,1,1)=0,NA(),OFFSET(Fact5_predicpoor_under5!$A$1,MATCH($Y5,Fact5_predicpoor_under5!$A$2:$A$26,0),MATCH(AC$2,Fact5_predicpoor_under5!$A$1:$V$1,0)-1,1,1))</f>
        <v>64.746749877929688</v>
      </c>
      <c r="AD72" s="8">
        <f ca="1">IF(OFFSET(Fact5_predicpoor_under5!$A$1,MATCH($Y5,Fact5_predicpoor_under5!$A$2:$A$26,0),MATCH(AD$2,Fact5_predicpoor_under5!$A$1:$V$1,0)-1,1,1)=0,NA(),OFFSET(Fact5_predicpoor_under5!$A$1,MATCH($Y5,Fact5_predicpoor_under5!$A$2:$A$26,0),MATCH(AD$2,Fact5_predicpoor_under5!$A$1:$V$1,0)-1,1,1))</f>
        <v>53.451377868652344</v>
      </c>
      <c r="AE72" s="8">
        <f ca="1">IF(OFFSET(Fact5_predicpoor_under5!$A$1,MATCH($Y5,Fact5_predicpoor_under5!$A$2:$A$26,0),MATCH(AE$2,Fact5_predicpoor_under5!$A$1:$V$1,0)-1,1,1)=0,NA(),OFFSET(Fact5_predicpoor_under5!$A$1,MATCH($Y5,Fact5_predicpoor_under5!$A$2:$A$26,0),MATCH(AE$2,Fact5_predicpoor_under5!$A$1:$V$1,0)-1,1,1))</f>
        <v>48.945365905761719</v>
      </c>
      <c r="AF72" s="8">
        <f ca="1">IF(OFFSET(Fact5_predicpoor_under5!$A$1,MATCH($Y5,Fact5_predicpoor_under5!$A$2:$A$26,0),MATCH(AF$2,Fact5_predicpoor_under5!$A$1:$V$1,0)-1,1,1)=0,NA(),OFFSET(Fact5_predicpoor_under5!$A$1,MATCH($Y5,Fact5_predicpoor_under5!$A$2:$A$26,0),MATCH(AF$2,Fact5_predicpoor_under5!$A$1:$V$1,0)-1,1,1))</f>
        <v>42.124416351318359</v>
      </c>
      <c r="AG72" s="8">
        <f ca="1">IF(OFFSET(Fact5_predicpoor_under5!$A$1,MATCH($Y5,Fact5_predicpoor_under5!$A$2:$A$26,0),MATCH(AG$2,Fact5_predicpoor_under5!$A$1:$V$1,0)-1,1,1)=0,NA(),OFFSET(Fact5_predicpoor_under5!$A$1,MATCH($Y5,Fact5_predicpoor_under5!$A$2:$A$26,0),MATCH(AG$2,Fact5_predicpoor_under5!$A$1:$V$1,0)-1,1,1))</f>
        <v>35.802543640136719</v>
      </c>
      <c r="AH72" s="8">
        <f ca="1">IF(OFFSET(Fact5_predicpoor_under5!$A$1,MATCH($Y5,Fact5_predicpoor_under5!$A$2:$A$26,0),MATCH(AH$2,Fact5_predicpoor_under5!$A$1:$V$1,0)-1,1,1)=0,NA(),OFFSET(Fact5_predicpoor_under5!$A$1,MATCH($Y5,Fact5_predicpoor_under5!$A$2:$A$26,0),MATCH(AH$2,Fact5_predicpoor_under5!$A$1:$V$1,0)-1,1,1))</f>
        <v>27.230607986450195</v>
      </c>
      <c r="AI72" s="8">
        <f ca="1">IF(OFFSET(Fact5_predicpoor_under5!$A$1,MATCH($Y5,Fact5_predicpoor_under5!$A$2:$A$26,0),MATCH(AI$2,Fact5_predicpoor_under5!$A$1:$V$1,0)-1,1,1)=0,NA(),OFFSET(Fact5_predicpoor_under5!$A$1,MATCH($Y5,Fact5_predicpoor_under5!$A$2:$A$26,0),MATCH(AI$2,Fact5_predicpoor_under5!$A$1:$V$1,0)-1,1,1))</f>
        <v>21.623516082763672</v>
      </c>
      <c r="AJ72" s="8">
        <f ca="1">IF(OFFSET(Fact5_predicpoor_under5!$A$1,MATCH($Y5,Fact5_predicpoor_under5!$A$2:$A$26,0),MATCH(AJ$2,Fact5_predicpoor_under5!$A$1:$V$1,0)-1,1,1)=0,NA(),OFFSET(Fact5_predicpoor_under5!$A$1,MATCH($Y5,Fact5_predicpoor_under5!$A$2:$A$26,0),MATCH(AJ$2,Fact5_predicpoor_under5!$A$1:$V$1,0)-1,1,1))</f>
        <v>16.495676040649414</v>
      </c>
      <c r="AK72" s="8">
        <f ca="1">IF(OFFSET(Fact5_predicpoor_under5!$A$1,MATCH($Y5,Fact5_predicpoor_under5!$A$2:$A$26,0),MATCH(AK$2,Fact5_predicpoor_under5!$A$1:$V$1,0)-1,1,1)=0,NA(),OFFSET(Fact5_predicpoor_under5!$A$1,MATCH($Y5,Fact5_predicpoor_under5!$A$2:$A$26,0),MATCH(AK$2,Fact5_predicpoor_under5!$A$1:$V$1,0)-1,1,1))</f>
        <v>19.658725738525391</v>
      </c>
      <c r="AL72" s="8">
        <f ca="1">IF(OFFSET(Fact5_predicpoor_under5!$A$1,MATCH($Y5,Fact5_predicpoor_under5!$A$2:$A$26,0),MATCH(AL$2,Fact5_predicpoor_under5!$A$1:$V$1,0)-1,1,1)=0,NA(),OFFSET(Fact5_predicpoor_under5!$A$1,MATCH($Y5,Fact5_predicpoor_under5!$A$2:$A$26,0),MATCH(AL$2,Fact5_predicpoor_under5!$A$1:$V$1,0)-1,1,1))</f>
        <v>23.121952056884766</v>
      </c>
      <c r="AM72" s="8">
        <f ca="1">IF(OFFSET(Fact5_predicpoor_under5!$A$1,MATCH($Y5,Fact5_predicpoor_under5!$A$2:$A$26,0),MATCH(AM$2,Fact5_predicpoor_under5!$A$1:$V$1,0)-1,1,1)=0,NA(),OFFSET(Fact5_predicpoor_under5!$A$1,MATCH($Y5,Fact5_predicpoor_under5!$A$2:$A$26,0),MATCH(AM$2,Fact5_predicpoor_under5!$A$1:$V$1,0)-1,1,1))</f>
        <v>18.903919219970703</v>
      </c>
      <c r="AN72" s="8">
        <f ca="1">IF(OFFSET(Fact5_predicpoor_under5!$A$1,MATCH($Y5,Fact5_predicpoor_under5!$A$2:$A$26,0),MATCH(AN$2,Fact5_predicpoor_under5!$A$1:$V$1,0)-1,1,1)=0,NA(),OFFSET(Fact5_predicpoor_under5!$A$1,MATCH($Y5,Fact5_predicpoor_under5!$A$2:$A$26,0),MATCH(AN$2,Fact5_predicpoor_under5!$A$1:$V$1,0)-1,1,1))</f>
        <v>15.894489288330078</v>
      </c>
      <c r="AO72" s="8">
        <f ca="1">IF(OFFSET(Fact5_predicpoor_under5!$A$1,MATCH($Y5,Fact5_predicpoor_under5!$A$2:$A$26,0),MATCH(AO$2,Fact5_predicpoor_under5!$A$1:$V$1,0)-1,1,1)=0,NA(),OFFSET(Fact5_predicpoor_under5!$A$1,MATCH($Y5,Fact5_predicpoor_under5!$A$2:$A$26,0),MATCH(AO$2,Fact5_predicpoor_under5!$A$1:$V$1,0)-1,1,1))</f>
        <v>18.309366226196289</v>
      </c>
      <c r="AP72" s="8">
        <f ca="1">IF(OFFSET(Fact5_predicpoor_under5!$A$1,MATCH($Y5,Fact5_predicpoor_under5!$A$2:$A$26,0),MATCH(AP$2,Fact5_predicpoor_under5!$A$1:$V$1,0)-1,1,1)=0,NA(),OFFSET(Fact5_predicpoor_under5!$A$1,MATCH($Y5,Fact5_predicpoor_under5!$A$2:$A$26,0),MATCH(AP$2,Fact5_predicpoor_under5!$A$1:$V$1,0)-1,1,1))</f>
        <v>20.853439331054688</v>
      </c>
      <c r="AQ72" s="8">
        <f ca="1">IF(OFFSET(Fact5_predicpoor_under5!$A$1,MATCH($Y5,Fact5_predicpoor_under5!$A$2:$A$26,0),MATCH(AQ$2,Fact5_predicpoor_under5!$A$1:$V$1,0)-1,1,1)=0,NA(),OFFSET(Fact5_predicpoor_under5!$A$1,MATCH($Y5,Fact5_predicpoor_under5!$A$2:$A$26,0),MATCH(AQ$2,Fact5_predicpoor_under5!$A$1:$V$1,0)-1,1,1))</f>
        <v>25.708707809448242</v>
      </c>
      <c r="AR72" s="8">
        <f ca="1">IF(OFFSET(Fact5_predicpoor_under5!$A$1,MATCH($Y5,Fact5_predicpoor_under5!$A$2:$A$26,0),MATCH(AR$2,Fact5_predicpoor_under5!$A$1:$V$1,0)-1,1,1)=0,NA(),OFFSET(Fact5_predicpoor_under5!$A$1,MATCH($Y5,Fact5_predicpoor_under5!$A$2:$A$26,0),MATCH(AR$2,Fact5_predicpoor_under5!$A$1:$V$1,0)-1,1,1))</f>
        <v>23.364168167114258</v>
      </c>
      <c r="AS72" s="8">
        <f ca="1">IF(OFFSET(Fact5_predicpoor_under5!$A$1,MATCH($Y5,Fact5_predicpoor_under5!$A$2:$A$26,0),MATCH(AS$2,Fact5_predicpoor_under5!$A$1:$V$1,0)-1,1,1)=0,NA(),OFFSET(Fact5_predicpoor_under5!$A$1,MATCH($Y5,Fact5_predicpoor_under5!$A$2:$A$26,0),MATCH(AS$2,Fact5_predicpoor_under5!$A$1:$V$1,0)-1,1,1))</f>
        <v>20.98236083984375</v>
      </c>
      <c r="AT72" s="88">
        <f ca="1">IF(OFFSET(Fact5_predicpoor_under5!$A$1,MATCH($Y5,Fact5_predicpoor_under5!$A$2:$A$26,0),MATCH(AT$2,Fact5_predicpoor_under5!$A$1:$V$1,0)-1,1,1)=0,NA(),OFFSET(Fact5_predicpoor_under5!$A$1,MATCH($Y5,Fact5_predicpoor_under5!$A$2:$A$26,0),MATCH(AT$2,Fact5_predicpoor_under5!$A$1:$V$1,0)-1,1,1))</f>
        <v>18.843360900878906</v>
      </c>
      <c r="AU72" s="7546">
        <f ca="1">AT72-Z72</f>
        <v>-61.337936401367188</v>
      </c>
      <c r="AV72" s="8">
        <f ca="1">AQ72-AP72</f>
        <v>4.8552684783935547</v>
      </c>
      <c r="AW72" s="7531">
        <f ca="1">AT72/Z72-1</f>
        <v>-0.76499057093266742</v>
      </c>
      <c r="AX72" s="7532">
        <f ca="1">AQ72/AP72-1</f>
        <v>0.23282818729873256</v>
      </c>
      <c r="AY72" s="7532">
        <f ca="1">AR72/AP72-1</f>
        <v>0.12039878871782195</v>
      </c>
      <c r="AZ72" s="2562" t="s">
        <v>10</v>
      </c>
      <c r="BA72" s="7532">
        <f t="shared" ref="BA72:BT72" ca="1" si="83">IFERROR(AA72/Z72-1,"")</f>
        <v>-6.9255474296978092E-2</v>
      </c>
      <c r="BB72" s="7532">
        <f t="shared" ca="1" si="83"/>
        <v>-6.6393598400929288E-2</v>
      </c>
      <c r="BC72" s="7532">
        <f t="shared" ca="1" si="83"/>
        <v>-7.0711457429940561E-2</v>
      </c>
      <c r="BD72" s="7532">
        <f t="shared" ca="1" si="83"/>
        <v>-0.17445465649740066</v>
      </c>
      <c r="BE72" s="7532">
        <f t="shared" ca="1" si="83"/>
        <v>-8.4301137642576407E-2</v>
      </c>
      <c r="BF72" s="7532">
        <f t="shared" ca="1" si="83"/>
        <v>-0.13935843420960947</v>
      </c>
      <c r="BG72" s="7532">
        <f t="shared" ca="1" si="83"/>
        <v>-0.15007620897241902</v>
      </c>
      <c r="BH72" s="7532">
        <f t="shared" ca="1" si="83"/>
        <v>-0.23942253209285635</v>
      </c>
      <c r="BI72" s="7532">
        <f t="shared" ca="1" si="83"/>
        <v>-0.20591137393908288</v>
      </c>
      <c r="BJ72" s="7532">
        <f t="shared" ca="1" si="83"/>
        <v>-0.23714182385915084</v>
      </c>
      <c r="BK72" s="7532">
        <f t="shared" ca="1" si="83"/>
        <v>0.19175023139890968</v>
      </c>
      <c r="BL72" s="7532">
        <f t="shared" ca="1" si="83"/>
        <v>0.17616738563946988</v>
      </c>
      <c r="BM72" s="7532">
        <f t="shared" ca="1" si="83"/>
        <v>-0.18242546418818073</v>
      </c>
      <c r="BN72" s="7532">
        <f t="shared" ca="1" si="83"/>
        <v>-0.15919608503517979</v>
      </c>
      <c r="BO72" s="7532">
        <f t="shared" ca="1" si="83"/>
        <v>0.15193171004489225</v>
      </c>
      <c r="BP72" s="7532">
        <f t="shared" ca="1" si="83"/>
        <v>0.13894927183325678</v>
      </c>
      <c r="BQ72" s="7532">
        <f t="shared" ca="1" si="83"/>
        <v>0.23282818729873256</v>
      </c>
      <c r="BR72" s="7532">
        <f t="shared" ca="1" si="83"/>
        <v>-9.1196323818046543E-2</v>
      </c>
      <c r="BS72" s="7532">
        <f t="shared" ca="1" si="83"/>
        <v>-0.10194274027795136</v>
      </c>
      <c r="BT72" s="7532">
        <f t="shared" ca="1" si="83"/>
        <v>-0.10194276779870559</v>
      </c>
      <c r="BV72" s="8"/>
    </row>
    <row r="73" spans="2:74">
      <c r="B73" s="99" t="s">
        <v>15</v>
      </c>
      <c r="C73">
        <f>IF(Fact5_predicmoderate!B3&gt;0,VLOOKUP(Fact5!$B73,Fact5_predicmoderate!$A$1:$W$19,23,0),"")</f>
        <v>12388571</v>
      </c>
      <c r="D73">
        <f>IF(Fact5_predicmoderate!C3&gt;0,VLOOKUP(Fact5!$B73,Fact5_predicmoderate!$A$1:$W$19,23,0),"")</f>
        <v>12388571</v>
      </c>
      <c r="E73">
        <f>IF(Fact5_predicmoderate!D3&gt;0,VLOOKUP(Fact5!$B73,Fact5_predicmoderate!$A$1:$W$19,23,0),"")</f>
        <v>12388571</v>
      </c>
      <c r="F73">
        <f>IF(Fact5_predicmoderate!E3&gt;0,VLOOKUP(Fact5!$B73,Fact5_predicmoderate!$A$1:$W$19,23,0),"")</f>
        <v>12388571</v>
      </c>
      <c r="G73">
        <f>IF(Fact5_predicmoderate!F3&gt;0,VLOOKUP(Fact5!$B73,Fact5_predicmoderate!$A$1:$W$19,23,0),"")</f>
        <v>12388571</v>
      </c>
      <c r="H73">
        <f>IF(Fact5_predicmoderate!G3&gt;0,VLOOKUP(Fact5!$B73,Fact5_predicmoderate!$A$1:$W$19,23,0),"")</f>
        <v>12388571</v>
      </c>
      <c r="I73">
        <f>IF(Fact5_predicmoderate!H3&gt;0,VLOOKUP(Fact5!$B73,Fact5_predicmoderate!$A$1:$W$19,23,0),"")</f>
        <v>12388571</v>
      </c>
      <c r="J73">
        <f>IF(Fact5_predicmoderate!I3&gt;0,VLOOKUP(Fact5!$B73,Fact5_predicmoderate!$A$1:$W$19,23,0),"")</f>
        <v>12388571</v>
      </c>
      <c r="K73">
        <f>IF(Fact5_predicmoderate!J3&gt;0,VLOOKUP(Fact5!$B73,Fact5_predicmoderate!$A$1:$W$19,23,0),"")</f>
        <v>12388571</v>
      </c>
      <c r="L73">
        <f>IF(Fact5_predicmoderate!K3&gt;0,VLOOKUP(Fact5!$B73,Fact5_predicmoderate!$A$1:$W$19,23,0),"")</f>
        <v>12388571</v>
      </c>
      <c r="M73">
        <f>IF(Fact5_predicmoderate!L3&gt;0,VLOOKUP(Fact5!$B73,Fact5_predicmoderate!$A$1:$W$19,23,0),"")</f>
        <v>12388571</v>
      </c>
      <c r="N73">
        <f>IF(Fact5_predicmoderate!M3&gt;0,VLOOKUP(Fact5!$B73,Fact5_predicmoderate!$A$1:$W$19,23,0),"")</f>
        <v>12388571</v>
      </c>
      <c r="O73">
        <f>IF(Fact5_predicmoderate!N3&gt;0,VLOOKUP(Fact5!$B73,Fact5_predicmoderate!$A$1:$W$19,23,0),"")</f>
        <v>12388571</v>
      </c>
      <c r="P73">
        <f>IF(Fact5_predicmoderate!O3&gt;0,VLOOKUP(Fact5!$B73,Fact5_predicmoderate!$A$1:$W$19,23,0),"")</f>
        <v>12388571</v>
      </c>
      <c r="Q73">
        <f>IF(Fact5_predicmoderate!P3&gt;0,VLOOKUP(Fact5!$B73,Fact5_predicmoderate!$A$1:$W$19,23,0),"")</f>
        <v>12388571</v>
      </c>
      <c r="R73">
        <f>IF(Fact5_predicmoderate!Q3&gt;0,VLOOKUP(Fact5!$B73,Fact5_predicmoderate!$A$1:$W$19,23,0),"")</f>
        <v>12388571</v>
      </c>
      <c r="S73">
        <f>IF(Fact5_predicmoderate!R3&gt;0,VLOOKUP(Fact5!$B73,Fact5_predicmoderate!$A$1:$W$19,23,0),"")</f>
        <v>12388571</v>
      </c>
      <c r="T73">
        <f>IF(Fact5_predicmoderate!S3&gt;0,VLOOKUP(Fact5!$B73,Fact5_predicmoderate!$A$1:$W$19,23,0),"")</f>
        <v>12388571</v>
      </c>
      <c r="U73">
        <f>IF(Fact5_predicmoderate!T3&gt;0,VLOOKUP(Fact5!$B73,Fact5_predicmoderate!$A$1:$W$19,23,0),"")</f>
        <v>12388571</v>
      </c>
      <c r="V73">
        <f>IF(Fact5_predicmoderate!U3&gt;0,VLOOKUP(Fact5!$B73,Fact5_predicmoderate!$A$1:$W$19,23,0),"")</f>
        <v>12388571</v>
      </c>
      <c r="W73">
        <f>IF(Fact5_predicmoderate!V3&gt;0,VLOOKUP(Fact5!$B73,Fact5_predicmoderate!$A$1:$W$19,23,0),"")</f>
        <v>12388571</v>
      </c>
      <c r="X73" s="2562"/>
      <c r="Y73" s="2563" t="s">
        <v>15</v>
      </c>
      <c r="Z73" s="8">
        <f ca="1">IF(OFFSET(Fact5_predicpoor_under5!$A$1,MATCH($Y6,Fact5_predicpoor_under5!$A$2:$A$26,0),MATCH(Z$2,Fact5_predicpoor_under5!$A$1:$V$1,0)-1,1,1)=0,NA(),OFFSET(Fact5_predicpoor_under5!$A$1,MATCH($Y6,Fact5_predicpoor_under5!$A$2:$A$26,0),MATCH(Z$2,Fact5_predicpoor_under5!$A$1:$V$1,0)-1,1,1))</f>
        <v>42.593605041503906</v>
      </c>
      <c r="AA73" s="88">
        <f ca="1">IF(OFFSET(Fact5_predicpoor_under5!$A$1,MATCH($Y6,Fact5_predicpoor_under5!$A$2:$A$26,0),MATCH(AA$2,Fact5_predicpoor_under5!$A$1:$V$1,0)-1,1,1)=0,NA(),OFFSET(Fact5_predicpoor_under5!$A$1,MATCH($Y6,Fact5_predicpoor_under5!$A$2:$A$26,0),MATCH(AA$2,Fact5_predicpoor_under5!$A$1:$V$1,0)-1,1,1))</f>
        <v>46.261856079101563</v>
      </c>
      <c r="AB73" s="8">
        <f ca="1">IF(OFFSET(Fact5_predicpoor_under5!$A$1,MATCH($Y6,Fact5_predicpoor_under5!$A$2:$A$26,0),MATCH(AB$2,Fact5_predicpoor_under5!$A$1:$V$1,0)-1,1,1)=0,NA(),OFFSET(Fact5_predicpoor_under5!$A$1,MATCH($Y6,Fact5_predicpoor_under5!$A$2:$A$26,0),MATCH(AB$2,Fact5_predicpoor_under5!$A$1:$V$1,0)-1,1,1))</f>
        <v>49.930103302001953</v>
      </c>
      <c r="AC73" s="8">
        <f ca="1">IF(OFFSET(Fact5_predicpoor_under5!$A$1,MATCH($Y6,Fact5_predicpoor_under5!$A$2:$A$26,0),MATCH(AC$2,Fact5_predicpoor_under5!$A$1:$V$1,0)-1,1,1)=0,NA(),OFFSET(Fact5_predicpoor_under5!$A$1,MATCH($Y6,Fact5_predicpoor_under5!$A$2:$A$26,0),MATCH(AC$2,Fact5_predicpoor_under5!$A$1:$V$1,0)-1,1,1))</f>
        <v>45.524200439453125</v>
      </c>
      <c r="AD73" s="8">
        <f ca="1">IF(OFFSET(Fact5_predicpoor_under5!$A$1,MATCH($Y6,Fact5_predicpoor_under5!$A$2:$A$26,0),MATCH(AD$2,Fact5_predicpoor_under5!$A$1:$V$1,0)-1,1,1)=0,NA(),OFFSET(Fact5_predicpoor_under5!$A$1,MATCH($Y6,Fact5_predicpoor_under5!$A$2:$A$26,0),MATCH(AD$2,Fact5_predicpoor_under5!$A$1:$V$1,0)-1,1,1))</f>
        <v>44.063262939453125</v>
      </c>
      <c r="AE73" s="8">
        <f ca="1">IF(OFFSET(Fact5_predicpoor_under5!$A$1,MATCH($Y6,Fact5_predicpoor_under5!$A$2:$A$26,0),MATCH(AE$2,Fact5_predicpoor_under5!$A$1:$V$1,0)-1,1,1)=0,NA(),OFFSET(Fact5_predicpoor_under5!$A$1,MATCH($Y6,Fact5_predicpoor_under5!$A$2:$A$26,0),MATCH(AE$2,Fact5_predicpoor_under5!$A$1:$V$1,0)-1,1,1))</f>
        <v>36.030048370361328</v>
      </c>
      <c r="AF73" s="8">
        <f ca="1">IF(OFFSET(Fact5_predicpoor_under5!$A$1,MATCH($Y6,Fact5_predicpoor_under5!$A$2:$A$26,0),MATCH(AF$2,Fact5_predicpoor_under5!$A$1:$V$1,0)-1,1,1)=0,NA(),OFFSET(Fact5_predicpoor_under5!$A$1,MATCH($Y6,Fact5_predicpoor_under5!$A$2:$A$26,0),MATCH(AF$2,Fact5_predicpoor_under5!$A$1:$V$1,0)-1,1,1))</f>
        <v>32.605022430419922</v>
      </c>
      <c r="AG73" s="88">
        <f ca="1">IF(OFFSET(Fact5_predicpoor_under5!$A$1,MATCH($Y6,Fact5_predicpoor_under5!$A$2:$A$26,0),MATCH(AG$2,Fact5_predicpoor_under5!$A$1:$V$1,0)-1,1,1)=0,NA(),OFFSET(Fact5_predicpoor_under5!$A$1,MATCH($Y6,Fact5_predicpoor_under5!$A$2:$A$26,0),MATCH(AG$2,Fact5_predicpoor_under5!$A$1:$V$1,0)-1,1,1))</f>
        <v>29.915428161621094</v>
      </c>
      <c r="AH73" s="8">
        <f ca="1">IF(OFFSET(Fact5_predicpoor_under5!$A$1,MATCH($Y6,Fact5_predicpoor_under5!$A$2:$A$26,0),MATCH(AH$2,Fact5_predicpoor_under5!$A$1:$V$1,0)-1,1,1)=0,NA(),OFFSET(Fact5_predicpoor_under5!$A$1,MATCH($Y6,Fact5_predicpoor_under5!$A$2:$A$26,0),MATCH(AH$2,Fact5_predicpoor_under5!$A$1:$V$1,0)-1,1,1))</f>
        <v>27.225833892822266</v>
      </c>
      <c r="AI73" s="8">
        <f ca="1">IF(OFFSET(Fact5_predicpoor_under5!$A$1,MATCH($Y6,Fact5_predicpoor_under5!$A$2:$A$26,0),MATCH(AI$2,Fact5_predicpoor_under5!$A$1:$V$1,0)-1,1,1)=0,NA(),OFFSET(Fact5_predicpoor_under5!$A$1,MATCH($Y6,Fact5_predicpoor_under5!$A$2:$A$26,0),MATCH(AI$2,Fact5_predicpoor_under5!$A$1:$V$1,0)-1,1,1))</f>
        <v>27.9244384765625</v>
      </c>
      <c r="AJ73" s="8">
        <f ca="1">IF(OFFSET(Fact5_predicpoor_under5!$A$1,MATCH($Y6,Fact5_predicpoor_under5!$A$2:$A$26,0),MATCH(AJ$2,Fact5_predicpoor_under5!$A$1:$V$1,0)-1,1,1)=0,NA(),OFFSET(Fact5_predicpoor_under5!$A$1,MATCH($Y6,Fact5_predicpoor_under5!$A$2:$A$26,0),MATCH(AJ$2,Fact5_predicpoor_under5!$A$1:$V$1,0)-1,1,1))</f>
        <v>24.77093505859375</v>
      </c>
      <c r="AK73" s="8">
        <f ca="1">IF(OFFSET(Fact5_predicpoor_under5!$A$1,MATCH($Y6,Fact5_predicpoor_under5!$A$2:$A$26,0),MATCH(AK$2,Fact5_predicpoor_under5!$A$1:$V$1,0)-1,1,1)=0,NA(),OFFSET(Fact5_predicpoor_under5!$A$1,MATCH($Y6,Fact5_predicpoor_under5!$A$2:$A$26,0),MATCH(AK$2,Fact5_predicpoor_under5!$A$1:$V$1,0)-1,1,1))</f>
        <v>24.327859878540039</v>
      </c>
      <c r="AL73" s="8">
        <f ca="1">IF(OFFSET(Fact5_predicpoor_under5!$A$1,MATCH($Y6,Fact5_predicpoor_under5!$A$2:$A$26,0),MATCH(AL$2,Fact5_predicpoor_under5!$A$1:$V$1,0)-1,1,1)=0,NA(),OFFSET(Fact5_predicpoor_under5!$A$1,MATCH($Y6,Fact5_predicpoor_under5!$A$2:$A$26,0),MATCH(AL$2,Fact5_predicpoor_under5!$A$1:$V$1,0)-1,1,1))</f>
        <v>24.925180435180664</v>
      </c>
      <c r="AM73" s="8">
        <f ca="1">IF(OFFSET(Fact5_predicpoor_under5!$A$1,MATCH($Y6,Fact5_predicpoor_under5!$A$2:$A$26,0),MATCH(AM$2,Fact5_predicpoor_under5!$A$1:$V$1,0)-1,1,1)=0,NA(),OFFSET(Fact5_predicpoor_under5!$A$1,MATCH($Y6,Fact5_predicpoor_under5!$A$2:$A$26,0),MATCH(AM$2,Fact5_predicpoor_under5!$A$1:$V$1,0)-1,1,1))</f>
        <v>25.234722137451172</v>
      </c>
      <c r="AN73" s="8">
        <f ca="1">IF(OFFSET(Fact5_predicpoor_under5!$A$1,MATCH($Y6,Fact5_predicpoor_under5!$A$2:$A$26,0),MATCH(AN$2,Fact5_predicpoor_under5!$A$1:$V$1,0)-1,1,1)=0,NA(),OFFSET(Fact5_predicpoor_under5!$A$1,MATCH($Y6,Fact5_predicpoor_under5!$A$2:$A$26,0),MATCH(AN$2,Fact5_predicpoor_under5!$A$1:$V$1,0)-1,1,1))</f>
        <v>25.377649307250977</v>
      </c>
      <c r="AO73" s="8">
        <f ca="1">IF(OFFSET(Fact5_predicpoor_under5!$A$1,MATCH($Y6,Fact5_predicpoor_under5!$A$2:$A$26,0),MATCH(AO$2,Fact5_predicpoor_under5!$A$1:$V$1,0)-1,1,1)=0,NA(),OFFSET(Fact5_predicpoor_under5!$A$1,MATCH($Y6,Fact5_predicpoor_under5!$A$2:$A$26,0),MATCH(AO$2,Fact5_predicpoor_under5!$A$1:$V$1,0)-1,1,1))</f>
        <v>23.268091201782227</v>
      </c>
      <c r="AP73" s="8">
        <f ca="1">IF(OFFSET(Fact5_predicpoor_under5!$A$1,MATCH($Y6,Fact5_predicpoor_under5!$A$2:$A$26,0),MATCH(AP$2,Fact5_predicpoor_under5!$A$1:$V$1,0)-1,1,1)=0,NA(),OFFSET(Fact5_predicpoor_under5!$A$1,MATCH($Y6,Fact5_predicpoor_under5!$A$2:$A$26,0),MATCH(AP$2,Fact5_predicpoor_under5!$A$1:$V$1,0)-1,1,1))</f>
        <v>19.293706893920898</v>
      </c>
      <c r="AQ73" s="8">
        <f ca="1">IF(OFFSET(Fact5_predicpoor_under5!$A$1,MATCH($Y6,Fact5_predicpoor_under5!$A$2:$A$26,0),MATCH(AQ$2,Fact5_predicpoor_under5!$A$1:$V$1,0)-1,1,1)=0,NA(),OFFSET(Fact5_predicpoor_under5!$A$1,MATCH($Y6,Fact5_predicpoor_under5!$A$2:$A$26,0),MATCH(AQ$2,Fact5_predicpoor_under5!$A$1:$V$1,0)-1,1,1))</f>
        <v>23.851003646850586</v>
      </c>
      <c r="AR73" s="8">
        <f ca="1">IF(OFFSET(Fact5_predicpoor_under5!$A$1,MATCH($Y6,Fact5_predicpoor_under5!$A$2:$A$26,0),MATCH(AR$2,Fact5_predicpoor_under5!$A$1:$V$1,0)-1,1,1)=0,NA(),OFFSET(Fact5_predicpoor_under5!$A$1,MATCH($Y6,Fact5_predicpoor_under5!$A$2:$A$26,0),MATCH(AR$2,Fact5_predicpoor_under5!$A$1:$V$1,0)-1,1,1))</f>
        <v>20.545166015625</v>
      </c>
      <c r="AS73" s="8">
        <f ca="1">IF(OFFSET(Fact5_predicpoor_under5!$A$1,MATCH($Y6,Fact5_predicpoor_under5!$A$2:$A$26,0),MATCH(AS$2,Fact5_predicpoor_under5!$A$1:$V$1,0)-1,1,1)=0,NA(),OFFSET(Fact5_predicpoor_under5!$A$1,MATCH($Y6,Fact5_predicpoor_under5!$A$2:$A$26,0),MATCH(AS$2,Fact5_predicpoor_under5!$A$1:$V$1,0)-1,1,1))</f>
        <v>21.749509811401367</v>
      </c>
      <c r="AT73" s="88">
        <f ca="1">IF(OFFSET(Fact5_predicpoor_under5!$A$1,MATCH($Y6,Fact5_predicpoor_under5!$A$2:$A$26,0),MATCH(AT$2,Fact5_predicpoor_under5!$A$1:$V$1,0)-1,1,1)=0,NA(),OFFSET(Fact5_predicpoor_under5!$A$1,MATCH($Y6,Fact5_predicpoor_under5!$A$2:$A$26,0),MATCH(AT$2,Fact5_predicpoor_under5!$A$1:$V$1,0)-1,1,1))</f>
        <v>23.024452209472656</v>
      </c>
      <c r="AU73" s="8">
        <f t="shared" ref="AU73:AU90" ca="1" si="84">AT73-Z73</f>
        <v>-19.56915283203125</v>
      </c>
      <c r="AV73" s="8">
        <f t="shared" ref="AV73:AV91" ca="1" si="85">AQ73-AP73</f>
        <v>4.5572967529296875</v>
      </c>
      <c r="AW73" s="7532">
        <f t="shared" ref="AW73:AW80" ca="1" si="86">AT73/Z73-1</f>
        <v>-0.45943875407969692</v>
      </c>
      <c r="AX73" s="7532">
        <f t="shared" ref="AX73:AX89" ca="1" si="87">AQ73/AP73-1</f>
        <v>0.23620638470285926</v>
      </c>
      <c r="AY73" s="7532">
        <f t="shared" ref="AY73:AY89" ca="1" si="88">AR73/AP73-1</f>
        <v>6.4863591459369374E-2</v>
      </c>
      <c r="AZ73" s="2563" t="s">
        <v>15</v>
      </c>
      <c r="BA73" s="7532">
        <f t="shared" ref="BA73:BA89" ca="1" si="89">IFERROR(AA73/Z73-1,"")</f>
        <v>8.6122107626796396E-2</v>
      </c>
      <c r="BB73" s="7532">
        <f t="shared" ref="BB73:BB89" ca="1" si="90">IFERROR(AB73/AA73-1,"")</f>
        <v>7.9293126860888963E-2</v>
      </c>
      <c r="BC73" s="7532">
        <f t="shared" ref="BC73:BC89" ca="1" si="91">IFERROR(AC73/AB73-1,"")</f>
        <v>-8.8241412918770634E-2</v>
      </c>
      <c r="BD73" s="7532">
        <f t="shared" ref="BD73:BD89" ca="1" si="92">IFERROR(AD73/AC73-1,"")</f>
        <v>-3.2091447755200786E-2</v>
      </c>
      <c r="BE73" s="7532">
        <f t="shared" ref="BE73:BE89" ca="1" si="93">IFERROR(AE73/AD73-1,"")</f>
        <v>-0.18231093280881527</v>
      </c>
      <c r="BF73" s="7532">
        <f t="shared" ref="BF73:BF89" ca="1" si="94">IFERROR(AF73/AE73-1,"")</f>
        <v>-9.5060264830475916E-2</v>
      </c>
      <c r="BG73" s="7532">
        <f t="shared" ref="BG73:BG89" ca="1" si="95">IFERROR(AG73/AF73-1,"")</f>
        <v>-8.2490183055033972E-2</v>
      </c>
      <c r="BH73" s="7532">
        <f t="shared" ref="BH73:BH89" ca="1" si="96">IFERROR(AH73/AG73-1,"")</f>
        <v>-8.990659449258176E-2</v>
      </c>
      <c r="BI73" s="7532">
        <f t="shared" ref="BI73:BI89" ca="1" si="97">IFERROR(AI73/AH73-1,"")</f>
        <v>2.565962117048004E-2</v>
      </c>
      <c r="BJ73" s="7532">
        <f t="shared" ref="BJ73:BJ89" ca="1" si="98">IFERROR(AJ73/AI73-1,"")</f>
        <v>-0.11292987755565953</v>
      </c>
      <c r="BK73" s="7532">
        <f t="shared" ref="BK73:BK89" ca="1" si="99">IFERROR(AK73/AJ73-1,"")</f>
        <v>-1.7886897648621281E-2</v>
      </c>
      <c r="BL73" s="7532">
        <f t="shared" ref="BL73:BL89" ca="1" si="100">IFERROR(AL73/AK73-1,"")</f>
        <v>2.4552942988936399E-2</v>
      </c>
      <c r="BM73" s="7532">
        <f t="shared" ref="BM73:BM89" ca="1" si="101">IFERROR(AM73/AL73-1,"")</f>
        <v>1.2418834963922931E-2</v>
      </c>
      <c r="BN73" s="7532">
        <f t="shared" ref="BN73:BN89" ca="1" si="102">IFERROR(AN73/AM73-1,"")</f>
        <v>5.6639089989298785E-3</v>
      </c>
      <c r="BO73" s="7532">
        <f t="shared" ref="BO73:BO89" ca="1" si="103">IFERROR(AO73/AN73-1,"")</f>
        <v>-8.3126615862959441E-2</v>
      </c>
      <c r="BP73" s="7532">
        <f t="shared" ref="BP73:BP89" ca="1" si="104">IFERROR(AP73/AO73-1,"")</f>
        <v>-0.17080835180656795</v>
      </c>
      <c r="BQ73" s="7532">
        <f t="shared" ref="BQ73:BQ89" ca="1" si="105">IFERROR(AQ73/AP73-1,"")</f>
        <v>0.23620638470285926</v>
      </c>
      <c r="BR73" s="7532">
        <f t="shared" ref="BR73:BR89" ca="1" si="106">IFERROR(AR73/AQ73-1,"")</f>
        <v>-0.13860371161622398</v>
      </c>
      <c r="BS73" s="7532">
        <f t="shared" ref="BS73:BS89" ca="1" si="107">IFERROR(AS73/AR73-1,"")</f>
        <v>5.8619326554014695E-2</v>
      </c>
      <c r="BT73" s="7532">
        <f t="shared" ref="BT73:BT89" ca="1" si="108">IFERROR(AT73/AS73-1,"")</f>
        <v>5.8619362419053189E-2</v>
      </c>
      <c r="BV73" s="8"/>
    </row>
    <row r="74" spans="2:74">
      <c r="B74" s="99" t="s">
        <v>17</v>
      </c>
      <c r="C74">
        <f>IF(Fact5_predicmoderate!B4&gt;0,VLOOKUP(Fact5!$B74,Fact5_predicmoderate!$A$1:$W$19,23,0),"")</f>
        <v>216422446</v>
      </c>
      <c r="D74">
        <f>IF(Fact5_predicmoderate!C4&gt;0,VLOOKUP(Fact5!$B74,Fact5_predicmoderate!$A$1:$W$19,23,0),"")</f>
        <v>216422446</v>
      </c>
      <c r="E74">
        <f>IF(Fact5_predicmoderate!D4&gt;0,VLOOKUP(Fact5!$B74,Fact5_predicmoderate!$A$1:$W$19,23,0),"")</f>
        <v>216422446</v>
      </c>
      <c r="F74">
        <f>IF(Fact5_predicmoderate!E4&gt;0,VLOOKUP(Fact5!$B74,Fact5_predicmoderate!$A$1:$W$19,23,0),"")</f>
        <v>216422446</v>
      </c>
      <c r="G74">
        <f>IF(Fact5_predicmoderate!F4&gt;0,VLOOKUP(Fact5!$B74,Fact5_predicmoderate!$A$1:$W$19,23,0),"")</f>
        <v>216422446</v>
      </c>
      <c r="H74">
        <f>IF(Fact5_predicmoderate!G4&gt;0,VLOOKUP(Fact5!$B74,Fact5_predicmoderate!$A$1:$W$19,23,0),"")</f>
        <v>216422446</v>
      </c>
      <c r="I74">
        <f>IF(Fact5_predicmoderate!H4&gt;0,VLOOKUP(Fact5!$B74,Fact5_predicmoderate!$A$1:$W$19,23,0),"")</f>
        <v>216422446</v>
      </c>
      <c r="J74">
        <f>IF(Fact5_predicmoderate!I4&gt;0,VLOOKUP(Fact5!$B74,Fact5_predicmoderate!$A$1:$W$19,23,0),"")</f>
        <v>216422446</v>
      </c>
      <c r="K74">
        <f>IF(Fact5_predicmoderate!J4&gt;0,VLOOKUP(Fact5!$B74,Fact5_predicmoderate!$A$1:$W$19,23,0),"")</f>
        <v>216422446</v>
      </c>
      <c r="L74">
        <f>IF(Fact5_predicmoderate!K4&gt;0,VLOOKUP(Fact5!$B74,Fact5_predicmoderate!$A$1:$W$19,23,0),"")</f>
        <v>216422446</v>
      </c>
      <c r="M74">
        <f>IF(Fact5_predicmoderate!L4&gt;0,VLOOKUP(Fact5!$B74,Fact5_predicmoderate!$A$1:$W$19,23,0),"")</f>
        <v>216422446</v>
      </c>
      <c r="N74">
        <f>IF(Fact5_predicmoderate!M4&gt;0,VLOOKUP(Fact5!$B74,Fact5_predicmoderate!$A$1:$W$19,23,0),"")</f>
        <v>216422446</v>
      </c>
      <c r="O74">
        <f>IF(Fact5_predicmoderate!N4&gt;0,VLOOKUP(Fact5!$B74,Fact5_predicmoderate!$A$1:$W$19,23,0),"")</f>
        <v>216422446</v>
      </c>
      <c r="P74">
        <f>IF(Fact5_predicmoderate!O4&gt;0,VLOOKUP(Fact5!$B74,Fact5_predicmoderate!$A$1:$W$19,23,0),"")</f>
        <v>216422446</v>
      </c>
      <c r="Q74">
        <f>IF(Fact5_predicmoderate!P4&gt;0,VLOOKUP(Fact5!$B74,Fact5_predicmoderate!$A$1:$W$19,23,0),"")</f>
        <v>216422446</v>
      </c>
      <c r="R74">
        <f>IF(Fact5_predicmoderate!Q4&gt;0,VLOOKUP(Fact5!$B74,Fact5_predicmoderate!$A$1:$W$19,23,0),"")</f>
        <v>216422446</v>
      </c>
      <c r="S74">
        <f>IF(Fact5_predicmoderate!R4&gt;0,VLOOKUP(Fact5!$B74,Fact5_predicmoderate!$A$1:$W$19,23,0),"")</f>
        <v>216422446</v>
      </c>
      <c r="T74">
        <f>IF(Fact5_predicmoderate!S4&gt;0,VLOOKUP(Fact5!$B74,Fact5_predicmoderate!$A$1:$W$19,23,0),"")</f>
        <v>216422446</v>
      </c>
      <c r="U74">
        <f>IF(Fact5_predicmoderate!T4&gt;0,VLOOKUP(Fact5!$B74,Fact5_predicmoderate!$A$1:$W$19,23,0),"")</f>
        <v>216422446</v>
      </c>
      <c r="V74">
        <f>IF(Fact5_predicmoderate!U4&gt;0,VLOOKUP(Fact5!$B74,Fact5_predicmoderate!$A$1:$W$19,23,0),"")</f>
        <v>216422446</v>
      </c>
      <c r="W74">
        <f>IF(Fact5_predicmoderate!V4&gt;0,VLOOKUP(Fact5!$B74,Fact5_predicmoderate!$A$1:$W$19,23,0),"")</f>
        <v>216422446</v>
      </c>
      <c r="X74" s="2562"/>
      <c r="Y74" s="2563" t="s">
        <v>17</v>
      </c>
      <c r="Z74" s="8">
        <f ca="1">IF(OFFSET(Fact5_predicpoor_under5!$A$1,MATCH($Y7,Fact5_predicpoor_under5!$A$2:$A$26,0),MATCH(Z$2,Fact5_predicpoor_under5!$A$1:$V$1,0)-1,1,1)=0,NA(),OFFSET(Fact5_predicpoor_under5!$A$1,MATCH($Y7,Fact5_predicpoor_under5!$A$2:$A$26,0),MATCH(Z$2,Fact5_predicpoor_under5!$A$1:$V$1,0)-1,1,1))</f>
        <v>54.42401123046875</v>
      </c>
      <c r="AA74" s="8">
        <f ca="1">IF(OFFSET(Fact5_predicpoor_under5!$A$1,MATCH($Y7,Fact5_predicpoor_under5!$A$2:$A$26,0),MATCH(AA$2,Fact5_predicpoor_under5!$A$1:$V$1,0)-1,1,1)=0,NA(),OFFSET(Fact5_predicpoor_under5!$A$1,MATCH($Y7,Fact5_predicpoor_under5!$A$2:$A$26,0),MATCH(AA$2,Fact5_predicpoor_under5!$A$1:$V$1,0)-1,1,1))</f>
        <v>52.578014373779297</v>
      </c>
      <c r="AB74" s="8">
        <f ca="1">IF(OFFSET(Fact5_predicpoor_under5!$A$1,MATCH($Y7,Fact5_predicpoor_under5!$A$2:$A$26,0),MATCH(AB$2,Fact5_predicpoor_under5!$A$1:$V$1,0)-1,1,1)=0,NA(),OFFSET(Fact5_predicpoor_under5!$A$1,MATCH($Y7,Fact5_predicpoor_under5!$A$2:$A$26,0),MATCH(AB$2,Fact5_predicpoor_under5!$A$1:$V$1,0)-1,1,1))</f>
        <v>51.275669097900391</v>
      </c>
      <c r="AC74" s="8">
        <f ca="1">IF(OFFSET(Fact5_predicpoor_under5!$A$1,MATCH($Y7,Fact5_predicpoor_under5!$A$2:$A$26,0),MATCH(AC$2,Fact5_predicpoor_under5!$A$1:$V$1,0)-1,1,1)=0,NA(),OFFSET(Fact5_predicpoor_under5!$A$1,MATCH($Y7,Fact5_predicpoor_under5!$A$2:$A$26,0),MATCH(AC$2,Fact5_predicpoor_under5!$A$1:$V$1,0)-1,1,1))</f>
        <v>48.169185638427734</v>
      </c>
      <c r="AD74" s="8">
        <f ca="1">IF(OFFSET(Fact5_predicpoor_under5!$A$1,MATCH($Y7,Fact5_predicpoor_under5!$A$2:$A$26,0),MATCH(AD$2,Fact5_predicpoor_under5!$A$1:$V$1,0)-1,1,1)=0,NA(),OFFSET(Fact5_predicpoor_under5!$A$1,MATCH($Y7,Fact5_predicpoor_under5!$A$2:$A$26,0),MATCH(AD$2,Fact5_predicpoor_under5!$A$1:$V$1,0)-1,1,1))</f>
        <v>45.344509124755859</v>
      </c>
      <c r="AE74" s="8">
        <f ca="1">IF(OFFSET(Fact5_predicpoor_under5!$A$1,MATCH($Y7,Fact5_predicpoor_under5!$A$2:$A$26,0),MATCH(AE$2,Fact5_predicpoor_under5!$A$1:$V$1,0)-1,1,1)=0,NA(),OFFSET(Fact5_predicpoor_under5!$A$1,MATCH($Y7,Fact5_predicpoor_under5!$A$2:$A$26,0),MATCH(AE$2,Fact5_predicpoor_under5!$A$1:$V$1,0)-1,1,1))</f>
        <v>42.017601013183594</v>
      </c>
      <c r="AF74" s="8">
        <f ca="1">IF(OFFSET(Fact5_predicpoor_under5!$A$1,MATCH($Y7,Fact5_predicpoor_under5!$A$2:$A$26,0),MATCH(AF$2,Fact5_predicpoor_under5!$A$1:$V$1,0)-1,1,1)=0,NA(),OFFSET(Fact5_predicpoor_under5!$A$1,MATCH($Y7,Fact5_predicpoor_under5!$A$2:$A$26,0),MATCH(AF$2,Fact5_predicpoor_under5!$A$1:$V$1,0)-1,1,1))</f>
        <v>40.354255676269531</v>
      </c>
      <c r="AG74" s="88">
        <f ca="1">IF(OFFSET(Fact5_predicpoor_under5!$A$1,MATCH($Y7,Fact5_predicpoor_under5!$A$2:$A$26,0),MATCH(AG$2,Fact5_predicpoor_under5!$A$1:$V$1,0)-1,1,1)=0,NA(),OFFSET(Fact5_predicpoor_under5!$A$1,MATCH($Y7,Fact5_predicpoor_under5!$A$2:$A$26,0),MATCH(AG$2,Fact5_predicpoor_under5!$A$1:$V$1,0)-1,1,1))</f>
        <v>38.505668640136719</v>
      </c>
      <c r="AH74" s="8">
        <f ca="1">IF(OFFSET(Fact5_predicpoor_under5!$A$1,MATCH($Y7,Fact5_predicpoor_under5!$A$2:$A$26,0),MATCH(AH$2,Fact5_predicpoor_under5!$A$1:$V$1,0)-1,1,1)=0,NA(),OFFSET(Fact5_predicpoor_under5!$A$1,MATCH($Y7,Fact5_predicpoor_under5!$A$2:$A$26,0),MATCH(AH$2,Fact5_predicpoor_under5!$A$1:$V$1,0)-1,1,1))</f>
        <v>36.657081604003906</v>
      </c>
      <c r="AI74" s="8">
        <f ca="1">IF(OFFSET(Fact5_predicpoor_under5!$A$1,MATCH($Y7,Fact5_predicpoor_under5!$A$2:$A$26,0),MATCH(AI$2,Fact5_predicpoor_under5!$A$1:$V$1,0)-1,1,1)=0,NA(),OFFSET(Fact5_predicpoor_under5!$A$1,MATCH($Y7,Fact5_predicpoor_under5!$A$2:$A$26,0),MATCH(AI$2,Fact5_predicpoor_under5!$A$1:$V$1,0)-1,1,1))</f>
        <v>33.156471252441406</v>
      </c>
      <c r="AJ74" s="8">
        <f ca="1">IF(OFFSET(Fact5_predicpoor_under5!$A$1,MATCH($Y7,Fact5_predicpoor_under5!$A$2:$A$26,0),MATCH(AJ$2,Fact5_predicpoor_under5!$A$1:$V$1,0)-1,1,1)=0,NA(),OFFSET(Fact5_predicpoor_under5!$A$1,MATCH($Y7,Fact5_predicpoor_under5!$A$2:$A$26,0),MATCH(AJ$2,Fact5_predicpoor_under5!$A$1:$V$1,0)-1,1,1))</f>
        <v>31.864336013793945</v>
      </c>
      <c r="AK74" s="8">
        <f ca="1">IF(OFFSET(Fact5_predicpoor_under5!$A$1,MATCH($Y7,Fact5_predicpoor_under5!$A$2:$A$26,0),MATCH(AK$2,Fact5_predicpoor_under5!$A$1:$V$1,0)-1,1,1)=0,NA(),OFFSET(Fact5_predicpoor_under5!$A$1,MATCH($Y7,Fact5_predicpoor_under5!$A$2:$A$26,0),MATCH(AK$2,Fact5_predicpoor_under5!$A$1:$V$1,0)-1,1,1))</f>
        <v>30.465847015380859</v>
      </c>
      <c r="AL74" s="8">
        <f ca="1">IF(OFFSET(Fact5_predicpoor_under5!$A$1,MATCH($Y7,Fact5_predicpoor_under5!$A$2:$A$26,0),MATCH(AL$2,Fact5_predicpoor_under5!$A$1:$V$1,0)-1,1,1)=0,NA(),OFFSET(Fact5_predicpoor_under5!$A$1,MATCH($Y7,Fact5_predicpoor_under5!$A$2:$A$26,0),MATCH(AL$2,Fact5_predicpoor_under5!$A$1:$V$1,0)-1,1,1))</f>
        <v>32.067531585693359</v>
      </c>
      <c r="AM74" s="8">
        <f ca="1">IF(OFFSET(Fact5_predicpoor_under5!$A$1,MATCH($Y7,Fact5_predicpoor_under5!$A$2:$A$26,0),MATCH(AM$2,Fact5_predicpoor_under5!$A$1:$V$1,0)-1,1,1)=0,NA(),OFFSET(Fact5_predicpoor_under5!$A$1,MATCH($Y7,Fact5_predicpoor_under5!$A$2:$A$26,0),MATCH(AM$2,Fact5_predicpoor_under5!$A$1:$V$1,0)-1,1,1))</f>
        <v>32.099849700927734</v>
      </c>
      <c r="AN74" s="8">
        <f ca="1">IF(OFFSET(Fact5_predicpoor_under5!$A$1,MATCH($Y7,Fact5_predicpoor_under5!$A$2:$A$26,0),MATCH(AN$2,Fact5_predicpoor_under5!$A$1:$V$1,0)-1,1,1)=0,NA(),OFFSET(Fact5_predicpoor_under5!$A$1,MATCH($Y7,Fact5_predicpoor_under5!$A$2:$A$26,0),MATCH(AN$2,Fact5_predicpoor_under5!$A$1:$V$1,0)-1,1,1))</f>
        <v>32.1055908203125</v>
      </c>
      <c r="AO74" s="8">
        <f ca="1">IF(OFFSET(Fact5_predicpoor_under5!$A$1,MATCH($Y7,Fact5_predicpoor_under5!$A$2:$A$26,0),MATCH(AO$2,Fact5_predicpoor_under5!$A$1:$V$1,0)-1,1,1)=0,NA(),OFFSET(Fact5_predicpoor_under5!$A$1,MATCH($Y7,Fact5_predicpoor_under5!$A$2:$A$26,0),MATCH(AO$2,Fact5_predicpoor_under5!$A$1:$V$1,0)-1,1,1))</f>
        <v>33.379123687744141</v>
      </c>
      <c r="AP74" s="8">
        <f ca="1">IF(OFFSET(Fact5_predicpoor_under5!$A$1,MATCH($Y7,Fact5_predicpoor_under5!$A$2:$A$26,0),MATCH(AP$2,Fact5_predicpoor_under5!$A$1:$V$1,0)-1,1,1)=0,NA(),OFFSET(Fact5_predicpoor_under5!$A$1,MATCH($Y7,Fact5_predicpoor_under5!$A$2:$A$26,0),MATCH(AP$2,Fact5_predicpoor_under5!$A$1:$V$1,0)-1,1,1))</f>
        <v>30.784809112548828</v>
      </c>
      <c r="AQ74" s="8">
        <f ca="1">IF(OFFSET(Fact5_predicpoor_under5!$A$1,MATCH($Y7,Fact5_predicpoor_under5!$A$2:$A$26,0),MATCH(AQ$2,Fact5_predicpoor_under5!$A$1:$V$1,0)-1,1,1)=0,NA(),OFFSET(Fact5_predicpoor_under5!$A$1,MATCH($Y7,Fact5_predicpoor_under5!$A$2:$A$26,0),MATCH(AQ$2,Fact5_predicpoor_under5!$A$1:$V$1,0)-1,1,1))</f>
        <v>30.961460113525391</v>
      </c>
      <c r="AR74" s="8">
        <f ca="1">IF(OFFSET(Fact5_predicpoor_under5!$A$1,MATCH($Y7,Fact5_predicpoor_under5!$A$2:$A$26,0),MATCH(AR$2,Fact5_predicpoor_under5!$A$1:$V$1,0)-1,1,1)=0,NA(),OFFSET(Fact5_predicpoor_under5!$A$1,MATCH($Y7,Fact5_predicpoor_under5!$A$2:$A$26,0),MATCH(AR$2,Fact5_predicpoor_under5!$A$1:$V$1,0)-1,1,1))</f>
        <v>35.578147888183594</v>
      </c>
      <c r="AS74" s="8">
        <f ca="1">IF(OFFSET(Fact5_predicpoor_under5!$A$1,MATCH($Y7,Fact5_predicpoor_under5!$A$2:$A$26,0),MATCH(AS$2,Fact5_predicpoor_under5!$A$1:$V$1,0)-1,1,1)=0,NA(),OFFSET(Fact5_predicpoor_under5!$A$1,MATCH($Y7,Fact5_predicpoor_under5!$A$2:$A$26,0),MATCH(AS$2,Fact5_predicpoor_under5!$A$1:$V$1,0)-1,1,1))</f>
        <v>29.435735702514648</v>
      </c>
      <c r="AT74" s="88">
        <f ca="1">IF(OFFSET(Fact5_predicpoor_under5!$A$1,MATCH($Y7,Fact5_predicpoor_under5!$A$2:$A$26,0),MATCH(AT$2,Fact5_predicpoor_under5!$A$1:$V$1,0)-1,1,1)=0,NA(),OFFSET(Fact5_predicpoor_under5!$A$1,MATCH($Y7,Fact5_predicpoor_under5!$A$2:$A$26,0),MATCH(AT$2,Fact5_predicpoor_under5!$A$1:$V$1,0)-1,1,1))</f>
        <v>24.353784561157227</v>
      </c>
      <c r="AU74" s="7546">
        <f t="shared" ca="1" si="84"/>
        <v>-30.070226669311523</v>
      </c>
      <c r="AV74" s="8">
        <f t="shared" ca="1" si="85"/>
        <v>0.1766510009765625</v>
      </c>
      <c r="AW74" s="7540">
        <f t="shared" ca="1" si="86"/>
        <v>-0.55251764780757284</v>
      </c>
      <c r="AX74" s="7532">
        <f t="shared" ca="1" si="87"/>
        <v>5.738252276657807E-3</v>
      </c>
      <c r="AY74" s="7532">
        <f t="shared" ca="1" si="88"/>
        <v>0.1557046775281401</v>
      </c>
      <c r="AZ74" s="2563" t="s">
        <v>17</v>
      </c>
      <c r="BA74" s="7532">
        <f t="shared" ca="1" si="89"/>
        <v>-3.3918794571613509E-2</v>
      </c>
      <c r="BB74" s="7532">
        <f t="shared" ca="1" si="90"/>
        <v>-2.4769769101976369E-2</v>
      </c>
      <c r="BC74" s="7532">
        <f t="shared" ca="1" si="91"/>
        <v>-6.0583967291415797E-2</v>
      </c>
      <c r="BD74" s="7532">
        <f t="shared" ca="1" si="92"/>
        <v>-5.8640736317917774E-2</v>
      </c>
      <c r="BE74" s="7532">
        <f t="shared" ca="1" si="93"/>
        <v>-7.3369591507077003E-2</v>
      </c>
      <c r="BF74" s="7532">
        <f t="shared" ca="1" si="94"/>
        <v>-3.9586870663847917E-2</v>
      </c>
      <c r="BG74" s="7532">
        <f t="shared" ca="1" si="95"/>
        <v>-4.5808973679568599E-2</v>
      </c>
      <c r="BH74" s="7532">
        <f t="shared" ca="1" si="96"/>
        <v>-4.8008179091997949E-2</v>
      </c>
      <c r="BI74" s="7532">
        <f t="shared" ca="1" si="97"/>
        <v>-9.5496155132549942E-2</v>
      </c>
      <c r="BJ74" s="7532">
        <f t="shared" ca="1" si="98"/>
        <v>-3.8970831027512198E-2</v>
      </c>
      <c r="BK74" s="7532">
        <f t="shared" ca="1" si="99"/>
        <v>-4.3888847952384347E-2</v>
      </c>
      <c r="BL74" s="7532">
        <f t="shared" ca="1" si="100"/>
        <v>5.257311800666109E-2</v>
      </c>
      <c r="BM74" s="7532">
        <f t="shared" ca="1" si="101"/>
        <v>1.00781424812868E-3</v>
      </c>
      <c r="BN74" s="7532">
        <f t="shared" ca="1" si="102"/>
        <v>1.7885190859945332E-4</v>
      </c>
      <c r="BO74" s="7532">
        <f t="shared" ca="1" si="103"/>
        <v>3.9667012345585118E-2</v>
      </c>
      <c r="BP74" s="7532">
        <f t="shared" ca="1" si="104"/>
        <v>-7.7722668799357075E-2</v>
      </c>
      <c r="BQ74" s="7532">
        <f t="shared" ca="1" si="105"/>
        <v>5.738252276657807E-3</v>
      </c>
      <c r="BR74" s="7532">
        <f t="shared" ca="1" si="106"/>
        <v>0.14911078992173965</v>
      </c>
      <c r="BS74" s="7532">
        <f t="shared" ca="1" si="107"/>
        <v>-0.17264564206584221</v>
      </c>
      <c r="BT74" s="7532">
        <f t="shared" ca="1" si="108"/>
        <v>-0.17264563022025226</v>
      </c>
      <c r="BV74" s="8"/>
    </row>
    <row r="75" spans="2:74">
      <c r="B75" s="99" t="s">
        <v>21</v>
      </c>
      <c r="C75">
        <f>IF(Fact5_predicmoderate!B5&gt;0,VLOOKUP(Fact5!$B75,Fact5_predicmoderate!$A$1:$W$19,23,0),"")</f>
        <v>19629590</v>
      </c>
      <c r="D75">
        <f>IF(Fact5_predicmoderate!C5&gt;0,VLOOKUP(Fact5!$B75,Fact5_predicmoderate!$A$1:$W$19,23,0),"")</f>
        <v>19629590</v>
      </c>
      <c r="E75">
        <f>IF(Fact5_predicmoderate!D5&gt;0,VLOOKUP(Fact5!$B75,Fact5_predicmoderate!$A$1:$W$19,23,0),"")</f>
        <v>19629590</v>
      </c>
      <c r="F75">
        <f>IF(Fact5_predicmoderate!E5&gt;0,VLOOKUP(Fact5!$B75,Fact5_predicmoderate!$A$1:$W$19,23,0),"")</f>
        <v>19629590</v>
      </c>
      <c r="G75">
        <f>IF(Fact5_predicmoderate!F5&gt;0,VLOOKUP(Fact5!$B75,Fact5_predicmoderate!$A$1:$W$19,23,0),"")</f>
        <v>19629590</v>
      </c>
      <c r="H75">
        <f>IF(Fact5_predicmoderate!G5&gt;0,VLOOKUP(Fact5!$B75,Fact5_predicmoderate!$A$1:$W$19,23,0),"")</f>
        <v>19629590</v>
      </c>
      <c r="I75">
        <f>IF(Fact5_predicmoderate!H5&gt;0,VLOOKUP(Fact5!$B75,Fact5_predicmoderate!$A$1:$W$19,23,0),"")</f>
        <v>19629590</v>
      </c>
      <c r="J75">
        <f>IF(Fact5_predicmoderate!I5&gt;0,VLOOKUP(Fact5!$B75,Fact5_predicmoderate!$A$1:$W$19,23,0),"")</f>
        <v>19629590</v>
      </c>
      <c r="K75">
        <f>IF(Fact5_predicmoderate!J5&gt;0,VLOOKUP(Fact5!$B75,Fact5_predicmoderate!$A$1:$W$19,23,0),"")</f>
        <v>19629590</v>
      </c>
      <c r="L75">
        <f>IF(Fact5_predicmoderate!K5&gt;0,VLOOKUP(Fact5!$B75,Fact5_predicmoderate!$A$1:$W$19,23,0),"")</f>
        <v>19629590</v>
      </c>
      <c r="M75">
        <f>IF(Fact5_predicmoderate!L5&gt;0,VLOOKUP(Fact5!$B75,Fact5_predicmoderate!$A$1:$W$19,23,0),"")</f>
        <v>19629590</v>
      </c>
      <c r="N75">
        <f>IF(Fact5_predicmoderate!M5&gt;0,VLOOKUP(Fact5!$B75,Fact5_predicmoderate!$A$1:$W$19,23,0),"")</f>
        <v>19629590</v>
      </c>
      <c r="O75">
        <f>IF(Fact5_predicmoderate!N5&gt;0,VLOOKUP(Fact5!$B75,Fact5_predicmoderate!$A$1:$W$19,23,0),"")</f>
        <v>19629590</v>
      </c>
      <c r="P75">
        <f>IF(Fact5_predicmoderate!O5&gt;0,VLOOKUP(Fact5!$B75,Fact5_predicmoderate!$A$1:$W$19,23,0),"")</f>
        <v>19629590</v>
      </c>
      <c r="Q75">
        <f>IF(Fact5_predicmoderate!P5&gt;0,VLOOKUP(Fact5!$B75,Fact5_predicmoderate!$A$1:$W$19,23,0),"")</f>
        <v>19629590</v>
      </c>
      <c r="R75">
        <f>IF(Fact5_predicmoderate!Q5&gt;0,VLOOKUP(Fact5!$B75,Fact5_predicmoderate!$A$1:$W$19,23,0),"")</f>
        <v>19629590</v>
      </c>
      <c r="S75">
        <f>IF(Fact5_predicmoderate!R5&gt;0,VLOOKUP(Fact5!$B75,Fact5_predicmoderate!$A$1:$W$19,23,0),"")</f>
        <v>19629590</v>
      </c>
      <c r="T75">
        <f>IF(Fact5_predicmoderate!S5&gt;0,VLOOKUP(Fact5!$B75,Fact5_predicmoderate!$A$1:$W$19,23,0),"")</f>
        <v>19629590</v>
      </c>
      <c r="U75">
        <f>IF(Fact5_predicmoderate!T5&gt;0,VLOOKUP(Fact5!$B75,Fact5_predicmoderate!$A$1:$W$19,23,0),"")</f>
        <v>19629590</v>
      </c>
      <c r="V75">
        <f>IF(Fact5_predicmoderate!U5&gt;0,VLOOKUP(Fact5!$B75,Fact5_predicmoderate!$A$1:$W$19,23,0),"")</f>
        <v>19629590</v>
      </c>
      <c r="W75">
        <f>IF(Fact5_predicmoderate!V5&gt;0,VLOOKUP(Fact5!$B75,Fact5_predicmoderate!$A$1:$W$19,23,0),"")</f>
        <v>19629590</v>
      </c>
      <c r="X75" s="2562"/>
      <c r="Y75" s="2563" t="s">
        <v>21</v>
      </c>
      <c r="Z75" s="8">
        <f ca="1">IF(OFFSET(Fact5_predicpoor_under5!$A$1,MATCH($Y8,Fact5_predicpoor_under5!$A$2:$A$26,0),MATCH(Z$2,Fact5_predicpoor_under5!$A$1:$V$1,0)-1,1,1)=0,NA(),OFFSET(Fact5_predicpoor_under5!$A$1,MATCH($Y8,Fact5_predicpoor_under5!$A$2:$A$26,0),MATCH(Z$2,Fact5_predicpoor_under5!$A$1:$V$1,0)-1,1,1))</f>
        <v>38.970500946044922</v>
      </c>
      <c r="AA75" s="88">
        <f ca="1">IF(OFFSET(Fact5_predicpoor_under5!$A$1,MATCH($Y8,Fact5_predicpoor_under5!$A$2:$A$26,0),MATCH(AA$2,Fact5_predicpoor_under5!$A$1:$V$1,0)-1,1,1)=0,NA(),OFFSET(Fact5_predicpoor_under5!$A$1,MATCH($Y8,Fact5_predicpoor_under5!$A$2:$A$26,0),MATCH(AA$2,Fact5_predicpoor_under5!$A$1:$V$1,0)-1,1,1))</f>
        <v>36.434745788574219</v>
      </c>
      <c r="AB75" s="88">
        <f ca="1">IF(OFFSET(Fact5_predicpoor_under5!$A$1,MATCH($Y8,Fact5_predicpoor_under5!$A$2:$A$26,0),MATCH(AB$2,Fact5_predicpoor_under5!$A$1:$V$1,0)-1,1,1)=0,NA(),OFFSET(Fact5_predicpoor_under5!$A$1,MATCH($Y8,Fact5_predicpoor_under5!$A$2:$A$26,0),MATCH(AB$2,Fact5_predicpoor_under5!$A$1:$V$1,0)-1,1,1))</f>
        <v>34.063987731933594</v>
      </c>
      <c r="AC75" s="8">
        <f ca="1">IF(OFFSET(Fact5_predicpoor_under5!$A$1,MATCH($Y8,Fact5_predicpoor_under5!$A$2:$A$26,0),MATCH(AC$2,Fact5_predicpoor_under5!$A$1:$V$1,0)-1,1,1)=0,NA(),OFFSET(Fact5_predicpoor_under5!$A$1,MATCH($Y8,Fact5_predicpoor_under5!$A$2:$A$26,0),MATCH(AC$2,Fact5_predicpoor_under5!$A$1:$V$1,0)-1,1,1))</f>
        <v>31.847488403320313</v>
      </c>
      <c r="AD75" s="88">
        <f ca="1">IF(OFFSET(Fact5_predicpoor_under5!$A$1,MATCH($Y8,Fact5_predicpoor_under5!$A$2:$A$26,0),MATCH(AD$2,Fact5_predicpoor_under5!$A$1:$V$1,0)-1,1,1)=0,NA(),OFFSET(Fact5_predicpoor_under5!$A$1,MATCH($Y8,Fact5_predicpoor_under5!$A$2:$A$26,0),MATCH(AD$2,Fact5_predicpoor_under5!$A$1:$V$1,0)-1,1,1))</f>
        <v>29.84208869934082</v>
      </c>
      <c r="AE75" s="88">
        <f ca="1">IF(OFFSET(Fact5_predicpoor_under5!$A$1,MATCH($Y8,Fact5_predicpoor_under5!$A$2:$A$26,0),MATCH(AE$2,Fact5_predicpoor_under5!$A$1:$V$1,0)-1,1,1)=0,NA(),OFFSET(Fact5_predicpoor_under5!$A$1,MATCH($Y8,Fact5_predicpoor_under5!$A$2:$A$26,0),MATCH(AE$2,Fact5_predicpoor_under5!$A$1:$V$1,0)-1,1,1))</f>
        <v>27.962966918945313</v>
      </c>
      <c r="AF75" s="8">
        <f ca="1">IF(OFFSET(Fact5_predicpoor_under5!$A$1,MATCH($Y8,Fact5_predicpoor_under5!$A$2:$A$26,0),MATCH(AF$2,Fact5_predicpoor_under5!$A$1:$V$1,0)-1,1,1)=0,NA(),OFFSET(Fact5_predicpoor_under5!$A$1,MATCH($Y8,Fact5_predicpoor_under5!$A$2:$A$26,0),MATCH(AF$2,Fact5_predicpoor_under5!$A$1:$V$1,0)-1,1,1))</f>
        <v>26.202171325683594</v>
      </c>
      <c r="AG75" s="88">
        <f ca="1">IF(OFFSET(Fact5_predicpoor_under5!$A$1,MATCH($Y8,Fact5_predicpoor_under5!$A$2:$A$26,0),MATCH(AG$2,Fact5_predicpoor_under5!$A$1:$V$1,0)-1,1,1)=0,NA(),OFFSET(Fact5_predicpoor_under5!$A$1,MATCH($Y8,Fact5_predicpoor_under5!$A$2:$A$26,0),MATCH(AG$2,Fact5_predicpoor_under5!$A$1:$V$1,0)-1,1,1))</f>
        <v>24.995223999023438</v>
      </c>
      <c r="AH75" s="8">
        <f ca="1">IF(OFFSET(Fact5_predicpoor_under5!$A$1,MATCH($Y8,Fact5_predicpoor_under5!$A$2:$A$26,0),MATCH(AH$2,Fact5_predicpoor_under5!$A$1:$V$1,0)-1,1,1)=0,NA(),OFFSET(Fact5_predicpoor_under5!$A$1,MATCH($Y8,Fact5_predicpoor_under5!$A$2:$A$26,0),MATCH(AH$2,Fact5_predicpoor_under5!$A$1:$V$1,0)-1,1,1))</f>
        <v>23.788274765014648</v>
      </c>
      <c r="AI75" s="88">
        <f ca="1">IF(OFFSET(Fact5_predicpoor_under5!$A$1,MATCH($Y8,Fact5_predicpoor_under5!$A$2:$A$26,0),MATCH(AI$2,Fact5_predicpoor_under5!$A$1:$V$1,0)-1,1,1)=0,NA(),OFFSET(Fact5_predicpoor_under5!$A$1,MATCH($Y8,Fact5_predicpoor_under5!$A$2:$A$26,0),MATCH(AI$2,Fact5_predicpoor_under5!$A$1:$V$1,0)-1,1,1))</f>
        <v>20.800542831420898</v>
      </c>
      <c r="AJ75" s="8">
        <f ca="1">IF(OFFSET(Fact5_predicpoor_under5!$A$1,MATCH($Y8,Fact5_predicpoor_under5!$A$2:$A$26,0),MATCH(AJ$2,Fact5_predicpoor_under5!$A$1:$V$1,0)-1,1,1)=0,NA(),OFFSET(Fact5_predicpoor_under5!$A$1,MATCH($Y8,Fact5_predicpoor_under5!$A$2:$A$26,0),MATCH(AJ$2,Fact5_predicpoor_under5!$A$1:$V$1,0)-1,1,1))</f>
        <v>17.812810897827148</v>
      </c>
      <c r="AK75" s="88">
        <f ca="1">IF(OFFSET(Fact5_predicpoor_under5!$A$1,MATCH($Y8,Fact5_predicpoor_under5!$A$2:$A$26,0),MATCH(AK$2,Fact5_predicpoor_under5!$A$1:$V$1,0)-1,1,1)=0,NA(),OFFSET(Fact5_predicpoor_under5!$A$1,MATCH($Y8,Fact5_predicpoor_under5!$A$2:$A$26,0),MATCH(AK$2,Fact5_predicpoor_under5!$A$1:$V$1,0)-1,1,1))</f>
        <v>18.236141204833984</v>
      </c>
      <c r="AL75" s="8">
        <f ca="1">IF(OFFSET(Fact5_predicpoor_under5!$A$1,MATCH($Y8,Fact5_predicpoor_under5!$A$2:$A$26,0),MATCH(AL$2,Fact5_predicpoor_under5!$A$1:$V$1,0)-1,1,1)=0,NA(),OFFSET(Fact5_predicpoor_under5!$A$1,MATCH($Y8,Fact5_predicpoor_under5!$A$2:$A$26,0),MATCH(AL$2,Fact5_predicpoor_under5!$A$1:$V$1,0)-1,1,1))</f>
        <v>18.65947151184082</v>
      </c>
      <c r="AM75" s="88">
        <f ca="1">IF(OFFSET(Fact5_predicpoor_under5!$A$1,MATCH($Y8,Fact5_predicpoor_under5!$A$2:$A$26,0),MATCH(AM$2,Fact5_predicpoor_under5!$A$1:$V$1,0)-1,1,1)=0,NA(),OFFSET(Fact5_predicpoor_under5!$A$1,MATCH($Y8,Fact5_predicpoor_under5!$A$2:$A$26,0),MATCH(AM$2,Fact5_predicpoor_under5!$A$1:$V$1,0)-1,1,1))</f>
        <v>17.245492935180664</v>
      </c>
      <c r="AN75" s="8">
        <f ca="1">IF(OFFSET(Fact5_predicpoor_under5!$A$1,MATCH($Y8,Fact5_predicpoor_under5!$A$2:$A$26,0),MATCH(AN$2,Fact5_predicpoor_under5!$A$1:$V$1,0)-1,1,1)=0,NA(),OFFSET(Fact5_predicpoor_under5!$A$1,MATCH($Y8,Fact5_predicpoor_under5!$A$2:$A$26,0),MATCH(AN$2,Fact5_predicpoor_under5!$A$1:$V$1,0)-1,1,1))</f>
        <v>15.831515312194824</v>
      </c>
      <c r="AO75" s="88">
        <f ca="1">IF(OFFSET(Fact5_predicpoor_under5!$A$1,MATCH($Y8,Fact5_predicpoor_under5!$A$2:$A$26,0),MATCH(AO$2,Fact5_predicpoor_under5!$A$1:$V$1,0)-1,1,1)=0,NA(),OFFSET(Fact5_predicpoor_under5!$A$1,MATCH($Y8,Fact5_predicpoor_under5!$A$2:$A$26,0),MATCH(AO$2,Fact5_predicpoor_under5!$A$1:$V$1,0)-1,1,1))</f>
        <v>17.416128158569336</v>
      </c>
      <c r="AP75" s="88">
        <f ca="1">IF(OFFSET(Fact5_predicpoor_under5!$A$1,MATCH($Y8,Fact5_predicpoor_under5!$A$2:$A$26,0),MATCH(AP$2,Fact5_predicpoor_under5!$A$1:$V$1,0)-1,1,1)=0,NA(),OFFSET(Fact5_predicpoor_under5!$A$1,MATCH($Y8,Fact5_predicpoor_under5!$A$2:$A$26,0),MATCH(AP$2,Fact5_predicpoor_under5!$A$1:$V$1,0)-1,1,1))</f>
        <v>19.159347534179688</v>
      </c>
      <c r="AQ75" s="8">
        <f ca="1">IF(OFFSET(Fact5_predicpoor_under5!$A$1,MATCH($Y8,Fact5_predicpoor_under5!$A$2:$A$26,0),MATCH(AQ$2,Fact5_predicpoor_under5!$A$1:$V$1,0)-1,1,1)=0,NA(),OFFSET(Fact5_predicpoor_under5!$A$1,MATCH($Y8,Fact5_predicpoor_under5!$A$2:$A$26,0),MATCH(AQ$2,Fact5_predicpoor_under5!$A$1:$V$1,0)-1,1,1))</f>
        <v>21.077051162719727</v>
      </c>
      <c r="AR75" s="88">
        <f ca="1">IF(OFFSET(Fact5_predicpoor_under5!$A$1,MATCH($Y8,Fact5_predicpoor_under5!$A$2:$A$26,0),MATCH(AR$2,Fact5_predicpoor_under5!$A$1:$V$1,0)-1,1,1)=0,NA(),OFFSET(Fact5_predicpoor_under5!$A$1,MATCH($Y8,Fact5_predicpoor_under5!$A$2:$A$26,0),MATCH(AR$2,Fact5_predicpoor_under5!$A$1:$V$1,0)-1,1,1))</f>
        <v>16.148113250732422</v>
      </c>
      <c r="AS75" s="8">
        <f ca="1">IF(OFFSET(Fact5_predicpoor_under5!$A$1,MATCH($Y8,Fact5_predicpoor_under5!$A$2:$A$26,0),MATCH(AS$2,Fact5_predicpoor_under5!$A$1:$V$1,0)-1,1,1)=0,NA(),OFFSET(Fact5_predicpoor_under5!$A$1,MATCH($Y8,Fact5_predicpoor_under5!$A$2:$A$26,0),MATCH(AS$2,Fact5_predicpoor_under5!$A$1:$V$1,0)-1,1,1))</f>
        <v>11.219173431396484</v>
      </c>
      <c r="AT75" s="88">
        <f ca="1">IF(OFFSET(Fact5_predicpoor_under5!$A$1,MATCH($Y8,Fact5_predicpoor_under5!$A$2:$A$26,0),MATCH(AT$2,Fact5_predicpoor_under5!$A$1:$V$1,0)-1,1,1)=0,NA(),OFFSET(Fact5_predicpoor_under5!$A$1,MATCH($Y8,Fact5_predicpoor_under5!$A$2:$A$26,0),MATCH(AT$2,Fact5_predicpoor_under5!$A$1:$V$1,0)-1,1,1))</f>
        <v>7.7947096824645996</v>
      </c>
      <c r="AU75" s="7546">
        <f t="shared" ca="1" si="84"/>
        <v>-31.175791263580322</v>
      </c>
      <c r="AV75" s="8">
        <f t="shared" ca="1" si="85"/>
        <v>1.9177036285400391</v>
      </c>
      <c r="AW75" s="7531">
        <f t="shared" ca="1" si="86"/>
        <v>-0.79998436013803209</v>
      </c>
      <c r="AX75" s="7532">
        <f t="shared" ca="1" si="87"/>
        <v>0.1000923243925147</v>
      </c>
      <c r="AY75" s="7532">
        <f t="shared" ca="1" si="88"/>
        <v>-0.15716789301281353</v>
      </c>
      <c r="AZ75" s="2563" t="s">
        <v>21</v>
      </c>
      <c r="BA75" s="7532">
        <f t="shared" ca="1" si="89"/>
        <v>-6.5068579974927321E-2</v>
      </c>
      <c r="BB75" s="7532">
        <f t="shared" ca="1" si="90"/>
        <v>-6.50686043041937E-2</v>
      </c>
      <c r="BC75" s="7532">
        <f t="shared" ca="1" si="91"/>
        <v>-6.5068697947404552E-2</v>
      </c>
      <c r="BD75" s="7532">
        <f t="shared" ca="1" si="92"/>
        <v>-6.2968849492395673E-2</v>
      </c>
      <c r="BE75" s="7532">
        <f t="shared" ca="1" si="93"/>
        <v>-6.2968842406698422E-2</v>
      </c>
      <c r="BF75" s="7532">
        <f t="shared" ca="1" si="94"/>
        <v>-6.2968840122210157E-2</v>
      </c>
      <c r="BG75" s="7532">
        <f t="shared" ca="1" si="95"/>
        <v>-4.6062874395340514E-2</v>
      </c>
      <c r="BH75" s="7532">
        <f t="shared" ca="1" si="96"/>
        <v>-4.8287194147807799E-2</v>
      </c>
      <c r="BI75" s="7532">
        <f t="shared" ca="1" si="97"/>
        <v>-0.12559683134263266</v>
      </c>
      <c r="BJ75" s="7532">
        <f t="shared" ca="1" si="98"/>
        <v>-0.14363720975014849</v>
      </c>
      <c r="BK75" s="7532">
        <f t="shared" ca="1" si="99"/>
        <v>2.3765497171391203E-2</v>
      </c>
      <c r="BL75" s="7532">
        <f t="shared" ca="1" si="100"/>
        <v>2.3213809448603184E-2</v>
      </c>
      <c r="BM75" s="7532">
        <f t="shared" ca="1" si="101"/>
        <v>-7.5778061332706148E-2</v>
      </c>
      <c r="BN75" s="7532">
        <f t="shared" ca="1" si="102"/>
        <v>-8.1991139847405359E-2</v>
      </c>
      <c r="BO75" s="7532">
        <f t="shared" ca="1" si="103"/>
        <v>0.10009230418732584</v>
      </c>
      <c r="BP75" s="7532">
        <f t="shared" ca="1" si="104"/>
        <v>0.10009224551741869</v>
      </c>
      <c r="BQ75" s="7532">
        <f t="shared" ca="1" si="105"/>
        <v>0.1000923243925147</v>
      </c>
      <c r="BR75" s="7532">
        <f t="shared" ca="1" si="106"/>
        <v>-0.2338532973106513</v>
      </c>
      <c r="BS75" s="7532">
        <f t="shared" ca="1" si="107"/>
        <v>-0.30523317138071082</v>
      </c>
      <c r="BT75" s="7532">
        <f t="shared" ca="1" si="108"/>
        <v>-0.3052331590978562</v>
      </c>
      <c r="BV75" s="8"/>
    </row>
    <row r="76" spans="2:74">
      <c r="B76" s="99" t="s">
        <v>23</v>
      </c>
      <c r="C76">
        <f>IF(Fact5_predicmoderate!B6&gt;0,VLOOKUP(Fact5!$B76,Fact5_predicmoderate!$A$1:$W$19,23,0),"")</f>
        <v>52085168</v>
      </c>
      <c r="D76">
        <f>IF(Fact5_predicmoderate!C6&gt;0,VLOOKUP(Fact5!$B76,Fact5_predicmoderate!$A$1:$W$19,23,0),"")</f>
        <v>52085168</v>
      </c>
      <c r="E76">
        <f>IF(Fact5_predicmoderate!D6&gt;0,VLOOKUP(Fact5!$B76,Fact5_predicmoderate!$A$1:$W$19,23,0),"")</f>
        <v>52085168</v>
      </c>
      <c r="F76">
        <f>IF(Fact5_predicmoderate!E6&gt;0,VLOOKUP(Fact5!$B76,Fact5_predicmoderate!$A$1:$W$19,23,0),"")</f>
        <v>52085168</v>
      </c>
      <c r="G76">
        <f>IF(Fact5_predicmoderate!F6&gt;0,VLOOKUP(Fact5!$B76,Fact5_predicmoderate!$A$1:$W$19,23,0),"")</f>
        <v>52085168</v>
      </c>
      <c r="H76">
        <f>IF(Fact5_predicmoderate!G6&gt;0,VLOOKUP(Fact5!$B76,Fact5_predicmoderate!$A$1:$W$19,23,0),"")</f>
        <v>52085168</v>
      </c>
      <c r="I76">
        <f>IF(Fact5_predicmoderate!H6&gt;0,VLOOKUP(Fact5!$B76,Fact5_predicmoderate!$A$1:$W$19,23,0),"")</f>
        <v>52085168</v>
      </c>
      <c r="J76">
        <f>IF(Fact5_predicmoderate!I6&gt;0,VLOOKUP(Fact5!$B76,Fact5_predicmoderate!$A$1:$W$19,23,0),"")</f>
        <v>52085168</v>
      </c>
      <c r="K76">
        <f>IF(Fact5_predicmoderate!J6&gt;0,VLOOKUP(Fact5!$B76,Fact5_predicmoderate!$A$1:$W$19,23,0),"")</f>
        <v>52085168</v>
      </c>
      <c r="L76">
        <f>IF(Fact5_predicmoderate!K6&gt;0,VLOOKUP(Fact5!$B76,Fact5_predicmoderate!$A$1:$W$19,23,0),"")</f>
        <v>52085168</v>
      </c>
      <c r="M76">
        <f>IF(Fact5_predicmoderate!L6&gt;0,VLOOKUP(Fact5!$B76,Fact5_predicmoderate!$A$1:$W$19,23,0),"")</f>
        <v>52085168</v>
      </c>
      <c r="N76">
        <f>IF(Fact5_predicmoderate!M6&gt;0,VLOOKUP(Fact5!$B76,Fact5_predicmoderate!$A$1:$W$19,23,0),"")</f>
        <v>52085168</v>
      </c>
      <c r="O76">
        <f>IF(Fact5_predicmoderate!N6&gt;0,VLOOKUP(Fact5!$B76,Fact5_predicmoderate!$A$1:$W$19,23,0),"")</f>
        <v>52085168</v>
      </c>
      <c r="P76">
        <f>IF(Fact5_predicmoderate!O6&gt;0,VLOOKUP(Fact5!$B76,Fact5_predicmoderate!$A$1:$W$19,23,0),"")</f>
        <v>52085168</v>
      </c>
      <c r="Q76">
        <f>IF(Fact5_predicmoderate!P6&gt;0,VLOOKUP(Fact5!$B76,Fact5_predicmoderate!$A$1:$W$19,23,0),"")</f>
        <v>52085168</v>
      </c>
      <c r="R76">
        <f>IF(Fact5_predicmoderate!Q6&gt;0,VLOOKUP(Fact5!$B76,Fact5_predicmoderate!$A$1:$W$19,23,0),"")</f>
        <v>52085168</v>
      </c>
      <c r="S76">
        <f>IF(Fact5_predicmoderate!R6&gt;0,VLOOKUP(Fact5!$B76,Fact5_predicmoderate!$A$1:$W$19,23,0),"")</f>
        <v>52085168</v>
      </c>
      <c r="T76">
        <f>IF(Fact5_predicmoderate!S6&gt;0,VLOOKUP(Fact5!$B76,Fact5_predicmoderate!$A$1:$W$19,23,0),"")</f>
        <v>52085168</v>
      </c>
      <c r="U76">
        <f>IF(Fact5_predicmoderate!T6&gt;0,VLOOKUP(Fact5!$B76,Fact5_predicmoderate!$A$1:$W$19,23,0),"")</f>
        <v>52085168</v>
      </c>
      <c r="V76">
        <f>IF(Fact5_predicmoderate!U6&gt;0,VLOOKUP(Fact5!$B76,Fact5_predicmoderate!$A$1:$W$19,23,0),"")</f>
        <v>52085168</v>
      </c>
      <c r="W76">
        <f>IF(Fact5_predicmoderate!V6&gt;0,VLOOKUP(Fact5!$B76,Fact5_predicmoderate!$A$1:$W$19,23,0),"")</f>
        <v>52085168</v>
      </c>
      <c r="X76" s="2562"/>
      <c r="Y76" s="2563" t="s">
        <v>23</v>
      </c>
      <c r="Z76" s="8">
        <f ca="1">IF(OFFSET(Fact5_predicpoor_under5!$A$1,MATCH($Y9,Fact5_predicpoor_under5!$A$2:$A$26,0),MATCH(Z$2,Fact5_predicpoor_under5!$A$1:$V$1,0)-1,1,1)=0,NA(),OFFSET(Fact5_predicpoor_under5!$A$1,MATCH($Y9,Fact5_predicpoor_under5!$A$2:$A$26,0),MATCH(Z$2,Fact5_predicpoor_under5!$A$1:$V$1,0)-1,1,1))</f>
        <v>65.505233764648438</v>
      </c>
      <c r="AA76" s="8">
        <f ca="1">IF(OFFSET(Fact5_predicpoor_under5!$A$1,MATCH($Y9,Fact5_predicpoor_under5!$A$2:$A$26,0),MATCH(AA$2,Fact5_predicpoor_under5!$A$1:$V$1,0)-1,1,1)=0,NA(),OFFSET(Fact5_predicpoor_under5!$A$1,MATCH($Y9,Fact5_predicpoor_under5!$A$2:$A$26,0),MATCH(AA$2,Fact5_predicpoor_under5!$A$1:$V$1,0)-1,1,1))</f>
        <v>65.32452392578125</v>
      </c>
      <c r="AB76" s="8">
        <f ca="1">IF(OFFSET(Fact5_predicpoor_under5!$A$1,MATCH($Y9,Fact5_predicpoor_under5!$A$2:$A$26,0),MATCH(AB$2,Fact5_predicpoor_under5!$A$1:$V$1,0)-1,1,1)=0,NA(),OFFSET(Fact5_predicpoor_under5!$A$1,MATCH($Y9,Fact5_predicpoor_under5!$A$2:$A$26,0),MATCH(AB$2,Fact5_predicpoor_under5!$A$1:$V$1,0)-1,1,1))</f>
        <v>61.318134307861328</v>
      </c>
      <c r="AC76" s="8">
        <f ca="1">IF(OFFSET(Fact5_predicpoor_under5!$A$1,MATCH($Y9,Fact5_predicpoor_under5!$A$2:$A$26,0),MATCH(AC$2,Fact5_predicpoor_under5!$A$1:$V$1,0)-1,1,1)=0,NA(),OFFSET(Fact5_predicpoor_under5!$A$1,MATCH($Y9,Fact5_predicpoor_under5!$A$2:$A$26,0),MATCH(AC$2,Fact5_predicpoor_under5!$A$1:$V$1,0)-1,1,1))</f>
        <v>64.573745727539063</v>
      </c>
      <c r="AD76" s="8">
        <f ca="1">IF(OFFSET(Fact5_predicpoor_under5!$A$1,MATCH($Y9,Fact5_predicpoor_under5!$A$2:$A$26,0),MATCH(AD$2,Fact5_predicpoor_under5!$A$1:$V$1,0)-1,1,1)=0,NA(),OFFSET(Fact5_predicpoor_under5!$A$1,MATCH($Y9,Fact5_predicpoor_under5!$A$2:$A$26,0),MATCH(AD$2,Fact5_predicpoor_under5!$A$1:$V$1,0)-1,1,1))</f>
        <v>63.358867645263672</v>
      </c>
      <c r="AE76" s="8">
        <f ca="1">IF(OFFSET(Fact5_predicpoor_under5!$A$1,MATCH($Y9,Fact5_predicpoor_under5!$A$2:$A$26,0),MATCH(AE$2,Fact5_predicpoor_under5!$A$1:$V$1,0)-1,1,1)=0,NA(),OFFSET(Fact5_predicpoor_under5!$A$1,MATCH($Y9,Fact5_predicpoor_under5!$A$2:$A$26,0),MATCH(AE$2,Fact5_predicpoor_under5!$A$1:$V$1,0)-1,1,1))</f>
        <v>54.211826324462891</v>
      </c>
      <c r="AF76" s="8">
        <f ca="1">IF(OFFSET(Fact5_predicpoor_under5!$A$1,MATCH($Y9,Fact5_predicpoor_under5!$A$2:$A$26,0),MATCH(AF$2,Fact5_predicpoor_under5!$A$1:$V$1,0)-1,1,1)=0,NA(),OFFSET(Fact5_predicpoor_under5!$A$1,MATCH($Y9,Fact5_predicpoor_under5!$A$2:$A$26,0),MATCH(AF$2,Fact5_predicpoor_under5!$A$1:$V$1,0)-1,1,1))</f>
        <v>53.447109222412109</v>
      </c>
      <c r="AG76" s="8">
        <f ca="1">IF(OFFSET(Fact5_predicpoor_under5!$A$1,MATCH($Y9,Fact5_predicpoor_under5!$A$2:$A$26,0),MATCH(AG$2,Fact5_predicpoor_under5!$A$1:$V$1,0)-1,1,1)=0,NA(),OFFSET(Fact5_predicpoor_under5!$A$1,MATCH($Y9,Fact5_predicpoor_under5!$A$2:$A$26,0),MATCH(AG$2,Fact5_predicpoor_under5!$A$1:$V$1,0)-1,1,1))</f>
        <v>50.954963684082031</v>
      </c>
      <c r="AH76" s="8">
        <f ca="1">IF(OFFSET(Fact5_predicpoor_under5!$A$1,MATCH($Y9,Fact5_predicpoor_under5!$A$2:$A$26,0),MATCH(AH$2,Fact5_predicpoor_under5!$A$1:$V$1,0)-1,1,1)=0,NA(),OFFSET(Fact5_predicpoor_under5!$A$1,MATCH($Y9,Fact5_predicpoor_under5!$A$2:$A$26,0),MATCH(AH$2,Fact5_predicpoor_under5!$A$1:$V$1,0)-1,1,1))</f>
        <v>47.093738555908203</v>
      </c>
      <c r="AI76" s="8">
        <f ca="1">IF(OFFSET(Fact5_predicpoor_under5!$A$1,MATCH($Y9,Fact5_predicpoor_under5!$A$2:$A$26,0),MATCH(AI$2,Fact5_predicpoor_under5!$A$1:$V$1,0)-1,1,1)=0,NA(),OFFSET(Fact5_predicpoor_under5!$A$1,MATCH($Y9,Fact5_predicpoor_under5!$A$2:$A$26,0),MATCH(AI$2,Fact5_predicpoor_under5!$A$1:$V$1,0)-1,1,1))</f>
        <v>46.683910369873047</v>
      </c>
      <c r="AJ76" s="8">
        <f ca="1">IF(OFFSET(Fact5_predicpoor_under5!$A$1,MATCH($Y9,Fact5_predicpoor_under5!$A$2:$A$26,0),MATCH(AJ$2,Fact5_predicpoor_under5!$A$1:$V$1,0)-1,1,1)=0,NA(),OFFSET(Fact5_predicpoor_under5!$A$1,MATCH($Y9,Fact5_predicpoor_under5!$A$2:$A$26,0),MATCH(AJ$2,Fact5_predicpoor_under5!$A$1:$V$1,0)-1,1,1))</f>
        <v>44.009597778320313</v>
      </c>
      <c r="AK76" s="8">
        <f ca="1">IF(OFFSET(Fact5_predicpoor_under5!$A$1,MATCH($Y9,Fact5_predicpoor_under5!$A$2:$A$26,0),MATCH(AK$2,Fact5_predicpoor_under5!$A$1:$V$1,0)-1,1,1)=0,NA(),OFFSET(Fact5_predicpoor_under5!$A$1,MATCH($Y9,Fact5_predicpoor_under5!$A$2:$A$26,0),MATCH(AK$2,Fact5_predicpoor_under5!$A$1:$V$1,0)-1,1,1))</f>
        <v>41.915290832519531</v>
      </c>
      <c r="AL76" s="8">
        <f ca="1">IF(OFFSET(Fact5_predicpoor_under5!$A$1,MATCH($Y9,Fact5_predicpoor_under5!$A$2:$A$26,0),MATCH(AL$2,Fact5_predicpoor_under5!$A$1:$V$1,0)-1,1,1)=0,NA(),OFFSET(Fact5_predicpoor_under5!$A$1,MATCH($Y9,Fact5_predicpoor_under5!$A$2:$A$26,0),MATCH(AL$2,Fact5_predicpoor_under5!$A$1:$V$1,0)-1,1,1))</f>
        <v>41.998088836669922</v>
      </c>
      <c r="AM76" s="8">
        <f ca="1">IF(OFFSET(Fact5_predicpoor_under5!$A$1,MATCH($Y9,Fact5_predicpoor_under5!$A$2:$A$26,0),MATCH(AM$2,Fact5_predicpoor_under5!$A$1:$V$1,0)-1,1,1)=0,NA(),OFFSET(Fact5_predicpoor_under5!$A$1,MATCH($Y9,Fact5_predicpoor_under5!$A$2:$A$26,0),MATCH(AM$2,Fact5_predicpoor_under5!$A$1:$V$1,0)-1,1,1))</f>
        <v>41.7420654296875</v>
      </c>
      <c r="AN76" s="8">
        <f ca="1">IF(OFFSET(Fact5_predicpoor_under5!$A$1,MATCH($Y9,Fact5_predicpoor_under5!$A$2:$A$26,0),MATCH(AN$2,Fact5_predicpoor_under5!$A$1:$V$1,0)-1,1,1)=0,NA(),OFFSET(Fact5_predicpoor_under5!$A$1,MATCH($Y9,Fact5_predicpoor_under5!$A$2:$A$26,0),MATCH(AN$2,Fact5_predicpoor_under5!$A$1:$V$1,0)-1,1,1))</f>
        <v>41.755153656005859</v>
      </c>
      <c r="AO76" s="8">
        <f ca="1">IF(OFFSET(Fact5_predicpoor_under5!$A$1,MATCH($Y9,Fact5_predicpoor_under5!$A$2:$A$26,0),MATCH(AO$2,Fact5_predicpoor_under5!$A$1:$V$1,0)-1,1,1)=0,NA(),OFFSET(Fact5_predicpoor_under5!$A$1,MATCH($Y9,Fact5_predicpoor_under5!$A$2:$A$26,0),MATCH(AO$2,Fact5_predicpoor_under5!$A$1:$V$1,0)-1,1,1))</f>
        <v>41.643383026123047</v>
      </c>
      <c r="AP76" s="8">
        <f ca="1">IF(OFFSET(Fact5_predicpoor_under5!$A$1,MATCH($Y9,Fact5_predicpoor_under5!$A$2:$A$26,0),MATCH(AP$2,Fact5_predicpoor_under5!$A$1:$V$1,0)-1,1,1)=0,NA(),OFFSET(Fact5_predicpoor_under5!$A$1,MATCH($Y9,Fact5_predicpoor_under5!$A$2:$A$26,0),MATCH(AP$2,Fact5_predicpoor_under5!$A$1:$V$1,0)-1,1,1))</f>
        <v>42.172607421875</v>
      </c>
      <c r="AQ76" s="8">
        <f ca="1">IF(OFFSET(Fact5_predicpoor_under5!$A$1,MATCH($Y9,Fact5_predicpoor_under5!$A$2:$A$26,0),MATCH(AQ$2,Fact5_predicpoor_under5!$A$1:$V$1,0)-1,1,1)=0,NA(),OFFSET(Fact5_predicpoor_under5!$A$1,MATCH($Y9,Fact5_predicpoor_under5!$A$2:$A$26,0),MATCH(AQ$2,Fact5_predicpoor_under5!$A$1:$V$1,0)-1,1,1))</f>
        <v>46.499851226806641</v>
      </c>
      <c r="AR76" s="8">
        <f ca="1">IF(OFFSET(Fact5_predicpoor_under5!$A$1,MATCH($Y9,Fact5_predicpoor_under5!$A$2:$A$26,0),MATCH(AR$2,Fact5_predicpoor_under5!$A$1:$V$1,0)-1,1,1)=0,NA(),OFFSET(Fact5_predicpoor_under5!$A$1,MATCH($Y9,Fact5_predicpoor_under5!$A$2:$A$26,0),MATCH(AR$2,Fact5_predicpoor_under5!$A$1:$V$1,0)-1,1,1))</f>
        <v>45.010330200195313</v>
      </c>
      <c r="AS76" s="8">
        <f ca="1">IF(OFFSET(Fact5_predicpoor_under5!$A$1,MATCH($Y9,Fact5_predicpoor_under5!$A$2:$A$26,0),MATCH(AS$2,Fact5_predicpoor_under5!$A$1:$V$1,0)-1,1,1)=0,NA(),OFFSET(Fact5_predicpoor_under5!$A$1,MATCH($Y9,Fact5_predicpoor_under5!$A$2:$A$26,0),MATCH(AS$2,Fact5_predicpoor_under5!$A$1:$V$1,0)-1,1,1))</f>
        <v>41.222324371337891</v>
      </c>
      <c r="AT76" s="88">
        <f ca="1">IF(OFFSET(Fact5_predicpoor_under5!$A$1,MATCH($Y9,Fact5_predicpoor_under5!$A$2:$A$26,0),MATCH(AT$2,Fact5_predicpoor_under5!$A$1:$V$1,0)-1,1,1)=0,NA(),OFFSET(Fact5_predicpoor_under5!$A$1,MATCH($Y9,Fact5_predicpoor_under5!$A$2:$A$26,0),MATCH(AT$2,Fact5_predicpoor_under5!$A$1:$V$1,0)-1,1,1))</f>
        <v>37.75311279296875</v>
      </c>
      <c r="AU76" s="8">
        <f t="shared" ca="1" si="84"/>
        <v>-27.752120971679688</v>
      </c>
      <c r="AV76" s="8">
        <f t="shared" ca="1" si="85"/>
        <v>4.3272438049316406</v>
      </c>
      <c r="AW76" s="7532">
        <f t="shared" ca="1" si="86"/>
        <v>-0.42366265070344389</v>
      </c>
      <c r="AX76" s="7532">
        <f t="shared" ca="1" si="87"/>
        <v>0.10260792655393391</v>
      </c>
      <c r="AY76" s="7532">
        <f t="shared" ca="1" si="88"/>
        <v>6.7288293321137616E-2</v>
      </c>
      <c r="AZ76" s="2563" t="s">
        <v>23</v>
      </c>
      <c r="BA76" s="7532">
        <f t="shared" ca="1" si="89"/>
        <v>-2.7587084036132525E-3</v>
      </c>
      <c r="BB76" s="7532">
        <f t="shared" ca="1" si="90"/>
        <v>-6.1330559752288405E-2</v>
      </c>
      <c r="BC76" s="7532">
        <f t="shared" ca="1" si="91"/>
        <v>5.3093778152678572E-2</v>
      </c>
      <c r="BD76" s="7532">
        <f t="shared" ca="1" si="92"/>
        <v>-1.8813808438516433E-2</v>
      </c>
      <c r="BE76" s="7532">
        <f t="shared" ca="1" si="93"/>
        <v>-0.14436876258606179</v>
      </c>
      <c r="BF76" s="7532">
        <f t="shared" ca="1" si="94"/>
        <v>-1.4106093704976397E-2</v>
      </c>
      <c r="BG76" s="7532">
        <f t="shared" ca="1" si="95"/>
        <v>-4.6628256880262509E-2</v>
      </c>
      <c r="BH76" s="7532">
        <f t="shared" ca="1" si="96"/>
        <v>-7.5777212836676933E-2</v>
      </c>
      <c r="BI76" s="7532">
        <f t="shared" ca="1" si="97"/>
        <v>-8.7023922627977868E-3</v>
      </c>
      <c r="BJ76" s="7532">
        <f t="shared" ca="1" si="98"/>
        <v>-5.7285530932699502E-2</v>
      </c>
      <c r="BK76" s="7532">
        <f t="shared" ca="1" si="99"/>
        <v>-4.7587504806337111E-2</v>
      </c>
      <c r="BL76" s="7532">
        <f t="shared" ca="1" si="100"/>
        <v>1.9753651353924262E-3</v>
      </c>
      <c r="BM76" s="7532">
        <f t="shared" ca="1" si="101"/>
        <v>-6.0960727993621955E-3</v>
      </c>
      <c r="BN76" s="7532">
        <f t="shared" ca="1" si="102"/>
        <v>3.1355004079536286E-4</v>
      </c>
      <c r="BO76" s="7532">
        <f t="shared" ca="1" si="103"/>
        <v>-2.6768104077312671E-3</v>
      </c>
      <c r="BP76" s="7532">
        <f t="shared" ca="1" si="104"/>
        <v>1.2708487094335474E-2</v>
      </c>
      <c r="BQ76" s="7532">
        <f t="shared" ca="1" si="105"/>
        <v>0.10260792655393391</v>
      </c>
      <c r="BR76" s="7532">
        <f t="shared" ca="1" si="106"/>
        <v>-3.2032812736240257E-2</v>
      </c>
      <c r="BS76" s="7532">
        <f t="shared" ca="1" si="107"/>
        <v>-8.4158587862147805E-2</v>
      </c>
      <c r="BT76" s="7532">
        <f t="shared" ca="1" si="108"/>
        <v>-8.4158562897081679E-2</v>
      </c>
      <c r="BV76" s="8"/>
    </row>
    <row r="77" spans="2:74">
      <c r="B77" s="99" t="s">
        <v>25</v>
      </c>
      <c r="C77">
        <f>IF(Fact5_predicmoderate!B7&gt;0,VLOOKUP(Fact5!$B77,Fact5_predicmoderate!$A$1:$W$19,23,0),"")</f>
        <v>5212173</v>
      </c>
      <c r="D77">
        <f>IF(Fact5_predicmoderate!C7&gt;0,VLOOKUP(Fact5!$B77,Fact5_predicmoderate!$A$1:$W$19,23,0),"")</f>
        <v>5212173</v>
      </c>
      <c r="E77">
        <f>IF(Fact5_predicmoderate!D7&gt;0,VLOOKUP(Fact5!$B77,Fact5_predicmoderate!$A$1:$W$19,23,0),"")</f>
        <v>5212173</v>
      </c>
      <c r="F77">
        <f>IF(Fact5_predicmoderate!E7&gt;0,VLOOKUP(Fact5!$B77,Fact5_predicmoderate!$A$1:$W$19,23,0),"")</f>
        <v>5212173</v>
      </c>
      <c r="G77">
        <f>IF(Fact5_predicmoderate!F7&gt;0,VLOOKUP(Fact5!$B77,Fact5_predicmoderate!$A$1:$W$19,23,0),"")</f>
        <v>5212173</v>
      </c>
      <c r="H77">
        <f>IF(Fact5_predicmoderate!G7&gt;0,VLOOKUP(Fact5!$B77,Fact5_predicmoderate!$A$1:$W$19,23,0),"")</f>
        <v>5212173</v>
      </c>
      <c r="I77">
        <f>IF(Fact5_predicmoderate!H7&gt;0,VLOOKUP(Fact5!$B77,Fact5_predicmoderate!$A$1:$W$19,23,0),"")</f>
        <v>5212173</v>
      </c>
      <c r="J77">
        <f>IF(Fact5_predicmoderate!I7&gt;0,VLOOKUP(Fact5!$B77,Fact5_predicmoderate!$A$1:$W$19,23,0),"")</f>
        <v>5212173</v>
      </c>
      <c r="K77">
        <f>IF(Fact5_predicmoderate!J7&gt;0,VLOOKUP(Fact5!$B77,Fact5_predicmoderate!$A$1:$W$19,23,0),"")</f>
        <v>5212173</v>
      </c>
      <c r="L77">
        <f>IF(Fact5_predicmoderate!K7&gt;0,VLOOKUP(Fact5!$B77,Fact5_predicmoderate!$A$1:$W$19,23,0),"")</f>
        <v>5212173</v>
      </c>
      <c r="M77">
        <f>IF(Fact5_predicmoderate!L7&gt;0,VLOOKUP(Fact5!$B77,Fact5_predicmoderate!$A$1:$W$19,23,0),"")</f>
        <v>5212173</v>
      </c>
      <c r="N77">
        <f>IF(Fact5_predicmoderate!M7&gt;0,VLOOKUP(Fact5!$B77,Fact5_predicmoderate!$A$1:$W$19,23,0),"")</f>
        <v>5212173</v>
      </c>
      <c r="O77">
        <f>IF(Fact5_predicmoderate!N7&gt;0,VLOOKUP(Fact5!$B77,Fact5_predicmoderate!$A$1:$W$19,23,0),"")</f>
        <v>5212173</v>
      </c>
      <c r="P77">
        <f>IF(Fact5_predicmoderate!O7&gt;0,VLOOKUP(Fact5!$B77,Fact5_predicmoderate!$A$1:$W$19,23,0),"")</f>
        <v>5212173</v>
      </c>
      <c r="Q77">
        <f>IF(Fact5_predicmoderate!P7&gt;0,VLOOKUP(Fact5!$B77,Fact5_predicmoderate!$A$1:$W$19,23,0),"")</f>
        <v>5212173</v>
      </c>
      <c r="R77">
        <f>IF(Fact5_predicmoderate!Q7&gt;0,VLOOKUP(Fact5!$B77,Fact5_predicmoderate!$A$1:$W$19,23,0),"")</f>
        <v>5212173</v>
      </c>
      <c r="S77">
        <f>IF(Fact5_predicmoderate!R7&gt;0,VLOOKUP(Fact5!$B77,Fact5_predicmoderate!$A$1:$W$19,23,0),"")</f>
        <v>5212173</v>
      </c>
      <c r="T77">
        <f>IF(Fact5_predicmoderate!S7&gt;0,VLOOKUP(Fact5!$B77,Fact5_predicmoderate!$A$1:$W$19,23,0),"")</f>
        <v>5212173</v>
      </c>
      <c r="U77">
        <f>IF(Fact5_predicmoderate!T7&gt;0,VLOOKUP(Fact5!$B77,Fact5_predicmoderate!$A$1:$W$19,23,0),"")</f>
        <v>5212173</v>
      </c>
      <c r="V77">
        <f>IF(Fact5_predicmoderate!U7&gt;0,VLOOKUP(Fact5!$B77,Fact5_predicmoderate!$A$1:$W$19,23,0),"")</f>
        <v>5212173</v>
      </c>
      <c r="W77">
        <f>IF(Fact5_predicmoderate!V7&gt;0,VLOOKUP(Fact5!$B77,Fact5_predicmoderate!$A$1:$W$19,23,0),"")</f>
        <v>5212173</v>
      </c>
      <c r="X77" s="2562"/>
      <c r="Y77" s="2563" t="s">
        <v>25</v>
      </c>
      <c r="Z77" s="8">
        <f ca="1">IF(OFFSET(Fact5_predicpoor_under5!$A$1,MATCH($Y10,Fact5_predicpoor_under5!$A$2:$A$26,0),MATCH(Z$2,Fact5_predicpoor_under5!$A$1:$V$1,0)-1,1,1)=0,NA(),OFFSET(Fact5_predicpoor_under5!$A$1,MATCH($Y10,Fact5_predicpoor_under5!$A$2:$A$26,0),MATCH(Z$2,Fact5_predicpoor_under5!$A$1:$V$1,0)-1,1,1))</f>
        <v>34.271766662597656</v>
      </c>
      <c r="AA77" s="8">
        <f ca="1">IF(OFFSET(Fact5_predicpoor_under5!$A$1,MATCH($Y10,Fact5_predicpoor_under5!$A$2:$A$26,0),MATCH(AA$2,Fact5_predicpoor_under5!$A$1:$V$1,0)-1,1,1)=0,NA(),OFFSET(Fact5_predicpoor_under5!$A$1,MATCH($Y10,Fact5_predicpoor_under5!$A$2:$A$26,0),MATCH(AA$2,Fact5_predicpoor_under5!$A$1:$V$1,0)-1,1,1))</f>
        <v>35.800930023193359</v>
      </c>
      <c r="AB77" s="8">
        <f ca="1">IF(OFFSET(Fact5_predicpoor_under5!$A$1,MATCH($Y10,Fact5_predicpoor_under5!$A$2:$A$26,0),MATCH(AB$2,Fact5_predicpoor_under5!$A$1:$V$1,0)-1,1,1)=0,NA(),OFFSET(Fact5_predicpoor_under5!$A$1,MATCH($Y10,Fact5_predicpoor_under5!$A$2:$A$26,0),MATCH(AB$2,Fact5_predicpoor_under5!$A$1:$V$1,0)-1,1,1))</f>
        <v>32.126998901367188</v>
      </c>
      <c r="AC77" s="8">
        <f ca="1">IF(OFFSET(Fact5_predicpoor_under5!$A$1,MATCH($Y10,Fact5_predicpoor_under5!$A$2:$A$26,0),MATCH(AC$2,Fact5_predicpoor_under5!$A$1:$V$1,0)-1,1,1)=0,NA(),OFFSET(Fact5_predicpoor_under5!$A$1,MATCH($Y10,Fact5_predicpoor_under5!$A$2:$A$26,0),MATCH(AC$2,Fact5_predicpoor_under5!$A$1:$V$1,0)-1,1,1))</f>
        <v>31.900516510009766</v>
      </c>
      <c r="AD77" s="8">
        <f ca="1">IF(OFFSET(Fact5_predicpoor_under5!$A$1,MATCH($Y10,Fact5_predicpoor_under5!$A$2:$A$26,0),MATCH(AD$2,Fact5_predicpoor_under5!$A$1:$V$1,0)-1,1,1)=0,NA(),OFFSET(Fact5_predicpoor_under5!$A$1,MATCH($Y10,Fact5_predicpoor_under5!$A$2:$A$26,0),MATCH(AD$2,Fact5_predicpoor_under5!$A$1:$V$1,0)-1,1,1))</f>
        <v>27.102697372436523</v>
      </c>
      <c r="AE77" s="8">
        <f ca="1">IF(OFFSET(Fact5_predicpoor_under5!$A$1,MATCH($Y10,Fact5_predicpoor_under5!$A$2:$A$26,0),MATCH(AE$2,Fact5_predicpoor_under5!$A$1:$V$1,0)-1,1,1)=0,NA(),OFFSET(Fact5_predicpoor_under5!$A$1,MATCH($Y10,Fact5_predicpoor_under5!$A$2:$A$26,0),MATCH(AE$2,Fact5_predicpoor_under5!$A$1:$V$1,0)-1,1,1))</f>
        <v>25.561670303344727</v>
      </c>
      <c r="AF77" s="8">
        <f ca="1">IF(OFFSET(Fact5_predicpoor_under5!$A$1,MATCH($Y10,Fact5_predicpoor_under5!$A$2:$A$26,0),MATCH(AF$2,Fact5_predicpoor_under5!$A$1:$V$1,0)-1,1,1)=0,NA(),OFFSET(Fact5_predicpoor_under5!$A$1,MATCH($Y10,Fact5_predicpoor_under5!$A$2:$A$26,0),MATCH(AF$2,Fact5_predicpoor_under5!$A$1:$V$1,0)-1,1,1))</f>
        <v>25.654098510742188</v>
      </c>
      <c r="AG77" s="8">
        <f ca="1">IF(OFFSET(Fact5_predicpoor_under5!$A$1,MATCH($Y10,Fact5_predicpoor_under5!$A$2:$A$26,0),MATCH(AG$2,Fact5_predicpoor_under5!$A$1:$V$1,0)-1,1,1)=0,NA(),OFFSET(Fact5_predicpoor_under5!$A$1,MATCH($Y10,Fact5_predicpoor_under5!$A$2:$A$26,0),MATCH(AG$2,Fact5_predicpoor_under5!$A$1:$V$1,0)-1,1,1))</f>
        <v>24.893825531005859</v>
      </c>
      <c r="AH77" s="8">
        <f ca="1">IF(OFFSET(Fact5_predicpoor_under5!$A$1,MATCH($Y10,Fact5_predicpoor_under5!$A$2:$A$26,0),MATCH(AH$2,Fact5_predicpoor_under5!$A$1:$V$1,0)-1,1,1)=0,NA(),OFFSET(Fact5_predicpoor_under5!$A$1,MATCH($Y10,Fact5_predicpoor_under5!$A$2:$A$26,0),MATCH(AH$2,Fact5_predicpoor_under5!$A$1:$V$1,0)-1,1,1))</f>
        <v>26.389434814453125</v>
      </c>
      <c r="AI77" s="8">
        <f ca="1">IF(OFFSET(Fact5_predicpoor_under5!$A$1,MATCH($Y10,Fact5_predicpoor_under5!$A$2:$A$26,0),MATCH(AI$2,Fact5_predicpoor_under5!$A$1:$V$1,0)-1,1,1)=0,NA(),OFFSET(Fact5_predicpoor_under5!$A$1,MATCH($Y10,Fact5_predicpoor_under5!$A$2:$A$26,0),MATCH(AI$2,Fact5_predicpoor_under5!$A$1:$V$1,0)-1,1,1))</f>
        <v>24.036725997924805</v>
      </c>
      <c r="AJ77" s="8">
        <f ca="1">IF(OFFSET(Fact5_predicpoor_under5!$A$1,MATCH($Y10,Fact5_predicpoor_under5!$A$2:$A$26,0),MATCH(AJ$2,Fact5_predicpoor_under5!$A$1:$V$1,0)-1,1,1)=0,NA(),OFFSET(Fact5_predicpoor_under5!$A$1,MATCH($Y10,Fact5_predicpoor_under5!$A$2:$A$26,0),MATCH(AJ$2,Fact5_predicpoor_under5!$A$1:$V$1,0)-1,1,1))</f>
        <v>23.633201599121094</v>
      </c>
      <c r="AK77" s="8">
        <f ca="1">IF(OFFSET(Fact5_predicpoor_under5!$A$1,MATCH($Y10,Fact5_predicpoor_under5!$A$2:$A$26,0),MATCH(AK$2,Fact5_predicpoor_under5!$A$1:$V$1,0)-1,1,1)=0,NA(),OFFSET(Fact5_predicpoor_under5!$A$1,MATCH($Y10,Fact5_predicpoor_under5!$A$2:$A$26,0),MATCH(AK$2,Fact5_predicpoor_under5!$A$1:$V$1,0)-1,1,1))</f>
        <v>22.614435195922852</v>
      </c>
      <c r="AL77" s="8">
        <f ca="1">IF(OFFSET(Fact5_predicpoor_under5!$A$1,MATCH($Y10,Fact5_predicpoor_under5!$A$2:$A$26,0),MATCH(AL$2,Fact5_predicpoor_under5!$A$1:$V$1,0)-1,1,1)=0,NA(),OFFSET(Fact5_predicpoor_under5!$A$1,MATCH($Y10,Fact5_predicpoor_under5!$A$2:$A$26,0),MATCH(AL$2,Fact5_predicpoor_under5!$A$1:$V$1,0)-1,1,1))</f>
        <v>21.229366302490234</v>
      </c>
      <c r="AM77" s="8">
        <f ca="1">IF(OFFSET(Fact5_predicpoor_under5!$A$1,MATCH($Y10,Fact5_predicpoor_under5!$A$2:$A$26,0),MATCH(AM$2,Fact5_predicpoor_under5!$A$1:$V$1,0)-1,1,1)=0,NA(),OFFSET(Fact5_predicpoor_under5!$A$1,MATCH($Y10,Fact5_predicpoor_under5!$A$2:$A$26,0),MATCH(AM$2,Fact5_predicpoor_under5!$A$1:$V$1,0)-1,1,1))</f>
        <v>21.012430191040039</v>
      </c>
      <c r="AN77" s="8">
        <f ca="1">IF(OFFSET(Fact5_predicpoor_under5!$A$1,MATCH($Y10,Fact5_predicpoor_under5!$A$2:$A$26,0),MATCH(AN$2,Fact5_predicpoor_under5!$A$1:$V$1,0)-1,1,1)=0,NA(),OFFSET(Fact5_predicpoor_under5!$A$1,MATCH($Y10,Fact5_predicpoor_under5!$A$2:$A$26,0),MATCH(AN$2,Fact5_predicpoor_under5!$A$1:$V$1,0)-1,1,1))</f>
        <v>20.445932388305664</v>
      </c>
      <c r="AO77" s="8">
        <f ca="1">IF(OFFSET(Fact5_predicpoor_under5!$A$1,MATCH($Y10,Fact5_predicpoor_under5!$A$2:$A$26,0),MATCH(AO$2,Fact5_predicpoor_under5!$A$1:$V$1,0)-1,1,1)=0,NA(),OFFSET(Fact5_predicpoor_under5!$A$1,MATCH($Y10,Fact5_predicpoor_under5!$A$2:$A$26,0),MATCH(AO$2,Fact5_predicpoor_under5!$A$1:$V$1,0)-1,1,1))</f>
        <v>21.157680511474609</v>
      </c>
      <c r="AP77" s="8">
        <f ca="1">IF(OFFSET(Fact5_predicpoor_under5!$A$1,MATCH($Y10,Fact5_predicpoor_under5!$A$2:$A$26,0),MATCH(AP$2,Fact5_predicpoor_under5!$A$1:$V$1,0)-1,1,1)=0,NA(),OFFSET(Fact5_predicpoor_under5!$A$1,MATCH($Y10,Fact5_predicpoor_under5!$A$2:$A$26,0),MATCH(AP$2,Fact5_predicpoor_under5!$A$1:$V$1,0)-1,1,1))</f>
        <v>21.6925048828125</v>
      </c>
      <c r="AQ77" s="8">
        <f ca="1">IF(OFFSET(Fact5_predicpoor_under5!$A$1,MATCH($Y10,Fact5_predicpoor_under5!$A$2:$A$26,0),MATCH(AQ$2,Fact5_predicpoor_under5!$A$1:$V$1,0)-1,1,1)=0,NA(),OFFSET(Fact5_predicpoor_under5!$A$1,MATCH($Y10,Fact5_predicpoor_under5!$A$2:$A$26,0),MATCH(AQ$2,Fact5_predicpoor_under5!$A$1:$V$1,0)-1,1,1))</f>
        <v>30.837089538574219</v>
      </c>
      <c r="AR77" s="8">
        <f ca="1">IF(OFFSET(Fact5_predicpoor_under5!$A$1,MATCH($Y10,Fact5_predicpoor_under5!$A$2:$A$26,0),MATCH(AR$2,Fact5_predicpoor_under5!$A$1:$V$1,0)-1,1,1)=0,NA(),OFFSET(Fact5_predicpoor_under5!$A$1,MATCH($Y10,Fact5_predicpoor_under5!$A$2:$A$26,0),MATCH(AR$2,Fact5_predicpoor_under5!$A$1:$V$1,0)-1,1,1))</f>
        <v>23.914463043212891</v>
      </c>
      <c r="AS77" s="8">
        <f ca="1">IF(OFFSET(Fact5_predicpoor_under5!$A$1,MATCH($Y10,Fact5_predicpoor_under5!$A$2:$A$26,0),MATCH(AS$2,Fact5_predicpoor_under5!$A$1:$V$1,0)-1,1,1)=0,NA(),OFFSET(Fact5_predicpoor_under5!$A$1,MATCH($Y10,Fact5_predicpoor_under5!$A$2:$A$26,0),MATCH(AS$2,Fact5_predicpoor_under5!$A$1:$V$1,0)-1,1,1))</f>
        <v>22.723045349121094</v>
      </c>
      <c r="AT77" s="8">
        <f ca="1">IF(OFFSET(Fact5_predicpoor_under5!$A$1,MATCH($Y10,Fact5_predicpoor_under5!$A$2:$A$26,0),MATCH(AT$2,Fact5_predicpoor_under5!$A$1:$V$1,0)-1,1,1)=0,NA(),OFFSET(Fact5_predicpoor_under5!$A$1,MATCH($Y10,Fact5_predicpoor_under5!$A$2:$A$26,0),MATCH(AT$2,Fact5_predicpoor_under5!$A$1:$V$1,0)-1,1,1))</f>
        <v>20.874841690063477</v>
      </c>
      <c r="AU77" s="8">
        <f t="shared" ca="1" si="84"/>
        <v>-13.39692497253418</v>
      </c>
      <c r="AV77" s="8">
        <f t="shared" ca="1" si="85"/>
        <v>9.1445846557617188</v>
      </c>
      <c r="AW77" s="7532">
        <f t="shared" ca="1" si="86"/>
        <v>-0.39090266645503446</v>
      </c>
      <c r="AX77" s="7533">
        <f t="shared" ca="1" si="87"/>
        <v>0.4215550350299655</v>
      </c>
      <c r="AY77" s="7532">
        <f t="shared" ca="1" si="88"/>
        <v>0.10242976421597594</v>
      </c>
      <c r="AZ77" s="2563" t="s">
        <v>25</v>
      </c>
      <c r="BA77" s="7532">
        <f t="shared" ca="1" si="89"/>
        <v>4.4618749177717465E-2</v>
      </c>
      <c r="BB77" s="7532">
        <f t="shared" ca="1" si="90"/>
        <v>-0.10262110843059224</v>
      </c>
      <c r="BC77" s="7532">
        <f t="shared" ca="1" si="91"/>
        <v>-7.0495968843135026E-3</v>
      </c>
      <c r="BD77" s="7532">
        <f t="shared" ca="1" si="92"/>
        <v>-0.15039941864476647</v>
      </c>
      <c r="BE77" s="7532">
        <f t="shared" ca="1" si="93"/>
        <v>-5.6858808107381309E-2</v>
      </c>
      <c r="BF77" s="7532">
        <f t="shared" ca="1" si="94"/>
        <v>3.6158907575523092E-3</v>
      </c>
      <c r="BG77" s="7532">
        <f t="shared" ca="1" si="95"/>
        <v>-2.9635536770780568E-2</v>
      </c>
      <c r="BH77" s="7532">
        <f t="shared" ca="1" si="96"/>
        <v>6.0079527816423672E-2</v>
      </c>
      <c r="BI77" s="7532">
        <f t="shared" ca="1" si="97"/>
        <v>-8.9153437088382637E-2</v>
      </c>
      <c r="BJ77" s="7532">
        <f t="shared" ca="1" si="98"/>
        <v>-1.6787827045935844E-2</v>
      </c>
      <c r="BK77" s="7532">
        <f t="shared" ca="1" si="99"/>
        <v>-4.3107422366173598E-2</v>
      </c>
      <c r="BL77" s="7532">
        <f t="shared" ca="1" si="100"/>
        <v>-6.1247114130107971E-2</v>
      </c>
      <c r="BM77" s="7532">
        <f t="shared" ca="1" si="101"/>
        <v>-1.0218680499414989E-2</v>
      </c>
      <c r="BN77" s="7532">
        <f t="shared" ca="1" si="102"/>
        <v>-2.6960127771224474E-2</v>
      </c>
      <c r="BO77" s="7532">
        <f t="shared" ca="1" si="103"/>
        <v>3.4811233337347813E-2</v>
      </c>
      <c r="BP77" s="7532">
        <f t="shared" ca="1" si="104"/>
        <v>2.5278024736588467E-2</v>
      </c>
      <c r="BQ77" s="7532">
        <f t="shared" ca="1" si="105"/>
        <v>0.4215550350299655</v>
      </c>
      <c r="BR77" s="7532">
        <f t="shared" ca="1" si="106"/>
        <v>-0.2244902680164349</v>
      </c>
      <c r="BS77" s="7532">
        <f t="shared" ca="1" si="107"/>
        <v>-4.9819964259240623E-2</v>
      </c>
      <c r="BT77" s="7532">
        <f t="shared" ca="1" si="108"/>
        <v>-8.1336089888545904E-2</v>
      </c>
      <c r="BV77" s="8"/>
    </row>
    <row r="78" spans="2:74">
      <c r="B78" s="99" t="s">
        <v>27</v>
      </c>
      <c r="C78">
        <f>IF(Fact5_predicmoderate!B8&gt;0,VLOOKUP(Fact5!$B78,Fact5_predicmoderate!$A$1:$W$19,23,0),"")</f>
        <v>11332973</v>
      </c>
      <c r="D78">
        <f>IF(Fact5_predicmoderate!C8&gt;0,VLOOKUP(Fact5!$B78,Fact5_predicmoderate!$A$1:$W$19,23,0),"")</f>
        <v>11332973</v>
      </c>
      <c r="E78">
        <f>IF(Fact5_predicmoderate!D8&gt;0,VLOOKUP(Fact5!$B78,Fact5_predicmoderate!$A$1:$W$19,23,0),"")</f>
        <v>11332973</v>
      </c>
      <c r="F78">
        <f>IF(Fact5_predicmoderate!E8&gt;0,VLOOKUP(Fact5!$B78,Fact5_predicmoderate!$A$1:$W$19,23,0),"")</f>
        <v>11332973</v>
      </c>
      <c r="G78">
        <f>IF(Fact5_predicmoderate!F8&gt;0,VLOOKUP(Fact5!$B78,Fact5_predicmoderate!$A$1:$W$19,23,0),"")</f>
        <v>11332973</v>
      </c>
      <c r="H78">
        <f>IF(Fact5_predicmoderate!G8&gt;0,VLOOKUP(Fact5!$B78,Fact5_predicmoderate!$A$1:$W$19,23,0),"")</f>
        <v>11332973</v>
      </c>
      <c r="I78">
        <f>IF(Fact5_predicmoderate!H8&gt;0,VLOOKUP(Fact5!$B78,Fact5_predicmoderate!$A$1:$W$19,23,0),"")</f>
        <v>11332973</v>
      </c>
      <c r="J78">
        <f>IF(Fact5_predicmoderate!I8&gt;0,VLOOKUP(Fact5!$B78,Fact5_predicmoderate!$A$1:$W$19,23,0),"")</f>
        <v>11332973</v>
      </c>
      <c r="K78">
        <f>IF(Fact5_predicmoderate!J8&gt;0,VLOOKUP(Fact5!$B78,Fact5_predicmoderate!$A$1:$W$19,23,0),"")</f>
        <v>11332973</v>
      </c>
      <c r="L78">
        <f>IF(Fact5_predicmoderate!K8&gt;0,VLOOKUP(Fact5!$B78,Fact5_predicmoderate!$A$1:$W$19,23,0),"")</f>
        <v>11332973</v>
      </c>
      <c r="M78">
        <f>IF(Fact5_predicmoderate!L8&gt;0,VLOOKUP(Fact5!$B78,Fact5_predicmoderate!$A$1:$W$19,23,0),"")</f>
        <v>11332973</v>
      </c>
      <c r="N78">
        <f>IF(Fact5_predicmoderate!M8&gt;0,VLOOKUP(Fact5!$B78,Fact5_predicmoderate!$A$1:$W$19,23,0),"")</f>
        <v>11332973</v>
      </c>
      <c r="O78">
        <f>IF(Fact5_predicmoderate!N8&gt;0,VLOOKUP(Fact5!$B78,Fact5_predicmoderate!$A$1:$W$19,23,0),"")</f>
        <v>11332973</v>
      </c>
      <c r="P78">
        <f>IF(Fact5_predicmoderate!O8&gt;0,VLOOKUP(Fact5!$B78,Fact5_predicmoderate!$A$1:$W$19,23,0),"")</f>
        <v>11332973</v>
      </c>
      <c r="Q78">
        <f>IF(Fact5_predicmoderate!P8&gt;0,VLOOKUP(Fact5!$B78,Fact5_predicmoderate!$A$1:$W$19,23,0),"")</f>
        <v>11332973</v>
      </c>
      <c r="R78">
        <f>IF(Fact5_predicmoderate!Q8&gt;0,VLOOKUP(Fact5!$B78,Fact5_predicmoderate!$A$1:$W$19,23,0),"")</f>
        <v>11332973</v>
      </c>
      <c r="S78">
        <f>IF(Fact5_predicmoderate!R8&gt;0,VLOOKUP(Fact5!$B78,Fact5_predicmoderate!$A$1:$W$19,23,0),"")</f>
        <v>11332973</v>
      </c>
      <c r="T78">
        <f>IF(Fact5_predicmoderate!S8&gt;0,VLOOKUP(Fact5!$B78,Fact5_predicmoderate!$A$1:$W$19,23,0),"")</f>
        <v>11332973</v>
      </c>
      <c r="U78">
        <f>IF(Fact5_predicmoderate!T8&gt;0,VLOOKUP(Fact5!$B78,Fact5_predicmoderate!$A$1:$W$19,23,0),"")</f>
        <v>11332973</v>
      </c>
      <c r="V78">
        <f>IF(Fact5_predicmoderate!U8&gt;0,VLOOKUP(Fact5!$B78,Fact5_predicmoderate!$A$1:$W$19,23,0),"")</f>
        <v>11332973</v>
      </c>
      <c r="W78">
        <f>IF(Fact5_predicmoderate!V8&gt;0,VLOOKUP(Fact5!$B78,Fact5_predicmoderate!$A$1:$W$19,23,0),"")</f>
        <v>11332973</v>
      </c>
      <c r="X78" s="2562"/>
      <c r="Y78" s="2563" t="s">
        <v>27</v>
      </c>
      <c r="Z78" s="8">
        <f ca="1">IF(OFFSET(Fact5_predicpoor_under5!$A$1,MATCH($Y11,Fact5_predicpoor_under5!$A$2:$A$26,0),MATCH(Z$2,Fact5_predicpoor_under5!$A$1:$V$1,0)-1,1,1)=0,NA(),OFFSET(Fact5_predicpoor_under5!$A$1,MATCH($Y11,Fact5_predicpoor_under5!$A$2:$A$26,0),MATCH(Z$2,Fact5_predicpoor_under5!$A$1:$V$1,0)-1,1,1))</f>
        <v>56.721168518066406</v>
      </c>
      <c r="AA78" s="8">
        <f ca="1">IF(OFFSET(Fact5_predicpoor_under5!$A$1,MATCH($Y11,Fact5_predicpoor_under5!$A$2:$A$26,0),MATCH(AA$2,Fact5_predicpoor_under5!$A$1:$V$1,0)-1,1,1)=0,NA(),OFFSET(Fact5_predicpoor_under5!$A$1,MATCH($Y11,Fact5_predicpoor_under5!$A$2:$A$26,0),MATCH(AA$2,Fact5_predicpoor_under5!$A$1:$V$1,0)-1,1,1))</f>
        <v>64.326515197753906</v>
      </c>
      <c r="AB78" s="8">
        <f ca="1">IF(OFFSET(Fact5_predicpoor_under5!$A$1,MATCH($Y11,Fact5_predicpoor_under5!$A$2:$A$26,0),MATCH(AB$2,Fact5_predicpoor_under5!$A$1:$V$1,0)-1,1,1)=0,NA(),OFFSET(Fact5_predicpoor_under5!$A$1,MATCH($Y11,Fact5_predicpoor_under5!$A$2:$A$26,0),MATCH(AB$2,Fact5_predicpoor_under5!$A$1:$V$1,0)-1,1,1))</f>
        <v>56.766468048095703</v>
      </c>
      <c r="AC78" s="8">
        <f ca="1">IF(OFFSET(Fact5_predicpoor_under5!$A$1,MATCH($Y11,Fact5_predicpoor_under5!$A$2:$A$26,0),MATCH(AC$2,Fact5_predicpoor_under5!$A$1:$V$1,0)-1,1,1)=0,NA(),OFFSET(Fact5_predicpoor_under5!$A$1,MATCH($Y11,Fact5_predicpoor_under5!$A$2:$A$26,0),MATCH(AC$2,Fact5_predicpoor_under5!$A$1:$V$1,0)-1,1,1))</f>
        <v>53.332321166992188</v>
      </c>
      <c r="AD78" s="8">
        <f ca="1">IF(OFFSET(Fact5_predicpoor_under5!$A$1,MATCH($Y11,Fact5_predicpoor_under5!$A$2:$A$26,0),MATCH(AD$2,Fact5_predicpoor_under5!$A$1:$V$1,0)-1,1,1)=0,NA(),OFFSET(Fact5_predicpoor_under5!$A$1,MATCH($Y11,Fact5_predicpoor_under5!$A$2:$A$26,0),MATCH(AD$2,Fact5_predicpoor_under5!$A$1:$V$1,0)-1,1,1))</f>
        <v>53.061874389648438</v>
      </c>
      <c r="AE78" s="8">
        <f ca="1">IF(OFFSET(Fact5_predicpoor_under5!$A$1,MATCH($Y11,Fact5_predicpoor_under5!$A$2:$A$26,0),MATCH(AE$2,Fact5_predicpoor_under5!$A$1:$V$1,0)-1,1,1)=0,NA(),OFFSET(Fact5_predicpoor_under5!$A$1,MATCH($Y11,Fact5_predicpoor_under5!$A$2:$A$26,0),MATCH(AE$2,Fact5_predicpoor_under5!$A$1:$V$1,0)-1,1,1))</f>
        <v>52.904289245605469</v>
      </c>
      <c r="AF78" s="8">
        <f ca="1">IF(OFFSET(Fact5_predicpoor_under5!$A$1,MATCH($Y11,Fact5_predicpoor_under5!$A$2:$A$26,0),MATCH(AF$2,Fact5_predicpoor_under5!$A$1:$V$1,0)-1,1,1)=0,NA(),OFFSET(Fact5_predicpoor_under5!$A$1,MATCH($Y11,Fact5_predicpoor_under5!$A$2:$A$26,0),MATCH(AF$2,Fact5_predicpoor_under5!$A$1:$V$1,0)-1,1,1))</f>
        <v>51.000095367431641</v>
      </c>
      <c r="AG78" s="8">
        <f ca="1">IF(OFFSET(Fact5_predicpoor_under5!$A$1,MATCH($Y11,Fact5_predicpoor_under5!$A$2:$A$26,0),MATCH(AG$2,Fact5_predicpoor_under5!$A$1:$V$1,0)-1,1,1)=0,NA(),OFFSET(Fact5_predicpoor_under5!$A$1,MATCH($Y11,Fact5_predicpoor_under5!$A$2:$A$26,0),MATCH(AG$2,Fact5_predicpoor_under5!$A$1:$V$1,0)-1,1,1))</f>
        <v>51.353370666503906</v>
      </c>
      <c r="AH78" s="8">
        <f ca="1">IF(OFFSET(Fact5_predicpoor_under5!$A$1,MATCH($Y11,Fact5_predicpoor_under5!$A$2:$A$26,0),MATCH(AH$2,Fact5_predicpoor_under5!$A$1:$V$1,0)-1,1,1)=0,NA(),OFFSET(Fact5_predicpoor_under5!$A$1,MATCH($Y11,Fact5_predicpoor_under5!$A$2:$A$26,0),MATCH(AH$2,Fact5_predicpoor_under5!$A$1:$V$1,0)-1,1,1))</f>
        <v>51.803058624267578</v>
      </c>
      <c r="AI78" s="8">
        <f ca="1">IF(OFFSET(Fact5_predicpoor_under5!$A$1,MATCH($Y11,Fact5_predicpoor_under5!$A$2:$A$26,0),MATCH(AI$2,Fact5_predicpoor_under5!$A$1:$V$1,0)-1,1,1)=0,NA(),OFFSET(Fact5_predicpoor_under5!$A$1,MATCH($Y11,Fact5_predicpoor_under5!$A$2:$A$26,0),MATCH(AI$2,Fact5_predicpoor_under5!$A$1:$V$1,0)-1,1,1))</f>
        <v>52.807640075683594</v>
      </c>
      <c r="AJ78" s="8">
        <f ca="1">IF(OFFSET(Fact5_predicpoor_under5!$A$1,MATCH($Y11,Fact5_predicpoor_under5!$A$2:$A$26,0),MATCH(AJ$2,Fact5_predicpoor_under5!$A$1:$V$1,0)-1,1,1)=0,NA(),OFFSET(Fact5_predicpoor_under5!$A$1,MATCH($Y11,Fact5_predicpoor_under5!$A$2:$A$26,0),MATCH(AJ$2,Fact5_predicpoor_under5!$A$1:$V$1,0)-1,1,1))</f>
        <v>51.093090057373047</v>
      </c>
      <c r="AK78" s="8">
        <f ca="1">IF(OFFSET(Fact5_predicpoor_under5!$A$1,MATCH($Y11,Fact5_predicpoor_under5!$A$2:$A$26,0),MATCH(AK$2,Fact5_predicpoor_under5!$A$1:$V$1,0)-1,1,1)=0,NA(),OFFSET(Fact5_predicpoor_under5!$A$1,MATCH($Y11,Fact5_predicpoor_under5!$A$2:$A$26,0),MATCH(AK$2,Fact5_predicpoor_under5!$A$1:$V$1,0)-1,1,1))</f>
        <v>45.834613800048828</v>
      </c>
      <c r="AL78" s="8">
        <f ca="1">IF(OFFSET(Fact5_predicpoor_under5!$A$1,MATCH($Y11,Fact5_predicpoor_under5!$A$2:$A$26,0),MATCH(AL$2,Fact5_predicpoor_under5!$A$1:$V$1,0)-1,1,1)=0,NA(),OFFSET(Fact5_predicpoor_under5!$A$1,MATCH($Y11,Fact5_predicpoor_under5!$A$2:$A$26,0),MATCH(AL$2,Fact5_predicpoor_under5!$A$1:$V$1,0)-1,1,1))</f>
        <v>41.197288513183594</v>
      </c>
      <c r="AM78" s="8">
        <f ca="1">IF(OFFSET(Fact5_predicpoor_under5!$A$1,MATCH($Y11,Fact5_predicpoor_under5!$A$2:$A$26,0),MATCH(AM$2,Fact5_predicpoor_under5!$A$1:$V$1,0)-1,1,1)=0,NA(),OFFSET(Fact5_predicpoor_under5!$A$1,MATCH($Y11,Fact5_predicpoor_under5!$A$2:$A$26,0),MATCH(AM$2,Fact5_predicpoor_under5!$A$1:$V$1,0)-1,1,1))</f>
        <v>39.012348175048828</v>
      </c>
      <c r="AN78" s="8">
        <f ca="1">IF(OFFSET(Fact5_predicpoor_under5!$A$1,MATCH($Y11,Fact5_predicpoor_under5!$A$2:$A$26,0),MATCH(AN$2,Fact5_predicpoor_under5!$A$1:$V$1,0)-1,1,1)=0,NA(),OFFSET(Fact5_predicpoor_under5!$A$1,MATCH($Y11,Fact5_predicpoor_under5!$A$2:$A$26,0),MATCH(AN$2,Fact5_predicpoor_under5!$A$1:$V$1,0)-1,1,1))</f>
        <v>33.117446899414063</v>
      </c>
      <c r="AO78" s="8">
        <f ca="1">IF(OFFSET(Fact5_predicpoor_under5!$A$1,MATCH($Y11,Fact5_predicpoor_under5!$A$2:$A$26,0),MATCH(AO$2,Fact5_predicpoor_under5!$A$1:$V$1,0)-1,1,1)=0,NA(),OFFSET(Fact5_predicpoor_under5!$A$1,MATCH($Y11,Fact5_predicpoor_under5!$A$2:$A$26,0),MATCH(AO$2,Fact5_predicpoor_under5!$A$1:$V$1,0)-1,1,1))</f>
        <v>30.914693832397461</v>
      </c>
      <c r="AP78" s="8">
        <f ca="1">IF(OFFSET(Fact5_predicpoor_under5!$A$1,MATCH($Y11,Fact5_predicpoor_under5!$A$2:$A$26,0),MATCH(AP$2,Fact5_predicpoor_under5!$A$1:$V$1,0)-1,1,1)=0,NA(),OFFSET(Fact5_predicpoor_under5!$A$1,MATCH($Y11,Fact5_predicpoor_under5!$A$2:$A$26,0),MATCH(AP$2,Fact5_predicpoor_under5!$A$1:$V$1,0)-1,1,1))</f>
        <v>27.664180755615234</v>
      </c>
      <c r="AQ78" s="8">
        <f ca="1">IF(OFFSET(Fact5_predicpoor_under5!$A$1,MATCH($Y11,Fact5_predicpoor_under5!$A$2:$A$26,0),MATCH(AQ$2,Fact5_predicpoor_under5!$A$1:$V$1,0)-1,1,1)=0,NA(),OFFSET(Fact5_predicpoor_under5!$A$1,MATCH($Y11,Fact5_predicpoor_under5!$A$2:$A$26,0),MATCH(AQ$2,Fact5_predicpoor_under5!$A$1:$V$1,0)-1,1,1))</f>
        <v>39.057601928710938</v>
      </c>
      <c r="AR78" s="8">
        <f ca="1">IF(OFFSET(Fact5_predicpoor_under5!$A$1,MATCH($Y11,Fact5_predicpoor_under5!$A$2:$A$26,0),MATCH(AR$2,Fact5_predicpoor_under5!$A$1:$V$1,0)-1,1,1)=0,NA(),OFFSET(Fact5_predicpoor_under5!$A$1,MATCH($Y11,Fact5_predicpoor_under5!$A$2:$A$26,0),MATCH(AR$2,Fact5_predicpoor_under5!$A$1:$V$1,0)-1,1,1))</f>
        <v>33.129955291748047</v>
      </c>
      <c r="AS78" s="8">
        <f ca="1">IF(OFFSET(Fact5_predicpoor_under5!$A$1,MATCH($Y11,Fact5_predicpoor_under5!$A$2:$A$26,0),MATCH(AS$2,Fact5_predicpoor_under5!$A$1:$V$1,0)-1,1,1)=0,NA(),OFFSET(Fact5_predicpoor_under5!$A$1,MATCH($Y11,Fact5_predicpoor_under5!$A$2:$A$26,0),MATCH(AS$2,Fact5_predicpoor_under5!$A$1:$V$1,0)-1,1,1))</f>
        <v>29.323764801025391</v>
      </c>
      <c r="AT78" s="88">
        <f ca="1">IF(OFFSET(Fact5_predicpoor_under5!$A$1,MATCH($Y11,Fact5_predicpoor_under5!$A$2:$A$26,0),MATCH(AT$2,Fact5_predicpoor_under5!$A$1:$V$1,0)-1,1,1)=0,NA(),OFFSET(Fact5_predicpoor_under5!$A$1,MATCH($Y11,Fact5_predicpoor_under5!$A$2:$A$26,0),MATCH(AT$2,Fact5_predicpoor_under5!$A$1:$V$1,0)-1,1,1))</f>
        <v>25.954854965209961</v>
      </c>
      <c r="AU78" s="7546">
        <f t="shared" ca="1" si="84"/>
        <v>-30.766313552856445</v>
      </c>
      <c r="AV78" s="7548">
        <f t="shared" ca="1" si="85"/>
        <v>11.393421173095703</v>
      </c>
      <c r="AW78" s="7532">
        <f t="shared" ca="1" si="86"/>
        <v>-0.5424132534056838</v>
      </c>
      <c r="AX78" s="7533">
        <f t="shared" ca="1" si="87"/>
        <v>0.41184740924536811</v>
      </c>
      <c r="AY78" s="7532">
        <f t="shared" ca="1" si="88"/>
        <v>0.19757586839159802</v>
      </c>
      <c r="AZ78" s="7548" t="s">
        <v>27</v>
      </c>
      <c r="BA78" s="7532">
        <f t="shared" ca="1" si="89"/>
        <v>0.13408303951398848</v>
      </c>
      <c r="BB78" s="7532">
        <f t="shared" ca="1" si="90"/>
        <v>-0.11752614184705867</v>
      </c>
      <c r="BC78" s="7532">
        <f t="shared" ca="1" si="91"/>
        <v>-6.0496046331329212E-2</v>
      </c>
      <c r="BD78" s="7532">
        <f t="shared" ca="1" si="92"/>
        <v>-5.0709733127297651E-3</v>
      </c>
      <c r="BE78" s="7532">
        <f t="shared" ca="1" si="93"/>
        <v>-2.9698374935980265E-3</v>
      </c>
      <c r="BF78" s="7532">
        <f t="shared" ca="1" si="94"/>
        <v>-3.5993185152411789E-2</v>
      </c>
      <c r="BG78" s="7532">
        <f t="shared" ca="1" si="95"/>
        <v>6.9269536954212896E-3</v>
      </c>
      <c r="BH78" s="7532">
        <f t="shared" ca="1" si="96"/>
        <v>8.7567369371721604E-3</v>
      </c>
      <c r="BI78" s="7532">
        <f t="shared" ca="1" si="97"/>
        <v>1.9392319258643376E-2</v>
      </c>
      <c r="BJ78" s="7532">
        <f t="shared" ca="1" si="98"/>
        <v>-3.2467840180952279E-2</v>
      </c>
      <c r="BK78" s="7532">
        <f t="shared" ca="1" si="99"/>
        <v>-0.10291951908603325</v>
      </c>
      <c r="BL78" s="7532">
        <f t="shared" ca="1" si="100"/>
        <v>-0.10117517968178658</v>
      </c>
      <c r="BM78" s="7532">
        <f t="shared" ca="1" si="101"/>
        <v>-5.3036022927469118E-2</v>
      </c>
      <c r="BN78" s="7532">
        <f t="shared" ca="1" si="102"/>
        <v>-0.15110347239761834</v>
      </c>
      <c r="BO78" s="7532">
        <f t="shared" ca="1" si="103"/>
        <v>-6.6513372051502428E-2</v>
      </c>
      <c r="BP78" s="7532">
        <f t="shared" ca="1" si="104"/>
        <v>-0.10514459869487069</v>
      </c>
      <c r="BQ78" s="7532">
        <f t="shared" ca="1" si="105"/>
        <v>0.41184740924536811</v>
      </c>
      <c r="BR78" s="7532">
        <f t="shared" ca="1" si="106"/>
        <v>-0.1517667840381548</v>
      </c>
      <c r="BS78" s="7532">
        <f t="shared" ca="1" si="107"/>
        <v>-0.1148866775461872</v>
      </c>
      <c r="BT78" s="7532">
        <f t="shared" ca="1" si="108"/>
        <v>-0.11488667497761496</v>
      </c>
      <c r="BV78" s="8"/>
    </row>
    <row r="79" spans="2:74" ht="15" thickBot="1">
      <c r="B79" s="99" t="s">
        <v>29</v>
      </c>
      <c r="C79">
        <f>IF(Fact5_predicmoderate!B9&gt;0,VLOOKUP(Fact5!$B79,Fact5_predicmoderate!$A$1:$W$19,23,0),"")</f>
        <v>18190484</v>
      </c>
      <c r="D79">
        <f>IF(Fact5_predicmoderate!C9&gt;0,VLOOKUP(Fact5!$B79,Fact5_predicmoderate!$A$1:$W$19,23,0),"")</f>
        <v>18190484</v>
      </c>
      <c r="E79">
        <f>IF(Fact5_predicmoderate!D9&gt;0,VLOOKUP(Fact5!$B79,Fact5_predicmoderate!$A$1:$W$19,23,0),"")</f>
        <v>18190484</v>
      </c>
      <c r="F79">
        <f>IF(Fact5_predicmoderate!E9&gt;0,VLOOKUP(Fact5!$B79,Fact5_predicmoderate!$A$1:$W$19,23,0),"")</f>
        <v>18190484</v>
      </c>
      <c r="G79">
        <f>IF(Fact5_predicmoderate!F9&gt;0,VLOOKUP(Fact5!$B79,Fact5_predicmoderate!$A$1:$W$19,23,0),"")</f>
        <v>18190484</v>
      </c>
      <c r="H79">
        <f>IF(Fact5_predicmoderate!G9&gt;0,VLOOKUP(Fact5!$B79,Fact5_predicmoderate!$A$1:$W$19,23,0),"")</f>
        <v>18190484</v>
      </c>
      <c r="I79">
        <f>IF(Fact5_predicmoderate!H9&gt;0,VLOOKUP(Fact5!$B79,Fact5_predicmoderate!$A$1:$W$19,23,0),"")</f>
        <v>18190484</v>
      </c>
      <c r="J79">
        <f>IF(Fact5_predicmoderate!I9&gt;0,VLOOKUP(Fact5!$B79,Fact5_predicmoderate!$A$1:$W$19,23,0),"")</f>
        <v>18190484</v>
      </c>
      <c r="K79">
        <f>IF(Fact5_predicmoderate!J9&gt;0,VLOOKUP(Fact5!$B79,Fact5_predicmoderate!$A$1:$W$19,23,0),"")</f>
        <v>18190484</v>
      </c>
      <c r="L79">
        <f>IF(Fact5_predicmoderate!K9&gt;0,VLOOKUP(Fact5!$B79,Fact5_predicmoderate!$A$1:$W$19,23,0),"")</f>
        <v>18190484</v>
      </c>
      <c r="M79">
        <f>IF(Fact5_predicmoderate!L9&gt;0,VLOOKUP(Fact5!$B79,Fact5_predicmoderate!$A$1:$W$19,23,0),"")</f>
        <v>18190484</v>
      </c>
      <c r="N79">
        <f>IF(Fact5_predicmoderate!M9&gt;0,VLOOKUP(Fact5!$B79,Fact5_predicmoderate!$A$1:$W$19,23,0),"")</f>
        <v>18190484</v>
      </c>
      <c r="O79">
        <f>IF(Fact5_predicmoderate!N9&gt;0,VLOOKUP(Fact5!$B79,Fact5_predicmoderate!$A$1:$W$19,23,0),"")</f>
        <v>18190484</v>
      </c>
      <c r="P79">
        <f>IF(Fact5_predicmoderate!O9&gt;0,VLOOKUP(Fact5!$B79,Fact5_predicmoderate!$A$1:$W$19,23,0),"")</f>
        <v>18190484</v>
      </c>
      <c r="Q79">
        <f>IF(Fact5_predicmoderate!P9&gt;0,VLOOKUP(Fact5!$B79,Fact5_predicmoderate!$A$1:$W$19,23,0),"")</f>
        <v>18190484</v>
      </c>
      <c r="R79">
        <f>IF(Fact5_predicmoderate!Q9&gt;0,VLOOKUP(Fact5!$B79,Fact5_predicmoderate!$A$1:$W$19,23,0),"")</f>
        <v>18190484</v>
      </c>
      <c r="S79">
        <f>IF(Fact5_predicmoderate!R9&gt;0,VLOOKUP(Fact5!$B79,Fact5_predicmoderate!$A$1:$W$19,23,0),"")</f>
        <v>18190484</v>
      </c>
      <c r="T79">
        <f>IF(Fact5_predicmoderate!S9&gt;0,VLOOKUP(Fact5!$B79,Fact5_predicmoderate!$A$1:$W$19,23,0),"")</f>
        <v>18190484</v>
      </c>
      <c r="U79">
        <f>IF(Fact5_predicmoderate!T9&gt;0,VLOOKUP(Fact5!$B79,Fact5_predicmoderate!$A$1:$W$19,23,0),"")</f>
        <v>18190484</v>
      </c>
      <c r="V79">
        <f>IF(Fact5_predicmoderate!U9&gt;0,VLOOKUP(Fact5!$B79,Fact5_predicmoderate!$A$1:$W$19,23,0),"")</f>
        <v>18190484</v>
      </c>
      <c r="W79">
        <f>IF(Fact5_predicmoderate!V9&gt;0,VLOOKUP(Fact5!$B79,Fact5_predicmoderate!$A$1:$W$19,23,0),"")</f>
        <v>18190484</v>
      </c>
      <c r="X79" s="2562"/>
      <c r="Y79" s="2563" t="s">
        <v>29</v>
      </c>
      <c r="Z79" s="8">
        <f ca="1">IF(OFFSET(Fact5_predicpoor_under5!$A$1,MATCH($Y12,Fact5_predicpoor_under5!$A$2:$A$26,0),MATCH(Z$2,Fact5_predicpoor_under5!$A$1:$V$1,0)-1,1,1)=0,NA(),OFFSET(Fact5_predicpoor_under5!$A$1,MATCH($Y12,Fact5_predicpoor_under5!$A$2:$A$26,0),MATCH(Z$2,Fact5_predicpoor_under5!$A$1:$V$1,0)-1,1,1))</f>
        <v>63.337863922119141</v>
      </c>
      <c r="AA79" s="8">
        <f ca="1">IF(OFFSET(Fact5_predicpoor_under5!$A$1,MATCH($Y12,Fact5_predicpoor_under5!$A$2:$A$26,0),MATCH(AA$2,Fact5_predicpoor_under5!$A$1:$V$1,0)-1,1,1)=0,NA(),OFFSET(Fact5_predicpoor_under5!$A$1,MATCH($Y12,Fact5_predicpoor_under5!$A$2:$A$26,0),MATCH(AA$2,Fact5_predicpoor_under5!$A$1:$V$1,0)-1,1,1))</f>
        <v>58.339691162109375</v>
      </c>
      <c r="AB79" s="8">
        <f ca="1">IF(OFFSET(Fact5_predicpoor_under5!$A$1,MATCH($Y12,Fact5_predicpoor_under5!$A$2:$A$26,0),MATCH(AB$2,Fact5_predicpoor_under5!$A$1:$V$1,0)-1,1,1)=0,NA(),OFFSET(Fact5_predicpoor_under5!$A$1,MATCH($Y12,Fact5_predicpoor_under5!$A$2:$A$26,0),MATCH(AB$2,Fact5_predicpoor_under5!$A$1:$V$1,0)-1,1,1))</f>
        <v>56.275814056396484</v>
      </c>
      <c r="AC79" s="8">
        <f ca="1">IF(OFFSET(Fact5_predicpoor_under5!$A$1,MATCH($Y12,Fact5_predicpoor_under5!$A$2:$A$26,0),MATCH(AC$2,Fact5_predicpoor_under5!$A$1:$V$1,0)-1,1,1)=0,NA(),OFFSET(Fact5_predicpoor_under5!$A$1,MATCH($Y12,Fact5_predicpoor_under5!$A$2:$A$26,0),MATCH(AC$2,Fact5_predicpoor_under5!$A$1:$V$1,0)-1,1,1))</f>
        <v>52.310771942138672</v>
      </c>
      <c r="AD79" s="8">
        <f ca="1">IF(OFFSET(Fact5_predicpoor_under5!$A$1,MATCH($Y12,Fact5_predicpoor_under5!$A$2:$A$26,0),MATCH(AD$2,Fact5_predicpoor_under5!$A$1:$V$1,0)-1,1,1)=0,NA(),OFFSET(Fact5_predicpoor_under5!$A$1,MATCH($Y12,Fact5_predicpoor_under5!$A$2:$A$26,0),MATCH(AD$2,Fact5_predicpoor_under5!$A$1:$V$1,0)-1,1,1))</f>
        <v>51.56231689453125</v>
      </c>
      <c r="AE79" s="8">
        <f ca="1">IF(OFFSET(Fact5_predicpoor_under5!$A$1,MATCH($Y12,Fact5_predicpoor_under5!$A$2:$A$26,0),MATCH(AE$2,Fact5_predicpoor_under5!$A$1:$V$1,0)-1,1,1)=0,NA(),OFFSET(Fact5_predicpoor_under5!$A$1,MATCH($Y12,Fact5_predicpoor_under5!$A$2:$A$26,0),MATCH(AE$2,Fact5_predicpoor_under5!$A$1:$V$1,0)-1,1,1))</f>
        <v>49.671478271484375</v>
      </c>
      <c r="AF79" s="8">
        <f ca="1">IF(OFFSET(Fact5_predicpoor_under5!$A$1,MATCH($Y12,Fact5_predicpoor_under5!$A$2:$A$26,0),MATCH(AF$2,Fact5_predicpoor_under5!$A$1:$V$1,0)-1,1,1)=0,NA(),OFFSET(Fact5_predicpoor_under5!$A$1,MATCH($Y12,Fact5_predicpoor_under5!$A$2:$A$26,0),MATCH(AF$2,Fact5_predicpoor_under5!$A$1:$V$1,0)-1,1,1))</f>
        <v>51.509048461914063</v>
      </c>
      <c r="AG79" s="8">
        <f ca="1">IF(OFFSET(Fact5_predicpoor_under5!$A$1,MATCH($Y12,Fact5_predicpoor_under5!$A$2:$A$26,0),MATCH(AG$2,Fact5_predicpoor_under5!$A$1:$V$1,0)-1,1,1)=0,NA(),OFFSET(Fact5_predicpoor_under5!$A$1,MATCH($Y12,Fact5_predicpoor_under5!$A$2:$A$26,0),MATCH(AG$2,Fact5_predicpoor_under5!$A$1:$V$1,0)-1,1,1))</f>
        <v>47.537281036376953</v>
      </c>
      <c r="AH79" s="8">
        <f ca="1">IF(OFFSET(Fact5_predicpoor_under5!$A$1,MATCH($Y12,Fact5_predicpoor_under5!$A$2:$A$26,0),MATCH(AH$2,Fact5_predicpoor_under5!$A$1:$V$1,0)-1,1,1)=0,NA(),OFFSET(Fact5_predicpoor_under5!$A$1,MATCH($Y12,Fact5_predicpoor_under5!$A$2:$A$26,0),MATCH(AH$2,Fact5_predicpoor_under5!$A$1:$V$1,0)-1,1,1))</f>
        <v>43.781993865966797</v>
      </c>
      <c r="AI79" s="8">
        <f ca="1">IF(OFFSET(Fact5_predicpoor_under5!$A$1,MATCH($Y12,Fact5_predicpoor_under5!$A$2:$A$26,0),MATCH(AI$2,Fact5_predicpoor_under5!$A$1:$V$1,0)-1,1,1)=0,NA(),OFFSET(Fact5_predicpoor_under5!$A$1,MATCH($Y12,Fact5_predicpoor_under5!$A$2:$A$26,0),MATCH(AI$2,Fact5_predicpoor_under5!$A$1:$V$1,0)-1,1,1))</f>
        <v>41.126041412353516</v>
      </c>
      <c r="AJ79" s="8">
        <f ca="1">IF(OFFSET(Fact5_predicpoor_under5!$A$1,MATCH($Y12,Fact5_predicpoor_under5!$A$2:$A$26,0),MATCH(AJ$2,Fact5_predicpoor_under5!$A$1:$V$1,0)-1,1,1)=0,NA(),OFFSET(Fact5_predicpoor_under5!$A$1,MATCH($Y12,Fact5_predicpoor_under5!$A$2:$A$26,0),MATCH(AJ$2,Fact5_predicpoor_under5!$A$1:$V$1,0)-1,1,1))</f>
        <v>40.811492919921875</v>
      </c>
      <c r="AK79" s="8">
        <f ca="1">IF(OFFSET(Fact5_predicpoor_under5!$A$1,MATCH($Y12,Fact5_predicpoor_under5!$A$2:$A$26,0),MATCH(AK$2,Fact5_predicpoor_under5!$A$1:$V$1,0)-1,1,1)=0,NA(),OFFSET(Fact5_predicpoor_under5!$A$1,MATCH($Y12,Fact5_predicpoor_under5!$A$2:$A$26,0),MATCH(AK$2,Fact5_predicpoor_under5!$A$1:$V$1,0)-1,1,1))</f>
        <v>36.608932495117188</v>
      </c>
      <c r="AL79" s="8">
        <f ca="1">IF(OFFSET(Fact5_predicpoor_under5!$A$1,MATCH($Y12,Fact5_predicpoor_under5!$A$2:$A$26,0),MATCH(AL$2,Fact5_predicpoor_under5!$A$1:$V$1,0)-1,1,1)=0,NA(),OFFSET(Fact5_predicpoor_under5!$A$1,MATCH($Y12,Fact5_predicpoor_under5!$A$2:$A$26,0),MATCH(AL$2,Fact5_predicpoor_under5!$A$1:$V$1,0)-1,1,1))</f>
        <v>37.153495788574219</v>
      </c>
      <c r="AM79" s="8">
        <f ca="1">IF(OFFSET(Fact5_predicpoor_under5!$A$1,MATCH($Y12,Fact5_predicpoor_under5!$A$2:$A$26,0),MATCH(AM$2,Fact5_predicpoor_under5!$A$1:$V$1,0)-1,1,1)=0,NA(),OFFSET(Fact5_predicpoor_under5!$A$1,MATCH($Y12,Fact5_predicpoor_under5!$A$2:$A$26,0),MATCH(AM$2,Fact5_predicpoor_under5!$A$1:$V$1,0)-1,1,1))</f>
        <v>37.860443115234375</v>
      </c>
      <c r="AN79" s="8">
        <f ca="1">IF(OFFSET(Fact5_predicpoor_under5!$A$1,MATCH($Y12,Fact5_predicpoor_under5!$A$2:$A$26,0),MATCH(AN$2,Fact5_predicpoor_under5!$A$1:$V$1,0)-1,1,1)=0,NA(),OFFSET(Fact5_predicpoor_under5!$A$1,MATCH($Y12,Fact5_predicpoor_under5!$A$2:$A$26,0),MATCH(AN$2,Fact5_predicpoor_under5!$A$1:$V$1,0)-1,1,1))</f>
        <v>35.812149047851563</v>
      </c>
      <c r="AO79" s="8">
        <f ca="1">IF(OFFSET(Fact5_predicpoor_under5!$A$1,MATCH($Y12,Fact5_predicpoor_under5!$A$2:$A$26,0),MATCH(AO$2,Fact5_predicpoor_under5!$A$1:$V$1,0)-1,1,1)=0,NA(),OFFSET(Fact5_predicpoor_under5!$A$1,MATCH($Y12,Fact5_predicpoor_under5!$A$2:$A$26,0),MATCH(AO$2,Fact5_predicpoor_under5!$A$1:$V$1,0)-1,1,1))</f>
        <v>37.40350341796875</v>
      </c>
      <c r="AP79" s="8">
        <f ca="1">IF(OFFSET(Fact5_predicpoor_under5!$A$1,MATCH($Y12,Fact5_predicpoor_under5!$A$2:$A$26,0),MATCH(AP$2,Fact5_predicpoor_under5!$A$1:$V$1,0)-1,1,1)=0,NA(),OFFSET(Fact5_predicpoor_under5!$A$1,MATCH($Y12,Fact5_predicpoor_under5!$A$2:$A$26,0),MATCH(AP$2,Fact5_predicpoor_under5!$A$1:$V$1,0)-1,1,1))</f>
        <v>39.098251342773438</v>
      </c>
      <c r="AQ79" s="8">
        <f ca="1">IF(OFFSET(Fact5_predicpoor_under5!$A$1,MATCH($Y12,Fact5_predicpoor_under5!$A$2:$A$26,0),MATCH(AQ$2,Fact5_predicpoor_under5!$A$1:$V$1,0)-1,1,1)=0,NA(),OFFSET(Fact5_predicpoor_under5!$A$1,MATCH($Y12,Fact5_predicpoor_under5!$A$2:$A$26,0),MATCH(AQ$2,Fact5_predicpoor_under5!$A$1:$V$1,0)-1,1,1))</f>
        <v>47.238983154296875</v>
      </c>
      <c r="AR79" s="8">
        <f ca="1">IF(OFFSET(Fact5_predicpoor_under5!$A$1,MATCH($Y12,Fact5_predicpoor_under5!$A$2:$A$26,0),MATCH(AR$2,Fact5_predicpoor_under5!$A$1:$V$1,0)-1,1,1)=0,NA(),OFFSET(Fact5_predicpoor_under5!$A$1,MATCH($Y12,Fact5_predicpoor_under5!$A$2:$A$26,0),MATCH(AR$2,Fact5_predicpoor_under5!$A$1:$V$1,0)-1,1,1))</f>
        <v>41.8187255859375</v>
      </c>
      <c r="AS79" s="8">
        <f ca="1">IF(OFFSET(Fact5_predicpoor_under5!$A$1,MATCH($Y12,Fact5_predicpoor_under5!$A$2:$A$26,0),MATCH(AS$2,Fact5_predicpoor_under5!$A$1:$V$1,0)-1,1,1)=0,NA(),OFFSET(Fact5_predicpoor_under5!$A$1,MATCH($Y12,Fact5_predicpoor_under5!$A$2:$A$26,0),MATCH(AS$2,Fact5_predicpoor_under5!$A$1:$V$1,0)-1,1,1))</f>
        <v>40.356998443603516</v>
      </c>
      <c r="AT79" s="8">
        <f ca="1">IF(OFFSET(Fact5_predicpoor_under5!$A$1,MATCH($Y12,Fact5_predicpoor_under5!$A$2:$A$26,0),MATCH(AT$2,Fact5_predicpoor_under5!$A$1:$V$1,0)-1,1,1)=0,NA(),OFFSET(Fact5_predicpoor_under5!$A$1,MATCH($Y12,Fact5_predicpoor_under5!$A$2:$A$26,0),MATCH(AT$2,Fact5_predicpoor_under5!$A$1:$V$1,0)-1,1,1))</f>
        <v>40.369815826416016</v>
      </c>
      <c r="AU79" s="8">
        <f t="shared" ca="1" si="84"/>
        <v>-22.968048095703125</v>
      </c>
      <c r="AV79" s="8">
        <f t="shared" ca="1" si="85"/>
        <v>8.1407318115234375</v>
      </c>
      <c r="AW79" s="7532">
        <f t="shared" ca="1" si="86"/>
        <v>-0.36262745020805975</v>
      </c>
      <c r="AX79" s="7532">
        <f t="shared" ca="1" si="87"/>
        <v>0.2082121714384062</v>
      </c>
      <c r="AY79" s="7532">
        <f t="shared" ca="1" si="88"/>
        <v>6.9580458197828987E-2</v>
      </c>
      <c r="AZ79" s="2563" t="s">
        <v>29</v>
      </c>
      <c r="BA79" s="7532">
        <f t="shared" ca="1" si="89"/>
        <v>-7.8912872182673621E-2</v>
      </c>
      <c r="BB79" s="7532">
        <f t="shared" ca="1" si="90"/>
        <v>-3.5376894608131648E-2</v>
      </c>
      <c r="BC79" s="7532">
        <f t="shared" ca="1" si="91"/>
        <v>-7.045730356355695E-2</v>
      </c>
      <c r="BD79" s="7532">
        <f t="shared" ca="1" si="92"/>
        <v>-1.4307857059255302E-2</v>
      </c>
      <c r="BE79" s="7532">
        <f t="shared" ca="1" si="93"/>
        <v>-3.6670939882599063E-2</v>
      </c>
      <c r="BF79" s="7532">
        <f t="shared" ca="1" si="94"/>
        <v>3.6994473576692499E-2</v>
      </c>
      <c r="BG79" s="7532">
        <f t="shared" ca="1" si="95"/>
        <v>-7.7108149813208904E-2</v>
      </c>
      <c r="BH79" s="7532">
        <f t="shared" ca="1" si="96"/>
        <v>-7.8996675630995772E-2</v>
      </c>
      <c r="BI79" s="7532">
        <f t="shared" ca="1" si="97"/>
        <v>-6.066312241841143E-2</v>
      </c>
      <c r="BJ79" s="7532">
        <f t="shared" ca="1" si="98"/>
        <v>-7.6484018794270581E-3</v>
      </c>
      <c r="BK79" s="7532">
        <f t="shared" ca="1" si="99"/>
        <v>-0.10297492505483019</v>
      </c>
      <c r="BL79" s="7532">
        <f t="shared" ca="1" si="100"/>
        <v>1.4875148122105442E-2</v>
      </c>
      <c r="BM79" s="7532">
        <f t="shared" ca="1" si="101"/>
        <v>1.9027747232268855E-2</v>
      </c>
      <c r="BN79" s="7532">
        <f t="shared" ca="1" si="102"/>
        <v>-5.4101164668054702E-2</v>
      </c>
      <c r="BO79" s="7532">
        <f t="shared" ca="1" si="103"/>
        <v>4.4436159583465695E-2</v>
      </c>
      <c r="BP79" s="7532">
        <f t="shared" ca="1" si="104"/>
        <v>4.5309871267046331E-2</v>
      </c>
      <c r="BQ79" s="7532">
        <f t="shared" ca="1" si="105"/>
        <v>0.2082121714384062</v>
      </c>
      <c r="BR79" s="7532">
        <f t="shared" ca="1" si="106"/>
        <v>-0.11474119903587188</v>
      </c>
      <c r="BS79" s="7532">
        <f t="shared" ca="1" si="107"/>
        <v>-3.4953890197589432E-2</v>
      </c>
      <c r="BT79" s="7532">
        <f t="shared" ca="1" si="108"/>
        <v>3.1760000264657862E-4</v>
      </c>
      <c r="BV79" s="8"/>
    </row>
    <row r="80" spans="2:74" ht="15" thickBot="1">
      <c r="B80" s="99" t="s">
        <v>31</v>
      </c>
      <c r="C80">
        <f>IF(Fact5_predicmoderate!B10&gt;0,VLOOKUP(Fact5!$B80,Fact5_predicmoderate!$A$1:$W$19,23,0),"")</f>
        <v>18092026</v>
      </c>
      <c r="D80">
        <f>IF(Fact5_predicmoderate!C10&gt;0,VLOOKUP(Fact5!$B80,Fact5_predicmoderate!$A$1:$W$19,23,0),"")</f>
        <v>18092026</v>
      </c>
      <c r="E80">
        <f>IF(Fact5_predicmoderate!D10&gt;0,VLOOKUP(Fact5!$B80,Fact5_predicmoderate!$A$1:$W$19,23,0),"")</f>
        <v>18092026</v>
      </c>
      <c r="F80">
        <f>IF(Fact5_predicmoderate!E10&gt;0,VLOOKUP(Fact5!$B80,Fact5_predicmoderate!$A$1:$W$19,23,0),"")</f>
        <v>18092026</v>
      </c>
      <c r="G80">
        <f>IF(Fact5_predicmoderate!F10&gt;0,VLOOKUP(Fact5!$B80,Fact5_predicmoderate!$A$1:$W$19,23,0),"")</f>
        <v>18092026</v>
      </c>
      <c r="H80">
        <f>IF(Fact5_predicmoderate!G10&gt;0,VLOOKUP(Fact5!$B80,Fact5_predicmoderate!$A$1:$W$19,23,0),"")</f>
        <v>18092026</v>
      </c>
      <c r="I80">
        <f>IF(Fact5_predicmoderate!H10&gt;0,VLOOKUP(Fact5!$B80,Fact5_predicmoderate!$A$1:$W$19,23,0),"")</f>
        <v>18092026</v>
      </c>
      <c r="J80">
        <f>IF(Fact5_predicmoderate!I10&gt;0,VLOOKUP(Fact5!$B80,Fact5_predicmoderate!$A$1:$W$19,23,0),"")</f>
        <v>18092026</v>
      </c>
      <c r="K80">
        <f>IF(Fact5_predicmoderate!J10&gt;0,VLOOKUP(Fact5!$B80,Fact5_predicmoderate!$A$1:$W$19,23,0),"")</f>
        <v>18092026</v>
      </c>
      <c r="L80">
        <f>IF(Fact5_predicmoderate!K10&gt;0,VLOOKUP(Fact5!$B80,Fact5_predicmoderate!$A$1:$W$19,23,0),"")</f>
        <v>18092026</v>
      </c>
      <c r="M80">
        <f>IF(Fact5_predicmoderate!L10&gt;0,VLOOKUP(Fact5!$B80,Fact5_predicmoderate!$A$1:$W$19,23,0),"")</f>
        <v>18092026</v>
      </c>
      <c r="N80">
        <f>IF(Fact5_predicmoderate!M10&gt;0,VLOOKUP(Fact5!$B80,Fact5_predicmoderate!$A$1:$W$19,23,0),"")</f>
        <v>18092026</v>
      </c>
      <c r="O80">
        <f>IF(Fact5_predicmoderate!N10&gt;0,VLOOKUP(Fact5!$B80,Fact5_predicmoderate!$A$1:$W$19,23,0),"")</f>
        <v>18092026</v>
      </c>
      <c r="P80">
        <f>IF(Fact5_predicmoderate!O10&gt;0,VLOOKUP(Fact5!$B80,Fact5_predicmoderate!$A$1:$W$19,23,0),"")</f>
        <v>18092026</v>
      </c>
      <c r="Q80">
        <f>IF(Fact5_predicmoderate!P10&gt;0,VLOOKUP(Fact5!$B80,Fact5_predicmoderate!$A$1:$W$19,23,0),"")</f>
        <v>18092026</v>
      </c>
      <c r="R80">
        <f>IF(Fact5_predicmoderate!Q10&gt;0,VLOOKUP(Fact5!$B80,Fact5_predicmoderate!$A$1:$W$19,23,0),"")</f>
        <v>18092026</v>
      </c>
      <c r="S80">
        <f>IF(Fact5_predicmoderate!R10&gt;0,VLOOKUP(Fact5!$B80,Fact5_predicmoderate!$A$1:$W$19,23,0),"")</f>
        <v>18092026</v>
      </c>
      <c r="T80">
        <f>IF(Fact5_predicmoderate!S10&gt;0,VLOOKUP(Fact5!$B80,Fact5_predicmoderate!$A$1:$W$19,23,0),"")</f>
        <v>18092026</v>
      </c>
      <c r="U80">
        <f>IF(Fact5_predicmoderate!T10&gt;0,VLOOKUP(Fact5!$B80,Fact5_predicmoderate!$A$1:$W$19,23,0),"")</f>
        <v>18092026</v>
      </c>
      <c r="V80">
        <f>IF(Fact5_predicmoderate!U10&gt;0,VLOOKUP(Fact5!$B80,Fact5_predicmoderate!$A$1:$W$19,23,0),"")</f>
        <v>18092026</v>
      </c>
      <c r="W80">
        <f>IF(Fact5_predicmoderate!V10&gt;0,VLOOKUP(Fact5!$B80,Fact5_predicmoderate!$A$1:$W$19,23,0),"")</f>
        <v>18092026</v>
      </c>
      <c r="X80" s="2562"/>
      <c r="Y80" s="2563" t="s">
        <v>31</v>
      </c>
      <c r="Z80" s="8">
        <f ca="1">IF(OFFSET(Fact5_predicpoor_under5!$A$1,MATCH($Y13,Fact5_predicpoor_under5!$A$2:$A$26,0),MATCH(Z$2,Fact5_predicpoor_under5!$A$1:$V$1,0)-1,1,1)=0,NA(),OFFSET(Fact5_predicpoor_under5!$A$1,MATCH($Y13,Fact5_predicpoor_under5!$A$2:$A$26,0),MATCH(Z$2,Fact5_predicpoor_under5!$A$1:$V$1,0)-1,1,1))</f>
        <v>48.775291442871094</v>
      </c>
      <c r="AA80" s="8">
        <f ca="1">IF(OFFSET(Fact5_predicpoor_under5!$A$1,MATCH($Y13,Fact5_predicpoor_under5!$A$2:$A$26,0),MATCH(AA$2,Fact5_predicpoor_under5!$A$1:$V$1,0)-1,1,1)=0,NA(),OFFSET(Fact5_predicpoor_under5!$A$1,MATCH($Y13,Fact5_predicpoor_under5!$A$2:$A$26,0),MATCH(AA$2,Fact5_predicpoor_under5!$A$1:$V$1,0)-1,1,1))</f>
        <v>63.768726348876953</v>
      </c>
      <c r="AB80" s="88">
        <f ca="1">IF(OFFSET(Fact5_predicpoor_under5!$A$1,MATCH($Y13,Fact5_predicpoor_under5!$A$2:$A$26,0),MATCH(AB$2,Fact5_predicpoor_under5!$A$1:$V$1,0)-1,1,1)=0,NA(),OFFSET(Fact5_predicpoor_under5!$A$1,MATCH($Y13,Fact5_predicpoor_under5!$A$2:$A$26,0),MATCH(AB$2,Fact5_predicpoor_under5!$A$1:$V$1,0)-1,1,1))</f>
        <v>57.234706878662109</v>
      </c>
      <c r="AC80" s="8">
        <f ca="1">IF(OFFSET(Fact5_predicpoor_under5!$A$1,MATCH($Y13,Fact5_predicpoor_under5!$A$2:$A$26,0),MATCH(AC$2,Fact5_predicpoor_under5!$A$1:$V$1,0)-1,1,1)=0,NA(),OFFSET(Fact5_predicpoor_under5!$A$1,MATCH($Y13,Fact5_predicpoor_under5!$A$2:$A$26,0),MATCH(AC$2,Fact5_predicpoor_under5!$A$1:$V$1,0)-1,1,1))</f>
        <v>50.700687408447266</v>
      </c>
      <c r="AD80" s="88">
        <f ca="1">IF(OFFSET(Fact5_predicpoor_under5!$A$1,MATCH($Y13,Fact5_predicpoor_under5!$A$2:$A$26,0),MATCH(AD$2,Fact5_predicpoor_under5!$A$1:$V$1,0)-1,1,1)=0,NA(),OFFSET(Fact5_predicpoor_under5!$A$1,MATCH($Y13,Fact5_predicpoor_under5!$A$2:$A$26,0),MATCH(AD$2,Fact5_predicpoor_under5!$A$1:$V$1,0)-1,1,1))</f>
        <v>55.118621826171875</v>
      </c>
      <c r="AE80" s="88">
        <f ca="1">IF(OFFSET(Fact5_predicpoor_under5!$A$1,MATCH($Y13,Fact5_predicpoor_under5!$A$2:$A$26,0),MATCH(AE$2,Fact5_predicpoor_under5!$A$1:$V$1,0)-1,1,1)=0,NA(),OFFSET(Fact5_predicpoor_under5!$A$1,MATCH($Y13,Fact5_predicpoor_under5!$A$2:$A$26,0),MATCH(AE$2,Fact5_predicpoor_under5!$A$1:$V$1,0)-1,1,1))</f>
        <v>59.921524047851563</v>
      </c>
      <c r="AF80" s="88">
        <f ca="1">IF(OFFSET(Fact5_predicpoor_under5!$A$1,MATCH($Y13,Fact5_predicpoor_under5!$A$2:$A$26,0),MATCH(AF$2,Fact5_predicpoor_under5!$A$1:$V$1,0)-1,1,1)=0,NA(),OFFSET(Fact5_predicpoor_under5!$A$1,MATCH($Y13,Fact5_predicpoor_under5!$A$2:$A$26,0),MATCH(AF$2,Fact5_predicpoor_under5!$A$1:$V$1,0)-1,1,1))</f>
        <v>65.1429443359375</v>
      </c>
      <c r="AG80" s="8">
        <f ca="1">IF(OFFSET(Fact5_predicpoor_under5!$A$1,MATCH($Y13,Fact5_predicpoor_under5!$A$2:$A$26,0),MATCH(AG$2,Fact5_predicpoor_under5!$A$1:$V$1,0)-1,1,1)=0,NA(),OFFSET(Fact5_predicpoor_under5!$A$1,MATCH($Y13,Fact5_predicpoor_under5!$A$2:$A$26,0),MATCH(AG$2,Fact5_predicpoor_under5!$A$1:$V$1,0)-1,1,1))</f>
        <v>70.819351196289063</v>
      </c>
      <c r="AH80" s="8">
        <f ca="1">IF(OFFSET(Fact5_predicpoor_under5!$A$1,MATCH($Y13,Fact5_predicpoor_under5!$A$2:$A$26,0),MATCH(AH$2,Fact5_predicpoor_under5!$A$1:$V$1,0)-1,1,1)=0,NA(),OFFSET(Fact5_predicpoor_under5!$A$1,MATCH($Y13,Fact5_predicpoor_under5!$A$2:$A$26,0),MATCH(AH$2,Fact5_predicpoor_under5!$A$1:$V$1,0)-1,1,1))</f>
        <v>69.139884948730469</v>
      </c>
      <c r="AI80" s="8">
        <f ca="1">IF(OFFSET(Fact5_predicpoor_under5!$A$1,MATCH($Y13,Fact5_predicpoor_under5!$A$2:$A$26,0),MATCH(AI$2,Fact5_predicpoor_under5!$A$1:$V$1,0)-1,1,1)=0,NA(),OFFSET(Fact5_predicpoor_under5!$A$1,MATCH($Y13,Fact5_predicpoor_under5!$A$2:$A$26,0),MATCH(AI$2,Fact5_predicpoor_under5!$A$1:$V$1,0)-1,1,1))</f>
        <v>60.104316711425781</v>
      </c>
      <c r="AJ80" s="8">
        <f ca="1">IF(OFFSET(Fact5_predicpoor_under5!$A$1,MATCH($Y13,Fact5_predicpoor_under5!$A$2:$A$26,0),MATCH(AJ$2,Fact5_predicpoor_under5!$A$1:$V$1,0)-1,1,1)=0,NA(),OFFSET(Fact5_predicpoor_under5!$A$1,MATCH($Y13,Fact5_predicpoor_under5!$A$2:$A$26,0),MATCH(AJ$2,Fact5_predicpoor_under5!$A$1:$V$1,0)-1,1,1))</f>
        <v>58.298164367675781</v>
      </c>
      <c r="AK80" s="8">
        <f ca="1">IF(OFFSET(Fact5_predicpoor_under5!$A$1,MATCH($Y13,Fact5_predicpoor_under5!$A$2:$A$26,0),MATCH(AK$2,Fact5_predicpoor_under5!$A$1:$V$1,0)-1,1,1)=0,NA(),OFFSET(Fact5_predicpoor_under5!$A$1,MATCH($Y13,Fact5_predicpoor_under5!$A$2:$A$26,0),MATCH(AK$2,Fact5_predicpoor_under5!$A$1:$V$1,0)-1,1,1))</f>
        <v>56.932670593261719</v>
      </c>
      <c r="AL80" s="8">
        <f ca="1">IF(OFFSET(Fact5_predicpoor_under5!$A$1,MATCH($Y13,Fact5_predicpoor_under5!$A$2:$A$26,0),MATCH(AL$2,Fact5_predicpoor_under5!$A$1:$V$1,0)-1,1,1)=0,NA(),OFFSET(Fact5_predicpoor_under5!$A$1,MATCH($Y13,Fact5_predicpoor_under5!$A$2:$A$26,0),MATCH(AL$2,Fact5_predicpoor_under5!$A$1:$V$1,0)-1,1,1))</f>
        <v>55.933719635009766</v>
      </c>
      <c r="AM80" s="8">
        <f ca="1">IF(OFFSET(Fact5_predicpoor_under5!$A$1,MATCH($Y13,Fact5_predicpoor_under5!$A$2:$A$26,0),MATCH(AM$2,Fact5_predicpoor_under5!$A$1:$V$1,0)-1,1,1)=0,NA(),OFFSET(Fact5_predicpoor_under5!$A$1,MATCH($Y13,Fact5_predicpoor_under5!$A$2:$A$26,0),MATCH(AM$2,Fact5_predicpoor_under5!$A$1:$V$1,0)-1,1,1))</f>
        <v>55.923187255859375</v>
      </c>
      <c r="AN80" s="8">
        <f ca="1">IF(OFFSET(Fact5_predicpoor_under5!$A$1,MATCH($Y13,Fact5_predicpoor_under5!$A$2:$A$26,0),MATCH(AN$2,Fact5_predicpoor_under5!$A$1:$V$1,0)-1,1,1)=0,NA(),OFFSET(Fact5_predicpoor_under5!$A$1,MATCH($Y13,Fact5_predicpoor_under5!$A$2:$A$26,0),MATCH(AN$2,Fact5_predicpoor_under5!$A$1:$V$1,0)-1,1,1))</f>
        <v>56.833820343017578</v>
      </c>
      <c r="AO80" s="8">
        <f ca="1">IF(OFFSET(Fact5_predicpoor_under5!$A$1,MATCH($Y13,Fact5_predicpoor_under5!$A$2:$A$26,0),MATCH(AO$2,Fact5_predicpoor_under5!$A$1:$V$1,0)-1,1,1)=0,NA(),OFFSET(Fact5_predicpoor_under5!$A$1,MATCH($Y13,Fact5_predicpoor_under5!$A$2:$A$26,0),MATCH(AO$2,Fact5_predicpoor_under5!$A$1:$V$1,0)-1,1,1))</f>
        <v>59.322078704833984</v>
      </c>
      <c r="AP80" s="8">
        <f ca="1">IF(OFFSET(Fact5_predicpoor_under5!$A$1,MATCH($Y13,Fact5_predicpoor_under5!$A$2:$A$26,0),MATCH(AP$2,Fact5_predicpoor_under5!$A$1:$V$1,0)-1,1,1)=0,NA(),OFFSET(Fact5_predicpoor_under5!$A$1,MATCH($Y13,Fact5_predicpoor_under5!$A$2:$A$26,0),MATCH(AP$2,Fact5_predicpoor_under5!$A$1:$V$1,0)-1,1,1))</f>
        <v>58.005214691162109</v>
      </c>
      <c r="AQ80" s="88">
        <f ca="1">IF(OFFSET(Fact5_predicpoor_under5!$A$1,MATCH($Y13,Fact5_predicpoor_under5!$A$2:$A$26,0),MATCH(AQ$2,Fact5_predicpoor_under5!$A$1:$V$1,0)-1,1,1)=0,NA(),OFFSET(Fact5_predicpoor_under5!$A$1,MATCH($Y13,Fact5_predicpoor_under5!$A$2:$A$26,0),MATCH(AQ$2,Fact5_predicpoor_under5!$A$1:$V$1,0)-1,1,1))</f>
        <v>58.724037170410156</v>
      </c>
      <c r="AR80" s="8">
        <f ca="1">IF(OFFSET(Fact5_predicpoor_under5!$A$1,MATCH($Y13,Fact5_predicpoor_under5!$A$2:$A$26,0),MATCH(AR$2,Fact5_predicpoor_under5!$A$1:$V$1,0)-1,1,1)=0,NA(),OFFSET(Fact5_predicpoor_under5!$A$1,MATCH($Y13,Fact5_predicpoor_under5!$A$2:$A$26,0),MATCH(AR$2,Fact5_predicpoor_under5!$A$1:$V$1,0)-1,1,1))</f>
        <v>59.442855834960938</v>
      </c>
      <c r="AS80" s="8">
        <f ca="1">IF(OFFSET(Fact5_predicpoor_under5!$A$1,MATCH($Y13,Fact5_predicpoor_under5!$A$2:$A$26,0),MATCH(AS$2,Fact5_predicpoor_under5!$A$1:$V$1,0)-1,1,1)=0,NA(),OFFSET(Fact5_predicpoor_under5!$A$1,MATCH($Y13,Fact5_predicpoor_under5!$A$2:$A$26,0),MATCH(AS$2,Fact5_predicpoor_under5!$A$1:$V$1,0)-1,1,1))</f>
        <v>55.366111755371094</v>
      </c>
      <c r="AT80" s="88">
        <f ca="1">IF(OFFSET(Fact5_predicpoor_under5!$A$1,MATCH($Y13,Fact5_predicpoor_under5!$A$2:$A$26,0),MATCH(AT$2,Fact5_predicpoor_under5!$A$1:$V$1,0)-1,1,1)=0,NA(),OFFSET(Fact5_predicpoor_under5!$A$1,MATCH($Y13,Fact5_predicpoor_under5!$A$2:$A$26,0),MATCH(AT$2,Fact5_predicpoor_under5!$A$1:$V$1,0)-1,1,1))</f>
        <v>51.568962097167969</v>
      </c>
      <c r="AU80" s="8">
        <f t="shared" ca="1" si="84"/>
        <v>2.793670654296875</v>
      </c>
      <c r="AV80" s="8">
        <f t="shared" ca="1" si="85"/>
        <v>0.71882247924804688</v>
      </c>
      <c r="AW80" s="7534">
        <f t="shared" ca="1" si="86"/>
        <v>5.7276349800369886E-2</v>
      </c>
      <c r="AX80" s="7532">
        <f t="shared" ca="1" si="87"/>
        <v>1.2392376841897423E-2</v>
      </c>
      <c r="AY80" s="7532">
        <f t="shared" ca="1" si="88"/>
        <v>2.4784687919065185E-2</v>
      </c>
      <c r="AZ80" s="2563" t="s">
        <v>31</v>
      </c>
      <c r="BA80" s="7532">
        <f t="shared" ca="1" si="89"/>
        <v>0.30739816129171027</v>
      </c>
      <c r="BB80" s="7532">
        <f t="shared" ca="1" si="90"/>
        <v>-0.10246432451022158</v>
      </c>
      <c r="BC80" s="7532">
        <f t="shared" ca="1" si="91"/>
        <v>-0.11416184036841492</v>
      </c>
      <c r="BD80" s="7532">
        <f t="shared" ca="1" si="92"/>
        <v>8.713756446995502E-2</v>
      </c>
      <c r="BE80" s="7532">
        <f t="shared" ca="1" si="93"/>
        <v>8.7137560094057598E-2</v>
      </c>
      <c r="BF80" s="7532">
        <f t="shared" ca="1" si="94"/>
        <v>8.7137641624673412E-2</v>
      </c>
      <c r="BG80" s="7532">
        <f t="shared" ca="1" si="95"/>
        <v>8.713770797768583E-2</v>
      </c>
      <c r="BH80" s="7532">
        <f t="shared" ca="1" si="96"/>
        <v>-2.3714792908842708E-2</v>
      </c>
      <c r="BI80" s="7532">
        <f t="shared" ca="1" si="97"/>
        <v>-0.130685323587172</v>
      </c>
      <c r="BJ80" s="7532">
        <f t="shared" ca="1" si="98"/>
        <v>-3.0050293266317918E-2</v>
      </c>
      <c r="BK80" s="7532">
        <f t="shared" ca="1" si="99"/>
        <v>-2.3422586100689924E-2</v>
      </c>
      <c r="BL80" s="7532">
        <f t="shared" ca="1" si="100"/>
        <v>-1.754618126714369E-2</v>
      </c>
      <c r="BM80" s="7532">
        <f t="shared" ca="1" si="101"/>
        <v>-1.8830106810563407E-4</v>
      </c>
      <c r="BN80" s="7532">
        <f t="shared" ca="1" si="102"/>
        <v>1.6283640683637746E-2</v>
      </c>
      <c r="BO80" s="7532">
        <f t="shared" ca="1" si="103"/>
        <v>4.3781296889750632E-2</v>
      </c>
      <c r="BP80" s="7532">
        <f t="shared" ca="1" si="104"/>
        <v>-2.2198548035110677E-2</v>
      </c>
      <c r="BQ80" s="7532">
        <f t="shared" ca="1" si="105"/>
        <v>1.2392376841897423E-2</v>
      </c>
      <c r="BR80" s="7532">
        <f t="shared" ca="1" si="106"/>
        <v>1.2240620692764326E-2</v>
      </c>
      <c r="BS80" s="7532">
        <f t="shared" ca="1" si="107"/>
        <v>-6.858257434516013E-2</v>
      </c>
      <c r="BT80" s="7532">
        <f t="shared" ca="1" si="108"/>
        <v>-6.858255958049575E-2</v>
      </c>
      <c r="BV80" s="8"/>
    </row>
    <row r="81" spans="2:74" ht="15" thickBot="1">
      <c r="B81" s="99" t="s">
        <v>33</v>
      </c>
      <c r="C81" t="str">
        <f>IF(Fact5_predicmoderate!B11&gt;0,VLOOKUP(Fact5!$B81,Fact5_predicmoderate!$A$1:$W$19,23,0),"")</f>
        <v/>
      </c>
      <c r="D81" t="str">
        <f>IF(Fact5_predicmoderate!C11&gt;0,VLOOKUP(Fact5!$B81,Fact5_predicmoderate!$A$1:$W$19,23,0),"")</f>
        <v/>
      </c>
      <c r="E81" t="str">
        <f>IF(Fact5_predicmoderate!D11&gt;0,VLOOKUP(Fact5!$B81,Fact5_predicmoderate!$A$1:$W$19,23,0),"")</f>
        <v/>
      </c>
      <c r="F81" t="str">
        <f>IF(Fact5_predicmoderate!E11&gt;0,VLOOKUP(Fact5!$B81,Fact5_predicmoderate!$A$1:$W$19,23,0),"")</f>
        <v/>
      </c>
      <c r="G81" t="str">
        <f>IF(Fact5_predicmoderate!F11&gt;0,VLOOKUP(Fact5!$B81,Fact5_predicmoderate!$A$1:$W$19,23,0),"")</f>
        <v/>
      </c>
      <c r="H81" t="str">
        <f>IF(Fact5_predicmoderate!G11&gt;0,VLOOKUP(Fact5!$B81,Fact5_predicmoderate!$A$1:$W$19,23,0),"")</f>
        <v/>
      </c>
      <c r="I81" t="str">
        <f>IF(Fact5_predicmoderate!H11&gt;0,VLOOKUP(Fact5!$B81,Fact5_predicmoderate!$A$1:$W$19,23,0),"")</f>
        <v/>
      </c>
      <c r="J81" t="str">
        <f>IF(Fact5_predicmoderate!I11&gt;0,VLOOKUP(Fact5!$B81,Fact5_predicmoderate!$A$1:$W$19,23,0),"")</f>
        <v/>
      </c>
      <c r="K81" t="str">
        <f>IF(Fact5_predicmoderate!J11&gt;0,VLOOKUP(Fact5!$B81,Fact5_predicmoderate!$A$1:$W$19,23,0),"")</f>
        <v/>
      </c>
      <c r="L81" t="str">
        <f>IF(Fact5_predicmoderate!K11&gt;0,VLOOKUP(Fact5!$B81,Fact5_predicmoderate!$A$1:$W$19,23,0),"")</f>
        <v/>
      </c>
      <c r="M81" t="str">
        <f>IF(Fact5_predicmoderate!L11&gt;0,VLOOKUP(Fact5!$B81,Fact5_predicmoderate!$A$1:$W$19,23,0),"")</f>
        <v/>
      </c>
      <c r="N81" t="str">
        <f>IF(Fact5_predicmoderate!M11&gt;0,VLOOKUP(Fact5!$B81,Fact5_predicmoderate!$A$1:$W$19,23,0),"")</f>
        <v/>
      </c>
      <c r="O81" t="str">
        <f>IF(Fact5_predicmoderate!N11&gt;0,VLOOKUP(Fact5!$B81,Fact5_predicmoderate!$A$1:$W$19,23,0),"")</f>
        <v/>
      </c>
      <c r="P81" t="str">
        <f>IF(Fact5_predicmoderate!O11&gt;0,VLOOKUP(Fact5!$B81,Fact5_predicmoderate!$A$1:$W$19,23,0),"")</f>
        <v/>
      </c>
      <c r="Q81">
        <f>IF(Fact5_predicmoderate!P11&gt;0,VLOOKUP(Fact5!$B81,Fact5_predicmoderate!$A$1:$W$19,23,0),"")</f>
        <v>813834</v>
      </c>
      <c r="R81">
        <f>IF(Fact5_predicmoderate!Q11&gt;0,VLOOKUP(Fact5!$B81,Fact5_predicmoderate!$A$1:$W$19,23,0),"")</f>
        <v>813834</v>
      </c>
      <c r="S81">
        <f>IF(Fact5_predicmoderate!R11&gt;0,VLOOKUP(Fact5!$B81,Fact5_predicmoderate!$A$1:$W$19,23,0),"")</f>
        <v>813834</v>
      </c>
      <c r="T81">
        <f>IF(Fact5_predicmoderate!S11&gt;0,VLOOKUP(Fact5!$B81,Fact5_predicmoderate!$A$1:$W$19,23,0),"")</f>
        <v>813834</v>
      </c>
      <c r="U81">
        <f>IF(Fact5_predicmoderate!T11&gt;0,VLOOKUP(Fact5!$B81,Fact5_predicmoderate!$A$1:$W$19,23,0),"")</f>
        <v>813834</v>
      </c>
      <c r="V81" s="196">
        <f>U81</f>
        <v>813834</v>
      </c>
      <c r="W81" s="196">
        <f>V81</f>
        <v>813834</v>
      </c>
      <c r="X81" s="2562"/>
      <c r="Y81" s="2563" t="s">
        <v>33</v>
      </c>
      <c r="Z81" s="2565"/>
      <c r="AA81" s="2565"/>
      <c r="AB81" s="2565"/>
      <c r="AC81" s="2565"/>
      <c r="AD81" s="2565"/>
      <c r="AE81" s="2565"/>
      <c r="AF81" s="2565"/>
      <c r="AG81" s="2565"/>
      <c r="AH81" s="2565"/>
      <c r="AI81" s="2565"/>
      <c r="AJ81" s="2565"/>
      <c r="AK81" s="2565"/>
      <c r="AL81" s="2565"/>
      <c r="AM81" s="2565"/>
      <c r="AN81" s="8">
        <f ca="1">IF(OFFSET(Fact5_predicpoor_under5!$A$1,MATCH($Y14,Fact5_predicpoor_under5!$A$2:$A$26,0),MATCH(AN$2,Fact5_predicpoor_under5!$A$1:$V$1,0)-1,1,1)=0,NA(),OFFSET(Fact5_predicpoor_under5!$A$1,MATCH($Y14,Fact5_predicpoor_under5!$A$2:$A$26,0),MATCH(AN$2,Fact5_predicpoor_under5!$A$1:$V$1,0)-1,1,1))</f>
        <v>54.964996337890625</v>
      </c>
      <c r="AO81" s="8">
        <f ca="1">IF(OFFSET(Fact5_predicpoor_under5!$A$1,MATCH($Y14,Fact5_predicpoor_under5!$A$2:$A$26,0),MATCH(AO$2,Fact5_predicpoor_under5!$A$1:$V$1,0)-1,1,1)=0,NA(),OFFSET(Fact5_predicpoor_under5!$A$1,MATCH($Y14,Fact5_predicpoor_under5!$A$2:$A$26,0),MATCH(AO$2,Fact5_predicpoor_under5!$A$1:$V$1,0)-1,1,1))</f>
        <v>57.776035308837891</v>
      </c>
      <c r="AP81" s="8">
        <f ca="1">IF(OFFSET(Fact5_predicpoor_under5!$A$1,MATCH($Y14,Fact5_predicpoor_under5!$A$2:$A$26,0),MATCH(AP$2,Fact5_predicpoor_under5!$A$1:$V$1,0)-1,1,1)=0,NA(),OFFSET(Fact5_predicpoor_under5!$A$1,MATCH($Y14,Fact5_predicpoor_under5!$A$2:$A$26,0),MATCH(AP$2,Fact5_predicpoor_under5!$A$1:$V$1,0)-1,1,1))</f>
        <v>57.605125427246094</v>
      </c>
      <c r="AQ81" s="88">
        <f ca="1">IF(OFFSET(Fact5_predicpoor_under5!$A$1,MATCH($Y14,Fact5_predicpoor_under5!$A$2:$A$26,0),MATCH(AQ$2,Fact5_predicpoor_under5!$A$1:$V$1,0)-1,1,1)=0,NA(),OFFSET(Fact5_predicpoor_under5!$A$1,MATCH($Y14,Fact5_predicpoor_under5!$A$2:$A$26,0),MATCH(AQ$2,Fact5_predicpoor_under5!$A$1:$V$1,0)-1,1,1))</f>
        <v>57.772506713867188</v>
      </c>
      <c r="AR81" s="8">
        <f ca="1">IF(OFFSET(Fact5_predicpoor_under5!$A$1,MATCH($Y14,Fact5_predicpoor_under5!$A$2:$A$26,0),MATCH(AR$2,Fact5_predicpoor_under5!$A$1:$V$1,0)-1,1,1)=0,NA(),OFFSET(Fact5_predicpoor_under5!$A$1,MATCH($Y14,Fact5_predicpoor_under5!$A$2:$A$26,0),MATCH(AR$2,Fact5_predicpoor_under5!$A$1:$V$1,0)-1,1,1))</f>
        <v>57.939888000488281</v>
      </c>
      <c r="AS81" s="2566">
        <f ca="1">AR81</f>
        <v>57.939888000488281</v>
      </c>
      <c r="AT81" s="2566">
        <f ca="1">AS81</f>
        <v>57.939888000488281</v>
      </c>
      <c r="AU81" s="8"/>
      <c r="AV81" s="8">
        <f t="shared" ca="1" si="85"/>
        <v>0.16738128662109375</v>
      </c>
      <c r="AW81" s="7534">
        <f ca="1">AT81/AN81-1</f>
        <v>5.412338507783887E-2</v>
      </c>
      <c r="AX81" s="7532">
        <f t="shared" ca="1" si="87"/>
        <v>2.9056665596969289E-3</v>
      </c>
      <c r="AY81" s="7532">
        <f t="shared" ca="1" si="88"/>
        <v>5.8113331193938578E-3</v>
      </c>
      <c r="AZ81" s="2563" t="s">
        <v>33</v>
      </c>
      <c r="BA81" s="7532" t="str">
        <f t="shared" si="89"/>
        <v/>
      </c>
      <c r="BB81" s="7532" t="str">
        <f t="shared" si="90"/>
        <v/>
      </c>
      <c r="BC81" s="7532" t="str">
        <f t="shared" si="91"/>
        <v/>
      </c>
      <c r="BD81" s="7532" t="str">
        <f t="shared" si="92"/>
        <v/>
      </c>
      <c r="BE81" s="7532" t="str">
        <f t="shared" si="93"/>
        <v/>
      </c>
      <c r="BF81" s="7532" t="str">
        <f t="shared" si="94"/>
        <v/>
      </c>
      <c r="BG81" s="7532" t="str">
        <f t="shared" si="95"/>
        <v/>
      </c>
      <c r="BH81" s="7532" t="str">
        <f t="shared" si="96"/>
        <v/>
      </c>
      <c r="BI81" s="7532" t="str">
        <f t="shared" si="97"/>
        <v/>
      </c>
      <c r="BJ81" s="7532" t="str">
        <f t="shared" si="98"/>
        <v/>
      </c>
      <c r="BK81" s="7532" t="str">
        <f t="shared" si="99"/>
        <v/>
      </c>
      <c r="BL81" s="7532" t="str">
        <f t="shared" si="100"/>
        <v/>
      </c>
      <c r="BM81" s="7532" t="str">
        <f t="shared" si="101"/>
        <v/>
      </c>
      <c r="BN81" s="7532" t="str">
        <f t="shared" ca="1" si="102"/>
        <v/>
      </c>
      <c r="BO81" s="7532">
        <f t="shared" ca="1" si="103"/>
        <v>5.1142348007571004E-2</v>
      </c>
      <c r="BP81" s="7532">
        <f t="shared" ca="1" si="104"/>
        <v>-2.9581448550114464E-3</v>
      </c>
      <c r="BQ81" s="7543">
        <f t="shared" ca="1" si="105"/>
        <v>2.9056665596969289E-3</v>
      </c>
      <c r="BR81" s="7532">
        <f t="shared" ca="1" si="106"/>
        <v>2.8972481227116376E-3</v>
      </c>
      <c r="BS81" s="7532">
        <f t="shared" ca="1" si="107"/>
        <v>0</v>
      </c>
      <c r="BT81" s="7532">
        <f t="shared" ca="1" si="108"/>
        <v>0</v>
      </c>
      <c r="BV81" s="8"/>
    </row>
    <row r="82" spans="2:74">
      <c r="B82" s="99" t="s">
        <v>34</v>
      </c>
      <c r="C82">
        <f>IF(Fact5_predicmoderate!B12&gt;0,VLOOKUP(Fact5!$B82,Fact5_predicmoderate!$A$1:$W$19,23,0),"")</f>
        <v>10593798</v>
      </c>
      <c r="D82">
        <f>IF(Fact5_predicmoderate!C12&gt;0,VLOOKUP(Fact5!$B82,Fact5_predicmoderate!$A$1:$W$19,23,0),"")</f>
        <v>10593798</v>
      </c>
      <c r="E82">
        <f>IF(Fact5_predicmoderate!D12&gt;0,VLOOKUP(Fact5!$B82,Fact5_predicmoderate!$A$1:$W$19,23,0),"")</f>
        <v>10593798</v>
      </c>
      <c r="F82">
        <f>IF(Fact5_predicmoderate!E12&gt;0,VLOOKUP(Fact5!$B82,Fact5_predicmoderate!$A$1:$W$19,23,0),"")</f>
        <v>10593798</v>
      </c>
      <c r="G82">
        <f>IF(Fact5_predicmoderate!F12&gt;0,VLOOKUP(Fact5!$B82,Fact5_predicmoderate!$A$1:$W$19,23,0),"")</f>
        <v>10593798</v>
      </c>
      <c r="H82">
        <f>IF(Fact5_predicmoderate!G12&gt;0,VLOOKUP(Fact5!$B82,Fact5_predicmoderate!$A$1:$W$19,23,0),"")</f>
        <v>10593798</v>
      </c>
      <c r="I82">
        <f>IF(Fact5_predicmoderate!H12&gt;0,VLOOKUP(Fact5!$B82,Fact5_predicmoderate!$A$1:$W$19,23,0),"")</f>
        <v>10593798</v>
      </c>
      <c r="J82">
        <f>IF(Fact5_predicmoderate!I12&gt;0,VLOOKUP(Fact5!$B82,Fact5_predicmoderate!$A$1:$W$19,23,0),"")</f>
        <v>10593798</v>
      </c>
      <c r="K82">
        <f>IF(Fact5_predicmoderate!J12&gt;0,VLOOKUP(Fact5!$B82,Fact5_predicmoderate!$A$1:$W$19,23,0),"")</f>
        <v>10593798</v>
      </c>
      <c r="L82">
        <f>IF(Fact5_predicmoderate!K12&gt;0,VLOOKUP(Fact5!$B82,Fact5_predicmoderate!$A$1:$W$19,23,0),"")</f>
        <v>10593798</v>
      </c>
      <c r="M82">
        <f>IF(Fact5_predicmoderate!L12&gt;0,VLOOKUP(Fact5!$B82,Fact5_predicmoderate!$A$1:$W$19,23,0),"")</f>
        <v>10593798</v>
      </c>
      <c r="N82">
        <f>IF(Fact5_predicmoderate!M12&gt;0,VLOOKUP(Fact5!$B82,Fact5_predicmoderate!$A$1:$W$19,23,0),"")</f>
        <v>10593798</v>
      </c>
      <c r="O82">
        <f>IF(Fact5_predicmoderate!N12&gt;0,VLOOKUP(Fact5!$B82,Fact5_predicmoderate!$A$1:$W$19,23,0),"")</f>
        <v>10593798</v>
      </c>
      <c r="P82">
        <f>IF(Fact5_predicmoderate!O12&gt;0,VLOOKUP(Fact5!$B82,Fact5_predicmoderate!$A$1:$W$19,23,0),"")</f>
        <v>10593798</v>
      </c>
      <c r="Q82">
        <f>IF(Fact5_predicmoderate!P12&gt;0,VLOOKUP(Fact5!$B82,Fact5_predicmoderate!$A$1:$W$19,23,0),"")</f>
        <v>10593798</v>
      </c>
      <c r="R82">
        <f>IF(Fact5_predicmoderate!Q12&gt;0,VLOOKUP(Fact5!$B82,Fact5_predicmoderate!$A$1:$W$19,23,0),"")</f>
        <v>10593798</v>
      </c>
      <c r="S82">
        <f>IF(Fact5_predicmoderate!R12&gt;0,VLOOKUP(Fact5!$B82,Fact5_predicmoderate!$A$1:$W$19,23,0),"")</f>
        <v>10593798</v>
      </c>
      <c r="T82">
        <f>IF(Fact5_predicmoderate!S12&gt;0,VLOOKUP(Fact5!$B82,Fact5_predicmoderate!$A$1:$W$19,23,0),"")</f>
        <v>10593798</v>
      </c>
      <c r="U82">
        <f>IF(Fact5_predicmoderate!T12&gt;0,VLOOKUP(Fact5!$B82,Fact5_predicmoderate!$A$1:$W$19,23,0),"")</f>
        <v>10593798</v>
      </c>
      <c r="V82">
        <f>IF(Fact5_predicmoderate!U12&gt;0,VLOOKUP(Fact5!$B82,Fact5_predicmoderate!$A$1:$W$19,23,0),"")</f>
        <v>10593798</v>
      </c>
      <c r="W82">
        <f>IF(Fact5_predicmoderate!V12&gt;0,VLOOKUP(Fact5!$B82,Fact5_predicmoderate!$A$1:$W$19,23,0),"")</f>
        <v>10593798</v>
      </c>
      <c r="X82" s="2562"/>
      <c r="Y82" s="2563" t="s">
        <v>34</v>
      </c>
      <c r="Z82" s="8">
        <f ca="1">IF(OFFSET(Fact5_predicpoor_under5!$A$1,MATCH($Y15,Fact5_predicpoor_under5!$A$2:$A$26,0),MATCH(Z$2,Fact5_predicpoor_under5!$A$1:$V$1,0)-1,1,1)=0,NA(),OFFSET(Fact5_predicpoor_under5!$A$1,MATCH($Y15,Fact5_predicpoor_under5!$A$2:$A$26,0),MATCH(Z$2,Fact5_predicpoor_under5!$A$1:$V$1,0)-1,1,1))</f>
        <v>66.173309326171875</v>
      </c>
      <c r="AA82" s="8">
        <f ca="1">IF(OFFSET(Fact5_predicpoor_under5!$A$1,MATCH($Y15,Fact5_predicpoor_under5!$A$2:$A$26,0),MATCH(AA$2,Fact5_predicpoor_under5!$A$1:$V$1,0)-1,1,1)=0,NA(),OFFSET(Fact5_predicpoor_under5!$A$1,MATCH($Y15,Fact5_predicpoor_under5!$A$2:$A$26,0),MATCH(AA$2,Fact5_predicpoor_under5!$A$1:$V$1,0)-1,1,1))</f>
        <v>66.559806823730469</v>
      </c>
      <c r="AB82" s="8">
        <f ca="1">IF(OFFSET(Fact5_predicpoor_under5!$A$1,MATCH($Y15,Fact5_predicpoor_under5!$A$2:$A$26,0),MATCH(AB$2,Fact5_predicpoor_under5!$A$1:$V$1,0)-1,1,1)=0,NA(),OFFSET(Fact5_predicpoor_under5!$A$1,MATCH($Y15,Fact5_predicpoor_under5!$A$2:$A$26,0),MATCH(AB$2,Fact5_predicpoor_under5!$A$1:$V$1,0)-1,1,1))</f>
        <v>64.301124572753906</v>
      </c>
      <c r="AC82" s="8">
        <f ca="1">IF(OFFSET(Fact5_predicpoor_under5!$A$1,MATCH($Y15,Fact5_predicpoor_under5!$A$2:$A$26,0),MATCH(AC$2,Fact5_predicpoor_under5!$A$1:$V$1,0)-1,1,1)=0,NA(),OFFSET(Fact5_predicpoor_under5!$A$1,MATCH($Y15,Fact5_predicpoor_under5!$A$2:$A$26,0),MATCH(AC$2,Fact5_predicpoor_under5!$A$1:$V$1,0)-1,1,1))</f>
        <v>62.075065612792969</v>
      </c>
      <c r="AD82" s="8">
        <f ca="1">IF(OFFSET(Fact5_predicpoor_under5!$A$1,MATCH($Y15,Fact5_predicpoor_under5!$A$2:$A$26,0),MATCH(AD$2,Fact5_predicpoor_under5!$A$1:$V$1,0)-1,1,1)=0,NA(),OFFSET(Fact5_predicpoor_under5!$A$1,MATCH($Y15,Fact5_predicpoor_under5!$A$2:$A$26,0),MATCH(AD$2,Fact5_predicpoor_under5!$A$1:$V$1,0)-1,1,1))</f>
        <v>58.149982452392578</v>
      </c>
      <c r="AE82" s="8">
        <f ca="1">IF(OFFSET(Fact5_predicpoor_under5!$A$1,MATCH($Y15,Fact5_predicpoor_under5!$A$2:$A$26,0),MATCH(AE$2,Fact5_predicpoor_under5!$A$1:$V$1,0)-1,1,1)=0,NA(),OFFSET(Fact5_predicpoor_under5!$A$1,MATCH($Y15,Fact5_predicpoor_under5!$A$2:$A$26,0),MATCH(AE$2,Fact5_predicpoor_under5!$A$1:$V$1,0)-1,1,1))</f>
        <v>57.091392517089844</v>
      </c>
      <c r="AF82" s="8">
        <f ca="1">IF(OFFSET(Fact5_predicpoor_under5!$A$1,MATCH($Y15,Fact5_predicpoor_under5!$A$2:$A$26,0),MATCH(AF$2,Fact5_predicpoor_under5!$A$1:$V$1,0)-1,1,1)=0,NA(),OFFSET(Fact5_predicpoor_under5!$A$1,MATCH($Y15,Fact5_predicpoor_under5!$A$2:$A$26,0),MATCH(AF$2,Fact5_predicpoor_under5!$A$1:$V$1,0)-1,1,1))</f>
        <v>55.762748718261719</v>
      </c>
      <c r="AG82" s="8">
        <f ca="1">IF(OFFSET(Fact5_predicpoor_under5!$A$1,MATCH($Y15,Fact5_predicpoor_under5!$A$2:$A$26,0),MATCH(AG$2,Fact5_predicpoor_under5!$A$1:$V$1,0)-1,1,1)=0,NA(),OFFSET(Fact5_predicpoor_under5!$A$1,MATCH($Y15,Fact5_predicpoor_under5!$A$2:$A$26,0),MATCH(AG$2,Fact5_predicpoor_under5!$A$1:$V$1,0)-1,1,1))</f>
        <v>58.512611389160156</v>
      </c>
      <c r="AH82" s="8">
        <f ca="1">IF(OFFSET(Fact5_predicpoor_under5!$A$1,MATCH($Y15,Fact5_predicpoor_under5!$A$2:$A$26,0),MATCH(AH$2,Fact5_predicpoor_under5!$A$1:$V$1,0)-1,1,1)=0,NA(),OFFSET(Fact5_predicpoor_under5!$A$1,MATCH($Y15,Fact5_predicpoor_under5!$A$2:$A$26,0),MATCH(AH$2,Fact5_predicpoor_under5!$A$1:$V$1,0)-1,1,1))</f>
        <v>61.264755249023438</v>
      </c>
      <c r="AI82" s="8">
        <f ca="1">IF(OFFSET(Fact5_predicpoor_under5!$A$1,MATCH($Y15,Fact5_predicpoor_under5!$A$2:$A$26,0),MATCH(AI$2,Fact5_predicpoor_under5!$A$1:$V$1,0)-1,1,1)=0,NA(),OFFSET(Fact5_predicpoor_under5!$A$1,MATCH($Y15,Fact5_predicpoor_under5!$A$2:$A$26,0),MATCH(AI$2,Fact5_predicpoor_under5!$A$1:$V$1,0)-1,1,1))</f>
        <v>66.331443786621094</v>
      </c>
      <c r="AJ82" s="8">
        <f ca="1">IF(OFFSET(Fact5_predicpoor_under5!$A$1,MATCH($Y15,Fact5_predicpoor_under5!$A$2:$A$26,0),MATCH(AJ$2,Fact5_predicpoor_under5!$A$1:$V$1,0)-1,1,1)=0,NA(),OFFSET(Fact5_predicpoor_under5!$A$1,MATCH($Y15,Fact5_predicpoor_under5!$A$2:$A$26,0),MATCH(AJ$2,Fact5_predicpoor_under5!$A$1:$V$1,0)-1,1,1))</f>
        <v>63.87176513671875</v>
      </c>
      <c r="AK82" s="8">
        <f ca="1">IF(OFFSET(Fact5_predicpoor_under5!$A$1,MATCH($Y15,Fact5_predicpoor_under5!$A$2:$A$26,0),MATCH(AK$2,Fact5_predicpoor_under5!$A$1:$V$1,0)-1,1,1)=0,NA(),OFFSET(Fact5_predicpoor_under5!$A$1,MATCH($Y15,Fact5_predicpoor_under5!$A$2:$A$26,0),MATCH(AK$2,Fact5_predicpoor_under5!$A$1:$V$1,0)-1,1,1))</f>
        <v>60.848384857177734</v>
      </c>
      <c r="AL82" s="8">
        <f ca="1">IF(OFFSET(Fact5_predicpoor_under5!$A$1,MATCH($Y15,Fact5_predicpoor_under5!$A$2:$A$26,0),MATCH(AL$2,Fact5_predicpoor_under5!$A$1:$V$1,0)-1,1,1)=0,NA(),OFFSET(Fact5_predicpoor_under5!$A$1,MATCH($Y15,Fact5_predicpoor_under5!$A$2:$A$26,0),MATCH(AL$2,Fact5_predicpoor_under5!$A$1:$V$1,0)-1,1,1))</f>
        <v>60.237525939941406</v>
      </c>
      <c r="AM82" s="8">
        <f ca="1">IF(OFFSET(Fact5_predicpoor_under5!$A$1,MATCH($Y15,Fact5_predicpoor_under5!$A$2:$A$26,0),MATCH(AM$2,Fact5_predicpoor_under5!$A$1:$V$1,0)-1,1,1)=0,NA(),OFFSET(Fact5_predicpoor_under5!$A$1,MATCH($Y15,Fact5_predicpoor_under5!$A$2:$A$26,0),MATCH(AM$2,Fact5_predicpoor_under5!$A$1:$V$1,0)-1,1,1))</f>
        <v>58.514457702636719</v>
      </c>
      <c r="AN82" s="8">
        <f ca="1">IF(OFFSET(Fact5_predicpoor_under5!$A$1,MATCH($Y15,Fact5_predicpoor_under5!$A$2:$A$26,0),MATCH(AN$2,Fact5_predicpoor_under5!$A$1:$V$1,0)-1,1,1)=0,NA(),OFFSET(Fact5_predicpoor_under5!$A$1,MATCH($Y15,Fact5_predicpoor_under5!$A$2:$A$26,0),MATCH(AN$2,Fact5_predicpoor_under5!$A$1:$V$1,0)-1,1,1))</f>
        <v>61.054317474365234</v>
      </c>
      <c r="AO82" s="8">
        <f ca="1">IF(OFFSET(Fact5_predicpoor_under5!$A$1,MATCH($Y15,Fact5_predicpoor_under5!$A$2:$A$26,0),MATCH(AO$2,Fact5_predicpoor_under5!$A$1:$V$1,0)-1,1,1)=0,NA(),OFFSET(Fact5_predicpoor_under5!$A$1,MATCH($Y15,Fact5_predicpoor_under5!$A$2:$A$26,0),MATCH(AO$2,Fact5_predicpoor_under5!$A$1:$V$1,0)-1,1,1))</f>
        <v>60.406036376953125</v>
      </c>
      <c r="AP82" s="8">
        <f ca="1">IF(OFFSET(Fact5_predicpoor_under5!$A$1,MATCH($Y15,Fact5_predicpoor_under5!$A$2:$A$26,0),MATCH(AP$2,Fact5_predicpoor_under5!$A$1:$V$1,0)-1,1,1)=0,NA(),OFFSET(Fact5_predicpoor_under5!$A$1,MATCH($Y15,Fact5_predicpoor_under5!$A$2:$A$26,0),MATCH(AP$2,Fact5_predicpoor_under5!$A$1:$V$1,0)-1,1,1))</f>
        <v>61.583339691162109</v>
      </c>
      <c r="AQ82" s="88">
        <f ca="1">IF(OFFSET(Fact5_predicpoor_under5!$A$1,MATCH($Y15,Fact5_predicpoor_under5!$A$2:$A$26,0),MATCH(AQ$2,Fact5_predicpoor_under5!$A$1:$V$1,0)-1,1,1)=0,NA(),OFFSET(Fact5_predicpoor_under5!$A$1,MATCH($Y15,Fact5_predicpoor_under5!$A$2:$A$26,0),MATCH(AQ$2,Fact5_predicpoor_under5!$A$1:$V$1,0)-1,1,1))</f>
        <v>62.795543670654297</v>
      </c>
      <c r="AR82" s="88">
        <f ca="1">IF(OFFSET(Fact5_predicpoor_under5!$A$1,MATCH($Y15,Fact5_predicpoor_under5!$A$2:$A$26,0),MATCH(AR$2,Fact5_predicpoor_under5!$A$1:$V$1,0)-1,1,1)=0,NA(),OFFSET(Fact5_predicpoor_under5!$A$1,MATCH($Y15,Fact5_predicpoor_under5!$A$2:$A$26,0),MATCH(AR$2,Fact5_predicpoor_under5!$A$1:$V$1,0)-1,1,1))</f>
        <v>64.031608581542969</v>
      </c>
      <c r="AS82" s="8">
        <f ca="1">IF(OFFSET(Fact5_predicpoor_under5!$A$1,MATCH($Y15,Fact5_predicpoor_under5!$A$2:$A$26,0),MATCH(AS$2,Fact5_predicpoor_under5!$A$1:$V$1,0)-1,1,1)=0,NA(),OFFSET(Fact5_predicpoor_under5!$A$1,MATCH($Y15,Fact5_predicpoor_under5!$A$2:$A$26,0),MATCH(AS$2,Fact5_predicpoor_under5!$A$1:$V$1,0)-1,1,1))</f>
        <v>65.292007446289063</v>
      </c>
      <c r="AT82" s="8">
        <f ca="1">IF(OFFSET(Fact5_predicpoor_under5!$A$1,MATCH($Y15,Fact5_predicpoor_under5!$A$2:$A$26,0),MATCH(AT$2,Fact5_predicpoor_under5!$A$1:$V$1,0)-1,1,1)=0,NA(),OFFSET(Fact5_predicpoor_under5!$A$1,MATCH($Y15,Fact5_predicpoor_under5!$A$2:$A$26,0),MATCH(AT$2,Fact5_predicpoor_under5!$A$1:$V$1,0)-1,1,1))</f>
        <v>60.174953460693359</v>
      </c>
      <c r="AU82" s="8">
        <f t="shared" ca="1" si="84"/>
        <v>-5.9983558654785156</v>
      </c>
      <c r="AV82" s="8">
        <f t="shared" ca="1" si="85"/>
        <v>1.2122039794921875</v>
      </c>
      <c r="AW82" s="7532">
        <f t="shared" ref="AW82:AW91" ca="1" si="109">AT82/Z82-1</f>
        <v>-9.0646152150443138E-2</v>
      </c>
      <c r="AX82" s="7532">
        <f t="shared" ca="1" si="87"/>
        <v>1.9683959745790736E-2</v>
      </c>
      <c r="AY82" s="7532">
        <f t="shared" ca="1" si="88"/>
        <v>3.9755377065596509E-2</v>
      </c>
      <c r="AZ82" s="2563" t="s">
        <v>34</v>
      </c>
      <c r="BA82" s="7532">
        <f t="shared" ca="1" si="89"/>
        <v>5.8406856403920848E-3</v>
      </c>
      <c r="BB82" s="7532">
        <f t="shared" ca="1" si="90"/>
        <v>-3.3934627499118242E-2</v>
      </c>
      <c r="BC82" s="7532">
        <f t="shared" ca="1" si="91"/>
        <v>-3.4619285039754644E-2</v>
      </c>
      <c r="BD82" s="7532">
        <f t="shared" ca="1" si="92"/>
        <v>-6.3231236594802342E-2</v>
      </c>
      <c r="BE82" s="7532">
        <f t="shared" ca="1" si="93"/>
        <v>-1.82044755760572E-2</v>
      </c>
      <c r="BF82" s="7532">
        <f t="shared" ca="1" si="94"/>
        <v>-2.3272226166674903E-2</v>
      </c>
      <c r="BG82" s="7532">
        <f t="shared" ca="1" si="95"/>
        <v>4.9313614090151336E-2</v>
      </c>
      <c r="BH82" s="7532">
        <f t="shared" ca="1" si="96"/>
        <v>4.7035054401505239E-2</v>
      </c>
      <c r="BI82" s="7532">
        <f t="shared" ca="1" si="97"/>
        <v>8.2701522547556694E-2</v>
      </c>
      <c r="BJ82" s="7532">
        <f t="shared" ca="1" si="98"/>
        <v>-3.7081638955647978E-2</v>
      </c>
      <c r="BK82" s="7532">
        <f t="shared" ca="1" si="99"/>
        <v>-4.7335160897298056E-2</v>
      </c>
      <c r="BL82" s="7532">
        <f t="shared" ca="1" si="100"/>
        <v>-1.0039032567094819E-2</v>
      </c>
      <c r="BM82" s="7532">
        <f t="shared" ca="1" si="101"/>
        <v>-2.8604565184543573E-2</v>
      </c>
      <c r="BN82" s="7532">
        <f t="shared" ca="1" si="102"/>
        <v>4.3405679065433134E-2</v>
      </c>
      <c r="BO82" s="7532">
        <f t="shared" ca="1" si="103"/>
        <v>-1.0618104078950696E-2</v>
      </c>
      <c r="BP82" s="7532">
        <f t="shared" ca="1" si="104"/>
        <v>1.9489828911505303E-2</v>
      </c>
      <c r="BQ82" s="7532">
        <f t="shared" ca="1" si="105"/>
        <v>1.9683959745790736E-2</v>
      </c>
      <c r="BR82" s="7532">
        <f t="shared" ca="1" si="106"/>
        <v>1.9683959061991718E-2</v>
      </c>
      <c r="BS82" s="7532">
        <f t="shared" ca="1" si="107"/>
        <v>1.9684010642041061E-2</v>
      </c>
      <c r="BT82" s="7532">
        <f t="shared" ca="1" si="108"/>
        <v>-7.8371828126208687E-2</v>
      </c>
      <c r="BV82" s="8"/>
    </row>
    <row r="83" spans="2:74">
      <c r="B83" s="99" t="s">
        <v>38</v>
      </c>
      <c r="C83" t="str">
        <f>IF(Fact5_predicmoderate!B13&gt;0,VLOOKUP(Fact5!$B83,Fact5_predicmoderate!$A$1:$W$19,23,0),"")</f>
        <v/>
      </c>
      <c r="D83">
        <f>IF(Fact5_predicmoderate!C13&gt;0,VLOOKUP(Fact5!$B83,Fact5_predicmoderate!$A$1:$W$19,23,0),"")</f>
        <v>128455567</v>
      </c>
      <c r="E83">
        <f>IF(Fact5_predicmoderate!D13&gt;0,VLOOKUP(Fact5!$B83,Fact5_predicmoderate!$A$1:$W$19,23,0),"")</f>
        <v>128455567</v>
      </c>
      <c r="F83">
        <f>IF(Fact5_predicmoderate!E13&gt;0,VLOOKUP(Fact5!$B83,Fact5_predicmoderate!$A$1:$W$19,23,0),"")</f>
        <v>128455567</v>
      </c>
      <c r="G83">
        <f>IF(Fact5_predicmoderate!F13&gt;0,VLOOKUP(Fact5!$B83,Fact5_predicmoderate!$A$1:$W$19,23,0),"")</f>
        <v>128455567</v>
      </c>
      <c r="H83">
        <f>IF(Fact5_predicmoderate!G13&gt;0,VLOOKUP(Fact5!$B83,Fact5_predicmoderate!$A$1:$W$19,23,0),"")</f>
        <v>128455567</v>
      </c>
      <c r="I83">
        <f>IF(Fact5_predicmoderate!H13&gt;0,VLOOKUP(Fact5!$B83,Fact5_predicmoderate!$A$1:$W$19,23,0),"")</f>
        <v>128455567</v>
      </c>
      <c r="J83">
        <f>IF(Fact5_predicmoderate!I13&gt;0,VLOOKUP(Fact5!$B83,Fact5_predicmoderate!$A$1:$W$19,23,0),"")</f>
        <v>128455567</v>
      </c>
      <c r="K83">
        <f>IF(Fact5_predicmoderate!J13&gt;0,VLOOKUP(Fact5!$B83,Fact5_predicmoderate!$A$1:$W$19,23,0),"")</f>
        <v>128455567</v>
      </c>
      <c r="L83">
        <f>IF(Fact5_predicmoderate!K13&gt;0,VLOOKUP(Fact5!$B83,Fact5_predicmoderate!$A$1:$W$19,23,0),"")</f>
        <v>128455567</v>
      </c>
      <c r="M83">
        <f>IF(Fact5_predicmoderate!L13&gt;0,VLOOKUP(Fact5!$B83,Fact5_predicmoderate!$A$1:$W$19,23,0),"")</f>
        <v>128455567</v>
      </c>
      <c r="N83">
        <f>IF(Fact5_predicmoderate!M13&gt;0,VLOOKUP(Fact5!$B83,Fact5_predicmoderate!$A$1:$W$19,23,0),"")</f>
        <v>128455567</v>
      </c>
      <c r="O83">
        <f>IF(Fact5_predicmoderate!N13&gt;0,VLOOKUP(Fact5!$B83,Fact5_predicmoderate!$A$1:$W$19,23,0),"")</f>
        <v>128455567</v>
      </c>
      <c r="P83">
        <f>IF(Fact5_predicmoderate!O13&gt;0,VLOOKUP(Fact5!$B83,Fact5_predicmoderate!$A$1:$W$19,23,0),"")</f>
        <v>128455567</v>
      </c>
      <c r="Q83">
        <f>IF(Fact5_predicmoderate!P13&gt;0,VLOOKUP(Fact5!$B83,Fact5_predicmoderate!$A$1:$W$19,23,0),"")</f>
        <v>128455567</v>
      </c>
      <c r="R83">
        <f>IF(Fact5_predicmoderate!Q13&gt;0,VLOOKUP(Fact5!$B83,Fact5_predicmoderate!$A$1:$W$19,23,0),"")</f>
        <v>128455567</v>
      </c>
      <c r="S83">
        <f>IF(Fact5_predicmoderate!R13&gt;0,VLOOKUP(Fact5!$B83,Fact5_predicmoderate!$A$1:$W$19,23,0),"")</f>
        <v>128455567</v>
      </c>
      <c r="T83">
        <f>IF(Fact5_predicmoderate!S13&gt;0,VLOOKUP(Fact5!$B83,Fact5_predicmoderate!$A$1:$W$19,23,0),"")</f>
        <v>128455567</v>
      </c>
      <c r="U83">
        <f>IF(Fact5_predicmoderate!T13&gt;0,VLOOKUP(Fact5!$B83,Fact5_predicmoderate!$A$1:$W$19,23,0),"")</f>
        <v>128455567</v>
      </c>
      <c r="V83">
        <f>IF(Fact5_predicmoderate!U13&gt;0,VLOOKUP(Fact5!$B83,Fact5_predicmoderate!$A$1:$W$19,23,0),"")</f>
        <v>128455567</v>
      </c>
      <c r="W83">
        <f>IF(Fact5_predicmoderate!V13&gt;0,VLOOKUP(Fact5!$B83,Fact5_predicmoderate!$A$1:$W$19,23,0),"")</f>
        <v>128455567</v>
      </c>
      <c r="X83" s="2562"/>
      <c r="Y83" s="2563" t="s">
        <v>38</v>
      </c>
      <c r="Z83" s="2565"/>
      <c r="AA83" s="8">
        <f ca="1">IF(OFFSET(Fact5_predicpoor_under5!$A$1,MATCH($Y16,Fact5_predicpoor_under5!$A$2:$A$26,0),MATCH(AA$2,Fact5_predicpoor_under5!$A$1:$V$1,0)-1,1,1)=0,NA(),OFFSET(Fact5_predicpoor_under5!$A$1,MATCH($Y16,Fact5_predicpoor_under5!$A$2:$A$26,0),MATCH(AA$2,Fact5_predicpoor_under5!$A$1:$V$1,0)-1,1,1))</f>
        <v>50.981258392333984</v>
      </c>
      <c r="AB83" s="8">
        <f ca="1">IF(OFFSET(Fact5_predicpoor_under5!$A$1,MATCH($Y16,Fact5_predicpoor_under5!$A$2:$A$26,0),MATCH(AB$2,Fact5_predicpoor_under5!$A$1:$V$1,0)-1,1,1)=0,NA(),OFFSET(Fact5_predicpoor_under5!$A$1,MATCH($Y16,Fact5_predicpoor_under5!$A$2:$A$26,0),MATCH(AB$2,Fact5_predicpoor_under5!$A$1:$V$1,0)-1,1,1))</f>
        <v>49.527896881103516</v>
      </c>
      <c r="AC83" s="8">
        <f ca="1">IF(OFFSET(Fact5_predicpoor_under5!$A$1,MATCH($Y16,Fact5_predicpoor_under5!$A$2:$A$26,0),MATCH(AC$2,Fact5_predicpoor_under5!$A$1:$V$1,0)-1,1,1)=0,NA(),OFFSET(Fact5_predicpoor_under5!$A$1,MATCH($Y16,Fact5_predicpoor_under5!$A$2:$A$26,0),MATCH(AC$2,Fact5_predicpoor_under5!$A$1:$V$1,0)-1,1,1))</f>
        <v>46.12933349609375</v>
      </c>
      <c r="AD83" s="88">
        <f ca="1">IF(OFFSET(Fact5_predicpoor_under5!$A$1,MATCH($Y16,Fact5_predicpoor_under5!$A$2:$A$26,0),MATCH(AD$2,Fact5_predicpoor_under5!$A$1:$V$1,0)-1,1,1)=0,NA(),OFFSET(Fact5_predicpoor_under5!$A$1,MATCH($Y16,Fact5_predicpoor_under5!$A$2:$A$26,0),MATCH(AD$2,Fact5_predicpoor_under5!$A$1:$V$1,0)-1,1,1))</f>
        <v>55.400215148925781</v>
      </c>
      <c r="AE83" s="8">
        <f ca="1">IF(OFFSET(Fact5_predicpoor_under5!$A$1,MATCH($Y16,Fact5_predicpoor_under5!$A$2:$A$26,0),MATCH(AE$2,Fact5_predicpoor_under5!$A$1:$V$1,0)-1,1,1)=0,NA(),OFFSET(Fact5_predicpoor_under5!$A$1,MATCH($Y16,Fact5_predicpoor_under5!$A$2:$A$26,0),MATCH(AE$2,Fact5_predicpoor_under5!$A$1:$V$1,0)-1,1,1))</f>
        <v>64.671096801757813</v>
      </c>
      <c r="AF83" s="88">
        <f ca="1">IF(OFFSET(Fact5_predicpoor_under5!$A$1,MATCH($Y16,Fact5_predicpoor_under5!$A$2:$A$26,0),MATCH(AF$2,Fact5_predicpoor_under5!$A$1:$V$1,0)-1,1,1)=0,NA(),OFFSET(Fact5_predicpoor_under5!$A$1,MATCH($Y16,Fact5_predicpoor_under5!$A$2:$A$26,0),MATCH(AF$2,Fact5_predicpoor_under5!$A$1:$V$1,0)-1,1,1))</f>
        <v>67.063423156738281</v>
      </c>
      <c r="AG83" s="8">
        <f ca="1">IF(OFFSET(Fact5_predicpoor_under5!$A$1,MATCH($Y16,Fact5_predicpoor_under5!$A$2:$A$26,0),MATCH(AG$2,Fact5_predicpoor_under5!$A$1:$V$1,0)-1,1,1)=0,NA(),OFFSET(Fact5_predicpoor_under5!$A$1,MATCH($Y16,Fact5_predicpoor_under5!$A$2:$A$26,0),MATCH(AG$2,Fact5_predicpoor_under5!$A$1:$V$1,0)-1,1,1))</f>
        <v>69.45574951171875</v>
      </c>
      <c r="AH83" s="88">
        <f ca="1">IF(OFFSET(Fact5_predicpoor_under5!$A$1,MATCH($Y16,Fact5_predicpoor_under5!$A$2:$A$26,0),MATCH(AH$2,Fact5_predicpoor_under5!$A$1:$V$1,0)-1,1,1)=0,NA(),OFFSET(Fact5_predicpoor_under5!$A$1,MATCH($Y16,Fact5_predicpoor_under5!$A$2:$A$26,0),MATCH(AH$2,Fact5_predicpoor_under5!$A$1:$V$1,0)-1,1,1))</f>
        <v>64.389862060546875</v>
      </c>
      <c r="AI83" s="8">
        <f ca="1">IF(OFFSET(Fact5_predicpoor_under5!$A$1,MATCH($Y16,Fact5_predicpoor_under5!$A$2:$A$26,0),MATCH(AI$2,Fact5_predicpoor_under5!$A$1:$V$1,0)-1,1,1)=0,NA(),OFFSET(Fact5_predicpoor_under5!$A$1,MATCH($Y16,Fact5_predicpoor_under5!$A$2:$A$26,0),MATCH(AI$2,Fact5_predicpoor_under5!$A$1:$V$1,0)-1,1,1))</f>
        <v>59.323970794677734</v>
      </c>
      <c r="AJ83" s="88">
        <f ca="1">IF(OFFSET(Fact5_predicpoor_under5!$A$1,MATCH($Y16,Fact5_predicpoor_under5!$A$2:$A$26,0),MATCH(AJ$2,Fact5_predicpoor_under5!$A$1:$V$1,0)-1,1,1)=0,NA(),OFFSET(Fact5_predicpoor_under5!$A$1,MATCH($Y16,Fact5_predicpoor_under5!$A$2:$A$26,0),MATCH(AJ$2,Fact5_predicpoor_under5!$A$1:$V$1,0)-1,1,1))</f>
        <v>53.792854309082031</v>
      </c>
      <c r="AK83" s="8">
        <f ca="1">IF(OFFSET(Fact5_predicpoor_under5!$A$1,MATCH($Y16,Fact5_predicpoor_under5!$A$2:$A$26,0),MATCH(AK$2,Fact5_predicpoor_under5!$A$1:$V$1,0)-1,1,1)=0,NA(),OFFSET(Fact5_predicpoor_under5!$A$1,MATCH($Y16,Fact5_predicpoor_under5!$A$2:$A$26,0),MATCH(AK$2,Fact5_predicpoor_under5!$A$1:$V$1,0)-1,1,1))</f>
        <v>48.261734008789063</v>
      </c>
      <c r="AL83" s="88">
        <f ca="1">IF(OFFSET(Fact5_predicpoor_under5!$A$1,MATCH($Y16,Fact5_predicpoor_under5!$A$2:$A$26,0),MATCH(AL$2,Fact5_predicpoor_under5!$A$1:$V$1,0)-1,1,1)=0,NA(),OFFSET(Fact5_predicpoor_under5!$A$1,MATCH($Y16,Fact5_predicpoor_under5!$A$2:$A$26,0),MATCH(AL$2,Fact5_predicpoor_under5!$A$1:$V$1,0)-1,1,1))</f>
        <v>43.752262115478516</v>
      </c>
      <c r="AM83" s="8">
        <f ca="1">IF(OFFSET(Fact5_predicpoor_under5!$A$1,MATCH($Y16,Fact5_predicpoor_under5!$A$2:$A$26,0),MATCH(AM$2,Fact5_predicpoor_under5!$A$1:$V$1,0)-1,1,1)=0,NA(),OFFSET(Fact5_predicpoor_under5!$A$1,MATCH($Y16,Fact5_predicpoor_under5!$A$2:$A$26,0),MATCH(AM$2,Fact5_predicpoor_under5!$A$1:$V$1,0)-1,1,1))</f>
        <v>39.242790222167969</v>
      </c>
      <c r="AN83" s="88">
        <f ca="1">IF(OFFSET(Fact5_predicpoor_under5!$A$1,MATCH($Y16,Fact5_predicpoor_under5!$A$2:$A$26,0),MATCH(AN$2,Fact5_predicpoor_under5!$A$1:$V$1,0)-1,1,1)=0,NA(),OFFSET(Fact5_predicpoor_under5!$A$1,MATCH($Y16,Fact5_predicpoor_under5!$A$2:$A$26,0),MATCH(AN$2,Fact5_predicpoor_under5!$A$1:$V$1,0)-1,1,1))</f>
        <v>38.113346099853516</v>
      </c>
      <c r="AO83" s="8">
        <f ca="1">IF(OFFSET(Fact5_predicpoor_under5!$A$1,MATCH($Y16,Fact5_predicpoor_under5!$A$2:$A$26,0),MATCH(AO$2,Fact5_predicpoor_under5!$A$1:$V$1,0)-1,1,1)=0,NA(),OFFSET(Fact5_predicpoor_under5!$A$1,MATCH($Y16,Fact5_predicpoor_under5!$A$2:$A$26,0),MATCH(AO$2,Fact5_predicpoor_under5!$A$1:$V$1,0)-1,1,1))</f>
        <v>36.983901977539063</v>
      </c>
      <c r="AP83" s="88">
        <f ca="1">IF(OFFSET(Fact5_predicpoor_under5!$A$1,MATCH($Y16,Fact5_predicpoor_under5!$A$2:$A$26,0),MATCH(AP$2,Fact5_predicpoor_under5!$A$1:$V$1,0)-1,1,1)=0,NA(),OFFSET(Fact5_predicpoor_under5!$A$1,MATCH($Y16,Fact5_predicpoor_under5!$A$2:$A$26,0),MATCH(AP$2,Fact5_predicpoor_under5!$A$1:$V$1,0)-1,1,1))</f>
        <v>38.852996826171875</v>
      </c>
      <c r="AQ83" s="8">
        <f ca="1">IF(OFFSET(Fact5_predicpoor_under5!$A$1,MATCH($Y16,Fact5_predicpoor_under5!$A$2:$A$26,0),MATCH(AQ$2,Fact5_predicpoor_under5!$A$1:$V$1,0)-1,1,1)=0,NA(),OFFSET(Fact5_predicpoor_under5!$A$1,MATCH($Y16,Fact5_predicpoor_under5!$A$2:$A$26,0),MATCH(AQ$2,Fact5_predicpoor_under5!$A$1:$V$1,0)-1,1,1))</f>
        <v>40.722095489501953</v>
      </c>
      <c r="AR83" s="88">
        <f ca="1">IF(OFFSET(Fact5_predicpoor_under5!$A$1,MATCH($Y16,Fact5_predicpoor_under5!$A$2:$A$26,0),MATCH(AR$2,Fact5_predicpoor_under5!$A$1:$V$1,0)-1,1,1)=0,NA(),OFFSET(Fact5_predicpoor_under5!$A$1,MATCH($Y16,Fact5_predicpoor_under5!$A$2:$A$26,0),MATCH(AR$2,Fact5_predicpoor_under5!$A$1:$V$1,0)-1,1,1))</f>
        <v>36.348648071289063</v>
      </c>
      <c r="AS83" s="8">
        <f ca="1">IF(OFFSET(Fact5_predicpoor_under5!$A$1,MATCH($Y16,Fact5_predicpoor_under5!$A$2:$A$26,0),MATCH(AS$2,Fact5_predicpoor_under5!$A$1:$V$1,0)-1,1,1)=0,NA(),OFFSET(Fact5_predicpoor_under5!$A$1,MATCH($Y16,Fact5_predicpoor_under5!$A$2:$A$26,0),MATCH(AS$2,Fact5_predicpoor_under5!$A$1:$V$1,0)-1,1,1))</f>
        <v>31.975204467773438</v>
      </c>
      <c r="AT83" s="88">
        <f ca="1">IF(OFFSET(Fact5_predicpoor_under5!$A$1,MATCH($Y16,Fact5_predicpoor_under5!$A$2:$A$26,0),MATCH(AT$2,Fact5_predicpoor_under5!$A$1:$V$1,0)-1,1,1)=0,NA(),OFFSET(Fact5_predicpoor_under5!$A$1,MATCH($Y16,Fact5_predicpoor_under5!$A$2:$A$26,0),MATCH(AT$2,Fact5_predicpoor_under5!$A$1:$V$1,0)-1,1,1))</f>
        <v>28.127969741821289</v>
      </c>
      <c r="AU83" s="8">
        <f t="shared" ca="1" si="84"/>
        <v>28.127969741821289</v>
      </c>
      <c r="AV83" s="8">
        <f t="shared" ca="1" si="85"/>
        <v>1.8690986633300781</v>
      </c>
      <c r="AW83" s="7532" t="e">
        <f t="shared" ca="1" si="109"/>
        <v>#DIV/0!</v>
      </c>
      <c r="AX83" s="7532">
        <f t="shared" ca="1" si="87"/>
        <v>4.8106936813456569E-2</v>
      </c>
      <c r="AY83" s="7532">
        <f t="shared" ca="1" si="88"/>
        <v>-6.4457029301684399E-2</v>
      </c>
      <c r="AZ83" s="2563" t="s">
        <v>38</v>
      </c>
      <c r="BA83" s="7532" t="str">
        <f t="shared" ca="1" si="89"/>
        <v/>
      </c>
      <c r="BB83" s="7532">
        <f t="shared" ca="1" si="90"/>
        <v>-2.8507760637171864E-2</v>
      </c>
      <c r="BC83" s="7532">
        <f t="shared" ca="1" si="91"/>
        <v>-6.8619174223535917E-2</v>
      </c>
      <c r="BD83" s="7532">
        <f t="shared" ca="1" si="92"/>
        <v>0.20097584227218657</v>
      </c>
      <c r="BE83" s="7532">
        <f t="shared" ca="1" si="93"/>
        <v>0.16734378427791707</v>
      </c>
      <c r="BF83" s="7532">
        <f t="shared" ca="1" si="94"/>
        <v>3.6992203214271768E-2</v>
      </c>
      <c r="BG83" s="7532">
        <f t="shared" ca="1" si="95"/>
        <v>3.5672595319049094E-2</v>
      </c>
      <c r="BH83" s="7532">
        <f t="shared" ca="1" si="96"/>
        <v>-7.2936905681467712E-2</v>
      </c>
      <c r="BI83" s="7532">
        <f t="shared" ca="1" si="97"/>
        <v>-7.8675293031465032E-2</v>
      </c>
      <c r="BJ83" s="7532">
        <f t="shared" ca="1" si="98"/>
        <v>-9.3235776558839634E-2</v>
      </c>
      <c r="BK83" s="7532">
        <f t="shared" ca="1" si="99"/>
        <v>-0.10282258436245739</v>
      </c>
      <c r="BL83" s="7532">
        <f t="shared" ca="1" si="100"/>
        <v>-9.3437834050664526E-2</v>
      </c>
      <c r="BM83" s="7532">
        <f t="shared" ca="1" si="101"/>
        <v>-0.10306831407730122</v>
      </c>
      <c r="BN83" s="7532">
        <f t="shared" ca="1" si="102"/>
        <v>-2.8780933157918964E-2</v>
      </c>
      <c r="BO83" s="7532">
        <f t="shared" ca="1" si="103"/>
        <v>-2.9633822214281902E-2</v>
      </c>
      <c r="BP83" s="7532">
        <f t="shared" ca="1" si="104"/>
        <v>5.0538065176788161E-2</v>
      </c>
      <c r="BQ83" s="7532">
        <f t="shared" ca="1" si="105"/>
        <v>4.8106936813456569E-2</v>
      </c>
      <c r="BR83" s="7532">
        <f t="shared" ca="1" si="106"/>
        <v>-0.10739740589578339</v>
      </c>
      <c r="BS83" s="7532">
        <f t="shared" ca="1" si="107"/>
        <v>-0.12031929206660386</v>
      </c>
      <c r="BT83" s="7532">
        <f t="shared" ca="1" si="108"/>
        <v>-0.12031931585706124</v>
      </c>
      <c r="BV83" s="8"/>
    </row>
    <row r="84" spans="2:74">
      <c r="B84" s="99" t="s">
        <v>42</v>
      </c>
      <c r="C84">
        <f>IF(Fact5_predicmoderate!B14&gt;0,VLOOKUP(Fact5!$B84,Fact5_predicmoderate!$A$1:$W$19,23,0),"")</f>
        <v>4468087</v>
      </c>
      <c r="D84">
        <f>IF(Fact5_predicmoderate!C14&gt;0,VLOOKUP(Fact5!$B84,Fact5_predicmoderate!$A$1:$W$19,23,0),"")</f>
        <v>4468087</v>
      </c>
      <c r="E84">
        <f>IF(Fact5_predicmoderate!D14&gt;0,VLOOKUP(Fact5!$B84,Fact5_predicmoderate!$A$1:$W$19,23,0),"")</f>
        <v>4468087</v>
      </c>
      <c r="F84">
        <f>IF(Fact5_predicmoderate!E14&gt;0,VLOOKUP(Fact5!$B84,Fact5_predicmoderate!$A$1:$W$19,23,0),"")</f>
        <v>4468087</v>
      </c>
      <c r="G84">
        <f>IF(Fact5_predicmoderate!F14&gt;0,VLOOKUP(Fact5!$B84,Fact5_predicmoderate!$A$1:$W$19,23,0),"")</f>
        <v>4468087</v>
      </c>
      <c r="H84">
        <f>IF(Fact5_predicmoderate!G14&gt;0,VLOOKUP(Fact5!$B84,Fact5_predicmoderate!$A$1:$W$19,23,0),"")</f>
        <v>4468087</v>
      </c>
      <c r="I84">
        <f>IF(Fact5_predicmoderate!H14&gt;0,VLOOKUP(Fact5!$B84,Fact5_predicmoderate!$A$1:$W$19,23,0),"")</f>
        <v>4468087</v>
      </c>
      <c r="J84">
        <f>IF(Fact5_predicmoderate!I14&gt;0,VLOOKUP(Fact5!$B84,Fact5_predicmoderate!$A$1:$W$19,23,0),"")</f>
        <v>4468087</v>
      </c>
      <c r="K84">
        <f>IF(Fact5_predicmoderate!J14&gt;0,VLOOKUP(Fact5!$B84,Fact5_predicmoderate!$A$1:$W$19,23,0),"")</f>
        <v>4468087</v>
      </c>
      <c r="L84">
        <f>IF(Fact5_predicmoderate!K14&gt;0,VLOOKUP(Fact5!$B84,Fact5_predicmoderate!$A$1:$W$19,23,0),"")</f>
        <v>4468087</v>
      </c>
      <c r="M84">
        <f>IF(Fact5_predicmoderate!L14&gt;0,VLOOKUP(Fact5!$B84,Fact5_predicmoderate!$A$1:$W$19,23,0),"")</f>
        <v>4468087</v>
      </c>
      <c r="N84">
        <f>IF(Fact5_predicmoderate!M14&gt;0,VLOOKUP(Fact5!$B84,Fact5_predicmoderate!$A$1:$W$19,23,0),"")</f>
        <v>4468087</v>
      </c>
      <c r="O84">
        <f>IF(Fact5_predicmoderate!N14&gt;0,VLOOKUP(Fact5!$B84,Fact5_predicmoderate!$A$1:$W$19,23,0),"")</f>
        <v>4468087</v>
      </c>
      <c r="P84">
        <f>IF(Fact5_predicmoderate!O14&gt;0,VLOOKUP(Fact5!$B84,Fact5_predicmoderate!$A$1:$W$19,23,0),"")</f>
        <v>4468087</v>
      </c>
      <c r="Q84">
        <f>IF(Fact5_predicmoderate!P14&gt;0,VLOOKUP(Fact5!$B84,Fact5_predicmoderate!$A$1:$W$19,23,0),"")</f>
        <v>4468087</v>
      </c>
      <c r="R84">
        <f>IF(Fact5_predicmoderate!Q14&gt;0,VLOOKUP(Fact5!$B84,Fact5_predicmoderate!$A$1:$W$19,23,0),"")</f>
        <v>4468087</v>
      </c>
      <c r="S84">
        <f>IF(Fact5_predicmoderate!R14&gt;0,VLOOKUP(Fact5!$B84,Fact5_predicmoderate!$A$1:$W$19,23,0),"")</f>
        <v>4468087</v>
      </c>
      <c r="T84">
        <f>IF(Fact5_predicmoderate!S14&gt;0,VLOOKUP(Fact5!$B84,Fact5_predicmoderate!$A$1:$W$19,23,0),"")</f>
        <v>4468087</v>
      </c>
      <c r="U84">
        <f>IF(Fact5_predicmoderate!T14&gt;0,VLOOKUP(Fact5!$B84,Fact5_predicmoderate!$A$1:$W$19,23,0),"")</f>
        <v>4468087</v>
      </c>
      <c r="V84">
        <f>IF(Fact5_predicmoderate!U14&gt;0,VLOOKUP(Fact5!$B84,Fact5_predicmoderate!$A$1:$W$19,23,0),"")</f>
        <v>4468087</v>
      </c>
      <c r="W84">
        <f>IF(Fact5_predicmoderate!V14&gt;0,VLOOKUP(Fact5!$B84,Fact5_predicmoderate!$A$1:$W$19,23,0),"")</f>
        <v>4468087</v>
      </c>
      <c r="X84" s="2562"/>
      <c r="Y84" s="2563" t="s">
        <v>42</v>
      </c>
      <c r="Z84" s="8">
        <f ca="1">IF(OFFSET(Fact5_predicpoor_under5!$A$1,MATCH($Y17,Fact5_predicpoor_under5!$A$2:$A$26,0),MATCH(Z$2,Fact5_predicpoor_under5!$A$1:$V$1,0)-1,1,1)=0,NA(),OFFSET(Fact5_predicpoor_under5!$A$1,MATCH($Y17,Fact5_predicpoor_under5!$A$2:$A$26,0),MATCH(Z$2,Fact5_predicpoor_under5!$A$1:$V$1,0)-1,1,1))</f>
        <v>37.102108001708984</v>
      </c>
      <c r="AA84" s="8">
        <f ca="1">IF(OFFSET(Fact5_predicpoor_under5!$A$1,MATCH($Y17,Fact5_predicpoor_under5!$A$2:$A$26,0),MATCH(AA$2,Fact5_predicpoor_under5!$A$1:$V$1,0)-1,1,1)=0,NA(),OFFSET(Fact5_predicpoor_under5!$A$1,MATCH($Y17,Fact5_predicpoor_under5!$A$2:$A$26,0),MATCH(AA$2,Fact5_predicpoor_under5!$A$1:$V$1,0)-1,1,1))</f>
        <v>36.347274780273438</v>
      </c>
      <c r="AB84" s="8">
        <f ca="1">IF(OFFSET(Fact5_predicpoor_under5!$A$1,MATCH($Y17,Fact5_predicpoor_under5!$A$2:$A$26,0),MATCH(AB$2,Fact5_predicpoor_under5!$A$1:$V$1,0)-1,1,1)=0,NA(),OFFSET(Fact5_predicpoor_under5!$A$1,MATCH($Y17,Fact5_predicpoor_under5!$A$2:$A$26,0),MATCH(AB$2,Fact5_predicpoor_under5!$A$1:$V$1,0)-1,1,1))</f>
        <v>36.987407684326172</v>
      </c>
      <c r="AC84" s="8">
        <f ca="1">IF(OFFSET(Fact5_predicpoor_under5!$A$1,MATCH($Y17,Fact5_predicpoor_under5!$A$2:$A$26,0),MATCH(AC$2,Fact5_predicpoor_under5!$A$1:$V$1,0)-1,1,1)=0,NA(),OFFSET(Fact5_predicpoor_under5!$A$1,MATCH($Y17,Fact5_predicpoor_under5!$A$2:$A$26,0),MATCH(AC$2,Fact5_predicpoor_under5!$A$1:$V$1,0)-1,1,1))</f>
        <v>36.001548767089844</v>
      </c>
      <c r="AD84" s="8">
        <f ca="1">IF(OFFSET(Fact5_predicpoor_under5!$A$1,MATCH($Y17,Fact5_predicpoor_under5!$A$2:$A$26,0),MATCH(AD$2,Fact5_predicpoor_under5!$A$1:$V$1,0)-1,1,1)=0,NA(),OFFSET(Fact5_predicpoor_under5!$A$1,MATCH($Y17,Fact5_predicpoor_under5!$A$2:$A$26,0),MATCH(AD$2,Fact5_predicpoor_under5!$A$1:$V$1,0)-1,1,1))</f>
        <v>32.478584289550781</v>
      </c>
      <c r="AE84" s="8">
        <f ca="1">IF(OFFSET(Fact5_predicpoor_under5!$A$1,MATCH($Y17,Fact5_predicpoor_under5!$A$2:$A$26,0),MATCH(AE$2,Fact5_predicpoor_under5!$A$1:$V$1,0)-1,1,1)=0,NA(),OFFSET(Fact5_predicpoor_under5!$A$1,MATCH($Y17,Fact5_predicpoor_under5!$A$2:$A$26,0),MATCH(AE$2,Fact5_predicpoor_under5!$A$1:$V$1,0)-1,1,1))</f>
        <v>30.639263153076172</v>
      </c>
      <c r="AF84" s="8">
        <f ca="1">IF(OFFSET(Fact5_predicpoor_under5!$A$1,MATCH($Y17,Fact5_predicpoor_under5!$A$2:$A$26,0),MATCH(AF$2,Fact5_predicpoor_under5!$A$1:$V$1,0)-1,1,1)=0,NA(),OFFSET(Fact5_predicpoor_under5!$A$1,MATCH($Y17,Fact5_predicpoor_under5!$A$2:$A$26,0),MATCH(AF$2,Fact5_predicpoor_under5!$A$1:$V$1,0)-1,1,1))</f>
        <v>29.429298400878906</v>
      </c>
      <c r="AG84" s="8">
        <f ca="1">IF(OFFSET(Fact5_predicpoor_under5!$A$1,MATCH($Y17,Fact5_predicpoor_under5!$A$2:$A$26,0),MATCH(AG$2,Fact5_predicpoor_under5!$A$1:$V$1,0)-1,1,1)=0,NA(),OFFSET(Fact5_predicpoor_under5!$A$1,MATCH($Y17,Fact5_predicpoor_under5!$A$2:$A$26,0),MATCH(AG$2,Fact5_predicpoor_under5!$A$1:$V$1,0)-1,1,1))</f>
        <v>27.428251266479492</v>
      </c>
      <c r="AH84" s="8">
        <f ca="1">IF(OFFSET(Fact5_predicpoor_under5!$A$1,MATCH($Y17,Fact5_predicpoor_under5!$A$2:$A$26,0),MATCH(AH$2,Fact5_predicpoor_under5!$A$1:$V$1,0)-1,1,1)=0,NA(),OFFSET(Fact5_predicpoor_under5!$A$1,MATCH($Y17,Fact5_predicpoor_under5!$A$2:$A$26,0),MATCH(AH$2,Fact5_predicpoor_under5!$A$1:$V$1,0)-1,1,1))</f>
        <v>26.696380615234375</v>
      </c>
      <c r="AI84" s="8">
        <f ca="1">IF(OFFSET(Fact5_predicpoor_under5!$A$1,MATCH($Y17,Fact5_predicpoor_under5!$A$2:$A$26,0),MATCH(AI$2,Fact5_predicpoor_under5!$A$1:$V$1,0)-1,1,1)=0,NA(),OFFSET(Fact5_predicpoor_under5!$A$1,MATCH($Y17,Fact5_predicpoor_under5!$A$2:$A$26,0),MATCH(AI$2,Fact5_predicpoor_under5!$A$1:$V$1,0)-1,1,1))</f>
        <v>22.35173225402832</v>
      </c>
      <c r="AJ84" s="8">
        <f ca="1">IF(OFFSET(Fact5_predicpoor_under5!$A$1,MATCH($Y17,Fact5_predicpoor_under5!$A$2:$A$26,0),MATCH(AJ$2,Fact5_predicpoor_under5!$A$1:$V$1,0)-1,1,1)=0,NA(),OFFSET(Fact5_predicpoor_under5!$A$1,MATCH($Y17,Fact5_predicpoor_under5!$A$2:$A$26,0),MATCH(AJ$2,Fact5_predicpoor_under5!$A$1:$V$1,0)-1,1,1))</f>
        <v>22.748678207397461</v>
      </c>
      <c r="AK84" s="8">
        <f ca="1">IF(OFFSET(Fact5_predicpoor_under5!$A$1,MATCH($Y17,Fact5_predicpoor_under5!$A$2:$A$26,0),MATCH(AK$2,Fact5_predicpoor_under5!$A$1:$V$1,0)-1,1,1)=0,NA(),OFFSET(Fact5_predicpoor_under5!$A$1,MATCH($Y17,Fact5_predicpoor_under5!$A$2:$A$26,0),MATCH(AK$2,Fact5_predicpoor_under5!$A$1:$V$1,0)-1,1,1))</f>
        <v>20.825189590454102</v>
      </c>
      <c r="AL84" s="8">
        <f ca="1">IF(OFFSET(Fact5_predicpoor_under5!$A$1,MATCH($Y17,Fact5_predicpoor_under5!$A$2:$A$26,0),MATCH(AL$2,Fact5_predicpoor_under5!$A$1:$V$1,0)-1,1,1)=0,NA(),OFFSET(Fact5_predicpoor_under5!$A$1,MATCH($Y17,Fact5_predicpoor_under5!$A$2:$A$26,0),MATCH(AL$2,Fact5_predicpoor_under5!$A$1:$V$1,0)-1,1,1))</f>
        <v>20.818813323974609</v>
      </c>
      <c r="AM84" s="8">
        <f ca="1">IF(OFFSET(Fact5_predicpoor_under5!$A$1,MATCH($Y17,Fact5_predicpoor_under5!$A$2:$A$26,0),MATCH(AM$2,Fact5_predicpoor_under5!$A$1:$V$1,0)-1,1,1)=0,NA(),OFFSET(Fact5_predicpoor_under5!$A$1,MATCH($Y17,Fact5_predicpoor_under5!$A$2:$A$26,0),MATCH(AM$2,Fact5_predicpoor_under5!$A$1:$V$1,0)-1,1,1))</f>
        <v>18.387189865112305</v>
      </c>
      <c r="AN84" s="8">
        <f ca="1">IF(OFFSET(Fact5_predicpoor_under5!$A$1,MATCH($Y17,Fact5_predicpoor_under5!$A$2:$A$26,0),MATCH(AN$2,Fact5_predicpoor_under5!$A$1:$V$1,0)-1,1,1)=0,NA(),OFFSET(Fact5_predicpoor_under5!$A$1,MATCH($Y17,Fact5_predicpoor_under5!$A$2:$A$26,0),MATCH(AN$2,Fact5_predicpoor_under5!$A$1:$V$1,0)-1,1,1))</f>
        <v>18.295209884643555</v>
      </c>
      <c r="AO84" s="8">
        <f ca="1">IF(OFFSET(Fact5_predicpoor_under5!$A$1,MATCH($Y17,Fact5_predicpoor_under5!$A$2:$A$26,0),MATCH(AO$2,Fact5_predicpoor_under5!$A$1:$V$1,0)-1,1,1)=0,NA(),OFFSET(Fact5_predicpoor_under5!$A$1,MATCH($Y17,Fact5_predicpoor_under5!$A$2:$A$26,0),MATCH(AO$2,Fact5_predicpoor_under5!$A$1:$V$1,0)-1,1,1))</f>
        <v>17.415761947631836</v>
      </c>
      <c r="AP84" s="8">
        <f ca="1">IF(OFFSET(Fact5_predicpoor_under5!$A$1,MATCH($Y17,Fact5_predicpoor_under5!$A$2:$A$26,0),MATCH(AP$2,Fact5_predicpoor_under5!$A$1:$V$1,0)-1,1,1)=0,NA(),OFFSET(Fact5_predicpoor_under5!$A$1,MATCH($Y17,Fact5_predicpoor_under5!$A$2:$A$26,0),MATCH(AP$2,Fact5_predicpoor_under5!$A$1:$V$1,0)-1,1,1))</f>
        <v>17.43547248840332</v>
      </c>
      <c r="AQ84" s="88">
        <f ca="1">IF(OFFSET(Fact5_predicpoor_under5!$A$1,MATCH($Y17,Fact5_predicpoor_under5!$A$2:$A$26,0),MATCH(AQ$2,Fact5_predicpoor_under5!$A$1:$V$1,0)-1,1,1)=0,NA(),OFFSET(Fact5_predicpoor_under5!$A$1,MATCH($Y17,Fact5_predicpoor_under5!$A$2:$A$26,0),MATCH(AQ$2,Fact5_predicpoor_under5!$A$1:$V$1,0)-1,1,1))</f>
        <v>18.078720092773438</v>
      </c>
      <c r="AR84" s="88">
        <f ca="1">IF(OFFSET(Fact5_predicpoor_under5!$A$1,MATCH($Y17,Fact5_predicpoor_under5!$A$2:$A$26,0),MATCH(AR$2,Fact5_predicpoor_under5!$A$1:$V$1,0)-1,1,1)=0,NA(),OFFSET(Fact5_predicpoor_under5!$A$1,MATCH($Y17,Fact5_predicpoor_under5!$A$2:$A$26,0),MATCH(AR$2,Fact5_predicpoor_under5!$A$1:$V$1,0)-1,1,1))</f>
        <v>18.745698928833008</v>
      </c>
      <c r="AS84" s="8">
        <f ca="1">IF(OFFSET(Fact5_predicpoor_under5!$A$1,MATCH($Y17,Fact5_predicpoor_under5!$A$2:$A$26,0),MATCH(AS$2,Fact5_predicpoor_under5!$A$1:$V$1,0)-1,1,1)=0,NA(),OFFSET(Fact5_predicpoor_under5!$A$1,MATCH($Y17,Fact5_predicpoor_under5!$A$2:$A$26,0),MATCH(AS$2,Fact5_predicpoor_under5!$A$1:$V$1,0)-1,1,1))</f>
        <v>19.437280654907227</v>
      </c>
      <c r="AT84" s="88">
        <f ca="1">IF(OFFSET(Fact5_predicpoor_under5!$A$1,MATCH($Y17,Fact5_predicpoor_under5!$A$2:$A$26,0),MATCH(AT$2,Fact5_predicpoor_under5!$A$1:$V$1,0)-1,1,1)=0,NA(),OFFSET(Fact5_predicpoor_under5!$A$1,MATCH($Y17,Fact5_predicpoor_under5!$A$2:$A$26,0),MATCH(AT$2,Fact5_predicpoor_under5!$A$1:$V$1,0)-1,1,1))</f>
        <v>20.154376983642578</v>
      </c>
      <c r="AU84" s="8">
        <f t="shared" ca="1" si="84"/>
        <v>-16.947731018066406</v>
      </c>
      <c r="AV84" s="8">
        <f t="shared" ca="1" si="85"/>
        <v>0.64324760437011719</v>
      </c>
      <c r="AW84" s="7532">
        <f t="shared" ca="1" si="109"/>
        <v>-0.45678620247900104</v>
      </c>
      <c r="AX84" s="7532">
        <f t="shared" ca="1" si="87"/>
        <v>3.6893041172125107E-2</v>
      </c>
      <c r="AY84" s="7532">
        <f t="shared" ca="1" si="88"/>
        <v>7.5147171451828809E-2</v>
      </c>
      <c r="AZ84" s="2563" t="s">
        <v>42</v>
      </c>
      <c r="BA84" s="7532">
        <f t="shared" ca="1" si="89"/>
        <v>-2.034475295583682E-2</v>
      </c>
      <c r="BB84" s="7532">
        <f t="shared" ca="1" si="90"/>
        <v>1.7611579077729145E-2</v>
      </c>
      <c r="BC84" s="7532">
        <f t="shared" ca="1" si="91"/>
        <v>-2.6653906801208382E-2</v>
      </c>
      <c r="BD84" s="7532">
        <f t="shared" ca="1" si="92"/>
        <v>-9.7855914486643325E-2</v>
      </c>
      <c r="BE84" s="7532">
        <f t="shared" ca="1" si="93"/>
        <v>-5.6631813753851512E-2</v>
      </c>
      <c r="BF84" s="7532">
        <f t="shared" ca="1" si="94"/>
        <v>-3.9490660925890597E-2</v>
      </c>
      <c r="BG84" s="7532">
        <f t="shared" ca="1" si="95"/>
        <v>-6.7995067607172444E-2</v>
      </c>
      <c r="BH84" s="7532">
        <f t="shared" ca="1" si="96"/>
        <v>-2.6683095620446906E-2</v>
      </c>
      <c r="BI84" s="7532">
        <f t="shared" ca="1" si="97"/>
        <v>-0.16274297343238986</v>
      </c>
      <c r="BJ84" s="7532">
        <f t="shared" ca="1" si="98"/>
        <v>1.7759068910536024E-2</v>
      </c>
      <c r="BK84" s="7532">
        <f t="shared" ca="1" si="99"/>
        <v>-8.4553862840166083E-2</v>
      </c>
      <c r="BL84" s="7532">
        <f t="shared" ca="1" si="100"/>
        <v>-3.0618047685937455E-4</v>
      </c>
      <c r="BM84" s="7532">
        <f t="shared" ca="1" si="101"/>
        <v>-0.11679933053927172</v>
      </c>
      <c r="BN84" s="7532">
        <f t="shared" ca="1" si="102"/>
        <v>-5.0023946640846972E-3</v>
      </c>
      <c r="BO84" s="7532">
        <f t="shared" ca="1" si="103"/>
        <v>-4.8069846837335284E-2</v>
      </c>
      <c r="BP84" s="7532">
        <f t="shared" ca="1" si="104"/>
        <v>1.1317644804029747E-3</v>
      </c>
      <c r="BQ84" s="7532">
        <f t="shared" ca="1" si="105"/>
        <v>3.6893041172125107E-2</v>
      </c>
      <c r="BR84" s="7532">
        <f t="shared" ca="1" si="106"/>
        <v>3.6893034055335505E-2</v>
      </c>
      <c r="BS84" s="7532">
        <f t="shared" ca="1" si="107"/>
        <v>3.6892821585355229E-2</v>
      </c>
      <c r="BT84" s="7532">
        <f t="shared" ca="1" si="108"/>
        <v>3.6892831948398541E-2</v>
      </c>
      <c r="BV84" s="8"/>
    </row>
    <row r="85" spans="2:74">
      <c r="B85" s="99" t="s">
        <v>44</v>
      </c>
      <c r="C85">
        <f>IF(Fact5_predicmoderate!B15&gt;0,VLOOKUP(Fact5!$B85,Fact5_predicmoderate!$A$1:$W$19,23,0),"")</f>
        <v>34352719</v>
      </c>
      <c r="D85">
        <f>IF(Fact5_predicmoderate!C15&gt;0,VLOOKUP(Fact5!$B85,Fact5_predicmoderate!$A$1:$W$19,23,0),"")</f>
        <v>34352719</v>
      </c>
      <c r="E85">
        <f>IF(Fact5_predicmoderate!D15&gt;0,VLOOKUP(Fact5!$B85,Fact5_predicmoderate!$A$1:$W$19,23,0),"")</f>
        <v>34352719</v>
      </c>
      <c r="F85">
        <f>IF(Fact5_predicmoderate!E15&gt;0,VLOOKUP(Fact5!$B85,Fact5_predicmoderate!$A$1:$W$19,23,0),"")</f>
        <v>34352719</v>
      </c>
      <c r="G85">
        <f>IF(Fact5_predicmoderate!F15&gt;0,VLOOKUP(Fact5!$B85,Fact5_predicmoderate!$A$1:$W$19,23,0),"")</f>
        <v>34352719</v>
      </c>
      <c r="H85">
        <f>IF(Fact5_predicmoderate!G15&gt;0,VLOOKUP(Fact5!$B85,Fact5_predicmoderate!$A$1:$W$19,23,0),"")</f>
        <v>34352719</v>
      </c>
      <c r="I85">
        <f>IF(Fact5_predicmoderate!H15&gt;0,VLOOKUP(Fact5!$B85,Fact5_predicmoderate!$A$1:$W$19,23,0),"")</f>
        <v>34352719</v>
      </c>
      <c r="J85">
        <f>IF(Fact5_predicmoderate!I15&gt;0,VLOOKUP(Fact5!$B85,Fact5_predicmoderate!$A$1:$W$19,23,0),"")</f>
        <v>34352719</v>
      </c>
      <c r="K85">
        <f>IF(Fact5_predicmoderate!J15&gt;0,VLOOKUP(Fact5!$B85,Fact5_predicmoderate!$A$1:$W$19,23,0),"")</f>
        <v>34352719</v>
      </c>
      <c r="L85">
        <f>IF(Fact5_predicmoderate!K15&gt;0,VLOOKUP(Fact5!$B85,Fact5_predicmoderate!$A$1:$W$19,23,0),"")</f>
        <v>34352719</v>
      </c>
      <c r="M85">
        <f>IF(Fact5_predicmoderate!L15&gt;0,VLOOKUP(Fact5!$B85,Fact5_predicmoderate!$A$1:$W$19,23,0),"")</f>
        <v>34352719</v>
      </c>
      <c r="N85">
        <f>IF(Fact5_predicmoderate!M15&gt;0,VLOOKUP(Fact5!$B85,Fact5_predicmoderate!$A$1:$W$19,23,0),"")</f>
        <v>34352719</v>
      </c>
      <c r="O85">
        <f>IF(Fact5_predicmoderate!N15&gt;0,VLOOKUP(Fact5!$B85,Fact5_predicmoderate!$A$1:$W$19,23,0),"")</f>
        <v>34352719</v>
      </c>
      <c r="P85">
        <f>IF(Fact5_predicmoderate!O15&gt;0,VLOOKUP(Fact5!$B85,Fact5_predicmoderate!$A$1:$W$19,23,0),"")</f>
        <v>34352719</v>
      </c>
      <c r="Q85">
        <f>IF(Fact5_predicmoderate!P15&gt;0,VLOOKUP(Fact5!$B85,Fact5_predicmoderate!$A$1:$W$19,23,0),"")</f>
        <v>34352719</v>
      </c>
      <c r="R85">
        <f>IF(Fact5_predicmoderate!Q15&gt;0,VLOOKUP(Fact5!$B85,Fact5_predicmoderate!$A$1:$W$19,23,0),"")</f>
        <v>34352719</v>
      </c>
      <c r="S85">
        <f>IF(Fact5_predicmoderate!R15&gt;0,VLOOKUP(Fact5!$B85,Fact5_predicmoderate!$A$1:$W$19,23,0),"")</f>
        <v>34352719</v>
      </c>
      <c r="T85">
        <f>IF(Fact5_predicmoderate!S15&gt;0,VLOOKUP(Fact5!$B85,Fact5_predicmoderate!$A$1:$W$19,23,0),"")</f>
        <v>34352719</v>
      </c>
      <c r="U85">
        <f>IF(Fact5_predicmoderate!T15&gt;0,VLOOKUP(Fact5!$B85,Fact5_predicmoderate!$A$1:$W$19,23,0),"")</f>
        <v>34352719</v>
      </c>
      <c r="V85">
        <f>IF(Fact5_predicmoderate!U15&gt;0,VLOOKUP(Fact5!$B85,Fact5_predicmoderate!$A$1:$W$19,23,0),"")</f>
        <v>34352719</v>
      </c>
      <c r="W85">
        <f>IF(Fact5_predicmoderate!V15&gt;0,VLOOKUP(Fact5!$B85,Fact5_predicmoderate!$A$1:$W$19,23,0),"")</f>
        <v>34352719</v>
      </c>
      <c r="X85" s="2562"/>
      <c r="Y85" s="2563" t="s">
        <v>44</v>
      </c>
      <c r="Z85" s="8">
        <f ca="1">IF(OFFSET(Fact5_predicpoor_under5!$A$1,MATCH($Y18,Fact5_predicpoor_under5!$A$2:$A$26,0),MATCH(Z$2,Fact5_predicpoor_under5!$A$1:$V$1,0)-1,1,1)=0,NA(),OFFSET(Fact5_predicpoor_under5!$A$1,MATCH($Y18,Fact5_predicpoor_under5!$A$2:$A$26,0),MATCH(Z$2,Fact5_predicpoor_under5!$A$1:$V$1,0)-1,1,1))</f>
        <v>62.632274627685547</v>
      </c>
      <c r="AA85" s="8">
        <f ca="1">IF(OFFSET(Fact5_predicpoor_under5!$A$1,MATCH($Y18,Fact5_predicpoor_under5!$A$2:$A$26,0),MATCH(AA$2,Fact5_predicpoor_under5!$A$1:$V$1,0)-1,1,1)=0,NA(),OFFSET(Fact5_predicpoor_under5!$A$1,MATCH($Y18,Fact5_predicpoor_under5!$A$2:$A$26,0),MATCH(AA$2,Fact5_predicpoor_under5!$A$1:$V$1,0)-1,1,1))</f>
        <v>63.299030303955078</v>
      </c>
      <c r="AB85" s="8">
        <f ca="1">IF(OFFSET(Fact5_predicpoor_under5!$A$1,MATCH($Y18,Fact5_predicpoor_under5!$A$2:$A$26,0),MATCH(AB$2,Fact5_predicpoor_under5!$A$1:$V$1,0)-1,1,1)=0,NA(),OFFSET(Fact5_predicpoor_under5!$A$1,MATCH($Y18,Fact5_predicpoor_under5!$A$2:$A$26,0),MATCH(AB$2,Fact5_predicpoor_under5!$A$1:$V$1,0)-1,1,1))</f>
        <v>65.508201599121094</v>
      </c>
      <c r="AC85" s="8">
        <f ca="1">IF(OFFSET(Fact5_predicpoor_under5!$A$1,MATCH($Y18,Fact5_predicpoor_under5!$A$2:$A$26,0),MATCH(AC$2,Fact5_predicpoor_under5!$A$1:$V$1,0)-1,1,1)=0,NA(),OFFSET(Fact5_predicpoor_under5!$A$1,MATCH($Y18,Fact5_predicpoor_under5!$A$2:$A$26,0),MATCH(AC$2,Fact5_predicpoor_under5!$A$1:$V$1,0)-1,1,1))</f>
        <v>62.017719268798828</v>
      </c>
      <c r="AD85" s="8">
        <f ca="1">IF(OFFSET(Fact5_predicpoor_under5!$A$1,MATCH($Y18,Fact5_predicpoor_under5!$A$2:$A$26,0),MATCH(AD$2,Fact5_predicpoor_under5!$A$1:$V$1,0)-1,1,1)=0,NA(),OFFSET(Fact5_predicpoor_under5!$A$1,MATCH($Y18,Fact5_predicpoor_under5!$A$2:$A$26,0),MATCH(AD$2,Fact5_predicpoor_under5!$A$1:$V$1,0)-1,1,1))</f>
        <v>54.097091674804688</v>
      </c>
      <c r="AE85" s="8">
        <f ca="1">IF(OFFSET(Fact5_predicpoor_under5!$A$1,MATCH($Y18,Fact5_predicpoor_under5!$A$2:$A$26,0),MATCH(AE$2,Fact5_predicpoor_under5!$A$1:$V$1,0)-1,1,1)=0,NA(),OFFSET(Fact5_predicpoor_under5!$A$1,MATCH($Y18,Fact5_predicpoor_under5!$A$2:$A$26,0),MATCH(AE$2,Fact5_predicpoor_under5!$A$1:$V$1,0)-1,1,1))</f>
        <v>49.961166381835938</v>
      </c>
      <c r="AF85" s="8">
        <f ca="1">IF(OFFSET(Fact5_predicpoor_under5!$A$1,MATCH($Y18,Fact5_predicpoor_under5!$A$2:$A$26,0),MATCH(AF$2,Fact5_predicpoor_under5!$A$1:$V$1,0)-1,1,1)=0,NA(),OFFSET(Fact5_predicpoor_under5!$A$1,MATCH($Y18,Fact5_predicpoor_under5!$A$2:$A$26,0),MATCH(AF$2,Fact5_predicpoor_under5!$A$1:$V$1,0)-1,1,1))</f>
        <v>40.033866882324219</v>
      </c>
      <c r="AG85" s="8">
        <f ca="1">IF(OFFSET(Fact5_predicpoor_under5!$A$1,MATCH($Y18,Fact5_predicpoor_under5!$A$2:$A$26,0),MATCH(AG$2,Fact5_predicpoor_under5!$A$1:$V$1,0)-1,1,1)=0,NA(),OFFSET(Fact5_predicpoor_under5!$A$1,MATCH($Y18,Fact5_predicpoor_under5!$A$2:$A$26,0),MATCH(AG$2,Fact5_predicpoor_under5!$A$1:$V$1,0)-1,1,1))</f>
        <v>36.661216735839844</v>
      </c>
      <c r="AH85" s="8">
        <f ca="1">IF(OFFSET(Fact5_predicpoor_under5!$A$1,MATCH($Y18,Fact5_predicpoor_under5!$A$2:$A$26,0),MATCH(AH$2,Fact5_predicpoor_under5!$A$1:$V$1,0)-1,1,1)=0,NA(),OFFSET(Fact5_predicpoor_under5!$A$1,MATCH($Y18,Fact5_predicpoor_under5!$A$2:$A$26,0),MATCH(AH$2,Fact5_predicpoor_under5!$A$1:$V$1,0)-1,1,1))</f>
        <v>41.727046966552734</v>
      </c>
      <c r="AI85" s="8">
        <f ca="1">IF(OFFSET(Fact5_predicpoor_under5!$A$1,MATCH($Y18,Fact5_predicpoor_under5!$A$2:$A$26,0),MATCH(AI$2,Fact5_predicpoor_under5!$A$1:$V$1,0)-1,1,1)=0,NA(),OFFSET(Fact5_predicpoor_under5!$A$1,MATCH($Y18,Fact5_predicpoor_under5!$A$2:$A$26,0),MATCH(AI$2,Fact5_predicpoor_under5!$A$1:$V$1,0)-1,1,1))</f>
        <v>39.48577880859375</v>
      </c>
      <c r="AJ85" s="8">
        <f ca="1">IF(OFFSET(Fact5_predicpoor_under5!$A$1,MATCH($Y18,Fact5_predicpoor_under5!$A$2:$A$26,0),MATCH(AJ$2,Fact5_predicpoor_under5!$A$1:$V$1,0)-1,1,1)=0,NA(),OFFSET(Fact5_predicpoor_under5!$A$1,MATCH($Y18,Fact5_predicpoor_under5!$A$2:$A$26,0),MATCH(AJ$2,Fact5_predicpoor_under5!$A$1:$V$1,0)-1,1,1))</f>
        <v>38.455146789550781</v>
      </c>
      <c r="AK85" s="8">
        <f ca="1">IF(OFFSET(Fact5_predicpoor_under5!$A$1,MATCH($Y18,Fact5_predicpoor_under5!$A$2:$A$26,0),MATCH(AK$2,Fact5_predicpoor_under5!$A$1:$V$1,0)-1,1,1)=0,NA(),OFFSET(Fact5_predicpoor_under5!$A$1,MATCH($Y18,Fact5_predicpoor_under5!$A$2:$A$26,0),MATCH(AK$2,Fact5_predicpoor_under5!$A$1:$V$1,0)-1,1,1))</f>
        <v>37.583858489990234</v>
      </c>
      <c r="AL85" s="8">
        <f ca="1">IF(OFFSET(Fact5_predicpoor_under5!$A$1,MATCH($Y18,Fact5_predicpoor_under5!$A$2:$A$26,0),MATCH(AL$2,Fact5_predicpoor_under5!$A$1:$V$1,0)-1,1,1)=0,NA(),OFFSET(Fact5_predicpoor_under5!$A$1,MATCH($Y18,Fact5_predicpoor_under5!$A$2:$A$26,0),MATCH(AL$2,Fact5_predicpoor_under5!$A$1:$V$1,0)-1,1,1))</f>
        <v>37.354263305664063</v>
      </c>
      <c r="AM85" s="8">
        <f ca="1">IF(OFFSET(Fact5_predicpoor_under5!$A$1,MATCH($Y18,Fact5_predicpoor_under5!$A$2:$A$26,0),MATCH(AM$2,Fact5_predicpoor_under5!$A$1:$V$1,0)-1,1,1)=0,NA(),OFFSET(Fact5_predicpoor_under5!$A$1,MATCH($Y18,Fact5_predicpoor_under5!$A$2:$A$26,0),MATCH(AM$2,Fact5_predicpoor_under5!$A$1:$V$1,0)-1,1,1))</f>
        <v>35.976661682128906</v>
      </c>
      <c r="AN85" s="8">
        <f ca="1">IF(OFFSET(Fact5_predicpoor_under5!$A$1,MATCH($Y18,Fact5_predicpoor_under5!$A$2:$A$26,0),MATCH(AN$2,Fact5_predicpoor_under5!$A$1:$V$1,0)-1,1,1)=0,NA(),OFFSET(Fact5_predicpoor_under5!$A$1,MATCH($Y18,Fact5_predicpoor_under5!$A$2:$A$26,0),MATCH(AN$2,Fact5_predicpoor_under5!$A$1:$V$1,0)-1,1,1))</f>
        <v>36.923824310302734</v>
      </c>
      <c r="AO85" s="8">
        <f ca="1">IF(OFFSET(Fact5_predicpoor_under5!$A$1,MATCH($Y18,Fact5_predicpoor_under5!$A$2:$A$26,0),MATCH(AO$2,Fact5_predicpoor_under5!$A$1:$V$1,0)-1,1,1)=0,NA(),OFFSET(Fact5_predicpoor_under5!$A$1,MATCH($Y18,Fact5_predicpoor_under5!$A$2:$A$26,0),MATCH(AO$2,Fact5_predicpoor_under5!$A$1:$V$1,0)-1,1,1))</f>
        <v>34.918556213378906</v>
      </c>
      <c r="AP85" s="8">
        <f ca="1">IF(OFFSET(Fact5_predicpoor_under5!$A$1,MATCH($Y18,Fact5_predicpoor_under5!$A$2:$A$26,0),MATCH(AP$2,Fact5_predicpoor_under5!$A$1:$V$1,0)-1,1,1)=0,NA(),OFFSET(Fact5_predicpoor_under5!$A$1,MATCH($Y18,Fact5_predicpoor_under5!$A$2:$A$26,0),MATCH(AP$2,Fact5_predicpoor_under5!$A$1:$V$1,0)-1,1,1))</f>
        <v>33.224308013916016</v>
      </c>
      <c r="AQ85" s="8">
        <f ca="1">IF(OFFSET(Fact5_predicpoor_under5!$A$1,MATCH($Y18,Fact5_predicpoor_under5!$A$2:$A$26,0),MATCH(AQ$2,Fact5_predicpoor_under5!$A$1:$V$1,0)-1,1,1)=0,NA(),OFFSET(Fact5_predicpoor_under5!$A$1,MATCH($Y18,Fact5_predicpoor_under5!$A$2:$A$26,0),MATCH(AQ$2,Fact5_predicpoor_under5!$A$1:$V$1,0)-1,1,1))</f>
        <v>49.915538787841797</v>
      </c>
      <c r="AR85" s="8">
        <f ca="1">IF(OFFSET(Fact5_predicpoor_under5!$A$1,MATCH($Y18,Fact5_predicpoor_under5!$A$2:$A$26,0),MATCH(AR$2,Fact5_predicpoor_under5!$A$1:$V$1,0)-1,1,1)=0,NA(),OFFSET(Fact5_predicpoor_under5!$A$1,MATCH($Y18,Fact5_predicpoor_under5!$A$2:$A$26,0),MATCH(AR$2,Fact5_predicpoor_under5!$A$1:$V$1,0)-1,1,1))</f>
        <v>40.421871185302734</v>
      </c>
      <c r="AS85" s="8">
        <f ca="1">IF(OFFSET(Fact5_predicpoor_under5!$A$1,MATCH($Y18,Fact5_predicpoor_under5!$A$2:$A$26,0),MATCH(AS$2,Fact5_predicpoor_under5!$A$1:$V$1,0)-1,1,1)=0,NA(),OFFSET(Fact5_predicpoor_under5!$A$1,MATCH($Y18,Fact5_predicpoor_under5!$A$2:$A$26,0),MATCH(AS$2,Fact5_predicpoor_under5!$A$1:$V$1,0)-1,1,1))</f>
        <v>37.667442321777344</v>
      </c>
      <c r="AT85" s="88">
        <f ca="1">IF(OFFSET(Fact5_predicpoor_under5!$A$1,MATCH($Y18,Fact5_predicpoor_under5!$A$2:$A$26,0),MATCH(AT$2,Fact5_predicpoor_under5!$A$1:$V$1,0)-1,1,1)=0,NA(),OFFSET(Fact5_predicpoor_under5!$A$1,MATCH($Y18,Fact5_predicpoor_under5!$A$2:$A$26,0),MATCH(AT$2,Fact5_predicpoor_under5!$A$1:$V$1,0)-1,1,1))</f>
        <v>35.100704193115234</v>
      </c>
      <c r="AU85" s="8">
        <f t="shared" ca="1" si="84"/>
        <v>-27.531570434570313</v>
      </c>
      <c r="AV85" s="7548">
        <f t="shared" ca="1" si="85"/>
        <v>16.691230773925781</v>
      </c>
      <c r="AW85" s="7532">
        <f t="shared" ca="1" si="109"/>
        <v>-0.43957481343652882</v>
      </c>
      <c r="AX85" s="7533">
        <f t="shared" ca="1" si="87"/>
        <v>0.50238008770369724</v>
      </c>
      <c r="AY85" s="7532">
        <f t="shared" ca="1" si="88"/>
        <v>0.21663545764059311</v>
      </c>
      <c r="AZ85" s="7548" t="s">
        <v>44</v>
      </c>
      <c r="BA85" s="7532">
        <f t="shared" ca="1" si="89"/>
        <v>1.064556061923394E-2</v>
      </c>
      <c r="BB85" s="7532">
        <f t="shared" ca="1" si="90"/>
        <v>3.490055510420631E-2</v>
      </c>
      <c r="BC85" s="7532">
        <f t="shared" ca="1" si="91"/>
        <v>-5.3283134708572044E-2</v>
      </c>
      <c r="BD85" s="7532">
        <f t="shared" ca="1" si="92"/>
        <v>-0.12771555754355213</v>
      </c>
      <c r="BE85" s="7532">
        <f t="shared" ca="1" si="93"/>
        <v>-7.6453745754598956E-2</v>
      </c>
      <c r="BF85" s="7532">
        <f t="shared" ca="1" si="94"/>
        <v>-0.19870031503349617</v>
      </c>
      <c r="BG85" s="7532">
        <f t="shared" ca="1" si="95"/>
        <v>-8.4244925837365758E-2</v>
      </c>
      <c r="BH85" s="7532">
        <f t="shared" ca="1" si="96"/>
        <v>0.13817954453651726</v>
      </c>
      <c r="BI85" s="7532">
        <f t="shared" ca="1" si="97"/>
        <v>-5.3712599402385819E-2</v>
      </c>
      <c r="BJ85" s="7532">
        <f t="shared" ca="1" si="98"/>
        <v>-2.6101347121426421E-2</v>
      </c>
      <c r="BK85" s="7532">
        <f t="shared" ca="1" si="99"/>
        <v>-2.26572610508744E-2</v>
      </c>
      <c r="BL85" s="7532">
        <f t="shared" ca="1" si="100"/>
        <v>-6.1088774157480596E-3</v>
      </c>
      <c r="BM85" s="7532">
        <f t="shared" ca="1" si="101"/>
        <v>-3.6879368019185899E-2</v>
      </c>
      <c r="BN85" s="7532">
        <f t="shared" ca="1" si="102"/>
        <v>2.6327140537453664E-2</v>
      </c>
      <c r="BO85" s="7532">
        <f t="shared" ca="1" si="103"/>
        <v>-5.4308244998454991E-2</v>
      </c>
      <c r="BP85" s="7532">
        <f t="shared" ca="1" si="104"/>
        <v>-4.8519995761272194E-2</v>
      </c>
      <c r="BQ85" s="7532">
        <f t="shared" ca="1" si="105"/>
        <v>0.50238008770369724</v>
      </c>
      <c r="BR85" s="7532">
        <f t="shared" ca="1" si="106"/>
        <v>-0.19019463343650189</v>
      </c>
      <c r="BS85" s="7532">
        <f t="shared" ca="1" si="107"/>
        <v>-6.8142042482360221E-2</v>
      </c>
      <c r="BT85" s="7532">
        <f t="shared" ca="1" si="108"/>
        <v>-6.8142086917808986E-2</v>
      </c>
      <c r="BV85" s="8"/>
    </row>
    <row r="86" spans="2:74">
      <c r="B86" s="98" t="s">
        <v>45</v>
      </c>
      <c r="C86">
        <f>IF(Fact5_predicmoderate!B16&gt;0,VLOOKUP(Fact5!$B86,Fact5_predicmoderate!$A$1:$W$19,23,0),"")</f>
        <v>6861524</v>
      </c>
      <c r="D86">
        <f>IF(Fact5_predicmoderate!C16&gt;0,VLOOKUP(Fact5!$B86,Fact5_predicmoderate!$A$1:$W$19,23,0),"")</f>
        <v>6861524</v>
      </c>
      <c r="E86">
        <f>IF(Fact5_predicmoderate!D16&gt;0,VLOOKUP(Fact5!$B86,Fact5_predicmoderate!$A$1:$W$19,23,0),"")</f>
        <v>6861524</v>
      </c>
      <c r="F86">
        <f>IF(Fact5_predicmoderate!E16&gt;0,VLOOKUP(Fact5!$B86,Fact5_predicmoderate!$A$1:$W$19,23,0),"")</f>
        <v>6861524</v>
      </c>
      <c r="G86">
        <f>IF(Fact5_predicmoderate!F16&gt;0,VLOOKUP(Fact5!$B86,Fact5_predicmoderate!$A$1:$W$19,23,0),"")</f>
        <v>6861524</v>
      </c>
      <c r="H86">
        <f>IF(Fact5_predicmoderate!G16&gt;0,VLOOKUP(Fact5!$B86,Fact5_predicmoderate!$A$1:$W$19,23,0),"")</f>
        <v>6861524</v>
      </c>
      <c r="I86">
        <f>IF(Fact5_predicmoderate!H16&gt;0,VLOOKUP(Fact5!$B86,Fact5_predicmoderate!$A$1:$W$19,23,0),"")</f>
        <v>6861524</v>
      </c>
      <c r="J86">
        <f>IF(Fact5_predicmoderate!I16&gt;0,VLOOKUP(Fact5!$B86,Fact5_predicmoderate!$A$1:$W$19,23,0),"")</f>
        <v>6861524</v>
      </c>
      <c r="K86">
        <f>IF(Fact5_predicmoderate!J16&gt;0,VLOOKUP(Fact5!$B86,Fact5_predicmoderate!$A$1:$W$19,23,0),"")</f>
        <v>6861524</v>
      </c>
      <c r="L86">
        <f>IF(Fact5_predicmoderate!K16&gt;0,VLOOKUP(Fact5!$B86,Fact5_predicmoderate!$A$1:$W$19,23,0),"")</f>
        <v>6861524</v>
      </c>
      <c r="M86">
        <f>IF(Fact5_predicmoderate!L16&gt;0,VLOOKUP(Fact5!$B86,Fact5_predicmoderate!$A$1:$W$19,23,0),"")</f>
        <v>6861524</v>
      </c>
      <c r="N86">
        <f>IF(Fact5_predicmoderate!M16&gt;0,VLOOKUP(Fact5!$B86,Fact5_predicmoderate!$A$1:$W$19,23,0),"")</f>
        <v>6861524</v>
      </c>
      <c r="O86">
        <f>IF(Fact5_predicmoderate!N16&gt;0,VLOOKUP(Fact5!$B86,Fact5_predicmoderate!$A$1:$W$19,23,0),"")</f>
        <v>6861524</v>
      </c>
      <c r="P86">
        <f>IF(Fact5_predicmoderate!O16&gt;0,VLOOKUP(Fact5!$B86,Fact5_predicmoderate!$A$1:$W$19,23,0),"")</f>
        <v>6861524</v>
      </c>
      <c r="Q86">
        <f>IF(Fact5_predicmoderate!P16&gt;0,VLOOKUP(Fact5!$B86,Fact5_predicmoderate!$A$1:$W$19,23,0),"")</f>
        <v>6861524</v>
      </c>
      <c r="R86">
        <f>IF(Fact5_predicmoderate!Q16&gt;0,VLOOKUP(Fact5!$B86,Fact5_predicmoderate!$A$1:$W$19,23,0),"")</f>
        <v>6861524</v>
      </c>
      <c r="S86">
        <f>IF(Fact5_predicmoderate!R16&gt;0,VLOOKUP(Fact5!$B86,Fact5_predicmoderate!$A$1:$W$19,23,0),"")</f>
        <v>6861524</v>
      </c>
      <c r="T86">
        <f>IF(Fact5_predicmoderate!S16&gt;0,VLOOKUP(Fact5!$B86,Fact5_predicmoderate!$A$1:$W$19,23,0),"")</f>
        <v>6861524</v>
      </c>
      <c r="U86">
        <f>IF(Fact5_predicmoderate!T16&gt;0,VLOOKUP(Fact5!$B86,Fact5_predicmoderate!$A$1:$W$19,23,0),"")</f>
        <v>6861524</v>
      </c>
      <c r="V86">
        <f>IF(Fact5_predicmoderate!U16&gt;0,VLOOKUP(Fact5!$B86,Fact5_predicmoderate!$A$1:$W$19,23,0),"")</f>
        <v>6861524</v>
      </c>
      <c r="W86">
        <f>IF(Fact5_predicmoderate!V16&gt;0,VLOOKUP(Fact5!$B86,Fact5_predicmoderate!$A$1:$W$19,23,0),"")</f>
        <v>6861524</v>
      </c>
      <c r="X86" s="2562"/>
      <c r="Y86" s="2562" t="s">
        <v>45</v>
      </c>
      <c r="Z86" s="8">
        <f ca="1">IF(OFFSET(Fact5_predicpoor_under5!$A$1,MATCH($Y19,Fact5_predicpoor_under5!$A$2:$A$26,0),MATCH(Z$2,Fact5_predicpoor_under5!$A$1:$V$1,0)-1,1,1)=0,NA(),OFFSET(Fact5_predicpoor_under5!$A$1,MATCH($Y19,Fact5_predicpoor_under5!$A$2:$A$26,0),MATCH(Z$2,Fact5_predicpoor_under5!$A$1:$V$1,0)-1,1,1))</f>
        <v>54.229194641113281</v>
      </c>
      <c r="AA86" s="8">
        <f ca="1">IF(OFFSET(Fact5_predicpoor_under5!$A$1,MATCH($Y19,Fact5_predicpoor_under5!$A$2:$A$26,0),MATCH(AA$2,Fact5_predicpoor_under5!$A$1:$V$1,0)-1,1,1)=0,NA(),OFFSET(Fact5_predicpoor_under5!$A$1,MATCH($Y19,Fact5_predicpoor_under5!$A$2:$A$26,0),MATCH(AA$2,Fact5_predicpoor_under5!$A$1:$V$1,0)-1,1,1))</f>
        <v>52.691501617431641</v>
      </c>
      <c r="AB86" s="8">
        <f ca="1">IF(OFFSET(Fact5_predicpoor_under5!$A$1,MATCH($Y19,Fact5_predicpoor_under5!$A$2:$A$26,0),MATCH(AB$2,Fact5_predicpoor_under5!$A$1:$V$1,0)-1,1,1)=0,NA(),OFFSET(Fact5_predicpoor_under5!$A$1,MATCH($Y19,Fact5_predicpoor_under5!$A$2:$A$26,0),MATCH(AB$2,Fact5_predicpoor_under5!$A$1:$V$1,0)-1,1,1))</f>
        <v>46.818115234375</v>
      </c>
      <c r="AC86" s="8">
        <f ca="1">IF(OFFSET(Fact5_predicpoor_under5!$A$1,MATCH($Y19,Fact5_predicpoor_under5!$A$2:$A$26,0),MATCH(AC$2,Fact5_predicpoor_under5!$A$1:$V$1,0)-1,1,1)=0,NA(),OFFSET(Fact5_predicpoor_under5!$A$1,MATCH($Y19,Fact5_predicpoor_under5!$A$2:$A$26,0),MATCH(AC$2,Fact5_predicpoor_under5!$A$1:$V$1,0)-1,1,1))</f>
        <v>50.554611206054688</v>
      </c>
      <c r="AD86" s="8">
        <f ca="1">IF(OFFSET(Fact5_predicpoor_under5!$A$1,MATCH($Y19,Fact5_predicpoor_under5!$A$2:$A$26,0),MATCH(AD$2,Fact5_predicpoor_under5!$A$1:$V$1,0)-1,1,1)=0,NA(),OFFSET(Fact5_predicpoor_under5!$A$1,MATCH($Y19,Fact5_predicpoor_under5!$A$2:$A$26,0),MATCH(AD$2,Fact5_predicpoor_under5!$A$1:$V$1,0)-1,1,1))</f>
        <v>46.810771942138672</v>
      </c>
      <c r="AE86" s="8">
        <f ca="1">IF(OFFSET(Fact5_predicpoor_under5!$A$1,MATCH($Y19,Fact5_predicpoor_under5!$A$2:$A$26,0),MATCH(AE$2,Fact5_predicpoor_under5!$A$1:$V$1,0)-1,1,1)=0,NA(),OFFSET(Fact5_predicpoor_under5!$A$1,MATCH($Y19,Fact5_predicpoor_under5!$A$2:$A$26,0),MATCH(AE$2,Fact5_predicpoor_under5!$A$1:$V$1,0)-1,1,1))</f>
        <v>46.009757995605469</v>
      </c>
      <c r="AF86" s="8">
        <f ca="1">IF(OFFSET(Fact5_predicpoor_under5!$A$1,MATCH($Y19,Fact5_predicpoor_under5!$A$2:$A$26,0),MATCH(AF$2,Fact5_predicpoor_under5!$A$1:$V$1,0)-1,1,1)=0,NA(),OFFSET(Fact5_predicpoor_under5!$A$1,MATCH($Y19,Fact5_predicpoor_under5!$A$2:$A$26,0),MATCH(AF$2,Fact5_predicpoor_under5!$A$1:$V$1,0)-1,1,1))</f>
        <v>41.376983642578125</v>
      </c>
      <c r="AG86" s="8">
        <f ca="1">IF(OFFSET(Fact5_predicpoor_under5!$A$1,MATCH($Y19,Fact5_predicpoor_under5!$A$2:$A$26,0),MATCH(AG$2,Fact5_predicpoor_under5!$A$1:$V$1,0)-1,1,1)=0,NA(),OFFSET(Fact5_predicpoor_under5!$A$1,MATCH($Y19,Fact5_predicpoor_under5!$A$2:$A$26,0),MATCH(AG$2,Fact5_predicpoor_under5!$A$1:$V$1,0)-1,1,1))</f>
        <v>40.1063232421875</v>
      </c>
      <c r="AH86" s="8">
        <f ca="1">IF(OFFSET(Fact5_predicpoor_under5!$A$1,MATCH($Y19,Fact5_predicpoor_under5!$A$2:$A$26,0),MATCH(AH$2,Fact5_predicpoor_under5!$A$1:$V$1,0)-1,1,1)=0,NA(),OFFSET(Fact5_predicpoor_under5!$A$1,MATCH($Y19,Fact5_predicpoor_under5!$A$2:$A$26,0),MATCH(AH$2,Fact5_predicpoor_under5!$A$1:$V$1,0)-1,1,1))</f>
        <v>38.115966796875</v>
      </c>
      <c r="AI86" s="8">
        <f ca="1">IF(OFFSET(Fact5_predicpoor_under5!$A$1,MATCH($Y19,Fact5_predicpoor_under5!$A$2:$A$26,0),MATCH(AI$2,Fact5_predicpoor_under5!$A$1:$V$1,0)-1,1,1)=0,NA(),OFFSET(Fact5_predicpoor_under5!$A$1,MATCH($Y19,Fact5_predicpoor_under5!$A$2:$A$26,0),MATCH(AI$2,Fact5_predicpoor_under5!$A$1:$V$1,0)-1,1,1))</f>
        <v>36.435405731201172</v>
      </c>
      <c r="AJ86" s="8">
        <f ca="1">IF(OFFSET(Fact5_predicpoor_under5!$A$1,MATCH($Y19,Fact5_predicpoor_under5!$A$2:$A$26,0),MATCH(AJ$2,Fact5_predicpoor_under5!$A$1:$V$1,0)-1,1,1)=0,NA(),OFFSET(Fact5_predicpoor_under5!$A$1,MATCH($Y19,Fact5_predicpoor_under5!$A$2:$A$26,0),MATCH(AJ$2,Fact5_predicpoor_under5!$A$1:$V$1,0)-1,1,1))</f>
        <v>31.829750061035156</v>
      </c>
      <c r="AK86" s="8">
        <f ca="1">IF(OFFSET(Fact5_predicpoor_under5!$A$1,MATCH($Y19,Fact5_predicpoor_under5!$A$2:$A$26,0),MATCH(AK$2,Fact5_predicpoor_under5!$A$1:$V$1,0)-1,1,1)=0,NA(),OFFSET(Fact5_predicpoor_under5!$A$1,MATCH($Y19,Fact5_predicpoor_under5!$A$2:$A$26,0),MATCH(AK$2,Fact5_predicpoor_under5!$A$1:$V$1,0)-1,1,1))</f>
        <v>29.874008178710938</v>
      </c>
      <c r="AL86" s="8">
        <f ca="1">IF(OFFSET(Fact5_predicpoor_under5!$A$1,MATCH($Y19,Fact5_predicpoor_under5!$A$2:$A$26,0),MATCH(AL$2,Fact5_predicpoor_under5!$A$1:$V$1,0)-1,1,1)=0,NA(),OFFSET(Fact5_predicpoor_under5!$A$1,MATCH($Y19,Fact5_predicpoor_under5!$A$2:$A$26,0),MATCH(AL$2,Fact5_predicpoor_under5!$A$1:$V$1,0)-1,1,1))</f>
        <v>29.580116271972656</v>
      </c>
      <c r="AM86" s="8">
        <f ca="1">IF(OFFSET(Fact5_predicpoor_under5!$A$1,MATCH($Y19,Fact5_predicpoor_under5!$A$2:$A$26,0),MATCH(AM$2,Fact5_predicpoor_under5!$A$1:$V$1,0)-1,1,1)=0,NA(),OFFSET(Fact5_predicpoor_under5!$A$1,MATCH($Y19,Fact5_predicpoor_under5!$A$2:$A$26,0),MATCH(AM$2,Fact5_predicpoor_under5!$A$1:$V$1,0)-1,1,1))</f>
        <v>35.456184387207031</v>
      </c>
      <c r="AN86" s="8">
        <f ca="1">IF(OFFSET(Fact5_predicpoor_under5!$A$1,MATCH($Y19,Fact5_predicpoor_under5!$A$2:$A$26,0),MATCH(AN$2,Fact5_predicpoor_under5!$A$1:$V$1,0)-1,1,1)=0,NA(),OFFSET(Fact5_predicpoor_under5!$A$1,MATCH($Y19,Fact5_predicpoor_under5!$A$2:$A$26,0),MATCH(AN$2,Fact5_predicpoor_under5!$A$1:$V$1,0)-1,1,1))</f>
        <v>33.978878021240234</v>
      </c>
      <c r="AO86" s="8">
        <f ca="1">IF(OFFSET(Fact5_predicpoor_under5!$A$1,MATCH($Y19,Fact5_predicpoor_under5!$A$2:$A$26,0),MATCH(AO$2,Fact5_predicpoor_under5!$A$1:$V$1,0)-1,1,1)=0,NA(),OFFSET(Fact5_predicpoor_under5!$A$1,MATCH($Y19,Fact5_predicpoor_under5!$A$2:$A$26,0),MATCH(AO$2,Fact5_predicpoor_under5!$A$1:$V$1,0)-1,1,1))</f>
        <v>28.687969207763672</v>
      </c>
      <c r="AP86" s="8">
        <f ca="1">IF(OFFSET(Fact5_predicpoor_under5!$A$1,MATCH($Y19,Fact5_predicpoor_under5!$A$2:$A$26,0),MATCH(AP$2,Fact5_predicpoor_under5!$A$1:$V$1,0)-1,1,1)=0,NA(),OFFSET(Fact5_predicpoor_under5!$A$1,MATCH($Y19,Fact5_predicpoor_under5!$A$2:$A$26,0),MATCH(AP$2,Fact5_predicpoor_under5!$A$1:$V$1,0)-1,1,1))</f>
        <v>29.581382751464844</v>
      </c>
      <c r="AQ86" s="8">
        <f ca="1">IF(OFFSET(Fact5_predicpoor_under5!$A$1,MATCH($Y19,Fact5_predicpoor_under5!$A$2:$A$26,0),MATCH(AQ$2,Fact5_predicpoor_under5!$A$1:$V$1,0)-1,1,1)=0,NA(),OFFSET(Fact5_predicpoor_under5!$A$1,MATCH($Y19,Fact5_predicpoor_under5!$A$2:$A$26,0),MATCH(AQ$2,Fact5_predicpoor_under5!$A$1:$V$1,0)-1,1,1))</f>
        <v>30.203924179077148</v>
      </c>
      <c r="AR86" s="8">
        <f ca="1">IF(OFFSET(Fact5_predicpoor_under5!$A$1,MATCH($Y19,Fact5_predicpoor_under5!$A$2:$A$26,0),MATCH(AR$2,Fact5_predicpoor_under5!$A$1:$V$1,0)-1,1,1)=0,NA(),OFFSET(Fact5_predicpoor_under5!$A$1,MATCH($Y19,Fact5_predicpoor_under5!$A$2:$A$26,0),MATCH(AR$2,Fact5_predicpoor_under5!$A$1:$V$1,0)-1,1,1))</f>
        <v>30.932479858398438</v>
      </c>
      <c r="AS86" s="8">
        <f ca="1">IF(OFFSET(Fact5_predicpoor_under5!$A$1,MATCH($Y19,Fact5_predicpoor_under5!$A$2:$A$26,0),MATCH(AS$2,Fact5_predicpoor_under5!$A$1:$V$1,0)-1,1,1)=0,NA(),OFFSET(Fact5_predicpoor_under5!$A$1,MATCH($Y19,Fact5_predicpoor_under5!$A$2:$A$26,0),MATCH(AS$2,Fact5_predicpoor_under5!$A$1:$V$1,0)-1,1,1))</f>
        <v>31.323837280273438</v>
      </c>
      <c r="AT86" s="88">
        <f ca="1">IF(OFFSET(Fact5_predicpoor_under5!$A$1,MATCH($Y19,Fact5_predicpoor_under5!$A$2:$A$26,0),MATCH(AT$2,Fact5_predicpoor_under5!$A$1:$V$1,0)-1,1,1)=0,NA(),OFFSET(Fact5_predicpoor_under5!$A$1,MATCH($Y19,Fact5_predicpoor_under5!$A$2:$A$26,0),MATCH(AT$2,Fact5_predicpoor_under5!$A$1:$V$1,0)-1,1,1))</f>
        <v>31.720146179199219</v>
      </c>
      <c r="AU86" s="8">
        <f t="shared" ca="1" si="84"/>
        <v>-22.509048461914063</v>
      </c>
      <c r="AV86" s="8">
        <f t="shared" ca="1" si="85"/>
        <v>0.62254142761230469</v>
      </c>
      <c r="AW86" s="7532">
        <f t="shared" ca="1" si="109"/>
        <v>-0.41507251971706527</v>
      </c>
      <c r="AX86" s="7532">
        <f t="shared" ca="1" si="87"/>
        <v>2.1045041499335504E-2</v>
      </c>
      <c r="AY86" s="7532">
        <f t="shared" ca="1" si="88"/>
        <v>4.5673899637659332E-2</v>
      </c>
      <c r="AZ86" s="2562" t="s">
        <v>45</v>
      </c>
      <c r="BA86" s="7532">
        <f t="shared" ca="1" si="89"/>
        <v>-2.8355446431724385E-2</v>
      </c>
      <c r="BB86" s="7532">
        <f t="shared" ca="1" si="90"/>
        <v>-0.11146743218100996</v>
      </c>
      <c r="BC86" s="7532">
        <f t="shared" ca="1" si="91"/>
        <v>7.9808765324586695E-2</v>
      </c>
      <c r="BD86" s="7532">
        <f t="shared" ca="1" si="92"/>
        <v>-7.4055346774531849E-2</v>
      </c>
      <c r="BE86" s="7532">
        <f t="shared" ca="1" si="93"/>
        <v>-1.7111744013179497E-2</v>
      </c>
      <c r="BF86" s="7532">
        <f t="shared" ca="1" si="94"/>
        <v>-0.10069112629259724</v>
      </c>
      <c r="BG86" s="7532">
        <f t="shared" ca="1" si="95"/>
        <v>-3.0709353087862046E-2</v>
      </c>
      <c r="BH86" s="7532">
        <f t="shared" ca="1" si="96"/>
        <v>-4.9626998548170653E-2</v>
      </c>
      <c r="BI86" s="7532">
        <f t="shared" ca="1" si="97"/>
        <v>-4.4090736950993747E-2</v>
      </c>
      <c r="BJ86" s="7532">
        <f t="shared" ca="1" si="98"/>
        <v>-0.12640604866990679</v>
      </c>
      <c r="BK86" s="7532">
        <f t="shared" ca="1" si="99"/>
        <v>-6.144383410406884E-2</v>
      </c>
      <c r="BL86" s="7532">
        <f t="shared" ca="1" si="100"/>
        <v>-9.8377126022117789E-3</v>
      </c>
      <c r="BM86" s="7532">
        <f t="shared" ca="1" si="101"/>
        <v>0.19864925685914181</v>
      </c>
      <c r="BN86" s="7532">
        <f t="shared" ca="1" si="102"/>
        <v>-4.1665689399444372E-2</v>
      </c>
      <c r="BO86" s="7532">
        <f t="shared" ca="1" si="103"/>
        <v>-0.15571169860785894</v>
      </c>
      <c r="BP86" s="7532">
        <f t="shared" ca="1" si="104"/>
        <v>3.1142446411277946E-2</v>
      </c>
      <c r="BQ86" s="7532">
        <f t="shared" ca="1" si="105"/>
        <v>2.1045041499335504E-2</v>
      </c>
      <c r="BR86" s="7532">
        <f t="shared" ca="1" si="106"/>
        <v>2.4121225937455248E-2</v>
      </c>
      <c r="BS86" s="7532">
        <f t="shared" ca="1" si="107"/>
        <v>1.2651989871699243E-2</v>
      </c>
      <c r="BT86" s="7532">
        <f t="shared" ca="1" si="108"/>
        <v>1.2651990730885299E-2</v>
      </c>
      <c r="BV86" s="8"/>
    </row>
    <row r="87" spans="2:74">
      <c r="B87" s="98" t="s">
        <v>46</v>
      </c>
      <c r="C87">
        <f>IF(Fact5_predicmoderate!B17&gt;0,VLOOKUP(Fact5!$B87,Fact5_predicmoderate!$A$1:$W$19,23,0),"")</f>
        <v>6364943</v>
      </c>
      <c r="D87">
        <f>IF(Fact5_predicmoderate!C17&gt;0,VLOOKUP(Fact5!$B87,Fact5_predicmoderate!$A$1:$W$19,23,0),"")</f>
        <v>6364943</v>
      </c>
      <c r="E87">
        <f>IF(Fact5_predicmoderate!D17&gt;0,VLOOKUP(Fact5!$B87,Fact5_predicmoderate!$A$1:$W$19,23,0),"")</f>
        <v>6364943</v>
      </c>
      <c r="F87">
        <f>IF(Fact5_predicmoderate!E17&gt;0,VLOOKUP(Fact5!$B87,Fact5_predicmoderate!$A$1:$W$19,23,0),"")</f>
        <v>6364943</v>
      </c>
      <c r="G87">
        <f>IF(Fact5_predicmoderate!F17&gt;0,VLOOKUP(Fact5!$B87,Fact5_predicmoderate!$A$1:$W$19,23,0),"")</f>
        <v>6364943</v>
      </c>
      <c r="H87">
        <f>IF(Fact5_predicmoderate!G17&gt;0,VLOOKUP(Fact5!$B87,Fact5_predicmoderate!$A$1:$W$19,23,0),"")</f>
        <v>6364943</v>
      </c>
      <c r="I87">
        <f>IF(Fact5_predicmoderate!H17&gt;0,VLOOKUP(Fact5!$B87,Fact5_predicmoderate!$A$1:$W$19,23,0),"")</f>
        <v>6364943</v>
      </c>
      <c r="J87">
        <f>IF(Fact5_predicmoderate!I17&gt;0,VLOOKUP(Fact5!$B87,Fact5_predicmoderate!$A$1:$W$19,23,0),"")</f>
        <v>6364943</v>
      </c>
      <c r="K87">
        <f>IF(Fact5_predicmoderate!J17&gt;0,VLOOKUP(Fact5!$B87,Fact5_predicmoderate!$A$1:$W$19,23,0),"")</f>
        <v>6364943</v>
      </c>
      <c r="L87">
        <f>IF(Fact5_predicmoderate!K17&gt;0,VLOOKUP(Fact5!$B87,Fact5_predicmoderate!$A$1:$W$19,23,0),"")</f>
        <v>6364943</v>
      </c>
      <c r="M87">
        <f>IF(Fact5_predicmoderate!L17&gt;0,VLOOKUP(Fact5!$B87,Fact5_predicmoderate!$A$1:$W$19,23,0),"")</f>
        <v>6364943</v>
      </c>
      <c r="N87">
        <f>IF(Fact5_predicmoderate!M17&gt;0,VLOOKUP(Fact5!$B87,Fact5_predicmoderate!$A$1:$W$19,23,0),"")</f>
        <v>6364943</v>
      </c>
      <c r="O87">
        <f>IF(Fact5_predicmoderate!N17&gt;0,VLOOKUP(Fact5!$B87,Fact5_predicmoderate!$A$1:$W$19,23,0),"")</f>
        <v>6364943</v>
      </c>
      <c r="P87">
        <f>IF(Fact5_predicmoderate!O17&gt;0,VLOOKUP(Fact5!$B87,Fact5_predicmoderate!$A$1:$W$19,23,0),"")</f>
        <v>6364943</v>
      </c>
      <c r="Q87">
        <f>IF(Fact5_predicmoderate!P17&gt;0,VLOOKUP(Fact5!$B87,Fact5_predicmoderate!$A$1:$W$19,23,0),"")</f>
        <v>6364943</v>
      </c>
      <c r="R87">
        <f>IF(Fact5_predicmoderate!Q17&gt;0,VLOOKUP(Fact5!$B87,Fact5_predicmoderate!$A$1:$W$19,23,0),"")</f>
        <v>6364943</v>
      </c>
      <c r="S87">
        <f>IF(Fact5_predicmoderate!R17&gt;0,VLOOKUP(Fact5!$B87,Fact5_predicmoderate!$A$1:$W$19,23,0),"")</f>
        <v>6364943</v>
      </c>
      <c r="T87">
        <f>IF(Fact5_predicmoderate!S17&gt;0,VLOOKUP(Fact5!$B87,Fact5_predicmoderate!$A$1:$W$19,23,0),"")</f>
        <v>6364943</v>
      </c>
      <c r="U87">
        <f>IF(Fact5_predicmoderate!T17&gt;0,VLOOKUP(Fact5!$B87,Fact5_predicmoderate!$A$1:$W$19,23,0),"")</f>
        <v>6364943</v>
      </c>
      <c r="V87">
        <f>IF(Fact5_predicmoderate!U17&gt;0,VLOOKUP(Fact5!$B87,Fact5_predicmoderate!$A$1:$W$19,23,0),"")</f>
        <v>6364943</v>
      </c>
      <c r="W87">
        <f>IF(Fact5_predicmoderate!V17&gt;0,VLOOKUP(Fact5!$B87,Fact5_predicmoderate!$A$1:$W$19,23,0),"")</f>
        <v>6364943</v>
      </c>
      <c r="X87" s="2562"/>
      <c r="Y87" s="2562" t="s">
        <v>46</v>
      </c>
      <c r="Z87" s="8">
        <f ca="1">IF(OFFSET(Fact5_predicpoor_under5!$A$1,MATCH($Y20,Fact5_predicpoor_under5!$A$2:$A$26,0),MATCH(Z$2,Fact5_predicpoor_under5!$A$1:$V$1,0)-1,1,1)=0,NA(),OFFSET(Fact5_predicpoor_under5!$A$1,MATCH($Y20,Fact5_predicpoor_under5!$A$2:$A$26,0),MATCH(Z$2,Fact5_predicpoor_under5!$A$1:$V$1,0)-1,1,1))</f>
        <v>56.690715789794922</v>
      </c>
      <c r="AA87" s="8">
        <f ca="1">IF(OFFSET(Fact5_predicpoor_under5!$A$1,MATCH($Y20,Fact5_predicpoor_under5!$A$2:$A$26,0),MATCH(AA$2,Fact5_predicpoor_under5!$A$1:$V$1,0)-1,1,1)=0,NA(),OFFSET(Fact5_predicpoor_under5!$A$1,MATCH($Y20,Fact5_predicpoor_under5!$A$2:$A$26,0),MATCH(AA$2,Fact5_predicpoor_under5!$A$1:$V$1,0)-1,1,1))</f>
        <v>59.240203857421875</v>
      </c>
      <c r="AB87" s="8">
        <f ca="1">IF(OFFSET(Fact5_predicpoor_under5!$A$1,MATCH($Y20,Fact5_predicpoor_under5!$A$2:$A$26,0),MATCH(AB$2,Fact5_predicpoor_under5!$A$1:$V$1,0)-1,1,1)=0,NA(),OFFSET(Fact5_predicpoor_under5!$A$1,MATCH($Y20,Fact5_predicpoor_under5!$A$2:$A$26,0),MATCH(AB$2,Fact5_predicpoor_under5!$A$1:$V$1,0)-1,1,1))</f>
        <v>61.908946990966797</v>
      </c>
      <c r="AC87" s="8">
        <f ca="1">IF(OFFSET(Fact5_predicpoor_under5!$A$1,MATCH($Y20,Fact5_predicpoor_under5!$A$2:$A$26,0),MATCH(AC$2,Fact5_predicpoor_under5!$A$1:$V$1,0)-1,1,1)=0,NA(),OFFSET(Fact5_predicpoor_under5!$A$1,MATCH($Y20,Fact5_predicpoor_under5!$A$2:$A$26,0),MATCH(AC$2,Fact5_predicpoor_under5!$A$1:$V$1,0)-1,1,1))</f>
        <v>60.384410858154297</v>
      </c>
      <c r="AD87" s="8">
        <f ca="1">IF(OFFSET(Fact5_predicpoor_under5!$A$1,MATCH($Y20,Fact5_predicpoor_under5!$A$2:$A$26,0),MATCH(AD$2,Fact5_predicpoor_under5!$A$1:$V$1,0)-1,1,1)=0,NA(),OFFSET(Fact5_predicpoor_under5!$A$1,MATCH($Y20,Fact5_predicpoor_under5!$A$2:$A$26,0),MATCH(AD$2,Fact5_predicpoor_under5!$A$1:$V$1,0)-1,1,1))</f>
        <v>57.505615234375</v>
      </c>
      <c r="AE87" s="8">
        <f ca="1">IF(OFFSET(Fact5_predicpoor_under5!$A$1,MATCH($Y20,Fact5_predicpoor_under5!$A$2:$A$26,0),MATCH(AE$2,Fact5_predicpoor_under5!$A$1:$V$1,0)-1,1,1)=0,NA(),OFFSET(Fact5_predicpoor_under5!$A$1,MATCH($Y20,Fact5_predicpoor_under5!$A$2:$A$26,0),MATCH(AE$2,Fact5_predicpoor_under5!$A$1:$V$1,0)-1,1,1))</f>
        <v>59.705055236816406</v>
      </c>
      <c r="AF87" s="8">
        <f ca="1">IF(OFFSET(Fact5_predicpoor_under5!$A$1,MATCH($Y20,Fact5_predicpoor_under5!$A$2:$A$26,0),MATCH(AF$2,Fact5_predicpoor_under5!$A$1:$V$1,0)-1,1,1)=0,NA(),OFFSET(Fact5_predicpoor_under5!$A$1,MATCH($Y20,Fact5_predicpoor_under5!$A$2:$A$26,0),MATCH(AF$2,Fact5_predicpoor_under5!$A$1:$V$1,0)-1,1,1))</f>
        <v>59.651100158691406</v>
      </c>
      <c r="AG87" s="8">
        <f ca="1">IF(OFFSET(Fact5_predicpoor_under5!$A$1,MATCH($Y20,Fact5_predicpoor_under5!$A$2:$A$26,0),MATCH(AG$2,Fact5_predicpoor_under5!$A$1:$V$1,0)-1,1,1)=0,NA(),OFFSET(Fact5_predicpoor_under5!$A$1,MATCH($Y20,Fact5_predicpoor_under5!$A$2:$A$26,0),MATCH(AG$2,Fact5_predicpoor_under5!$A$1:$V$1,0)-1,1,1))</f>
        <v>58.107460021972656</v>
      </c>
      <c r="AH87" s="8">
        <f ca="1">IF(OFFSET(Fact5_predicpoor_under5!$A$1,MATCH($Y20,Fact5_predicpoor_under5!$A$2:$A$26,0),MATCH(AH$2,Fact5_predicpoor_under5!$A$1:$V$1,0)-1,1,1)=0,NA(),OFFSET(Fact5_predicpoor_under5!$A$1,MATCH($Y20,Fact5_predicpoor_under5!$A$2:$A$26,0),MATCH(AH$2,Fact5_predicpoor_under5!$A$1:$V$1,0)-1,1,1))</f>
        <v>60.217666625976563</v>
      </c>
      <c r="AI87" s="8">
        <f ca="1">IF(OFFSET(Fact5_predicpoor_under5!$A$1,MATCH($Y20,Fact5_predicpoor_under5!$A$2:$A$26,0),MATCH(AI$2,Fact5_predicpoor_under5!$A$1:$V$1,0)-1,1,1)=0,NA(),OFFSET(Fact5_predicpoor_under5!$A$1,MATCH($Y20,Fact5_predicpoor_under5!$A$2:$A$26,0),MATCH(AI$2,Fact5_predicpoor_under5!$A$1:$V$1,0)-1,1,1))</f>
        <v>57.581996917724609</v>
      </c>
      <c r="AJ87" s="8">
        <f ca="1">IF(OFFSET(Fact5_predicpoor_under5!$A$1,MATCH($Y20,Fact5_predicpoor_under5!$A$2:$A$26,0),MATCH(AJ$2,Fact5_predicpoor_under5!$A$1:$V$1,0)-1,1,1)=0,NA(),OFFSET(Fact5_predicpoor_under5!$A$1,MATCH($Y20,Fact5_predicpoor_under5!$A$2:$A$26,0),MATCH(AJ$2,Fact5_predicpoor_under5!$A$1:$V$1,0)-1,1,1))</f>
        <v>53.777198791503906</v>
      </c>
      <c r="AK87" s="8">
        <f ca="1">IF(OFFSET(Fact5_predicpoor_under5!$A$1,MATCH($Y20,Fact5_predicpoor_under5!$A$2:$A$26,0),MATCH(AK$2,Fact5_predicpoor_under5!$A$1:$V$1,0)-1,1,1)=0,NA(),OFFSET(Fact5_predicpoor_under5!$A$1,MATCH($Y20,Fact5_predicpoor_under5!$A$2:$A$26,0),MATCH(AK$2,Fact5_predicpoor_under5!$A$1:$V$1,0)-1,1,1))</f>
        <v>53.788097381591797</v>
      </c>
      <c r="AL87" s="8">
        <f ca="1">IF(OFFSET(Fact5_predicpoor_under5!$A$1,MATCH($Y20,Fact5_predicpoor_under5!$A$2:$A$26,0),MATCH(AL$2,Fact5_predicpoor_under5!$A$1:$V$1,0)-1,1,1)=0,NA(),OFFSET(Fact5_predicpoor_under5!$A$1,MATCH($Y20,Fact5_predicpoor_under5!$A$2:$A$26,0),MATCH(AL$2,Fact5_predicpoor_under5!$A$1:$V$1,0)-1,1,1))</f>
        <v>51.966709136962891</v>
      </c>
      <c r="AM87" s="8">
        <f ca="1">IF(OFFSET(Fact5_predicpoor_under5!$A$1,MATCH($Y20,Fact5_predicpoor_under5!$A$2:$A$26,0),MATCH(AM$2,Fact5_predicpoor_under5!$A$1:$V$1,0)-1,1,1)=0,NA(),OFFSET(Fact5_predicpoor_under5!$A$1,MATCH($Y20,Fact5_predicpoor_under5!$A$2:$A$26,0),MATCH(AM$2,Fact5_predicpoor_under5!$A$1:$V$1,0)-1,1,1))</f>
        <v>50.005130767822266</v>
      </c>
      <c r="AN87" s="8">
        <f ca="1">IF(OFFSET(Fact5_predicpoor_under5!$A$1,MATCH($Y20,Fact5_predicpoor_under5!$A$2:$A$26,0),MATCH(AN$2,Fact5_predicpoor_under5!$A$1:$V$1,0)-1,1,1)=0,NA(),OFFSET(Fact5_predicpoor_under5!$A$1,MATCH($Y20,Fact5_predicpoor_under5!$A$2:$A$26,0),MATCH(AN$2,Fact5_predicpoor_under5!$A$1:$V$1,0)-1,1,1))</f>
        <v>47.970893859863281</v>
      </c>
      <c r="AO87" s="8">
        <f ca="1">IF(OFFSET(Fact5_predicpoor_under5!$A$1,MATCH($Y20,Fact5_predicpoor_under5!$A$2:$A$26,0),MATCH(AO$2,Fact5_predicpoor_under5!$A$1:$V$1,0)-1,1,1)=0,NA(),OFFSET(Fact5_predicpoor_under5!$A$1,MATCH($Y20,Fact5_predicpoor_under5!$A$2:$A$26,0),MATCH(AO$2,Fact5_predicpoor_under5!$A$1:$V$1,0)-1,1,1))</f>
        <v>44.675300598144531</v>
      </c>
      <c r="AP87" s="8">
        <f ca="1">IF(OFFSET(Fact5_predicpoor_under5!$A$1,MATCH($Y20,Fact5_predicpoor_under5!$A$2:$A$26,0),MATCH(AP$2,Fact5_predicpoor_under5!$A$1:$V$1,0)-1,1,1)=0,NA(),OFFSET(Fact5_predicpoor_under5!$A$1,MATCH($Y20,Fact5_predicpoor_under5!$A$2:$A$26,0),MATCH(AP$2,Fact5_predicpoor_under5!$A$1:$V$1,0)-1,1,1))</f>
        <v>42.633567810058594</v>
      </c>
      <c r="AQ87" s="8">
        <f ca="1">IF(OFFSET(Fact5_predicpoor_under5!$A$1,MATCH($Y20,Fact5_predicpoor_under5!$A$2:$A$26,0),MATCH(AQ$2,Fact5_predicpoor_under5!$A$1:$V$1,0)-1,1,1)=0,NA(),OFFSET(Fact5_predicpoor_under5!$A$1,MATCH($Y20,Fact5_predicpoor_under5!$A$2:$A$26,0),MATCH(AQ$2,Fact5_predicpoor_under5!$A$1:$V$1,0)-1,1,1))</f>
        <v>42.865612030029297</v>
      </c>
      <c r="AR87" s="8">
        <f ca="1">IF(OFFSET(Fact5_predicpoor_under5!$A$1,MATCH($Y20,Fact5_predicpoor_under5!$A$2:$A$26,0),MATCH(AR$2,Fact5_predicpoor_under5!$A$1:$V$1,0)-1,1,1)=0,NA(),OFFSET(Fact5_predicpoor_under5!$A$1,MATCH($Y20,Fact5_predicpoor_under5!$A$2:$A$26,0),MATCH(AR$2,Fact5_predicpoor_under5!$A$1:$V$1,0)-1,1,1))</f>
        <v>41.873493194580078</v>
      </c>
      <c r="AS87" s="8">
        <f ca="1">IF(OFFSET(Fact5_predicpoor_under5!$A$1,MATCH($Y20,Fact5_predicpoor_under5!$A$2:$A$26,0),MATCH(AS$2,Fact5_predicpoor_under5!$A$1:$V$1,0)-1,1,1)=0,NA(),OFFSET(Fact5_predicpoor_under5!$A$1,MATCH($Y20,Fact5_predicpoor_under5!$A$2:$A$26,0),MATCH(AS$2,Fact5_predicpoor_under5!$A$1:$V$1,0)-1,1,1))</f>
        <v>40.786777496337891</v>
      </c>
      <c r="AT87" s="8">
        <f ca="1">IF(OFFSET(Fact5_predicpoor_under5!$A$1,MATCH($Y20,Fact5_predicpoor_under5!$A$2:$A$26,0),MATCH(AT$2,Fact5_predicpoor_under5!$A$1:$V$1,0)-1,1,1)=0,NA(),OFFSET(Fact5_predicpoor_under5!$A$1,MATCH($Y20,Fact5_predicpoor_under5!$A$2:$A$26,0),MATCH(AT$2,Fact5_predicpoor_under5!$A$1:$V$1,0)-1,1,1))</f>
        <v>38.657855987548828</v>
      </c>
      <c r="AU87" s="8">
        <f t="shared" ca="1" si="84"/>
        <v>-18.032859802246094</v>
      </c>
      <c r="AV87" s="8">
        <f t="shared" ca="1" si="85"/>
        <v>0.23204421997070313</v>
      </c>
      <c r="AW87" s="7532">
        <f t="shared" ca="1" si="109"/>
        <v>-0.31809194064704771</v>
      </c>
      <c r="AX87" s="7532">
        <f t="shared" ca="1" si="87"/>
        <v>5.4427586498158043E-3</v>
      </c>
      <c r="AY87" s="7532">
        <f t="shared" ca="1" si="88"/>
        <v>-1.7828079011937392E-2</v>
      </c>
      <c r="AZ87" s="2562" t="s">
        <v>46</v>
      </c>
      <c r="BA87" s="7532">
        <f t="shared" ca="1" si="89"/>
        <v>4.4971880000250319E-2</v>
      </c>
      <c r="BB87" s="7532">
        <f t="shared" ca="1" si="90"/>
        <v>4.504952650007743E-2</v>
      </c>
      <c r="BC87" s="7532">
        <f t="shared" ca="1" si="91"/>
        <v>-2.462545733551158E-2</v>
      </c>
      <c r="BD87" s="7532">
        <f t="shared" ca="1" si="92"/>
        <v>-4.7674483908466292E-2</v>
      </c>
      <c r="BE87" s="7532">
        <f t="shared" ca="1" si="93"/>
        <v>3.8247395380036853E-2</v>
      </c>
      <c r="BF87" s="7532">
        <f t="shared" ca="1" si="94"/>
        <v>-9.0369363048059537E-4</v>
      </c>
      <c r="BG87" s="7532">
        <f t="shared" ca="1" si="95"/>
        <v>-2.5877815037981922E-2</v>
      </c>
      <c r="BH87" s="7532">
        <f t="shared" ca="1" si="96"/>
        <v>3.6315588449503E-2</v>
      </c>
      <c r="BI87" s="7532">
        <f t="shared" ca="1" si="97"/>
        <v>-4.3769044134881585E-2</v>
      </c>
      <c r="BJ87" s="7532">
        <f t="shared" ca="1" si="98"/>
        <v>-6.6076175365316847E-2</v>
      </c>
      <c r="BK87" s="7532">
        <f t="shared" ca="1" si="99"/>
        <v>2.026619149528841E-4</v>
      </c>
      <c r="BL87" s="7532">
        <f t="shared" ca="1" si="100"/>
        <v>-3.3862291720551774E-2</v>
      </c>
      <c r="BM87" s="7532">
        <f t="shared" ca="1" si="101"/>
        <v>-3.7746826799648026E-2</v>
      </c>
      <c r="BN87" s="7532">
        <f t="shared" ca="1" si="102"/>
        <v>-4.0680563708634376E-2</v>
      </c>
      <c r="BO87" s="7532">
        <f t="shared" ca="1" si="103"/>
        <v>-6.8699851025209591E-2</v>
      </c>
      <c r="BP87" s="7532">
        <f t="shared" ca="1" si="104"/>
        <v>-4.570160157289993E-2</v>
      </c>
      <c r="BQ87" s="7532">
        <f t="shared" ca="1" si="105"/>
        <v>5.4427586498158043E-3</v>
      </c>
      <c r="BR87" s="7532">
        <f t="shared" ca="1" si="106"/>
        <v>-2.3144865743528698E-2</v>
      </c>
      <c r="BS87" s="7532">
        <f t="shared" ca="1" si="107"/>
        <v>-2.5952353513770121E-2</v>
      </c>
      <c r="BT87" s="7532">
        <f t="shared" ca="1" si="108"/>
        <v>-5.219636459340804E-2</v>
      </c>
      <c r="BV87" s="8"/>
    </row>
    <row r="88" spans="2:74" ht="15" thickBot="1">
      <c r="B88" s="98" t="s">
        <v>50</v>
      </c>
      <c r="C88">
        <f>IF(Fact5_predicmoderate!B18&gt;0,VLOOKUP(Fact5!$B88,Fact5_predicmoderate!$A$1:$W$19,23,0),"")</f>
        <v>3423109</v>
      </c>
      <c r="D88">
        <f>IF(Fact5_predicmoderate!C18&gt;0,VLOOKUP(Fact5!$B88,Fact5_predicmoderate!$A$1:$W$19,23,0),"")</f>
        <v>3423109</v>
      </c>
      <c r="E88">
        <f>IF(Fact5_predicmoderate!D18&gt;0,VLOOKUP(Fact5!$B88,Fact5_predicmoderate!$A$1:$W$19,23,0),"")</f>
        <v>3423109</v>
      </c>
      <c r="F88">
        <f>IF(Fact5_predicmoderate!E18&gt;0,VLOOKUP(Fact5!$B88,Fact5_predicmoderate!$A$1:$W$19,23,0),"")</f>
        <v>3423109</v>
      </c>
      <c r="G88">
        <f>IF(Fact5_predicmoderate!F18&gt;0,VLOOKUP(Fact5!$B88,Fact5_predicmoderate!$A$1:$W$19,23,0),"")</f>
        <v>3423109</v>
      </c>
      <c r="H88">
        <f>IF(Fact5_predicmoderate!G18&gt;0,VLOOKUP(Fact5!$B88,Fact5_predicmoderate!$A$1:$W$19,23,0),"")</f>
        <v>3423109</v>
      </c>
      <c r="I88">
        <f>IF(Fact5_predicmoderate!H18&gt;0,VLOOKUP(Fact5!$B88,Fact5_predicmoderate!$A$1:$W$19,23,0),"")</f>
        <v>3423109</v>
      </c>
      <c r="J88">
        <f>IF(Fact5_predicmoderate!I18&gt;0,VLOOKUP(Fact5!$B88,Fact5_predicmoderate!$A$1:$W$19,23,0),"")</f>
        <v>3423109</v>
      </c>
      <c r="K88">
        <f>IF(Fact5_predicmoderate!J18&gt;0,VLOOKUP(Fact5!$B88,Fact5_predicmoderate!$A$1:$W$19,23,0),"")</f>
        <v>3423109</v>
      </c>
      <c r="L88">
        <f>IF(Fact5_predicmoderate!K18&gt;0,VLOOKUP(Fact5!$B88,Fact5_predicmoderate!$A$1:$W$19,23,0),"")</f>
        <v>3423109</v>
      </c>
      <c r="M88">
        <f>IF(Fact5_predicmoderate!L18&gt;0,VLOOKUP(Fact5!$B88,Fact5_predicmoderate!$A$1:$W$19,23,0),"")</f>
        <v>3423109</v>
      </c>
      <c r="N88">
        <f>IF(Fact5_predicmoderate!M18&gt;0,VLOOKUP(Fact5!$B88,Fact5_predicmoderate!$A$1:$W$19,23,0),"")</f>
        <v>3423109</v>
      </c>
      <c r="O88">
        <f>IF(Fact5_predicmoderate!N18&gt;0,VLOOKUP(Fact5!$B88,Fact5_predicmoderate!$A$1:$W$19,23,0),"")</f>
        <v>3423109</v>
      </c>
      <c r="P88">
        <f>IF(Fact5_predicmoderate!O18&gt;0,VLOOKUP(Fact5!$B88,Fact5_predicmoderate!$A$1:$W$19,23,0),"")</f>
        <v>3423109</v>
      </c>
      <c r="Q88">
        <f>IF(Fact5_predicmoderate!P18&gt;0,VLOOKUP(Fact5!$B88,Fact5_predicmoderate!$A$1:$W$19,23,0),"")</f>
        <v>3423109</v>
      </c>
      <c r="R88">
        <f>IF(Fact5_predicmoderate!Q18&gt;0,VLOOKUP(Fact5!$B88,Fact5_predicmoderate!$A$1:$W$19,23,0),"")</f>
        <v>3423109</v>
      </c>
      <c r="S88">
        <f>IF(Fact5_predicmoderate!R18&gt;0,VLOOKUP(Fact5!$B88,Fact5_predicmoderate!$A$1:$W$19,23,0),"")</f>
        <v>3423109</v>
      </c>
      <c r="T88">
        <f>IF(Fact5_predicmoderate!S18&gt;0,VLOOKUP(Fact5!$B88,Fact5_predicmoderate!$A$1:$W$19,23,0),"")</f>
        <v>3423109</v>
      </c>
      <c r="U88">
        <f>IF(Fact5_predicmoderate!T18&gt;0,VLOOKUP(Fact5!$B88,Fact5_predicmoderate!$A$1:$W$19,23,0),"")</f>
        <v>3423109</v>
      </c>
      <c r="V88">
        <f>IF(Fact5_predicmoderate!U18&gt;0,VLOOKUP(Fact5!$B88,Fact5_predicmoderate!$A$1:$W$19,23,0),"")</f>
        <v>3423109</v>
      </c>
      <c r="W88">
        <f>IF(Fact5_predicmoderate!V18&gt;0,VLOOKUP(Fact5!$B88,Fact5_predicmoderate!$A$1:$W$19,23,0),"")</f>
        <v>3423109</v>
      </c>
      <c r="X88" s="2562"/>
      <c r="Y88" s="2562" t="s">
        <v>50</v>
      </c>
      <c r="Z88" s="8">
        <f ca="1">IF(OFFSET(Fact5_predicpoor_under5!$A$1,MATCH($Y21,Fact5_predicpoor_under5!$A$2:$A$26,0),MATCH(Z$2,Fact5_predicpoor_under5!$A$1:$V$1,0)-1,1,1)=0,NA(),OFFSET(Fact5_predicpoor_under5!$A$1,MATCH($Y21,Fact5_predicpoor_under5!$A$2:$A$26,0),MATCH(Z$2,Fact5_predicpoor_under5!$A$1:$V$1,0)-1,1,1))</f>
        <v>35.211872100830078</v>
      </c>
      <c r="AA88" s="8">
        <f ca="1">IF(OFFSET(Fact5_predicpoor_under5!$A$1,MATCH($Y21,Fact5_predicpoor_under5!$A$2:$A$26,0),MATCH(AA$2,Fact5_predicpoor_under5!$A$1:$V$1,0)-1,1,1)=0,NA(),OFFSET(Fact5_predicpoor_under5!$A$1,MATCH($Y21,Fact5_predicpoor_under5!$A$2:$A$26,0),MATCH(AA$2,Fact5_predicpoor_under5!$A$1:$V$1,0)-1,1,1))</f>
        <v>35.190467834472656</v>
      </c>
      <c r="AB88" s="8">
        <f ca="1">IF(OFFSET(Fact5_predicpoor_under5!$A$1,MATCH($Y21,Fact5_predicpoor_under5!$A$2:$A$26,0),MATCH(AB$2,Fact5_predicpoor_under5!$A$1:$V$1,0)-1,1,1)=0,NA(),OFFSET(Fact5_predicpoor_under5!$A$1,MATCH($Y21,Fact5_predicpoor_under5!$A$2:$A$26,0),MATCH(AB$2,Fact5_predicpoor_under5!$A$1:$V$1,0)-1,1,1))</f>
        <v>31.586706161499023</v>
      </c>
      <c r="AC88" s="8">
        <f ca="1">IF(OFFSET(Fact5_predicpoor_under5!$A$1,MATCH($Y21,Fact5_predicpoor_under5!$A$2:$A$26,0),MATCH(AC$2,Fact5_predicpoor_under5!$A$1:$V$1,0)-1,1,1)=0,NA(),OFFSET(Fact5_predicpoor_under5!$A$1,MATCH($Y21,Fact5_predicpoor_under5!$A$2:$A$26,0),MATCH(AC$2,Fact5_predicpoor_under5!$A$1:$V$1,0)-1,1,1))</f>
        <v>28.069416046142578</v>
      </c>
      <c r="AD88" s="8">
        <f ca="1">IF(OFFSET(Fact5_predicpoor_under5!$A$1,MATCH($Y21,Fact5_predicpoor_under5!$A$2:$A$26,0),MATCH(AD$2,Fact5_predicpoor_under5!$A$1:$V$1,0)-1,1,1)=0,NA(),OFFSET(Fact5_predicpoor_under5!$A$1,MATCH($Y21,Fact5_predicpoor_under5!$A$2:$A$26,0),MATCH(AD$2,Fact5_predicpoor_under5!$A$1:$V$1,0)-1,1,1))</f>
        <v>27.121797561645508</v>
      </c>
      <c r="AE88" s="8">
        <f ca="1">IF(OFFSET(Fact5_predicpoor_under5!$A$1,MATCH($Y21,Fact5_predicpoor_under5!$A$2:$A$26,0),MATCH(AE$2,Fact5_predicpoor_under5!$A$1:$V$1,0)-1,1,1)=0,NA(),OFFSET(Fact5_predicpoor_under5!$A$1,MATCH($Y21,Fact5_predicpoor_under5!$A$2:$A$26,0),MATCH(AE$2,Fact5_predicpoor_under5!$A$1:$V$1,0)-1,1,1))</f>
        <v>21.660835266113281</v>
      </c>
      <c r="AF88" s="8">
        <f ca="1">IF(OFFSET(Fact5_predicpoor_under5!$A$1,MATCH($Y21,Fact5_predicpoor_under5!$A$2:$A$26,0),MATCH(AF$2,Fact5_predicpoor_under5!$A$1:$V$1,0)-1,1,1)=0,NA(),OFFSET(Fact5_predicpoor_under5!$A$1,MATCH($Y21,Fact5_predicpoor_under5!$A$2:$A$26,0),MATCH(AF$2,Fact5_predicpoor_under5!$A$1:$V$1,0)-1,1,1))</f>
        <v>20.536725997924805</v>
      </c>
      <c r="AG88" s="8">
        <f ca="1">IF(OFFSET(Fact5_predicpoor_under5!$A$1,MATCH($Y21,Fact5_predicpoor_under5!$A$2:$A$26,0),MATCH(AG$2,Fact5_predicpoor_under5!$A$1:$V$1,0)-1,1,1)=0,NA(),OFFSET(Fact5_predicpoor_under5!$A$1,MATCH($Y21,Fact5_predicpoor_under5!$A$2:$A$26,0),MATCH(AG$2,Fact5_predicpoor_under5!$A$1:$V$1,0)-1,1,1))</f>
        <v>19.510538101196289</v>
      </c>
      <c r="AH88" s="8">
        <f ca="1">IF(OFFSET(Fact5_predicpoor_under5!$A$1,MATCH($Y21,Fact5_predicpoor_under5!$A$2:$A$26,0),MATCH(AH$2,Fact5_predicpoor_under5!$A$1:$V$1,0)-1,1,1)=0,NA(),OFFSET(Fact5_predicpoor_under5!$A$1,MATCH($Y21,Fact5_predicpoor_under5!$A$2:$A$26,0),MATCH(AH$2,Fact5_predicpoor_under5!$A$1:$V$1,0)-1,1,1))</f>
        <v>15.668622970581055</v>
      </c>
      <c r="AI88" s="8">
        <f ca="1">IF(OFFSET(Fact5_predicpoor_under5!$A$1,MATCH($Y21,Fact5_predicpoor_under5!$A$2:$A$26,0),MATCH(AI$2,Fact5_predicpoor_under5!$A$1:$V$1,0)-1,1,1)=0,NA(),OFFSET(Fact5_predicpoor_under5!$A$1,MATCH($Y21,Fact5_predicpoor_under5!$A$2:$A$26,0),MATCH(AI$2,Fact5_predicpoor_under5!$A$1:$V$1,0)-1,1,1))</f>
        <v>14.586438179016113</v>
      </c>
      <c r="AJ88" s="8">
        <f ca="1">IF(OFFSET(Fact5_predicpoor_under5!$A$1,MATCH($Y21,Fact5_predicpoor_under5!$A$2:$A$26,0),MATCH(AJ$2,Fact5_predicpoor_under5!$A$1:$V$1,0)-1,1,1)=0,NA(),OFFSET(Fact5_predicpoor_under5!$A$1,MATCH($Y21,Fact5_predicpoor_under5!$A$2:$A$26,0),MATCH(AJ$2,Fact5_predicpoor_under5!$A$1:$V$1,0)-1,1,1))</f>
        <v>13.924862861633301</v>
      </c>
      <c r="AK88" s="8">
        <f ca="1">IF(OFFSET(Fact5_predicpoor_under5!$A$1,MATCH($Y21,Fact5_predicpoor_under5!$A$2:$A$26,0),MATCH(AK$2,Fact5_predicpoor_under5!$A$1:$V$1,0)-1,1,1)=0,NA(),OFFSET(Fact5_predicpoor_under5!$A$1,MATCH($Y21,Fact5_predicpoor_under5!$A$2:$A$26,0),MATCH(AK$2,Fact5_predicpoor_under5!$A$1:$V$1,0)-1,1,1))</f>
        <v>12.608110427856445</v>
      </c>
      <c r="AL88" s="8">
        <f ca="1">IF(OFFSET(Fact5_predicpoor_under5!$A$1,MATCH($Y21,Fact5_predicpoor_under5!$A$2:$A$26,0),MATCH(AL$2,Fact5_predicpoor_under5!$A$1:$V$1,0)-1,1,1)=0,NA(),OFFSET(Fact5_predicpoor_under5!$A$1,MATCH($Y21,Fact5_predicpoor_under5!$A$2:$A$26,0),MATCH(AL$2,Fact5_predicpoor_under5!$A$1:$V$1,0)-1,1,1))</f>
        <v>12.695158004760742</v>
      </c>
      <c r="AM88" s="8">
        <f ca="1">IF(OFFSET(Fact5_predicpoor_under5!$A$1,MATCH($Y21,Fact5_predicpoor_under5!$A$2:$A$26,0),MATCH(AM$2,Fact5_predicpoor_under5!$A$1:$V$1,0)-1,1,1)=0,NA(),OFFSET(Fact5_predicpoor_under5!$A$1,MATCH($Y21,Fact5_predicpoor_under5!$A$2:$A$26,0),MATCH(AM$2,Fact5_predicpoor_under5!$A$1:$V$1,0)-1,1,1))</f>
        <v>12.654323577880859</v>
      </c>
      <c r="AN88" s="8">
        <f ca="1">IF(OFFSET(Fact5_predicpoor_under5!$A$1,MATCH($Y21,Fact5_predicpoor_under5!$A$2:$A$26,0),MATCH(AN$2,Fact5_predicpoor_under5!$A$1:$V$1,0)-1,1,1)=0,NA(),OFFSET(Fact5_predicpoor_under5!$A$1,MATCH($Y21,Fact5_predicpoor_under5!$A$2:$A$26,0),MATCH(AN$2,Fact5_predicpoor_under5!$A$1:$V$1,0)-1,1,1))</f>
        <v>10.962045669555664</v>
      </c>
      <c r="AO88" s="8">
        <f ca="1">IF(OFFSET(Fact5_predicpoor_under5!$A$1,MATCH($Y21,Fact5_predicpoor_under5!$A$2:$A$26,0),MATCH(AO$2,Fact5_predicpoor_under5!$A$1:$V$1,0)-1,1,1)=0,NA(),OFFSET(Fact5_predicpoor_under5!$A$1,MATCH($Y21,Fact5_predicpoor_under5!$A$2:$A$26,0),MATCH(AO$2,Fact5_predicpoor_under5!$A$1:$V$1,0)-1,1,1))</f>
        <v>11.618269920349121</v>
      </c>
      <c r="AP88" s="8">
        <f ca="1">IF(OFFSET(Fact5_predicpoor_under5!$A$1,MATCH($Y21,Fact5_predicpoor_under5!$A$2:$A$26,0),MATCH(AP$2,Fact5_predicpoor_under5!$A$1:$V$1,0)-1,1,1)=0,NA(),OFFSET(Fact5_predicpoor_under5!$A$1,MATCH($Y21,Fact5_predicpoor_under5!$A$2:$A$26,0),MATCH(AP$2,Fact5_predicpoor_under5!$A$1:$V$1,0)-1,1,1))</f>
        <v>12.253385543823242</v>
      </c>
      <c r="AQ88" s="8">
        <f ca="1">IF(OFFSET(Fact5_predicpoor_under5!$A$1,MATCH($Y21,Fact5_predicpoor_under5!$A$2:$A$26,0),MATCH(AQ$2,Fact5_predicpoor_under5!$A$1:$V$1,0)-1,1,1)=0,NA(),OFFSET(Fact5_predicpoor_under5!$A$1,MATCH($Y21,Fact5_predicpoor_under5!$A$2:$A$26,0),MATCH(AQ$2,Fact5_predicpoor_under5!$A$1:$V$1,0)-1,1,1))</f>
        <v>15.809690475463867</v>
      </c>
      <c r="AR88" s="8">
        <f ca="1">IF(OFFSET(Fact5_predicpoor_under5!$A$1,MATCH($Y21,Fact5_predicpoor_under5!$A$2:$A$26,0),MATCH(AR$2,Fact5_predicpoor_under5!$A$1:$V$1,0)-1,1,1)=0,NA(),OFFSET(Fact5_predicpoor_under5!$A$1,MATCH($Y21,Fact5_predicpoor_under5!$A$2:$A$26,0),MATCH(AR$2,Fact5_predicpoor_under5!$A$1:$V$1,0)-1,1,1))</f>
        <v>14.65608024597168</v>
      </c>
      <c r="AS88" s="8">
        <f ca="1">IF(OFFSET(Fact5_predicpoor_under5!$A$1,MATCH($Y21,Fact5_predicpoor_under5!$A$2:$A$26,0),MATCH(AS$2,Fact5_predicpoor_under5!$A$1:$V$1,0)-1,1,1)=0,NA(),OFFSET(Fact5_predicpoor_under5!$A$1,MATCH($Y21,Fact5_predicpoor_under5!$A$2:$A$26,0),MATCH(AS$2,Fact5_predicpoor_under5!$A$1:$V$1,0)-1,1,1))</f>
        <v>14.31268310546875</v>
      </c>
      <c r="AT88" s="88">
        <f ca="1">IF(OFFSET(Fact5_predicpoor_under5!$A$1,MATCH($Y21,Fact5_predicpoor_under5!$A$2:$A$26,0),MATCH(AT$2,Fact5_predicpoor_under5!$A$1:$V$1,0)-1,1,1)=0,NA(),OFFSET(Fact5_predicpoor_under5!$A$1,MATCH($Y21,Fact5_predicpoor_under5!$A$2:$A$26,0),MATCH(AT$2,Fact5_predicpoor_under5!$A$1:$V$1,0)-1,1,1))</f>
        <v>13.97733211517334</v>
      </c>
      <c r="AU88" s="8">
        <f t="shared" ca="1" si="84"/>
        <v>-21.234539985656738</v>
      </c>
      <c r="AV88" s="8">
        <f t="shared" ca="1" si="85"/>
        <v>3.556304931640625</v>
      </c>
      <c r="AW88" s="7542">
        <f t="shared" ca="1" si="109"/>
        <v>-0.60305058262313072</v>
      </c>
      <c r="AX88" s="7532">
        <f t="shared" ca="1" si="87"/>
        <v>0.29023039542188478</v>
      </c>
      <c r="AY88" s="7532">
        <f t="shared" ca="1" si="88"/>
        <v>0.19608415107444332</v>
      </c>
      <c r="AZ88" s="2562" t="s">
        <v>50</v>
      </c>
      <c r="BA88" s="7532">
        <f t="shared" ca="1" si="89"/>
        <v>-6.0787072883061732E-4</v>
      </c>
      <c r="BB88" s="7532">
        <f t="shared" ca="1" si="90"/>
        <v>-0.10240732490186955</v>
      </c>
      <c r="BC88" s="7532">
        <f t="shared" ca="1" si="91"/>
        <v>-0.11135349464337829</v>
      </c>
      <c r="BD88" s="7532">
        <f t="shared" ca="1" si="92"/>
        <v>-3.3759821826692238E-2</v>
      </c>
      <c r="BE88" s="7532">
        <f t="shared" ca="1" si="93"/>
        <v>-0.20134957069567128</v>
      </c>
      <c r="BF88" s="7532">
        <f t="shared" ca="1" si="94"/>
        <v>-5.189593357681177E-2</v>
      </c>
      <c r="BG88" s="7532">
        <f t="shared" ca="1" si="95"/>
        <v>-4.9968427140344107E-2</v>
      </c>
      <c r="BH88" s="7532">
        <f t="shared" ca="1" si="96"/>
        <v>-0.19691487291063836</v>
      </c>
      <c r="BI88" s="7532">
        <f t="shared" ca="1" si="97"/>
        <v>-6.9067000565194547E-2</v>
      </c>
      <c r="BJ88" s="7532">
        <f t="shared" ca="1" si="98"/>
        <v>-4.5355508264831035E-2</v>
      </c>
      <c r="BK88" s="7532">
        <f t="shared" ca="1" si="99"/>
        <v>-9.4561249676997416E-2</v>
      </c>
      <c r="BL88" s="7532">
        <f t="shared" ca="1" si="100"/>
        <v>6.9040937896589494E-3</v>
      </c>
      <c r="BM88" s="7532">
        <f t="shared" ca="1" si="101"/>
        <v>-3.21653553776724E-3</v>
      </c>
      <c r="BN88" s="7532">
        <f t="shared" ca="1" si="102"/>
        <v>-0.13373120245504189</v>
      </c>
      <c r="BO88" s="7532">
        <f t="shared" ca="1" si="103"/>
        <v>5.9863302030929821E-2</v>
      </c>
      <c r="BP88" s="7532">
        <f t="shared" ca="1" si="104"/>
        <v>5.4665249458676346E-2</v>
      </c>
      <c r="BQ88" s="7532">
        <f t="shared" ca="1" si="105"/>
        <v>0.29023039542188478</v>
      </c>
      <c r="BR88" s="7532">
        <f t="shared" ca="1" si="106"/>
        <v>-7.2968552501552986E-2</v>
      </c>
      <c r="BS88" s="7532">
        <f t="shared" ca="1" si="107"/>
        <v>-2.3430353460115239E-2</v>
      </c>
      <c r="BT88" s="7532">
        <f t="shared" ca="1" si="108"/>
        <v>-2.3430337122972822E-2</v>
      </c>
      <c r="BV88" s="8"/>
    </row>
    <row r="89" spans="2:74" ht="15" thickBot="1">
      <c r="B89" s="2555" t="s">
        <v>51</v>
      </c>
      <c r="C89">
        <f>IF(Fact5_predicmoderate!B19&gt;0,VLOOKUP(Fact5!$B89,Fact5_predicmoderate!$A$1:$W$19,23,0),"")</f>
        <v>28838499</v>
      </c>
      <c r="D89">
        <f>IF(Fact5_predicmoderate!C19&gt;0,VLOOKUP(Fact5!$B89,Fact5_predicmoderate!$A$1:$W$19,23,0),"")</f>
        <v>28838499</v>
      </c>
      <c r="E89">
        <f>IF(Fact5_predicmoderate!D19&gt;0,VLOOKUP(Fact5!$B89,Fact5_predicmoderate!$A$1:$W$19,23,0),"")</f>
        <v>28838499</v>
      </c>
      <c r="F89">
        <f>IF(Fact5_predicmoderate!E19&gt;0,VLOOKUP(Fact5!$B89,Fact5_predicmoderate!$A$1:$W$19,23,0),"")</f>
        <v>28838499</v>
      </c>
      <c r="G89">
        <f>IF(Fact5_predicmoderate!F19&gt;0,VLOOKUP(Fact5!$B89,Fact5_predicmoderate!$A$1:$W$19,23,0),"")</f>
        <v>28838499</v>
      </c>
      <c r="H89">
        <f>IF(Fact5_predicmoderate!G19&gt;0,VLOOKUP(Fact5!$B89,Fact5_predicmoderate!$A$1:$W$19,23,0),"")</f>
        <v>28838499</v>
      </c>
      <c r="I89">
        <f>IF(Fact5_predicmoderate!H19&gt;0,VLOOKUP(Fact5!$B89,Fact5_predicmoderate!$A$1:$W$19,23,0),"")</f>
        <v>28838499</v>
      </c>
      <c r="J89">
        <f>IF(Fact5_predicmoderate!I19&gt;0,VLOOKUP(Fact5!$B89,Fact5_predicmoderate!$A$1:$W$19,23,0),"")</f>
        <v>28838499</v>
      </c>
      <c r="K89">
        <f>IF(Fact5_predicmoderate!J19&gt;0,VLOOKUP(Fact5!$B89,Fact5_predicmoderate!$A$1:$W$19,23,0),"")</f>
        <v>28838499</v>
      </c>
      <c r="L89">
        <f>IF(Fact5_predicmoderate!K19&gt;0,VLOOKUP(Fact5!$B89,Fact5_predicmoderate!$A$1:$W$19,23,0),"")</f>
        <v>28838499</v>
      </c>
      <c r="M89">
        <f>IF(Fact5_predicmoderate!L19&gt;0,VLOOKUP(Fact5!$B89,Fact5_predicmoderate!$A$1:$W$19,23,0),"")</f>
        <v>28838499</v>
      </c>
      <c r="N89">
        <f>IF(Fact5_predicmoderate!M19&gt;0,VLOOKUP(Fact5!$B89,Fact5_predicmoderate!$A$1:$W$19,23,0),"")</f>
        <v>28838499</v>
      </c>
      <c r="O89">
        <f>IF(Fact5_predicmoderate!N19&gt;0,VLOOKUP(Fact5!$B89,Fact5_predicmoderate!$A$1:$W$19,23,0),"")</f>
        <v>28838499</v>
      </c>
      <c r="P89">
        <f>IF(Fact5_predicmoderate!O19&gt;0,VLOOKUP(Fact5!$B89,Fact5_predicmoderate!$A$1:$W$19,23,0),"")</f>
        <v>28838499</v>
      </c>
      <c r="Q89">
        <f>IF(Fact5_predicmoderate!P19&gt;0,VLOOKUP(Fact5!$B89,Fact5_predicmoderate!$A$1:$W$19,23,0),"")</f>
        <v>28838499</v>
      </c>
      <c r="R89">
        <f>IF(Fact5_predicmoderate!Q19&gt;0,VLOOKUP(Fact5!$B89,Fact5_predicmoderate!$A$1:$W$19,23,0),"")</f>
        <v>28838499</v>
      </c>
      <c r="S89">
        <f>IF(Fact5_predicmoderate!R19&gt;0,VLOOKUP(Fact5!$B89,Fact5_predicmoderate!$A$1:$W$19,23,0),"")</f>
        <v>28838499</v>
      </c>
      <c r="T89">
        <f>IF(Fact5_predicmoderate!S19&gt;0,VLOOKUP(Fact5!$B89,Fact5_predicmoderate!$A$1:$W$19,23,0),"")</f>
        <v>28838499</v>
      </c>
      <c r="U89">
        <f>IF(Fact5_predicmoderate!T19&gt;0,VLOOKUP(Fact5!$B89,Fact5_predicmoderate!$A$1:$W$19,23,0),"")</f>
        <v>28838499</v>
      </c>
      <c r="V89" s="196">
        <f>U89</f>
        <v>28838499</v>
      </c>
      <c r="W89" s="196">
        <f>V89</f>
        <v>28838499</v>
      </c>
      <c r="X89" s="2562"/>
      <c r="Y89" s="2553" t="s">
        <v>51</v>
      </c>
      <c r="Z89" s="2558">
        <f ca="1">IF(OFFSET(Fact5_predicpoor_under5!$A$1,MATCH($Y22,Fact5_predicpoor_under5!$A$2:$A$26,0),MATCH(Z$2,Fact5_predicpoor_under5!$A$1:$V$1,0)-1,1,1)=0,NA(),OFFSET(Fact5_predicpoor_under5!$A$1,MATCH($Y22,Fact5_predicpoor_under5!$A$2:$A$26,0),MATCH(Z$2,Fact5_predicpoor_under5!$A$1:$V$1,0)-1,1,1))</f>
        <v>64.96978759765625</v>
      </c>
      <c r="AA89" s="2556">
        <f ca="1">IF(OFFSET(Fact5_predicpoor_under5!$A$1,MATCH($Y22,Fact5_predicpoor_under5!$A$2:$A$26,0),MATCH(AA$2,Fact5_predicpoor_under5!$A$1:$V$1,0)-1,1,1)=0,NA(),OFFSET(Fact5_predicpoor_under5!$A$1,MATCH($Y22,Fact5_predicpoor_under5!$A$2:$A$26,0),MATCH(AA$2,Fact5_predicpoor_under5!$A$1:$V$1,0)-1,1,1))</f>
        <v>54.670940399169922</v>
      </c>
      <c r="AB89" s="2556">
        <f ca="1">IF(OFFSET(Fact5_predicpoor_under5!$A$1,MATCH($Y22,Fact5_predicpoor_under5!$A$2:$A$26,0),MATCH(AB$2,Fact5_predicpoor_under5!$A$1:$V$1,0)-1,1,1)=0,NA(),OFFSET(Fact5_predicpoor_under5!$A$1,MATCH($Y22,Fact5_predicpoor_under5!$A$2:$A$26,0),MATCH(AB$2,Fact5_predicpoor_under5!$A$1:$V$1,0)-1,1,1))</f>
        <v>49.656017303466797</v>
      </c>
      <c r="AC89" s="2556">
        <f ca="1">IF(OFFSET(Fact5_predicpoor_under5!$A$1,MATCH($Y22,Fact5_predicpoor_under5!$A$2:$A$26,0),MATCH(AC$2,Fact5_predicpoor_under5!$A$1:$V$1,0)-1,1,1)=0,NA(),OFFSET(Fact5_predicpoor_under5!$A$1,MATCH($Y22,Fact5_predicpoor_under5!$A$2:$A$26,0),MATCH(AC$2,Fact5_predicpoor_under5!$A$1:$V$1,0)-1,1,1))</f>
        <v>36.747371673583984</v>
      </c>
      <c r="AD89" s="2556">
        <f ca="1">IF(OFFSET(Fact5_predicpoor_under5!$A$1,MATCH($Y22,Fact5_predicpoor_under5!$A$2:$A$26,0),MATCH(AD$2,Fact5_predicpoor_under5!$A$1:$V$1,0)-1,1,1)=0,NA(),OFFSET(Fact5_predicpoor_under5!$A$1,MATCH($Y22,Fact5_predicpoor_under5!$A$2:$A$26,0),MATCH(AD$2,Fact5_predicpoor_under5!$A$1:$V$1,0)-1,1,1))</f>
        <v>28.483444213867188</v>
      </c>
      <c r="AE89" s="2556">
        <f ca="1">IF(OFFSET(Fact5_predicpoor_under5!$A$1,MATCH($Y22,Fact5_predicpoor_under5!$A$2:$A$26,0),MATCH(AE$2,Fact5_predicpoor_under5!$A$1:$V$1,0)-1,1,1)=0,NA(),OFFSET(Fact5_predicpoor_under5!$A$1,MATCH($Y22,Fact5_predicpoor_under5!$A$2:$A$26,0),MATCH(AE$2,Fact5_predicpoor_under5!$A$1:$V$1,0)-1,1,1))</f>
        <v>27.425817489624023</v>
      </c>
      <c r="AF89" s="2556">
        <f ca="1">IF(OFFSET(Fact5_predicpoor_under5!$A$1,MATCH($Y22,Fact5_predicpoor_under5!$A$2:$A$26,0),MATCH(AF$2,Fact5_predicpoor_under5!$A$1:$V$1,0)-1,1,1)=0,NA(),OFFSET(Fact5_predicpoor_under5!$A$1,MATCH($Y22,Fact5_predicpoor_under5!$A$2:$A$26,0),MATCH(AF$2,Fact5_predicpoor_under5!$A$1:$V$1,0)-1,1,1))</f>
        <v>26.536741256713867</v>
      </c>
      <c r="AG89" s="2556">
        <f ca="1">IF(OFFSET(Fact5_predicpoor_under5!$A$1,MATCH($Y22,Fact5_predicpoor_under5!$A$2:$A$26,0),MATCH(AG$2,Fact5_predicpoor_under5!$A$1:$V$1,0)-1,1,1)=0,NA(),OFFSET(Fact5_predicpoor_under5!$A$1,MATCH($Y22,Fact5_predicpoor_under5!$A$2:$A$26,0),MATCH(AG$2,Fact5_predicpoor_under5!$A$1:$V$1,0)-1,1,1))</f>
        <v>27.729946136474609</v>
      </c>
      <c r="AH89" s="2556">
        <f ca="1">IF(OFFSET(Fact5_predicpoor_under5!$A$1,MATCH($Y22,Fact5_predicpoor_under5!$A$2:$A$26,0),MATCH(AH$2,Fact5_predicpoor_under5!$A$1:$V$1,0)-1,1,1)=0,NA(),OFFSET(Fact5_predicpoor_under5!$A$1,MATCH($Y22,Fact5_predicpoor_under5!$A$2:$A$26,0),MATCH(AH$2,Fact5_predicpoor_under5!$A$1:$V$1,0)-1,1,1))</f>
        <v>28.133398056030273</v>
      </c>
      <c r="AI89" s="2556">
        <f ca="1">IF(OFFSET(Fact5_predicpoor_under5!$A$1,MATCH($Y22,Fact5_predicpoor_under5!$A$2:$A$26,0),MATCH(AI$2,Fact5_predicpoor_under5!$A$1:$V$1,0)-1,1,1)=0,NA(),OFFSET(Fact5_predicpoor_under5!$A$1,MATCH($Y22,Fact5_predicpoor_under5!$A$2:$A$26,0),MATCH(AI$2,Fact5_predicpoor_under5!$A$1:$V$1,0)-1,1,1))</f>
        <v>24.567630767822266</v>
      </c>
      <c r="AJ89" s="2556">
        <f ca="1">IF(OFFSET(Fact5_predicpoor_under5!$A$1,MATCH($Y22,Fact5_predicpoor_under5!$A$2:$A$26,0),MATCH(AJ$2,Fact5_predicpoor_under5!$A$1:$V$1,0)-1,1,1)=0,NA(),OFFSET(Fact5_predicpoor_under5!$A$1,MATCH($Y22,Fact5_predicpoor_under5!$A$2:$A$26,0),MATCH(AJ$2,Fact5_predicpoor_under5!$A$1:$V$1,0)-1,1,1))</f>
        <v>25.920272827148438</v>
      </c>
      <c r="AK89" s="2556">
        <f ca="1">IF(OFFSET(Fact5_predicpoor_under5!$A$1,MATCH($Y22,Fact5_predicpoor_under5!$A$2:$A$26,0),MATCH(AK$2,Fact5_predicpoor_under5!$A$1:$V$1,0)-1,1,1)=0,NA(),OFFSET(Fact5_predicpoor_under5!$A$1,MATCH($Y22,Fact5_predicpoor_under5!$A$2:$A$26,0),MATCH(AK$2,Fact5_predicpoor_under5!$A$1:$V$1,0)-1,1,1))</f>
        <v>22.280300140380859</v>
      </c>
      <c r="AL89" s="2556">
        <f ca="1">IF(OFFSET(Fact5_predicpoor_under5!$A$1,MATCH($Y22,Fact5_predicpoor_under5!$A$2:$A$26,0),MATCH(AL$2,Fact5_predicpoor_under5!$A$1:$V$1,0)-1,1,1)=0,NA(),OFFSET(Fact5_predicpoor_under5!$A$1,MATCH($Y22,Fact5_predicpoor_under5!$A$2:$A$26,0),MATCH(AL$2,Fact5_predicpoor_under5!$A$1:$V$1,0)-1,1,1))</f>
        <v>28.681560516357422</v>
      </c>
      <c r="AM89" s="2556">
        <f ca="1">IF(OFFSET(Fact5_predicpoor_under5!$A$1,MATCH($Y22,Fact5_predicpoor_under5!$A$2:$A$26,0),MATCH(AM$2,Fact5_predicpoor_under5!$A$1:$V$1,0)-1,1,1)=0,NA(),OFFSET(Fact5_predicpoor_under5!$A$1,MATCH($Y22,Fact5_predicpoor_under5!$A$2:$A$26,0),MATCH(AM$2,Fact5_predicpoor_under5!$A$1:$V$1,0)-1,1,1))</f>
        <v>46.498569488525391</v>
      </c>
      <c r="AN89" s="2556">
        <f ca="1">IF(OFFSET(Fact5_predicpoor_under5!$A$1,MATCH($Y22,Fact5_predicpoor_under5!$A$2:$A$26,0),MATCH(AN$2,Fact5_predicpoor_under5!$A$1:$V$1,0)-1,1,1)=0,NA(),OFFSET(Fact5_predicpoor_under5!$A$1,MATCH($Y22,Fact5_predicpoor_under5!$A$2:$A$26,0),MATCH(AN$2,Fact5_predicpoor_under5!$A$1:$V$1,0)-1,1,1))</f>
        <v>38.674137115478516</v>
      </c>
      <c r="AO89" s="2556">
        <f ca="1">IF(OFFSET(Fact5_predicpoor_under5!$A$1,MATCH($Y22,Fact5_predicpoor_under5!$A$2:$A$26,0),MATCH(AO$2,Fact5_predicpoor_under5!$A$1:$V$1,0)-1,1,1)=0,NA(),OFFSET(Fact5_predicpoor_under5!$A$1,MATCH($Y22,Fact5_predicpoor_under5!$A$2:$A$26,0),MATCH(AO$2,Fact5_predicpoor_under5!$A$1:$V$1,0)-1,1,1))</f>
        <v>30.666082382202148</v>
      </c>
      <c r="AP89" s="2561">
        <f ca="1">IF(OFFSET(Fact5_predicpoor_under5!$A$1,MATCH($Y22,Fact5_predicpoor_under5!$A$2:$A$26,0),MATCH(AP$2,Fact5_predicpoor_under5!$A$1:$V$1,0)-1,1,1)=0,NA(),OFFSET(Fact5_predicpoor_under5!$A$1,MATCH($Y22,Fact5_predicpoor_under5!$A$2:$A$26,0),MATCH(AP$2,Fact5_predicpoor_under5!$A$1:$V$1,0)-1,1,1))</f>
        <v>60.32080078125</v>
      </c>
      <c r="AQ89" s="2556">
        <f ca="1">IF(OFFSET(Fact5_predicpoor_under5!$A$1,MATCH($Y22,Fact5_predicpoor_under5!$A$2:$A$26,0),MATCH(AQ$2,Fact5_predicpoor_under5!$A$1:$V$1,0)-1,1,1)=0,NA(),OFFSET(Fact5_predicpoor_under5!$A$1,MATCH($Y22,Fact5_predicpoor_under5!$A$2:$A$26,0),MATCH(AQ$2,Fact5_predicpoor_under5!$A$1:$V$1,0)-1,1,1))</f>
        <v>89.975517272949219</v>
      </c>
      <c r="AR89" s="2556">
        <f ca="1">IF(OFFSET(Fact5_predicpoor_under5!$A$1,MATCH($Y22,Fact5_predicpoor_under5!$A$2:$A$26,0),MATCH(AR$2,Fact5_predicpoor_under5!$A$1:$V$1,0)-1,1,1)=0,NA(),OFFSET(Fact5_predicpoor_under5!$A$1,MATCH($Y22,Fact5_predicpoor_under5!$A$2:$A$26,0),MATCH(AR$2,Fact5_predicpoor_under5!$A$1:$V$1,0)-1,1,1))</f>
        <v>71.004470825195313</v>
      </c>
      <c r="AS89" s="2567">
        <f ca="1">AR89</f>
        <v>71.004470825195313</v>
      </c>
      <c r="AT89" s="2567">
        <f ca="1">AS89</f>
        <v>71.004470825195313</v>
      </c>
      <c r="AU89" s="8">
        <f t="shared" ca="1" si="84"/>
        <v>6.0346832275390625</v>
      </c>
      <c r="AV89" s="7548">
        <f t="shared" ca="1" si="85"/>
        <v>29.654716491699219</v>
      </c>
      <c r="AW89" s="7544">
        <f t="shared" ca="1" si="109"/>
        <v>9.2884453692700042E-2</v>
      </c>
      <c r="AX89" s="7541">
        <f t="shared" ca="1" si="87"/>
        <v>0.49161675753013268</v>
      </c>
      <c r="AY89" s="7532">
        <f t="shared" ca="1" si="88"/>
        <v>0.17711419453281207</v>
      </c>
      <c r="AZ89" s="7548" t="s">
        <v>51</v>
      </c>
      <c r="BA89" s="7532">
        <f t="shared" ca="1" si="89"/>
        <v>-0.15851748296092405</v>
      </c>
      <c r="BB89" s="7532">
        <f t="shared" ca="1" si="90"/>
        <v>-9.1729226881549497E-2</v>
      </c>
      <c r="BC89" s="7532">
        <f t="shared" ca="1" si="91"/>
        <v>-0.25996135676756293</v>
      </c>
      <c r="BD89" s="7532">
        <f t="shared" ca="1" si="92"/>
        <v>-0.22488485797359381</v>
      </c>
      <c r="BE89" s="7532">
        <f t="shared" ca="1" si="93"/>
        <v>-3.7131279360108294E-2</v>
      </c>
      <c r="BF89" s="7532">
        <f t="shared" ca="1" si="94"/>
        <v>-3.2417492504882239E-2</v>
      </c>
      <c r="BG89" s="7532">
        <f t="shared" ca="1" si="95"/>
        <v>4.4964257977940569E-2</v>
      </c>
      <c r="BH89" s="7532">
        <f t="shared" ca="1" si="96"/>
        <v>1.4549322150502864E-2</v>
      </c>
      <c r="BI89" s="7532">
        <f t="shared" ca="1" si="97"/>
        <v>-0.1267449911705103</v>
      </c>
      <c r="BJ89" s="7532">
        <f t="shared" ca="1" si="98"/>
        <v>5.5057895981480254E-2</v>
      </c>
      <c r="BK89" s="7532">
        <f t="shared" ca="1" si="99"/>
        <v>-0.14042956688924724</v>
      </c>
      <c r="BL89" s="7532">
        <f t="shared" ca="1" si="100"/>
        <v>0.28730584128778891</v>
      </c>
      <c r="BM89" s="7532">
        <f t="shared" ca="1" si="101"/>
        <v>0.62120082211031447</v>
      </c>
      <c r="BN89" s="7532">
        <f t="shared" ca="1" si="102"/>
        <v>-0.16827253954506571</v>
      </c>
      <c r="BO89" s="7532">
        <f t="shared" ca="1" si="103"/>
        <v>-0.20706485859955515</v>
      </c>
      <c r="BP89" s="7532">
        <f t="shared" ca="1" si="104"/>
        <v>0.96702011132203602</v>
      </c>
      <c r="BQ89" s="7532">
        <f t="shared" ca="1" si="105"/>
        <v>0.49161675753013268</v>
      </c>
      <c r="BR89" s="7532">
        <f t="shared" ca="1" si="106"/>
        <v>-0.21084676168299699</v>
      </c>
      <c r="BS89" s="7532">
        <f t="shared" ca="1" si="107"/>
        <v>0</v>
      </c>
      <c r="BT89" s="7532">
        <f t="shared" ca="1" si="108"/>
        <v>0</v>
      </c>
      <c r="BV89" s="8"/>
    </row>
    <row r="90" spans="2:74" ht="15" thickBot="1">
      <c r="Y90" s="2557" t="s">
        <v>1251</v>
      </c>
      <c r="Z90" s="2560">
        <f ca="1">SUMPRODUCT(C72:C89,Z72:Z89)/SUM(C72:C89)</f>
        <v>58.204586378359586</v>
      </c>
      <c r="AA90" s="2560">
        <f t="shared" ref="AA90" ca="1" si="110">SUMPRODUCT(D72:D89,AA72:AA89)/SUM(D72:D89)</f>
        <v>55.65257979181299</v>
      </c>
      <c r="AB90" s="2560">
        <f t="shared" ref="AB90" ca="1" si="111">SUMPRODUCT(E72:E89,AB72:AB89)/SUM(E72:E89)</f>
        <v>53.578393712339775</v>
      </c>
      <c r="AC90" s="2560">
        <f t="shared" ref="AC90" ca="1" si="112">SUMPRODUCT(F72:F89,AC72:AC89)/SUM(F72:F89)</f>
        <v>50.350013106895659</v>
      </c>
      <c r="AD90" s="2560">
        <f t="shared" ref="AD90" ca="1" si="113">SUMPRODUCT(G72:G89,AD72:AD89)/SUM(G72:G89)</f>
        <v>49.329987605135493</v>
      </c>
      <c r="AE90" s="2560">
        <f t="shared" ref="AE90" ca="1" si="114">SUMPRODUCT(H72:H89,AE72:AE89)/SUM(H72:H89)</f>
        <v>48.514332884666139</v>
      </c>
      <c r="AF90" s="2560">
        <f t="shared" ref="AF90" ca="1" si="115">SUMPRODUCT(I72:I89,AF72:AF89)/SUM(I72:I89)</f>
        <v>47.233884607437361</v>
      </c>
      <c r="AG90" s="2560">
        <f t="shared" ref="AG90" ca="1" si="116">SUMPRODUCT(J72:J89,AG72:AG89)/SUM(J72:J89)</f>
        <v>46.235008742551123</v>
      </c>
      <c r="AH90" s="2560">
        <f t="shared" ref="AH90" ca="1" si="117">SUMPRODUCT(K72:K89,AH72:AH89)/SUM(K72:K89)</f>
        <v>43.682423149836545</v>
      </c>
      <c r="AI90" s="2560">
        <f t="shared" ref="AI90" ca="1" si="118">SUMPRODUCT(L72:L89,AI72:AI89)/SUM(L72:L89)</f>
        <v>40.266141243492484</v>
      </c>
      <c r="AJ90" s="2560">
        <f t="shared" ref="AJ90" ca="1" si="119">SUMPRODUCT(M72:M89,AJ72:AJ89)/SUM(M72:M89)</f>
        <v>37.694875794973335</v>
      </c>
      <c r="AK90" s="2560">
        <f t="shared" ref="AK90" ca="1" si="120">SUMPRODUCT(N72:N89,AK72:AK89)/SUM(N72:N89)</f>
        <v>35.551721348819243</v>
      </c>
      <c r="AL90" s="2560">
        <f t="shared" ref="AL90" ca="1" si="121">SUMPRODUCT(O72:O89,AL72:AL89)/SUM(O72:O89)</f>
        <v>35.607761802008852</v>
      </c>
      <c r="AM90" s="2560">
        <f t="shared" ref="AM90" ca="1" si="122">SUMPRODUCT(P72:P89,AM72:AM89)/SUM(P72:P89)</f>
        <v>35.044277135091527</v>
      </c>
      <c r="AN90" s="2560">
        <f t="shared" ref="AN90" ca="1" si="123">SUMPRODUCT(Q72:Q89,AN72:AN89)/SUM(Q72:Q89)</f>
        <v>34.119010924574347</v>
      </c>
      <c r="AO90" s="2560">
        <f t="shared" ref="AO90" ca="1" si="124">SUMPRODUCT(R72:R89,AO72:AO89)/SUM(R72:R89)</f>
        <v>34.006010091188173</v>
      </c>
      <c r="AP90" s="2560">
        <f t="shared" ref="AP90" ca="1" si="125">SUMPRODUCT(S72:S89,AP72:AP89)/SUM(S72:S89)</f>
        <v>34.945052953286016</v>
      </c>
      <c r="AQ90" s="2560">
        <f t="shared" ref="AQ90" ca="1" si="126">SUMPRODUCT(T72:T89,AQ72:AQ89)/SUM(T72:T89)</f>
        <v>39.148961236912214</v>
      </c>
      <c r="AR90" s="2560">
        <f t="shared" ref="AR90" ca="1" si="127">SUMPRODUCT(U72:U89,AR72:AR89)/SUM(U72:U89)</f>
        <v>37.646661306614973</v>
      </c>
      <c r="AS90" s="2560">
        <f t="shared" ref="AS90" ca="1" si="128">SUMPRODUCT(V72:V89,AS72:AS89)/SUM(V72:V89)</f>
        <v>33.615558973252753</v>
      </c>
      <c r="AT90" s="2560">
        <f t="shared" ref="AT90" ca="1" si="129">SUMPRODUCT(W72:W89,AT72:AT89)/SUM(W72:W89)</f>
        <v>30.09956909322743</v>
      </c>
      <c r="AU90" s="8">
        <f t="shared" ca="1" si="84"/>
        <v>-28.105017285132156</v>
      </c>
      <c r="AV90" s="8">
        <f t="shared" ca="1" si="85"/>
        <v>4.2039082836261983</v>
      </c>
      <c r="AW90" s="7534">
        <f t="shared" ca="1" si="109"/>
        <v>-0.48286602540966728</v>
      </c>
      <c r="AZ90" s="7535"/>
      <c r="BA90" s="7535"/>
      <c r="BB90" s="7535"/>
      <c r="BC90" s="7535"/>
      <c r="BD90" s="7535"/>
      <c r="BE90" s="7535"/>
      <c r="BF90" s="7535"/>
      <c r="BG90" s="7535"/>
      <c r="BH90" s="7535"/>
      <c r="BI90" s="7535"/>
      <c r="BJ90" s="7535"/>
      <c r="BK90" s="7535"/>
      <c r="BL90" s="7535"/>
      <c r="BM90" s="7535"/>
      <c r="BN90" s="7535"/>
      <c r="BO90" s="7535"/>
      <c r="BP90" s="7535"/>
      <c r="BQ90" s="7535"/>
      <c r="BR90" s="7535"/>
      <c r="BS90" s="7535"/>
      <c r="BV90" s="8"/>
    </row>
    <row r="91" spans="2:74" ht="15" thickBot="1">
      <c r="Y91" s="212" t="s">
        <v>1249</v>
      </c>
      <c r="Z91" s="2559">
        <f ca="1">SUMPRODUCT(C72:C88,Z72:Z88)/SUM(C72:C88)</f>
        <v>57.785192965766164</v>
      </c>
      <c r="AA91" s="2559">
        <f t="shared" ref="AA91" ca="1" si="130">SUMPRODUCT(D72:D88,AA72:AA88)/SUM(D72:D88)</f>
        <v>55.700266386180566</v>
      </c>
      <c r="AB91" s="2559">
        <f t="shared" ref="AB91" ca="1" si="131">SUMPRODUCT(E72:E88,AB72:AB88)/SUM(E72:E88)</f>
        <v>53.768936975139425</v>
      </c>
      <c r="AC91" s="2559">
        <f t="shared" ref="AC91" ca="1" si="132">SUMPRODUCT(F72:F88,AC72:AC88)/SUM(F72:F88)</f>
        <v>51.010809372020468</v>
      </c>
      <c r="AD91" s="2559">
        <f t="shared" ref="AD91" ca="1" si="133">SUMPRODUCT(G72:G88,AD72:AD88)/SUM(G72:G88)</f>
        <v>50.342681946984264</v>
      </c>
      <c r="AE91" s="2559">
        <f t="shared" ref="AE91" ca="1" si="134">SUMPRODUCT(H72:H88,AE72:AE88)/SUM(H72:H88)</f>
        <v>49.538781869695235</v>
      </c>
      <c r="AF91" s="2559">
        <f t="shared" ref="AF91" ca="1" si="135">SUMPRODUCT(I72:I88,AF72:AF88)/SUM(I72:I88)</f>
        <v>48.239321315591567</v>
      </c>
      <c r="AG91" s="2559">
        <f ca="1">SUMPRODUCT(J72:J88,AG72:AG88)/SUM(J72:J88)</f>
        <v>47.133957400129546</v>
      </c>
      <c r="AH91" s="2559">
        <f t="shared" ref="AH91" ca="1" si="136">SUMPRODUCT(K72:K88,AH72:AH88)/SUM(K72:K88)</f>
        <v>44.437771863444276</v>
      </c>
      <c r="AI91" s="2559">
        <f t="shared" ref="AI91" ca="1" si="137">SUMPRODUCT(L72:L88,AI72:AI88)/SUM(L72:L88)</f>
        <v>41.028751736550241</v>
      </c>
      <c r="AJ91" s="2559">
        <f t="shared" ref="AJ91" ca="1" si="138">SUMPRODUCT(M72:M88,AJ72:AJ88)/SUM(M72:M88)</f>
        <v>38.266868646700807</v>
      </c>
      <c r="AK91" s="2559">
        <f t="shared" ref="AK91" ca="1" si="139">SUMPRODUCT(N72:N88,AK72:AK88)/SUM(N72:N88)</f>
        <v>36.196427423770103</v>
      </c>
      <c r="AL91" s="2559">
        <f t="shared" ref="AL91" ca="1" si="140">SUMPRODUCT(O72:O88,AL72:AL88)/SUM(O72:O88)</f>
        <v>35.944226448489417</v>
      </c>
      <c r="AM91" s="2559">
        <f t="shared" ref="AM91" ca="1" si="141">SUMPRODUCT(P72:P88,AM72:AM88)/SUM(P72:P88)</f>
        <v>34.487844500745886</v>
      </c>
      <c r="AN91" s="2559">
        <f t="shared" ref="AN91" ca="1" si="142">SUMPRODUCT(Q72:Q88,AN72:AN88)/SUM(Q72:Q88)</f>
        <v>33.898032550748283</v>
      </c>
      <c r="AO91" s="2559">
        <f t="shared" ref="AO91" ca="1" si="143">SUMPRODUCT(R72:R88,AO72:AO88)/SUM(R72:R88)</f>
        <v>34.16803673170191</v>
      </c>
      <c r="AP91" s="2559">
        <f t="shared" ref="AP91" ca="1" si="144">SUMPRODUCT(S72:S88,AP72:AP88)/SUM(S72:S88)</f>
        <v>33.714024161846403</v>
      </c>
      <c r="AQ91" s="2559">
        <f t="shared" ref="AQ91" ca="1" si="145">SUMPRODUCT(T72:T88,AQ72:AQ88)/SUM(T72:T88)</f>
        <v>36.68326232335626</v>
      </c>
      <c r="AR91" s="2559">
        <f t="shared" ref="AR91" ca="1" si="146">SUMPRODUCT(U72:U88,AR72:AR88)/SUM(U72:U88)</f>
        <v>36.028406577133538</v>
      </c>
      <c r="AS91" s="2559">
        <f t="shared" ref="AS91" ca="1" si="147">SUMPRODUCT(V72:V88,AS72:AS88)/SUM(V72:V88)</f>
        <v>31.801747325912142</v>
      </c>
      <c r="AT91" s="2559">
        <f t="shared" ref="AT91" ca="1" si="148">SUMPRODUCT(W72:W88,AT72:AT88)/SUM(W72:W88)</f>
        <v>28.115189673773649</v>
      </c>
      <c r="AU91" s="8">
        <f ca="1">AT91-Z91</f>
        <v>-29.670003291992515</v>
      </c>
      <c r="AV91" s="8">
        <f t="shared" ca="1" si="85"/>
        <v>2.9692381615098569</v>
      </c>
      <c r="AW91" s="7534">
        <f t="shared" ca="1" si="109"/>
        <v>-0.51345339124453548</v>
      </c>
      <c r="AX91" s="7537">
        <f ca="1">AVERAGE(AX72:AX89)</f>
        <v>0.17498803960423728</v>
      </c>
      <c r="AY91" s="7537">
        <f ca="1">AVERAGE(AY72:AY89)</f>
        <v>7.3299706274823823E-2</v>
      </c>
      <c r="BA91" s="7537">
        <f ca="1">AVERAGE(BA72:BA89)</f>
        <v>1.0996262585185455E-2</v>
      </c>
      <c r="BB91" s="7537">
        <f t="shared" ref="BB91:BT91" ca="1" si="149">AVERAGE(BB72:BB89)</f>
        <v>-4.5102505030188776E-2</v>
      </c>
      <c r="BC91" s="7537">
        <f t="shared" ca="1" si="149"/>
        <v>-5.7822564045729684E-2</v>
      </c>
      <c r="BD91" s="7537">
        <f t="shared" ca="1" si="149"/>
        <v>-5.2812444699077837E-2</v>
      </c>
      <c r="BE91" s="7537">
        <f t="shared" ca="1" si="149"/>
        <v>-4.4586631872721327E-2</v>
      </c>
      <c r="BF91" s="7537">
        <f t="shared" ca="1" si="149"/>
        <v>-3.9394407508304419E-2</v>
      </c>
      <c r="BG91" s="7537">
        <f t="shared" ca="1" si="149"/>
        <v>-3.0152390777476015E-2</v>
      </c>
      <c r="BH91" s="7537">
        <f t="shared" ca="1" si="149"/>
        <v>-3.7962310568874044E-2</v>
      </c>
      <c r="BI91" s="7537">
        <f t="shared" ca="1" si="149"/>
        <v>-6.8662224204833533E-2</v>
      </c>
      <c r="BJ91" s="7537">
        <f t="shared" ca="1" si="149"/>
        <v>-5.8727009737750357E-2</v>
      </c>
      <c r="BK91" s="7537">
        <f t="shared" ca="1" si="149"/>
        <v>-4.2345460726525022E-2</v>
      </c>
      <c r="BL91" s="7537">
        <f t="shared" ca="1" si="149"/>
        <v>1.4941605912143982E-2</v>
      </c>
      <c r="BM91" s="7537">
        <f t="shared" ca="1" si="149"/>
        <v>1.1661584261224722E-2</v>
      </c>
      <c r="BN91" s="7537">
        <f t="shared" ca="1" si="149"/>
        <v>-4.7018384789107262E-2</v>
      </c>
      <c r="BO91" s="7537">
        <f t="shared" ca="1" si="149"/>
        <v>-1.1149881014276195E-2</v>
      </c>
      <c r="BP91" s="7537">
        <f t="shared" ca="1" si="149"/>
        <v>5.4070636482457919E-2</v>
      </c>
      <c r="BQ91" s="7537">
        <f t="shared" ca="1" si="149"/>
        <v>0.17498803960423728</v>
      </c>
      <c r="BR91" s="7537">
        <f t="shared" ca="1" si="149"/>
        <v>-7.4793874335554969E-2</v>
      </c>
      <c r="BS91" s="7537">
        <f t="shared" ca="1" si="149"/>
        <v>-5.7901063378031595E-2</v>
      </c>
      <c r="BT91" s="7537">
        <f t="shared" ca="1" si="149"/>
        <v>-6.4597977332057133E-2</v>
      </c>
    </row>
    <row r="92" spans="2:74" ht="15" thickTop="1">
      <c r="Y92" s="141"/>
      <c r="Z92" s="13"/>
      <c r="AA92" s="13"/>
      <c r="AB92" s="13"/>
      <c r="AC92" s="13"/>
      <c r="AD92" s="13"/>
      <c r="AE92" s="13"/>
      <c r="AF92" s="13"/>
      <c r="AG92" s="13"/>
      <c r="AH92" s="13"/>
      <c r="AI92" s="13"/>
      <c r="AJ92" s="13"/>
      <c r="AK92" s="13"/>
      <c r="AL92" s="13"/>
      <c r="AM92" s="13"/>
      <c r="AN92" s="13"/>
      <c r="AO92" s="13"/>
      <c r="AP92" s="13"/>
      <c r="AQ92" s="13"/>
      <c r="AR92" s="13"/>
      <c r="AS92" s="13"/>
      <c r="AT92" s="13"/>
    </row>
    <row r="93" spans="2:74">
      <c r="Y93" s="141"/>
      <c r="Z93" s="13"/>
      <c r="AA93" s="13"/>
      <c r="AB93" s="13"/>
      <c r="AC93" s="13"/>
      <c r="AD93" s="13"/>
      <c r="AE93" s="13"/>
      <c r="AF93" s="13"/>
      <c r="AG93" s="13"/>
      <c r="AH93" s="13"/>
      <c r="AI93" s="13"/>
      <c r="AJ93" s="13"/>
      <c r="AK93" s="13"/>
      <c r="AL93" s="13"/>
      <c r="AM93" s="13"/>
      <c r="AN93" s="13"/>
      <c r="AO93" s="13"/>
      <c r="AP93" s="13"/>
      <c r="AQ93" s="13"/>
      <c r="AR93" s="13"/>
      <c r="AS93" s="13"/>
      <c r="AT93" s="13"/>
    </row>
    <row r="94" spans="2:74">
      <c r="Y94" s="180"/>
      <c r="Z94" s="100"/>
      <c r="AA94" s="100"/>
      <c r="AB94" s="100"/>
      <c r="AC94" s="100"/>
      <c r="AD94" s="100"/>
      <c r="AE94" s="100"/>
      <c r="AF94" s="100"/>
      <c r="AG94" s="100"/>
      <c r="AH94" s="100"/>
      <c r="AI94" s="100"/>
      <c r="AJ94" s="100"/>
      <c r="AK94" s="100"/>
      <c r="AL94" s="100"/>
      <c r="AM94" s="100"/>
      <c r="AN94" s="100"/>
      <c r="AO94" s="100"/>
      <c r="AP94" s="100"/>
      <c r="AQ94" s="100"/>
      <c r="AR94" s="100"/>
      <c r="AS94" s="100"/>
      <c r="AT94" s="100"/>
    </row>
    <row r="95" spans="2:74">
      <c r="Y95" s="180"/>
      <c r="Z95" s="100"/>
      <c r="AA95" s="100"/>
      <c r="AB95" s="100"/>
      <c r="AC95" s="100"/>
      <c r="AD95" s="100"/>
      <c r="AE95" s="100"/>
      <c r="AF95" s="100"/>
      <c r="AG95" s="100"/>
      <c r="AH95" s="100"/>
      <c r="AI95" s="100"/>
      <c r="AJ95" s="100"/>
      <c r="AK95" s="100"/>
      <c r="AL95" s="100"/>
      <c r="AM95" s="100"/>
      <c r="AN95" s="100"/>
      <c r="AO95" s="100"/>
      <c r="AP95" s="100"/>
      <c r="AQ95" s="100"/>
      <c r="AR95" s="100"/>
      <c r="AS95" s="100"/>
      <c r="AT95" s="100"/>
    </row>
    <row r="96" spans="2:74">
      <c r="Y96" s="180"/>
      <c r="Z96" s="100"/>
      <c r="AA96" s="100"/>
      <c r="AB96" s="100"/>
      <c r="AC96" s="100"/>
      <c r="AD96" s="100"/>
      <c r="AE96" s="100"/>
      <c r="AF96" s="100"/>
      <c r="AG96" s="100"/>
      <c r="AH96" s="100"/>
      <c r="AI96" s="100"/>
      <c r="AJ96" s="100"/>
      <c r="AK96" s="100"/>
      <c r="AL96" s="100"/>
      <c r="AM96" s="100"/>
      <c r="AN96" s="100"/>
      <c r="AO96" s="100"/>
      <c r="AP96" s="100"/>
      <c r="AQ96" s="100"/>
      <c r="AR96" s="100"/>
      <c r="AS96" s="100"/>
      <c r="AT96" s="100"/>
    </row>
    <row r="97" spans="25:46">
      <c r="Y97" s="145"/>
      <c r="Z97" s="13"/>
      <c r="AA97" s="13"/>
      <c r="AB97" s="13"/>
      <c r="AC97" s="13"/>
      <c r="AD97" s="13"/>
      <c r="AE97" s="13"/>
      <c r="AF97" s="13"/>
      <c r="AG97" s="13"/>
      <c r="AH97" s="13"/>
      <c r="AI97" s="13"/>
      <c r="AJ97" s="13"/>
      <c r="AK97" s="13"/>
      <c r="AL97" s="13"/>
      <c r="AM97" s="13"/>
      <c r="AN97" s="13"/>
      <c r="AO97" s="13"/>
      <c r="AP97" s="13"/>
      <c r="AQ97" s="13"/>
      <c r="AR97" s="13"/>
      <c r="AS97" s="13"/>
      <c r="AT97" s="13"/>
    </row>
    <row r="98" spans="25:46">
      <c r="Y98" s="180"/>
      <c r="Z98" s="13"/>
      <c r="AA98" s="13"/>
      <c r="AB98" s="13"/>
      <c r="AC98" s="13"/>
      <c r="AD98" s="13"/>
      <c r="AE98" s="13"/>
      <c r="AF98" s="13"/>
      <c r="AG98" s="13"/>
      <c r="AH98" s="13"/>
      <c r="AI98" s="13"/>
      <c r="AJ98" s="13"/>
      <c r="AK98" s="13"/>
      <c r="AL98" s="13"/>
      <c r="AM98" s="13"/>
      <c r="AN98" s="13"/>
      <c r="AO98" s="13"/>
      <c r="AP98" s="13"/>
      <c r="AQ98" s="13"/>
      <c r="AR98" s="13"/>
      <c r="AS98" s="13"/>
      <c r="AT98" s="13"/>
    </row>
  </sheetData>
  <sortState xmlns:xlrd2="http://schemas.microsoft.com/office/spreadsheetml/2017/richdata2" ref="ER6:FA26">
    <sortCondition descending="1" ref="EX6:EX26"/>
  </sortState>
  <phoneticPr fontId="6942" type="noConversion"/>
  <conditionalFormatting sqref="EX6:FA26">
    <cfRule type="colorScale" priority="4">
      <colorScale>
        <cfvo type="min"/>
        <cfvo type="max"/>
        <color rgb="FFFCFCFF"/>
        <color rgb="FF63BE7B"/>
      </colorScale>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43B7F-8623-4FAB-91FB-4F7E7FEF90B2}">
  <sheetPr>
    <tabColor rgb="FF002060"/>
  </sheetPr>
  <dimension ref="A1:BP74"/>
  <sheetViews>
    <sheetView showGridLines="0" zoomScale="80" zoomScaleNormal="80" workbookViewId="0">
      <selection activeCell="C3" sqref="C3:C20"/>
    </sheetView>
  </sheetViews>
  <sheetFormatPr defaultRowHeight="14.5" outlineLevelRow="1" outlineLevelCol="1"/>
  <cols>
    <col min="2" max="15" width="8.7265625" customWidth="1" outlineLevel="1"/>
    <col min="17" max="17" width="11.6328125" customWidth="1"/>
    <col min="18" max="18" width="12.36328125" customWidth="1"/>
    <col min="19" max="19" width="8.54296875" customWidth="1"/>
    <col min="20" max="22" width="6.26953125" customWidth="1"/>
    <col min="23" max="23" width="6.6328125" style="13" customWidth="1"/>
    <col min="24" max="24" width="6.26953125" style="13" customWidth="1"/>
    <col min="25" max="25" width="5.1796875" style="13" customWidth="1"/>
    <col min="26" max="27" width="5.08984375" customWidth="1"/>
    <col min="28" max="28" width="5.453125" customWidth="1"/>
    <col min="29" max="29" width="7.7265625" customWidth="1"/>
    <col min="30" max="31" width="5.08984375" customWidth="1"/>
    <col min="32" max="35" width="6.453125" style="8" customWidth="1"/>
    <col min="36" max="37" width="4.81640625" style="8" customWidth="1"/>
    <col min="38" max="38" width="11.81640625" style="8" customWidth="1"/>
    <col min="39" max="39" width="10.453125" style="8" customWidth="1"/>
    <col min="40" max="41" width="6.90625" style="13" customWidth="1"/>
    <col min="42" max="42" width="5.6328125" style="13" customWidth="1"/>
    <col min="43" max="43" width="7.453125" style="13" customWidth="1"/>
    <col min="44" max="48" width="7.453125" customWidth="1"/>
    <col min="49" max="51" width="4.7265625" customWidth="1"/>
  </cols>
  <sheetData>
    <row r="1" spans="1:68">
      <c r="E1" s="76" t="s">
        <v>1091</v>
      </c>
      <c r="F1" s="76" t="s">
        <v>1091</v>
      </c>
      <c r="G1" s="76" t="s">
        <v>1091</v>
      </c>
      <c r="H1" s="76" t="s">
        <v>1161</v>
      </c>
      <c r="I1" s="76" t="s">
        <v>1161</v>
      </c>
      <c r="J1" s="76" t="s">
        <v>1161</v>
      </c>
      <c r="K1" s="76" t="s">
        <v>1161</v>
      </c>
      <c r="L1" s="76" t="s">
        <v>1161</v>
      </c>
      <c r="M1" s="76" t="s">
        <v>1161</v>
      </c>
      <c r="N1" s="76" t="s">
        <v>1161</v>
      </c>
      <c r="O1" s="76" t="s">
        <v>1162</v>
      </c>
      <c r="P1" s="76"/>
      <c r="Q1" s="76"/>
      <c r="R1" s="76"/>
      <c r="AF1"/>
      <c r="AG1"/>
      <c r="AH1"/>
      <c r="AI1"/>
      <c r="AJ1"/>
      <c r="AK1"/>
      <c r="AN1" s="74" t="s">
        <v>1091</v>
      </c>
      <c r="AO1" s="74" t="s">
        <v>1091</v>
      </c>
      <c r="AP1" s="74" t="s">
        <v>1091</v>
      </c>
    </row>
    <row r="2" spans="1:68">
      <c r="B2" t="s">
        <v>995</v>
      </c>
      <c r="C2" s="8" t="s">
        <v>996</v>
      </c>
      <c r="D2" s="8" t="s">
        <v>1045</v>
      </c>
      <c r="E2" s="8" t="s">
        <v>1155</v>
      </c>
      <c r="F2" s="8" t="s">
        <v>1156</v>
      </c>
      <c r="G2" s="8" t="s">
        <v>1157</v>
      </c>
      <c r="H2" s="73" t="s">
        <v>1281</v>
      </c>
      <c r="I2" s="7497" t="s">
        <v>1163</v>
      </c>
      <c r="J2" s="7497" t="s">
        <v>1164</v>
      </c>
      <c r="K2" s="9350" t="s">
        <v>1165</v>
      </c>
      <c r="L2" s="7497" t="s">
        <v>1158</v>
      </c>
      <c r="M2" s="7497" t="s">
        <v>1159</v>
      </c>
      <c r="N2" s="7497" t="s">
        <v>1160</v>
      </c>
      <c r="O2" s="7497" t="s">
        <v>1166</v>
      </c>
      <c r="P2" s="8" t="s">
        <v>1282</v>
      </c>
      <c r="Q2" s="8" t="s">
        <v>1005</v>
      </c>
      <c r="R2" s="8"/>
      <c r="AF2"/>
      <c r="AG2"/>
      <c r="AH2"/>
      <c r="AI2"/>
      <c r="AJ2"/>
      <c r="AK2"/>
      <c r="AN2" s="222" t="s">
        <v>1155</v>
      </c>
      <c r="AO2" s="221" t="s">
        <v>1156</v>
      </c>
      <c r="AP2" s="223" t="s">
        <v>1157</v>
      </c>
    </row>
    <row r="3" spans="1:68">
      <c r="A3" s="7495"/>
      <c r="B3" s="7495" t="s">
        <v>10</v>
      </c>
      <c r="C3" s="7496">
        <v>2022</v>
      </c>
      <c r="D3" s="7496">
        <v>1</v>
      </c>
      <c r="E3" s="7496">
        <v>0.5</v>
      </c>
      <c r="F3" s="7496">
        <v>2</v>
      </c>
      <c r="G3" s="7496">
        <v>4</v>
      </c>
      <c r="H3" s="7496">
        <v>1.5</v>
      </c>
      <c r="I3" s="7496">
        <v>0.79027199745178223</v>
      </c>
      <c r="J3" s="7496">
        <v>2.0246315002441406</v>
      </c>
      <c r="K3" s="7496">
        <v>4.2734723091125488</v>
      </c>
      <c r="L3" s="7496">
        <v>0.31978467106819153</v>
      </c>
      <c r="M3" s="7496">
        <v>0.64765971899032593</v>
      </c>
      <c r="N3" s="7496">
        <v>3.2555636018514633E-2</v>
      </c>
      <c r="O3" s="7496">
        <v>1.0438686609268188</v>
      </c>
      <c r="P3" s="7496">
        <v>1.8372443914413452</v>
      </c>
      <c r="Q3" s="7496">
        <v>45773884</v>
      </c>
      <c r="R3" s="8"/>
      <c r="AF3"/>
      <c r="AG3"/>
      <c r="AH3"/>
      <c r="AI3"/>
      <c r="AJ3"/>
      <c r="AK3"/>
      <c r="AN3" s="35">
        <f>SUMPRODUCT(E3:E20,$O$3:$O$20)/SUM($O$3:$O$20)</f>
        <v>0.77861083928299768</v>
      </c>
      <c r="AO3" s="13">
        <f>SUMPRODUCT(F3:F20,$O$3:$O$20)/SUM($O$3:$O$20)</f>
        <v>2.0088207409555112</v>
      </c>
      <c r="AP3" s="13">
        <f>SUMPRODUCT(G3:G20,$O$3:$O$20)/SUM($O$3:$O$20)</f>
        <v>4.0531729055194186</v>
      </c>
    </row>
    <row r="4" spans="1:68">
      <c r="A4" s="7495"/>
      <c r="B4" s="7495" t="s">
        <v>15</v>
      </c>
      <c r="C4" s="7496">
        <v>2022</v>
      </c>
      <c r="D4" s="7496">
        <v>1</v>
      </c>
      <c r="E4" s="7496">
        <v>1</v>
      </c>
      <c r="F4" s="7496">
        <v>2</v>
      </c>
      <c r="G4" s="7496">
        <v>4</v>
      </c>
      <c r="H4" s="7496">
        <v>2</v>
      </c>
      <c r="I4" s="7496">
        <v>1.0102670192718506</v>
      </c>
      <c r="J4" s="7496">
        <v>2.414128303527832</v>
      </c>
      <c r="K4" s="7496">
        <v>4.4332151412963867</v>
      </c>
      <c r="L4" s="7496">
        <v>0.36287102103233337</v>
      </c>
      <c r="M4" s="7496">
        <v>0.59106749296188354</v>
      </c>
      <c r="N4" s="7496">
        <v>4.606151208281517E-2</v>
      </c>
      <c r="O4" s="7496">
        <v>0.96776264905929565</v>
      </c>
      <c r="P4" s="7496">
        <v>2.3430633544921875</v>
      </c>
      <c r="Q4" s="7496">
        <v>12388571</v>
      </c>
      <c r="R4" s="8"/>
      <c r="AF4"/>
      <c r="AG4"/>
      <c r="AH4"/>
      <c r="AI4"/>
      <c r="AJ4"/>
      <c r="AK4"/>
      <c r="AN4" s="35">
        <f>SUMPRODUCT(E21:E38,$O$21:$O$38)/SUM($O$21:$O$38)</f>
        <v>0.65996723007257652</v>
      </c>
      <c r="AO4" s="13">
        <f>SUMPRODUCT(F21:F38,$O$21:$O$38)/SUM($O$21:$O$38)</f>
        <v>1.6036704698349158</v>
      </c>
      <c r="AP4" s="13">
        <f t="shared" ref="AP4:AP6" si="0">SUMPRODUCT(G4:G21,$O$3:$O$20)/SUM($O$3:$O$20)</f>
        <v>3.7810230650416341</v>
      </c>
      <c r="BD4" s="76" t="s">
        <v>1161</v>
      </c>
      <c r="BE4" s="76" t="s">
        <v>1161</v>
      </c>
      <c r="BF4" s="76" t="s">
        <v>1161</v>
      </c>
      <c r="BG4" s="76" t="s">
        <v>1161</v>
      </c>
      <c r="BH4" s="76" t="s">
        <v>1161</v>
      </c>
      <c r="BI4" s="76" t="s">
        <v>1161</v>
      </c>
      <c r="BJ4" s="73" t="s">
        <v>1161</v>
      </c>
      <c r="BN4" s="76" t="s">
        <v>1103</v>
      </c>
      <c r="BO4" s="76" t="s">
        <v>1102</v>
      </c>
      <c r="BP4" s="76" t="str">
        <f>BC8</f>
        <v>Total Poor</v>
      </c>
    </row>
    <row r="5" spans="1:68">
      <c r="A5" s="7495"/>
      <c r="B5" s="7495" t="s">
        <v>17</v>
      </c>
      <c r="C5" s="7496">
        <v>2022</v>
      </c>
      <c r="D5" s="7496">
        <v>1</v>
      </c>
      <c r="E5" s="7496">
        <v>0.66666668653488159</v>
      </c>
      <c r="F5" s="7496">
        <v>2</v>
      </c>
      <c r="G5" s="7496">
        <v>4</v>
      </c>
      <c r="H5" s="7496"/>
      <c r="I5" s="7496">
        <v>0.83691394329071045</v>
      </c>
      <c r="J5" s="7496">
        <v>1.9211291074752808</v>
      </c>
      <c r="K5" s="7496">
        <v>3.944223165512085</v>
      </c>
      <c r="L5" s="7496">
        <v>0.34912154078483582</v>
      </c>
      <c r="M5" s="7496">
        <v>0.63709104061126709</v>
      </c>
      <c r="N5" s="7496">
        <v>1.3787428848445415E-2</v>
      </c>
      <c r="O5" s="7496">
        <v>1.086432933807373</v>
      </c>
      <c r="P5" s="7496"/>
      <c r="Q5" s="7496">
        <v>216422446</v>
      </c>
      <c r="R5" s="8"/>
      <c r="AF5"/>
      <c r="AG5"/>
      <c r="AH5"/>
      <c r="AI5"/>
      <c r="AJ5"/>
      <c r="AK5"/>
      <c r="AN5" s="35">
        <f>SUMPRODUCT(E57:E74,$O$57:$O$74)/SUM($O$57:$O$74)</f>
        <v>0.70967066598718276</v>
      </c>
      <c r="AO5" s="13">
        <f>SUMPRODUCT(F57:F74,$O$57:$O$74)/SUM($O$57:$O$74)</f>
        <v>1.6514171774647433</v>
      </c>
      <c r="AP5" s="13">
        <f t="shared" si="0"/>
        <v>3.8400763552520125</v>
      </c>
      <c r="BD5" s="225" t="s">
        <v>1185</v>
      </c>
      <c r="BE5" s="226" t="s">
        <v>1184</v>
      </c>
      <c r="BF5" s="227" t="s">
        <v>1183</v>
      </c>
      <c r="BG5" s="228" t="s">
        <v>1179</v>
      </c>
      <c r="BH5" s="228" t="s">
        <v>1180</v>
      </c>
      <c r="BI5" s="228" t="s">
        <v>1181</v>
      </c>
      <c r="BJ5" s="224" t="s">
        <v>1166</v>
      </c>
      <c r="BK5" s="8" t="s">
        <v>1282</v>
      </c>
      <c r="BN5" s="76" t="s">
        <v>1096</v>
      </c>
      <c r="BO5" s="231">
        <f>-BG9*100</f>
        <v>-13.287121305146757</v>
      </c>
      <c r="BP5" s="231">
        <f>BG8*100</f>
        <v>27.99847976649853</v>
      </c>
    </row>
    <row r="6" spans="1:68">
      <c r="A6" s="7495"/>
      <c r="B6" s="7495" t="s">
        <v>21</v>
      </c>
      <c r="C6" s="7496">
        <v>2022</v>
      </c>
      <c r="D6" s="7496">
        <v>1</v>
      </c>
      <c r="E6" s="7496">
        <v>0.40000000596046448</v>
      </c>
      <c r="F6" s="7496">
        <v>1</v>
      </c>
      <c r="G6" s="7496">
        <v>3</v>
      </c>
      <c r="H6" s="7496"/>
      <c r="I6" s="7496">
        <v>0.58500117063522339</v>
      </c>
      <c r="J6" s="7496">
        <v>1.3668324947357178</v>
      </c>
      <c r="K6" s="7496">
        <v>3.1334443092346191</v>
      </c>
      <c r="L6" s="7496">
        <v>0.23050424456596375</v>
      </c>
      <c r="M6" s="7496">
        <v>0.71299177408218384</v>
      </c>
      <c r="N6" s="7496">
        <v>5.6503999978303909E-2</v>
      </c>
      <c r="O6" s="7496">
        <v>0.49524989724159241</v>
      </c>
      <c r="P6" s="7496"/>
      <c r="Q6" s="7496">
        <v>19629590</v>
      </c>
      <c r="AF6"/>
      <c r="AG6"/>
      <c r="AH6"/>
      <c r="AI6"/>
      <c r="AJ6"/>
      <c r="AK6"/>
      <c r="AN6" s="35">
        <f>SUMPRODUCT(E57:E74,$O$57:$O$74)/SUM($O$57:$O$74)</f>
        <v>0.70967066598718276</v>
      </c>
      <c r="AO6" s="13">
        <f>SUMPRODUCT(F57:F74,$O$57:$O$74)/SUM($O$57:$O$74)</f>
        <v>1.6514171774647433</v>
      </c>
      <c r="AP6" s="13">
        <f t="shared" si="0"/>
        <v>3.6223276287420116</v>
      </c>
      <c r="AQ6" s="35"/>
      <c r="BB6">
        <v>1</v>
      </c>
      <c r="BC6" s="124" t="s">
        <v>900</v>
      </c>
      <c r="BD6" s="35">
        <f t="shared" ref="BD6:BK6" si="1">SUMPRODUCT(I3:I20,$Q$3:$Q$20)/SUM($Q$3:$Q$20)</f>
        <v>0.88998309243136686</v>
      </c>
      <c r="BE6" s="231">
        <f>SUMPRODUCT(J3:J20,$Q$3:$Q$20)/SUM($Q$3:$Q$20)</f>
        <v>1.8404452532881483</v>
      </c>
      <c r="BF6" s="231">
        <f>SUMPRODUCT(K3:K20,$Q$3:$Q$20)/SUM($Q$3:$Q$20)</f>
        <v>3.9919295728712596</v>
      </c>
      <c r="BG6" s="35">
        <f>SUMPRODUCT(L3:L20,$Q$3:$Q$20)/SUM($Q$3:$Q$20)</f>
        <v>0.31218233714069304</v>
      </c>
      <c r="BH6" s="35">
        <f>SUMPRODUCT(M3:M20,$Q$3:$Q$20)/SUM($Q$3:$Q$20)</f>
        <v>0.58628749194020813</v>
      </c>
      <c r="BI6" s="35">
        <f t="shared" si="1"/>
        <v>0.10153018381839438</v>
      </c>
      <c r="BJ6" s="231">
        <f t="shared" si="1"/>
        <v>0.77990760278359195</v>
      </c>
      <c r="BK6" s="7498">
        <f t="shared" si="1"/>
        <v>0.95860696621671793</v>
      </c>
      <c r="BN6" s="76" t="s">
        <v>1097</v>
      </c>
      <c r="BO6" s="231">
        <f>-BH9*100</f>
        <v>-70.574338377894932</v>
      </c>
      <c r="BP6" s="231">
        <f>BH8*100</f>
        <v>61.56485942064446</v>
      </c>
    </row>
    <row r="7" spans="1:68">
      <c r="A7" s="7495"/>
      <c r="B7" s="7495" t="s">
        <v>23</v>
      </c>
      <c r="C7" s="7496">
        <v>2022</v>
      </c>
      <c r="D7" s="7496">
        <v>1</v>
      </c>
      <c r="E7" s="7496">
        <v>0.66666668653488159</v>
      </c>
      <c r="F7" s="7496">
        <v>1</v>
      </c>
      <c r="G7" s="7496">
        <v>3</v>
      </c>
      <c r="H7" s="7496">
        <v>1.2000000476837158</v>
      </c>
      <c r="I7" s="7496">
        <v>0.85218620300292969</v>
      </c>
      <c r="J7" s="7496">
        <v>1.4669497013092041</v>
      </c>
      <c r="K7" s="7496">
        <v>3.4538137912750244</v>
      </c>
      <c r="L7" s="7496">
        <v>0.2704920768737793</v>
      </c>
      <c r="M7" s="7496">
        <v>0.55755037069320679</v>
      </c>
      <c r="N7" s="7496">
        <v>0.1719575822353363</v>
      </c>
      <c r="O7" s="7496">
        <v>0.36191508173942566</v>
      </c>
      <c r="P7" s="7496">
        <v>1.4526544809341431</v>
      </c>
      <c r="Q7" s="7496">
        <v>52085168</v>
      </c>
      <c r="AN7" s="35"/>
      <c r="AQ7" s="35"/>
      <c r="BB7">
        <v>2</v>
      </c>
      <c r="BC7" s="124" t="s">
        <v>1014</v>
      </c>
      <c r="BD7" s="35">
        <f t="shared" ref="BD7:BK7" si="2">SUMPRODUCT(I21:I38,$Q$21:$Q$38)/SUM($Q$21:$Q$38)</f>
        <v>0.70997233043487018</v>
      </c>
      <c r="BE7" s="231">
        <f t="shared" si="2"/>
        <v>1.5785776874274022</v>
      </c>
      <c r="BF7" s="231">
        <f t="shared" si="2"/>
        <v>3.7618301409058876</v>
      </c>
      <c r="BG7" s="35">
        <f t="shared" si="2"/>
        <v>0.26134677842838883</v>
      </c>
      <c r="BH7" s="35">
        <f t="shared" si="2"/>
        <v>0.63381445816123994</v>
      </c>
      <c r="BI7" s="35">
        <f t="shared" si="2"/>
        <v>0.10483839329277959</v>
      </c>
      <c r="BJ7" s="231">
        <f t="shared" si="2"/>
        <v>0.5434715914241538</v>
      </c>
      <c r="BK7" s="7498">
        <f t="shared" si="2"/>
        <v>0.8411526104955761</v>
      </c>
      <c r="BN7" s="76" t="s">
        <v>1098</v>
      </c>
      <c r="BO7" s="231">
        <f>-BI9*100</f>
        <v>-16.13854102103711</v>
      </c>
      <c r="BP7" s="231">
        <f>BI8*100</f>
        <v>10.436643638999584</v>
      </c>
    </row>
    <row r="8" spans="1:68">
      <c r="A8" s="7495"/>
      <c r="B8" s="7495" t="s">
        <v>25</v>
      </c>
      <c r="C8" s="7496">
        <v>2023</v>
      </c>
      <c r="D8" s="7496">
        <v>1</v>
      </c>
      <c r="E8" s="7496">
        <v>0.66666668653488159</v>
      </c>
      <c r="F8" s="7496">
        <v>2</v>
      </c>
      <c r="G8" s="7496">
        <v>4</v>
      </c>
      <c r="H8" s="7496">
        <v>0.83333331346511841</v>
      </c>
      <c r="I8" s="7496">
        <v>0.85557979345321655</v>
      </c>
      <c r="J8" s="7496">
        <v>1.7498437166213989</v>
      </c>
      <c r="K8" s="7496">
        <v>3.7277891635894775</v>
      </c>
      <c r="L8" s="7496">
        <v>0.26897510886192322</v>
      </c>
      <c r="M8" s="7496">
        <v>0.60902440547943115</v>
      </c>
      <c r="N8" s="7496">
        <v>0.12200050055980682</v>
      </c>
      <c r="O8" s="7496">
        <v>0.51295137405395508</v>
      </c>
      <c r="P8" s="7496">
        <v>1.0133001804351807</v>
      </c>
      <c r="Q8" s="7496">
        <v>5212173</v>
      </c>
      <c r="AN8" s="35"/>
      <c r="AQ8" s="35"/>
      <c r="BC8" s="76" t="s">
        <v>1152</v>
      </c>
      <c r="BD8" s="35">
        <f t="shared" ref="BD8:BK8" si="3">SUMPRODUCT(I57:I74,$Q$57:$Q$74)/SUM($Q$57:$Q$74)</f>
        <v>0.77711276110417438</v>
      </c>
      <c r="BE8" s="231">
        <f t="shared" si="3"/>
        <v>1.6711666889960963</v>
      </c>
      <c r="BF8" s="231">
        <f t="shared" si="3"/>
        <v>3.845113787574733</v>
      </c>
      <c r="BG8" s="35">
        <f t="shared" si="3"/>
        <v>0.2799847976649853</v>
      </c>
      <c r="BH8" s="35">
        <f t="shared" si="3"/>
        <v>0.61564859420644458</v>
      </c>
      <c r="BI8" s="35">
        <f t="shared" si="3"/>
        <v>0.10436643638999583</v>
      </c>
      <c r="BJ8" s="231">
        <f t="shared" si="3"/>
        <v>0.5840494113455551</v>
      </c>
      <c r="BK8" s="7498">
        <f t="shared" si="3"/>
        <v>0.88501150494495584</v>
      </c>
      <c r="BN8" s="76"/>
      <c r="BO8" s="35"/>
      <c r="BP8" s="35"/>
    </row>
    <row r="9" spans="1:68">
      <c r="A9" s="7495"/>
      <c r="B9" s="7495" t="s">
        <v>27</v>
      </c>
      <c r="C9" s="7496">
        <v>2022</v>
      </c>
      <c r="D9" s="7496">
        <v>1</v>
      </c>
      <c r="E9" s="7496">
        <v>1</v>
      </c>
      <c r="F9" s="7496">
        <v>1</v>
      </c>
      <c r="G9" s="7496">
        <v>4</v>
      </c>
      <c r="H9" s="7496">
        <v>1.25</v>
      </c>
      <c r="I9" s="7496">
        <v>1.0847920179367065</v>
      </c>
      <c r="J9" s="7496">
        <v>1.6046638488769531</v>
      </c>
      <c r="K9" s="7496">
        <v>3.7260010242462158</v>
      </c>
      <c r="L9" s="7496">
        <v>0.3259395956993103</v>
      </c>
      <c r="M9" s="7496">
        <v>0.53740185499191284</v>
      </c>
      <c r="N9" s="7496">
        <v>0.13665853440761566</v>
      </c>
      <c r="O9" s="7496">
        <v>0.60477900505065918</v>
      </c>
      <c r="P9" s="7496">
        <v>1.351880669593811</v>
      </c>
      <c r="Q9" s="7496">
        <v>11332973</v>
      </c>
      <c r="AN9" s="35"/>
      <c r="AQ9" s="35"/>
      <c r="BB9">
        <v>3</v>
      </c>
      <c r="BC9" s="124" t="s">
        <v>1102</v>
      </c>
      <c r="BD9" s="35">
        <f t="shared" ref="BD9:BK9" si="4">SUMPRODUCT(I39:I56,$Q$39:$Q$56)/SUM($Q$39:$Q$56)</f>
        <v>0.43046143107951551</v>
      </c>
      <c r="BE9" s="231">
        <f t="shared" si="4"/>
        <v>0.99142072887896038</v>
      </c>
      <c r="BF9" s="231">
        <f t="shared" si="4"/>
        <v>2.9265563444379872</v>
      </c>
      <c r="BG9" s="35">
        <f t="shared" si="4"/>
        <v>0.13287121305146757</v>
      </c>
      <c r="BH9" s="35">
        <f t="shared" si="4"/>
        <v>0.7057433837789493</v>
      </c>
      <c r="BI9" s="35">
        <f t="shared" si="4"/>
        <v>0.16138541021037109</v>
      </c>
      <c r="BJ9" s="231">
        <f t="shared" si="4"/>
        <v>0.1979671129065117</v>
      </c>
      <c r="BK9" s="7498">
        <f t="shared" si="4"/>
        <v>0.56183583842911666</v>
      </c>
      <c r="BN9" s="76"/>
      <c r="BO9" s="8"/>
      <c r="BP9" s="8"/>
    </row>
    <row r="10" spans="1:68">
      <c r="A10" s="7495"/>
      <c r="B10" s="7495" t="s">
        <v>29</v>
      </c>
      <c r="C10" s="7496">
        <v>2023</v>
      </c>
      <c r="D10" s="7496">
        <v>1</v>
      </c>
      <c r="E10" s="7496">
        <v>1</v>
      </c>
      <c r="F10" s="7496">
        <v>3</v>
      </c>
      <c r="G10" s="7496">
        <v>5</v>
      </c>
      <c r="H10" s="7496">
        <v>1.6000000238418579</v>
      </c>
      <c r="I10" s="7496">
        <v>1.3164106607437134</v>
      </c>
      <c r="J10" s="7496">
        <v>2.7435836791992188</v>
      </c>
      <c r="K10" s="7496">
        <v>5.161564826965332</v>
      </c>
      <c r="L10" s="7496">
        <v>0.41221606731414795</v>
      </c>
      <c r="M10" s="7496">
        <v>0.48472318053245544</v>
      </c>
      <c r="N10" s="7496">
        <v>0.10306078195571899</v>
      </c>
      <c r="O10" s="7496">
        <v>0.70187455415725708</v>
      </c>
      <c r="P10" s="7496">
        <v>1.9703696966171265</v>
      </c>
      <c r="Q10" s="7496">
        <v>18190484</v>
      </c>
      <c r="R10" s="229"/>
      <c r="S10" s="229"/>
      <c r="T10" s="229"/>
      <c r="U10" s="229"/>
      <c r="V10" s="229"/>
      <c r="W10" s="229"/>
      <c r="X10" s="229"/>
      <c r="Y10" s="229"/>
      <c r="Z10" s="229"/>
      <c r="AA10" s="229"/>
      <c r="AB10" s="229"/>
      <c r="AC10" s="229"/>
      <c r="AD10" s="229"/>
      <c r="AE10" s="229"/>
      <c r="AF10" s="229"/>
      <c r="AG10" s="229"/>
      <c r="AH10" s="230"/>
      <c r="AI10" s="230"/>
      <c r="AL10"/>
      <c r="AM10"/>
      <c r="AN10"/>
      <c r="AO10"/>
      <c r="AP10"/>
      <c r="AQ10"/>
      <c r="BD10" s="13"/>
      <c r="BE10" s="13"/>
      <c r="BF10" s="13"/>
      <c r="BJ10" s="13"/>
      <c r="BN10" s="26"/>
      <c r="BO10" s="8"/>
      <c r="BP10" s="8"/>
    </row>
    <row r="11" spans="1:68">
      <c r="A11" s="7495"/>
      <c r="B11" s="7495" t="s">
        <v>31</v>
      </c>
      <c r="C11" s="7496">
        <v>2022</v>
      </c>
      <c r="D11" s="7496">
        <v>1</v>
      </c>
      <c r="E11" s="7496">
        <v>1</v>
      </c>
      <c r="F11" s="7496">
        <v>2</v>
      </c>
      <c r="G11" s="7496">
        <v>4</v>
      </c>
      <c r="H11" s="7496">
        <v>2</v>
      </c>
      <c r="I11" s="7496">
        <v>1.0963449478149414</v>
      </c>
      <c r="J11" s="7496">
        <v>2.3034970760345459</v>
      </c>
      <c r="K11" s="7496">
        <v>4.7349643707275391</v>
      </c>
      <c r="L11" s="7496">
        <v>0.35019013285636902</v>
      </c>
      <c r="M11" s="7496">
        <v>0.52009814977645874</v>
      </c>
      <c r="N11" s="7496">
        <v>0.12971176207065582</v>
      </c>
      <c r="O11" s="7496">
        <v>0.85903173685073853</v>
      </c>
      <c r="P11" s="7496">
        <v>2.7619669437408447</v>
      </c>
      <c r="Q11" s="7496">
        <v>18092026</v>
      </c>
      <c r="R11" s="256"/>
      <c r="S11" s="234"/>
      <c r="T11" s="235" t="s">
        <v>1178</v>
      </c>
      <c r="U11" s="236"/>
      <c r="V11" s="236"/>
      <c r="W11" s="237"/>
      <c r="X11" s="242" t="s">
        <v>1170</v>
      </c>
      <c r="Y11" s="236"/>
      <c r="Z11" s="236"/>
      <c r="AA11" s="237"/>
      <c r="AB11" s="245" t="s">
        <v>1157</v>
      </c>
      <c r="AC11" s="246"/>
      <c r="AD11" s="246"/>
      <c r="AE11" s="247"/>
      <c r="AF11" s="245" t="s">
        <v>1172</v>
      </c>
      <c r="AG11" s="246"/>
      <c r="AH11" s="251"/>
      <c r="AI11" s="252"/>
      <c r="AL11" s="256"/>
      <c r="AM11" s="234"/>
      <c r="AN11" s="235" t="s">
        <v>1182</v>
      </c>
      <c r="AO11" s="236"/>
      <c r="AP11" s="236"/>
      <c r="AQ11" s="237"/>
      <c r="AR11" s="256"/>
      <c r="AS11" s="234"/>
      <c r="AT11" s="235"/>
      <c r="AU11" s="236"/>
      <c r="AV11" s="236"/>
    </row>
    <row r="12" spans="1:68">
      <c r="A12" s="7495"/>
      <c r="B12" s="7495" t="s">
        <v>33</v>
      </c>
      <c r="C12" s="7496">
        <v>2021</v>
      </c>
      <c r="D12" s="7496">
        <v>1</v>
      </c>
      <c r="E12" s="7496">
        <v>0.5</v>
      </c>
      <c r="F12" s="7496">
        <v>2</v>
      </c>
      <c r="G12" s="7496">
        <v>4</v>
      </c>
      <c r="H12" s="7496"/>
      <c r="I12" s="7496">
        <v>0.71827465295791626</v>
      </c>
      <c r="J12" s="7496">
        <v>1.8876044750213623</v>
      </c>
      <c r="K12" s="7496">
        <v>4.3686561584472656</v>
      </c>
      <c r="L12" s="7496">
        <v>0.24973030388355255</v>
      </c>
      <c r="M12" s="7496">
        <v>0.67789912223815918</v>
      </c>
      <c r="N12" s="7496">
        <v>7.2370581328868866E-2</v>
      </c>
      <c r="O12" s="7496">
        <v>0.73624587059020996</v>
      </c>
      <c r="P12" s="7496"/>
      <c r="Q12" s="7496">
        <v>813834</v>
      </c>
      <c r="R12" s="264"/>
      <c r="S12" s="274"/>
      <c r="T12" s="268" t="s">
        <v>1141</v>
      </c>
      <c r="U12" s="268" t="s">
        <v>1142</v>
      </c>
      <c r="V12" s="268" t="s">
        <v>1102</v>
      </c>
      <c r="W12" s="269" t="s">
        <v>901</v>
      </c>
      <c r="X12" s="267" t="s">
        <v>1141</v>
      </c>
      <c r="Y12" s="268" t="s">
        <v>1142</v>
      </c>
      <c r="Z12" s="268" t="s">
        <v>1102</v>
      </c>
      <c r="AA12" s="269" t="s">
        <v>901</v>
      </c>
      <c r="AB12" s="267" t="s">
        <v>1141</v>
      </c>
      <c r="AC12" s="275" t="s">
        <v>1142</v>
      </c>
      <c r="AD12" s="275" t="s">
        <v>1102</v>
      </c>
      <c r="AE12" s="273" t="s">
        <v>901</v>
      </c>
      <c r="AF12" s="274" t="s">
        <v>1141</v>
      </c>
      <c r="AG12" s="275" t="s">
        <v>1142</v>
      </c>
      <c r="AH12" s="272" t="s">
        <v>1102</v>
      </c>
      <c r="AI12" s="276" t="s">
        <v>901</v>
      </c>
      <c r="AL12" s="264"/>
      <c r="AM12" s="239"/>
      <c r="AN12" s="267" t="s">
        <v>1141</v>
      </c>
      <c r="AO12" s="268" t="s">
        <v>1142</v>
      </c>
      <c r="AP12" s="269" t="s">
        <v>1102</v>
      </c>
      <c r="AQ12" s="267" t="s">
        <v>1141</v>
      </c>
      <c r="AR12" s="272" t="s">
        <v>1142</v>
      </c>
      <c r="AS12" s="273" t="s">
        <v>1102</v>
      </c>
      <c r="AT12" s="267" t="s">
        <v>1141</v>
      </c>
      <c r="AU12" s="268" t="s">
        <v>1142</v>
      </c>
      <c r="AV12" s="269" t="s">
        <v>1102</v>
      </c>
    </row>
    <row r="13" spans="1:68" outlineLevel="1">
      <c r="A13" s="7495"/>
      <c r="B13" s="7495" t="s">
        <v>34</v>
      </c>
      <c r="C13" s="7496">
        <v>2023</v>
      </c>
      <c r="D13" s="7496">
        <v>1</v>
      </c>
      <c r="E13" s="7496">
        <v>0.75</v>
      </c>
      <c r="F13" s="7496">
        <v>2</v>
      </c>
      <c r="G13" s="7496">
        <v>4</v>
      </c>
      <c r="H13" s="7496"/>
      <c r="I13" s="7496">
        <v>0.94600701332092285</v>
      </c>
      <c r="J13" s="7496">
        <v>1.7921539545059204</v>
      </c>
      <c r="K13" s="7496">
        <v>4.2919907569885254</v>
      </c>
      <c r="L13" s="7496">
        <v>0.30266368389129639</v>
      </c>
      <c r="M13" s="7496">
        <v>0.55135565996170044</v>
      </c>
      <c r="N13" s="7496">
        <v>0.14598064124584198</v>
      </c>
      <c r="O13" s="7496">
        <v>0.78326517343521118</v>
      </c>
      <c r="P13" s="7496"/>
      <c r="Q13" s="7496">
        <v>10593798</v>
      </c>
      <c r="R13" s="234"/>
      <c r="S13" s="7484"/>
      <c r="T13" s="7486" t="s">
        <v>1167</v>
      </c>
      <c r="U13" s="7486" t="s">
        <v>1045</v>
      </c>
      <c r="V13" s="267"/>
      <c r="W13" s="7487"/>
      <c r="X13" s="7490"/>
      <c r="Y13" s="7490"/>
      <c r="Z13" s="7491"/>
      <c r="AA13" s="7492"/>
      <c r="AB13" s="7490"/>
      <c r="AC13" s="7490"/>
      <c r="AD13" s="7490"/>
      <c r="AE13" s="7487"/>
      <c r="AF13" s="7490"/>
      <c r="AG13" s="7490"/>
      <c r="AH13" s="7490"/>
      <c r="AI13" s="7487"/>
      <c r="AL13" s="7472"/>
      <c r="AM13" s="7472"/>
      <c r="AN13" s="7472" t="s">
        <v>1045</v>
      </c>
      <c r="AO13" s="7472" t="s">
        <v>1167</v>
      </c>
      <c r="AP13" s="7472"/>
      <c r="AQ13" s="7475"/>
      <c r="AR13" s="7476"/>
      <c r="AS13" s="7477"/>
      <c r="AT13" s="7473"/>
      <c r="AU13" s="7473"/>
      <c r="AV13" s="7474"/>
    </row>
    <row r="14" spans="1:68" outlineLevel="1">
      <c r="A14" s="7495"/>
      <c r="B14" s="7495" t="s">
        <v>38</v>
      </c>
      <c r="C14" s="7496">
        <v>2022</v>
      </c>
      <c r="D14" s="7496">
        <v>1</v>
      </c>
      <c r="E14" s="7496">
        <v>1</v>
      </c>
      <c r="F14" s="7496">
        <v>2</v>
      </c>
      <c r="G14" s="7496">
        <v>4</v>
      </c>
      <c r="H14" s="7496">
        <v>1.3333333730697632</v>
      </c>
      <c r="I14" s="7496">
        <v>0.985973060131073</v>
      </c>
      <c r="J14" s="7496">
        <v>1.7316185235977173</v>
      </c>
      <c r="K14" s="7496">
        <v>4.0975828170776367</v>
      </c>
      <c r="L14" s="7496">
        <v>0.27674767374992371</v>
      </c>
      <c r="M14" s="7496">
        <v>0.50234568119049072</v>
      </c>
      <c r="N14" s="7496">
        <v>0.22090665996074677</v>
      </c>
      <c r="O14" s="7496">
        <v>0.52584397792816162</v>
      </c>
      <c r="P14" s="7496">
        <v>1.551680326461792</v>
      </c>
      <c r="Q14" s="7496">
        <v>128455567</v>
      </c>
      <c r="R14" s="239"/>
      <c r="S14" s="7485"/>
      <c r="T14" s="267" t="s">
        <v>1169</v>
      </c>
      <c r="U14" s="7490"/>
      <c r="V14" s="7490"/>
      <c r="W14" s="7487"/>
      <c r="X14" s="7493" t="s">
        <v>1168</v>
      </c>
      <c r="Y14" s="7493"/>
      <c r="Z14" s="7493"/>
      <c r="AA14" s="7494"/>
      <c r="AB14" s="7493" t="s">
        <v>1171</v>
      </c>
      <c r="AC14" s="7493"/>
      <c r="AD14" s="7493"/>
      <c r="AE14" s="7494"/>
      <c r="AF14" s="7493" t="s">
        <v>1173</v>
      </c>
      <c r="AG14" s="7493"/>
      <c r="AH14" s="7493"/>
      <c r="AI14" s="7494"/>
      <c r="AL14" s="7472"/>
      <c r="AM14" s="7472"/>
      <c r="AN14" s="7472">
        <v>1</v>
      </c>
      <c r="AO14" s="7472"/>
      <c r="AP14" s="7472"/>
      <c r="AQ14" s="7475">
        <v>2</v>
      </c>
      <c r="AR14" s="7476"/>
      <c r="AS14" s="7477"/>
      <c r="AT14" s="7473">
        <v>3</v>
      </c>
      <c r="AU14" s="7473"/>
      <c r="AV14" s="7474"/>
    </row>
    <row r="15" spans="1:68" outlineLevel="1">
      <c r="A15" s="7495"/>
      <c r="B15" s="7495" t="s">
        <v>42</v>
      </c>
      <c r="C15" s="7496">
        <v>2022</v>
      </c>
      <c r="D15" s="7496">
        <v>1</v>
      </c>
      <c r="E15" s="7496">
        <v>0.75</v>
      </c>
      <c r="F15" s="7496">
        <v>2</v>
      </c>
      <c r="G15" s="7496">
        <v>4</v>
      </c>
      <c r="H15" s="7496">
        <v>1.5</v>
      </c>
      <c r="I15" s="7496">
        <v>0.94448697566986084</v>
      </c>
      <c r="J15" s="7496">
        <v>2.2514071464538574</v>
      </c>
      <c r="K15" s="7496">
        <v>4.9554738998413086</v>
      </c>
      <c r="L15" s="7496">
        <v>0.31978702545166016</v>
      </c>
      <c r="M15" s="7496">
        <v>0.5883902907371521</v>
      </c>
      <c r="N15" s="7496">
        <v>9.1822721064090729E-2</v>
      </c>
      <c r="O15" s="7496">
        <v>1.168235182762146</v>
      </c>
      <c r="P15" s="7496">
        <v>2.4930555820465088</v>
      </c>
      <c r="Q15" s="7496">
        <v>4468087</v>
      </c>
      <c r="R15" s="274" t="s">
        <v>995</v>
      </c>
      <c r="S15" s="7488" t="s">
        <v>996</v>
      </c>
      <c r="T15" s="267">
        <v>1</v>
      </c>
      <c r="U15" s="7490">
        <v>2</v>
      </c>
      <c r="V15" s="7490">
        <v>3</v>
      </c>
      <c r="W15" s="7487">
        <v>100</v>
      </c>
      <c r="X15" s="7476">
        <v>1</v>
      </c>
      <c r="Y15" s="7476">
        <v>2</v>
      </c>
      <c r="Z15" s="7476">
        <v>3</v>
      </c>
      <c r="AA15" s="7477">
        <v>100</v>
      </c>
      <c r="AB15" s="7476">
        <v>1</v>
      </c>
      <c r="AC15" s="7476">
        <v>2</v>
      </c>
      <c r="AD15" s="7476">
        <v>3</v>
      </c>
      <c r="AE15" s="7477">
        <v>100</v>
      </c>
      <c r="AF15" s="7476">
        <v>1</v>
      </c>
      <c r="AG15" s="7476">
        <v>2</v>
      </c>
      <c r="AH15" s="7476">
        <v>3</v>
      </c>
      <c r="AI15" s="7477">
        <v>100</v>
      </c>
      <c r="AJ15"/>
      <c r="AK15" s="73"/>
      <c r="AL15" s="7472" t="s">
        <v>995</v>
      </c>
      <c r="AM15" s="7472" t="s">
        <v>996</v>
      </c>
      <c r="AN15" s="7472" t="s">
        <v>1175</v>
      </c>
      <c r="AO15" s="7472" t="s">
        <v>1176</v>
      </c>
      <c r="AP15" s="7472" t="s">
        <v>1177</v>
      </c>
      <c r="AQ15" s="7475" t="s">
        <v>1175</v>
      </c>
      <c r="AR15" s="7476" t="s">
        <v>1176</v>
      </c>
      <c r="AS15" s="7477" t="s">
        <v>1177</v>
      </c>
      <c r="AT15" s="7473" t="s">
        <v>1175</v>
      </c>
      <c r="AU15" s="7473" t="s">
        <v>1176</v>
      </c>
      <c r="AV15" s="7474" t="s">
        <v>1177</v>
      </c>
    </row>
    <row r="16" spans="1:68">
      <c r="A16" s="7495"/>
      <c r="B16" s="7495" t="s">
        <v>44</v>
      </c>
      <c r="C16" s="7496">
        <v>2022</v>
      </c>
      <c r="D16" s="7496">
        <v>1</v>
      </c>
      <c r="E16" s="7496">
        <v>0.80000001192092896</v>
      </c>
      <c r="F16" s="7496">
        <v>2</v>
      </c>
      <c r="G16" s="7496">
        <v>4</v>
      </c>
      <c r="H16" s="7496">
        <v>1.5</v>
      </c>
      <c r="I16" s="7496">
        <v>0.91340857744216919</v>
      </c>
      <c r="J16" s="7496">
        <v>1.8261843919754028</v>
      </c>
      <c r="K16" s="7496">
        <v>4.0225443840026855</v>
      </c>
      <c r="L16" s="7496">
        <v>0.28725224733352661</v>
      </c>
      <c r="M16" s="7496">
        <v>0.54558521509170532</v>
      </c>
      <c r="N16" s="7496">
        <v>0.16716252267360687</v>
      </c>
      <c r="O16" s="7496">
        <v>0.515758216381073</v>
      </c>
      <c r="P16" s="7496">
        <v>1.7828460931777954</v>
      </c>
      <c r="Q16" s="7496">
        <v>34352719</v>
      </c>
      <c r="R16" s="234" t="s">
        <v>10</v>
      </c>
      <c r="S16" s="7489">
        <v>2022</v>
      </c>
      <c r="T16" s="270">
        <v>0.79027199745178223</v>
      </c>
      <c r="U16" s="7478">
        <v>0.79696166515350342</v>
      </c>
      <c r="V16" s="7478">
        <v>0.48700961470603943</v>
      </c>
      <c r="W16" s="7479">
        <v>0.7943684458732605</v>
      </c>
      <c r="X16" s="7550">
        <v>2.0246315002441406</v>
      </c>
      <c r="Y16" s="7550">
        <v>2.0950028896331787</v>
      </c>
      <c r="Z16" s="7550">
        <v>1.0160316228866577</v>
      </c>
      <c r="AA16" s="7551">
        <v>2.0677845478057861</v>
      </c>
      <c r="AB16" s="7550">
        <v>4.2734723091125488</v>
      </c>
      <c r="AC16" s="7550">
        <v>4.2690610885620117</v>
      </c>
      <c r="AD16" s="7550">
        <v>2.8005228042602539</v>
      </c>
      <c r="AE16" s="7551">
        <v>4.2707672119140625</v>
      </c>
      <c r="AF16" s="232">
        <v>1.0438686609268188</v>
      </c>
      <c r="AG16" s="232">
        <v>0.72749930620193481</v>
      </c>
      <c r="AH16" s="232">
        <v>0.15525682270526886</v>
      </c>
      <c r="AI16" s="232">
        <v>0.8166157603263855</v>
      </c>
      <c r="AJ16"/>
      <c r="AL16" s="7472" t="s">
        <v>10</v>
      </c>
      <c r="AM16" s="7472">
        <v>2022</v>
      </c>
      <c r="AN16" s="7549">
        <v>0.31978467106819153</v>
      </c>
      <c r="AO16" s="7549">
        <v>0.64765971899032593</v>
      </c>
      <c r="AP16" s="7549">
        <v>3.2555636018514633E-2</v>
      </c>
      <c r="AQ16" s="270">
        <v>0.30069980025291443</v>
      </c>
      <c r="AR16" s="7478">
        <v>0.64145267009735107</v>
      </c>
      <c r="AS16" s="7479">
        <v>5.7847525924444199E-2</v>
      </c>
      <c r="AT16" s="7478">
        <v>0.14176635444164276</v>
      </c>
      <c r="AU16" s="7478">
        <v>0.65025854110717773</v>
      </c>
      <c r="AV16" s="7479">
        <v>0.2079751044511795</v>
      </c>
    </row>
    <row r="17" spans="1:48">
      <c r="A17" s="7495"/>
      <c r="B17" s="7495" t="s">
        <v>45</v>
      </c>
      <c r="C17" s="7496">
        <v>2022</v>
      </c>
      <c r="D17" s="7496">
        <v>1</v>
      </c>
      <c r="E17" s="7496">
        <v>0.66666668653488159</v>
      </c>
      <c r="F17" s="7496">
        <v>2</v>
      </c>
      <c r="G17" s="7496">
        <v>4</v>
      </c>
      <c r="H17" s="7496">
        <v>1.5</v>
      </c>
      <c r="I17" s="7496">
        <v>0.97944772243499756</v>
      </c>
      <c r="J17" s="7496">
        <v>1.9176430702209473</v>
      </c>
      <c r="K17" s="7496">
        <v>4.055260181427002</v>
      </c>
      <c r="L17" s="7496">
        <v>0.34612265229225159</v>
      </c>
      <c r="M17" s="7496">
        <v>0.58372962474822998</v>
      </c>
      <c r="N17" s="7496">
        <v>7.014775276184082E-2</v>
      </c>
      <c r="O17" s="7496">
        <v>0.71496540307998657</v>
      </c>
      <c r="P17" s="7496">
        <v>1.8370758295059204</v>
      </c>
      <c r="Q17" s="7496">
        <v>6861524</v>
      </c>
      <c r="R17" s="238" t="s">
        <v>15</v>
      </c>
      <c r="S17" s="7489">
        <v>2022</v>
      </c>
      <c r="T17" s="265">
        <v>1.0102670192718506</v>
      </c>
      <c r="U17" s="7480">
        <v>0.89771217107772827</v>
      </c>
      <c r="V17" s="7480">
        <v>0.53924417495727539</v>
      </c>
      <c r="W17" s="7481">
        <v>0.9449426531791687</v>
      </c>
      <c r="X17" s="7552">
        <v>2.414128303527832</v>
      </c>
      <c r="Y17" s="7552">
        <v>1.7604677677154541</v>
      </c>
      <c r="Z17" s="7552">
        <v>1.3269363641738892</v>
      </c>
      <c r="AA17" s="7553">
        <v>2.0042812824249268</v>
      </c>
      <c r="AB17" s="7552">
        <v>4.4332151412963867</v>
      </c>
      <c r="AC17" s="7552">
        <v>3.6254639625549316</v>
      </c>
      <c r="AD17" s="7552">
        <v>3.1547083854675293</v>
      </c>
      <c r="AE17" s="7553">
        <v>3.9267528057098389</v>
      </c>
      <c r="AF17" s="232">
        <v>0.96776264905929565</v>
      </c>
      <c r="AG17" s="232">
        <v>0.23684105277061462</v>
      </c>
      <c r="AH17" s="232">
        <v>0.26803174614906311</v>
      </c>
      <c r="AI17" s="232">
        <v>0.38786536455154419</v>
      </c>
      <c r="AJ17"/>
      <c r="AL17" s="7472" t="s">
        <v>15</v>
      </c>
      <c r="AM17" s="7472">
        <v>2022</v>
      </c>
      <c r="AN17" s="7549">
        <v>0.36287102103233337</v>
      </c>
      <c r="AO17" s="7549">
        <v>0.59106749296188354</v>
      </c>
      <c r="AP17" s="7549">
        <v>4.606151208281517E-2</v>
      </c>
      <c r="AQ17" s="265">
        <v>0.26835685968399048</v>
      </c>
      <c r="AR17" s="7480">
        <v>0.50632083415985107</v>
      </c>
      <c r="AS17" s="7481">
        <v>0.22532230615615845</v>
      </c>
      <c r="AT17" s="7480">
        <v>0.19002939760684967</v>
      </c>
      <c r="AU17" s="7480">
        <v>0.67787975072860718</v>
      </c>
      <c r="AV17" s="7481">
        <v>0.13209083676338196</v>
      </c>
    </row>
    <row r="18" spans="1:48">
      <c r="A18" s="7495"/>
      <c r="B18" s="7495" t="s">
        <v>46</v>
      </c>
      <c r="C18" s="7496">
        <v>2023</v>
      </c>
      <c r="D18" s="7496">
        <v>1</v>
      </c>
      <c r="E18" s="7496">
        <v>0.66666668653488159</v>
      </c>
      <c r="F18" s="7496">
        <v>1</v>
      </c>
      <c r="G18" s="7496">
        <v>3</v>
      </c>
      <c r="H18" s="7496">
        <v>1.3333333730697632</v>
      </c>
      <c r="I18" s="7496">
        <v>0.80888783931732178</v>
      </c>
      <c r="J18" s="7496">
        <v>1.3016330003738403</v>
      </c>
      <c r="K18" s="7496">
        <v>3.3187410831451416</v>
      </c>
      <c r="L18" s="7496">
        <v>0.24175241589546204</v>
      </c>
      <c r="M18" s="7496">
        <v>0.56501865386962891</v>
      </c>
      <c r="N18" s="7496">
        <v>0.19322891533374786</v>
      </c>
      <c r="O18" s="7496">
        <v>0.42493864893913269</v>
      </c>
      <c r="P18" s="7496">
        <v>1.869204044342041</v>
      </c>
      <c r="Q18" s="7496">
        <v>6364943</v>
      </c>
      <c r="R18" s="238" t="s">
        <v>17</v>
      </c>
      <c r="S18" s="7489">
        <v>2022</v>
      </c>
      <c r="T18" s="265">
        <v>0.83691394329071045</v>
      </c>
      <c r="U18" s="7480">
        <v>0.60920488834381104</v>
      </c>
      <c r="V18" s="7480">
        <v>0.38622787594795227</v>
      </c>
      <c r="W18" s="7481">
        <v>0.68727582693099976</v>
      </c>
      <c r="X18" s="7552">
        <v>1.9211291074752808</v>
      </c>
      <c r="Y18" s="7552">
        <v>1.3700946569442749</v>
      </c>
      <c r="Z18" s="7552">
        <v>0.77709269523620605</v>
      </c>
      <c r="AA18" s="7553">
        <v>1.5572652816772461</v>
      </c>
      <c r="AB18" s="7552">
        <v>3.944223165512085</v>
      </c>
      <c r="AC18" s="7552">
        <v>3.4722616672515869</v>
      </c>
      <c r="AD18" s="7552">
        <v>2.6869630813598633</v>
      </c>
      <c r="AE18" s="7553">
        <v>3.6325733661651611</v>
      </c>
      <c r="AF18" s="232">
        <v>1.086432933807373</v>
      </c>
      <c r="AG18" s="232">
        <v>0.55901354551315308</v>
      </c>
      <c r="AH18" s="232">
        <v>0.13637934625148773</v>
      </c>
      <c r="AI18" s="232">
        <v>0.63507080078125</v>
      </c>
      <c r="AJ18"/>
      <c r="AL18" s="7472" t="s">
        <v>17</v>
      </c>
      <c r="AM18" s="7472">
        <v>2022</v>
      </c>
      <c r="AN18" s="7549">
        <v>0.34912154078483582</v>
      </c>
      <c r="AO18" s="7549">
        <v>0.63709104061126709</v>
      </c>
      <c r="AP18" s="7549">
        <v>1.3787428848445415E-2</v>
      </c>
      <c r="AQ18" s="265">
        <v>0.25273481011390686</v>
      </c>
      <c r="AR18" s="7480">
        <v>0.68813693523406982</v>
      </c>
      <c r="AS18" s="7481">
        <v>5.9128228574991226E-2</v>
      </c>
      <c r="AT18" s="7480">
        <v>0.10924495756626129</v>
      </c>
      <c r="AU18" s="7480">
        <v>0.71059948205947876</v>
      </c>
      <c r="AV18" s="7481">
        <v>0.18015559017658234</v>
      </c>
    </row>
    <row r="19" spans="1:48">
      <c r="A19" s="7495"/>
      <c r="B19" s="7495" t="s">
        <v>50</v>
      </c>
      <c r="C19" s="7496">
        <v>2022</v>
      </c>
      <c r="D19" s="7496">
        <v>1</v>
      </c>
      <c r="E19" s="7496">
        <v>1</v>
      </c>
      <c r="F19" s="7496">
        <v>3</v>
      </c>
      <c r="G19" s="7496">
        <v>5</v>
      </c>
      <c r="H19" s="7496">
        <v>1.5</v>
      </c>
      <c r="I19" s="7496">
        <v>1.1328073740005493</v>
      </c>
      <c r="J19" s="7496">
        <v>2.6228938102722168</v>
      </c>
      <c r="K19" s="7496">
        <v>4.6049084663391113</v>
      </c>
      <c r="L19" s="7496">
        <v>0.42916524410247803</v>
      </c>
      <c r="M19" s="7496">
        <v>0.55006104707717896</v>
      </c>
      <c r="N19" s="7496">
        <v>2.0773718133568764E-2</v>
      </c>
      <c r="O19" s="7496">
        <v>1.7190037965774536</v>
      </c>
      <c r="P19" s="7496">
        <v>1.7788503170013428</v>
      </c>
      <c r="Q19" s="7496">
        <v>3423109</v>
      </c>
      <c r="R19" s="238" t="s">
        <v>21</v>
      </c>
      <c r="S19" s="7489">
        <v>2022</v>
      </c>
      <c r="T19" s="265">
        <v>0.58500117063522339</v>
      </c>
      <c r="U19" s="7480">
        <v>0.71750485897064209</v>
      </c>
      <c r="V19" s="7480">
        <v>0.44863513112068176</v>
      </c>
      <c r="W19" s="7481">
        <v>0.67610210180282593</v>
      </c>
      <c r="X19" s="7552">
        <v>1.3668324947357178</v>
      </c>
      <c r="Y19" s="7552">
        <v>1.5732768774032593</v>
      </c>
      <c r="Z19" s="7552">
        <v>0.92542648315429688</v>
      </c>
      <c r="AA19" s="7553">
        <v>1.5085904598236084</v>
      </c>
      <c r="AB19" s="7552">
        <v>3.1334443092346191</v>
      </c>
      <c r="AC19" s="7552">
        <v>3.5564196109771729</v>
      </c>
      <c r="AD19" s="7552">
        <v>2.7988085746765137</v>
      </c>
      <c r="AE19" s="7553">
        <v>3.4238862991333008</v>
      </c>
      <c r="AF19" s="232">
        <v>0.49524989724159241</v>
      </c>
      <c r="AG19" s="232">
        <v>0.39516255259513855</v>
      </c>
      <c r="AH19" s="232">
        <v>0.16603094339370728</v>
      </c>
      <c r="AI19" s="232">
        <v>0.41358190774917603</v>
      </c>
      <c r="AJ19"/>
      <c r="AL19" s="7472" t="s">
        <v>21</v>
      </c>
      <c r="AM19" s="7472">
        <v>2022</v>
      </c>
      <c r="AN19" s="7549">
        <v>0.23050424456596375</v>
      </c>
      <c r="AO19" s="7549">
        <v>0.71299177408218384</v>
      </c>
      <c r="AP19" s="7549">
        <v>5.6503999978303909E-2</v>
      </c>
      <c r="AQ19" s="265">
        <v>0.23771171271800995</v>
      </c>
      <c r="AR19" s="7480">
        <v>0.65569812059402466</v>
      </c>
      <c r="AS19" s="7481">
        <v>0.1065901443362236</v>
      </c>
      <c r="AT19" s="7480">
        <v>0.12477672100067139</v>
      </c>
      <c r="AU19" s="7480">
        <v>0.68650734424591064</v>
      </c>
      <c r="AV19" s="7481">
        <v>0.18871593475341797</v>
      </c>
    </row>
    <row r="20" spans="1:48">
      <c r="A20" s="7495"/>
      <c r="B20" s="7495" t="s">
        <v>51</v>
      </c>
      <c r="C20" s="7496">
        <v>2021</v>
      </c>
      <c r="D20" s="7496">
        <v>1</v>
      </c>
      <c r="E20" s="7496">
        <v>0.5</v>
      </c>
      <c r="F20" s="7496">
        <v>1</v>
      </c>
      <c r="G20" s="7496">
        <v>3</v>
      </c>
      <c r="H20" s="7496"/>
      <c r="I20" s="7496">
        <v>0.69005751609802246</v>
      </c>
      <c r="J20" s="7496">
        <v>1.4041028022766113</v>
      </c>
      <c r="K20" s="7496">
        <v>3.5015888214111328</v>
      </c>
      <c r="L20" s="7496">
        <v>0.23267611861228943</v>
      </c>
      <c r="M20" s="7496">
        <v>0.63381826877593994</v>
      </c>
      <c r="N20" s="7496">
        <v>0.13350559771060944</v>
      </c>
      <c r="O20" s="7496">
        <v>0.41371750831604004</v>
      </c>
      <c r="P20" s="7496"/>
      <c r="Q20" s="7496">
        <v>28838499</v>
      </c>
      <c r="R20" s="238" t="s">
        <v>23</v>
      </c>
      <c r="S20" s="7489">
        <v>2022</v>
      </c>
      <c r="T20" s="265">
        <v>0.85218620300292969</v>
      </c>
      <c r="U20" s="7480">
        <v>0.66136211156845093</v>
      </c>
      <c r="V20" s="7480">
        <v>0.38946059346199036</v>
      </c>
      <c r="W20" s="7481">
        <v>0.75000035762786865</v>
      </c>
      <c r="X20" s="7552">
        <v>1.4669497013092041</v>
      </c>
      <c r="Y20" s="7552">
        <v>1.4405975341796875</v>
      </c>
      <c r="Z20" s="7552">
        <v>0.8449249267578125</v>
      </c>
      <c r="AA20" s="7553">
        <v>1.4532618522644043</v>
      </c>
      <c r="AB20" s="7552">
        <v>3.4538137912750244</v>
      </c>
      <c r="AC20" s="7552">
        <v>3.5553011894226074</v>
      </c>
      <c r="AD20" s="7552">
        <v>2.6922895908355713</v>
      </c>
      <c r="AE20" s="7553">
        <v>3.5065286159515381</v>
      </c>
      <c r="AF20" s="232">
        <v>0.36191508173942566</v>
      </c>
      <c r="AG20" s="232">
        <v>0.43027892708778381</v>
      </c>
      <c r="AH20" s="232">
        <v>0.17590400576591492</v>
      </c>
      <c r="AI20" s="232">
        <v>0.39419177174568176</v>
      </c>
      <c r="AJ20"/>
      <c r="AL20" s="7472" t="s">
        <v>23</v>
      </c>
      <c r="AM20" s="7472">
        <v>2022</v>
      </c>
      <c r="AN20" s="7549">
        <v>0.2704920768737793</v>
      </c>
      <c r="AO20" s="7549">
        <v>0.55755037069320679</v>
      </c>
      <c r="AP20" s="7549">
        <v>0.1719575822353363</v>
      </c>
      <c r="AQ20" s="265">
        <v>0.24436472356319427</v>
      </c>
      <c r="AR20" s="7480">
        <v>0.63851058483123779</v>
      </c>
      <c r="AS20" s="7481">
        <v>0.11712468415498734</v>
      </c>
      <c r="AT20" s="7480">
        <v>0.12147865444421768</v>
      </c>
      <c r="AU20" s="7480">
        <v>0.73523533344268799</v>
      </c>
      <c r="AV20" s="7481">
        <v>0.14328600466251373</v>
      </c>
    </row>
    <row r="21" spans="1:48">
      <c r="B21" t="s">
        <v>10</v>
      </c>
      <c r="C21" s="8">
        <v>2022</v>
      </c>
      <c r="D21" s="8">
        <v>2</v>
      </c>
      <c r="E21" s="8">
        <v>0.5</v>
      </c>
      <c r="F21" s="8">
        <v>2</v>
      </c>
      <c r="G21" s="8">
        <v>4</v>
      </c>
      <c r="H21" s="8">
        <v>1.5</v>
      </c>
      <c r="I21" s="8">
        <v>0.79696166515350342</v>
      </c>
      <c r="J21" s="8">
        <v>2.0950028896331787</v>
      </c>
      <c r="K21" s="8">
        <v>4.2690610885620117</v>
      </c>
      <c r="L21" s="8">
        <v>0.30069980025291443</v>
      </c>
      <c r="M21" s="8">
        <v>0.64145267009735107</v>
      </c>
      <c r="N21" s="8">
        <v>5.7847525924444199E-2</v>
      </c>
      <c r="O21" s="8">
        <v>0.72749930620193481</v>
      </c>
      <c r="P21" s="8">
        <v>1.702989935874939</v>
      </c>
      <c r="Q21" s="8">
        <v>45773884</v>
      </c>
      <c r="R21" s="238" t="s">
        <v>25</v>
      </c>
      <c r="S21" s="7489">
        <v>2023</v>
      </c>
      <c r="T21" s="265">
        <v>0.85557979345321655</v>
      </c>
      <c r="U21" s="7480">
        <v>0.77576053142547607</v>
      </c>
      <c r="V21" s="7480">
        <v>0.41468262672424316</v>
      </c>
      <c r="W21" s="7481">
        <v>0.80052059888839722</v>
      </c>
      <c r="X21" s="7552">
        <v>1.7498437166213989</v>
      </c>
      <c r="Y21" s="7552">
        <v>1.5458893775939941</v>
      </c>
      <c r="Z21" s="7552">
        <v>0.95054608583450317</v>
      </c>
      <c r="AA21" s="7553">
        <v>1.6083559989929199</v>
      </c>
      <c r="AB21" s="7552">
        <v>3.7277891635894775</v>
      </c>
      <c r="AC21" s="7552">
        <v>3.5678620338439941</v>
      </c>
      <c r="AD21" s="7552">
        <v>2.8035752773284912</v>
      </c>
      <c r="AE21" s="7553">
        <v>3.6168441772460938</v>
      </c>
      <c r="AF21" s="232">
        <v>0.51295137405395508</v>
      </c>
      <c r="AG21" s="232">
        <v>0.3586844801902771</v>
      </c>
      <c r="AH21" s="232">
        <v>0.13126921653747559</v>
      </c>
      <c r="AI21" s="232">
        <v>0.40171414613723755</v>
      </c>
      <c r="AJ21"/>
      <c r="AL21" s="7472" t="s">
        <v>25</v>
      </c>
      <c r="AM21" s="7472">
        <v>2023</v>
      </c>
      <c r="AN21" s="7549">
        <v>0.26897510886192322</v>
      </c>
      <c r="AO21" s="7549">
        <v>0.60902440547943115</v>
      </c>
      <c r="AP21" s="7549">
        <v>0.12200050055980682</v>
      </c>
      <c r="AQ21" s="265">
        <v>0.23884567618370056</v>
      </c>
      <c r="AR21" s="7480">
        <v>0.60919392108917236</v>
      </c>
      <c r="AS21" s="7481">
        <v>0.15196040272712708</v>
      </c>
      <c r="AT21" s="7480">
        <v>0.10146980732679367</v>
      </c>
      <c r="AU21" s="7480">
        <v>0.69130247831344604</v>
      </c>
      <c r="AV21" s="7481">
        <v>0.20722773671150208</v>
      </c>
    </row>
    <row r="22" spans="1:48">
      <c r="B22" t="s">
        <v>15</v>
      </c>
      <c r="C22" s="8">
        <v>2022</v>
      </c>
      <c r="D22" s="8">
        <v>2</v>
      </c>
      <c r="E22" s="8">
        <v>0.66666668653488159</v>
      </c>
      <c r="F22" s="8">
        <v>1</v>
      </c>
      <c r="G22" s="8">
        <v>3</v>
      </c>
      <c r="H22" s="8">
        <v>1.5</v>
      </c>
      <c r="I22" s="8">
        <v>0.89771217107772827</v>
      </c>
      <c r="J22" s="8">
        <v>1.7604677677154541</v>
      </c>
      <c r="K22" s="8">
        <v>3.6254639625549316</v>
      </c>
      <c r="L22" s="8">
        <v>0.26835685968399048</v>
      </c>
      <c r="M22" s="8">
        <v>0.50632083415985107</v>
      </c>
      <c r="N22" s="8">
        <v>0.22532230615615845</v>
      </c>
      <c r="O22" s="8">
        <v>0.23684105277061462</v>
      </c>
      <c r="P22" s="8">
        <v>1.9312130212783813</v>
      </c>
      <c r="Q22" s="8">
        <v>12388571</v>
      </c>
      <c r="R22" s="238" t="s">
        <v>27</v>
      </c>
      <c r="S22" s="7489">
        <v>2022</v>
      </c>
      <c r="T22" s="265">
        <v>1.0847920179367065</v>
      </c>
      <c r="U22" s="7480">
        <v>0.94339495897293091</v>
      </c>
      <c r="V22" s="7480">
        <v>0.48181271553039551</v>
      </c>
      <c r="W22" s="7481">
        <v>0.98691755533218384</v>
      </c>
      <c r="X22" s="7552">
        <v>1.6046638488769531</v>
      </c>
      <c r="Y22" s="7552">
        <v>1.5638446807861328</v>
      </c>
      <c r="Z22" s="7552">
        <v>0.96454203128814697</v>
      </c>
      <c r="AA22" s="7553">
        <v>1.5763278007507324</v>
      </c>
      <c r="AB22" s="7552">
        <v>3.7260010242462158</v>
      </c>
      <c r="AC22" s="7552">
        <v>3.6759700775146484</v>
      </c>
      <c r="AD22" s="7552">
        <v>2.7876558303833008</v>
      </c>
      <c r="AE22" s="7553">
        <v>3.6912703514099121</v>
      </c>
      <c r="AF22" s="232">
        <v>0.60477900505065918</v>
      </c>
      <c r="AG22" s="232">
        <v>0.47095748782157898</v>
      </c>
      <c r="AH22" s="232">
        <v>0.20837680995464325</v>
      </c>
      <c r="AI22" s="232">
        <v>0.5129353404045105</v>
      </c>
      <c r="AJ22"/>
      <c r="AL22" s="7472" t="s">
        <v>27</v>
      </c>
      <c r="AM22" s="7472">
        <v>2022</v>
      </c>
      <c r="AN22" s="7549">
        <v>0.3259395956993103</v>
      </c>
      <c r="AO22" s="7549">
        <v>0.53740185499191284</v>
      </c>
      <c r="AP22" s="7549">
        <v>0.13665853440761566</v>
      </c>
      <c r="AQ22" s="265">
        <v>0.30332297086715698</v>
      </c>
      <c r="AR22" s="7480">
        <v>0.55143195390701294</v>
      </c>
      <c r="AS22" s="7481">
        <v>0.14524507522583008</v>
      </c>
      <c r="AT22" s="7480">
        <v>0.15026675164699554</v>
      </c>
      <c r="AU22" s="7480">
        <v>0.68915677070617676</v>
      </c>
      <c r="AV22" s="7481">
        <v>0.16057652235031128</v>
      </c>
    </row>
    <row r="23" spans="1:48">
      <c r="B23" t="s">
        <v>17</v>
      </c>
      <c r="C23" s="8">
        <v>2022</v>
      </c>
      <c r="D23" s="8">
        <v>2</v>
      </c>
      <c r="E23" s="8">
        <v>0.5</v>
      </c>
      <c r="F23" s="8">
        <v>1</v>
      </c>
      <c r="G23" s="8">
        <v>3</v>
      </c>
      <c r="H23" s="8"/>
      <c r="I23" s="8">
        <v>0.60920488834381104</v>
      </c>
      <c r="J23" s="8">
        <v>1.3700946569442749</v>
      </c>
      <c r="K23" s="8">
        <v>3.4722616672515869</v>
      </c>
      <c r="L23" s="8">
        <v>0.25273481011390686</v>
      </c>
      <c r="M23" s="8">
        <v>0.68813693523406982</v>
      </c>
      <c r="N23" s="8">
        <v>5.9128228574991226E-2</v>
      </c>
      <c r="O23" s="8">
        <v>0.55901354551315308</v>
      </c>
      <c r="P23" s="8"/>
      <c r="Q23" s="8">
        <v>216422446</v>
      </c>
      <c r="R23" s="238" t="s">
        <v>29</v>
      </c>
      <c r="S23" s="7489">
        <v>2023</v>
      </c>
      <c r="T23" s="265">
        <v>1.3164106607437134</v>
      </c>
      <c r="U23" s="7480">
        <v>0.88100743293762207</v>
      </c>
      <c r="V23" s="7480">
        <v>0.51442444324493408</v>
      </c>
      <c r="W23" s="7481">
        <v>1.0320941209793091</v>
      </c>
      <c r="X23" s="7552">
        <v>2.7435836791992188</v>
      </c>
      <c r="Y23" s="7552">
        <v>1.8767194747924805</v>
      </c>
      <c r="Z23" s="7552">
        <v>1.1930426359176636</v>
      </c>
      <c r="AA23" s="7553">
        <v>2.1796419620513916</v>
      </c>
      <c r="AB23" s="7552">
        <v>5.161564826965332</v>
      </c>
      <c r="AC23" s="7552">
        <v>4.290524959564209</v>
      </c>
      <c r="AD23" s="7552">
        <v>3.2180321216583252</v>
      </c>
      <c r="AE23" s="7553">
        <v>4.5949063301086426</v>
      </c>
      <c r="AF23" s="232">
        <v>0.70187455415725708</v>
      </c>
      <c r="AG23" s="232">
        <v>0.61568719148635864</v>
      </c>
      <c r="AH23" s="232">
        <v>0.21926552057266235</v>
      </c>
      <c r="AI23" s="232">
        <v>0.64044207334518433</v>
      </c>
      <c r="AJ23"/>
      <c r="AL23" s="7472" t="s">
        <v>29</v>
      </c>
      <c r="AM23" s="7472">
        <v>2023</v>
      </c>
      <c r="AN23" s="7549">
        <v>0.41221606731414795</v>
      </c>
      <c r="AO23" s="7549">
        <v>0.48472318053245544</v>
      </c>
      <c r="AP23" s="7549">
        <v>0.10306078195571899</v>
      </c>
      <c r="AQ23" s="265">
        <v>0.30356889963150024</v>
      </c>
      <c r="AR23" s="7480">
        <v>0.57191455364227295</v>
      </c>
      <c r="AS23" s="7481">
        <v>0.1245165541768074</v>
      </c>
      <c r="AT23" s="7480">
        <v>0.160347580909729</v>
      </c>
      <c r="AU23" s="7480">
        <v>0.65611088275909424</v>
      </c>
      <c r="AV23" s="7481">
        <v>0.18354152143001556</v>
      </c>
    </row>
    <row r="24" spans="1:48">
      <c r="B24" t="s">
        <v>21</v>
      </c>
      <c r="C24" s="8">
        <v>2022</v>
      </c>
      <c r="D24" s="8">
        <v>2</v>
      </c>
      <c r="E24" s="8">
        <v>0.5</v>
      </c>
      <c r="F24" s="8">
        <v>2</v>
      </c>
      <c r="G24" s="8">
        <v>3</v>
      </c>
      <c r="H24" s="8"/>
      <c r="I24" s="8">
        <v>0.71750485897064209</v>
      </c>
      <c r="J24" s="8">
        <v>1.5732768774032593</v>
      </c>
      <c r="K24" s="8">
        <v>3.5564196109771729</v>
      </c>
      <c r="L24" s="8">
        <v>0.23771171271800995</v>
      </c>
      <c r="M24" s="8">
        <v>0.65569812059402466</v>
      </c>
      <c r="N24" s="8">
        <v>0.1065901443362236</v>
      </c>
      <c r="O24" s="8">
        <v>0.39516255259513855</v>
      </c>
      <c r="P24" s="8"/>
      <c r="Q24" s="8">
        <v>19629590</v>
      </c>
      <c r="R24" s="238" t="s">
        <v>31</v>
      </c>
      <c r="S24" s="7489">
        <v>2022</v>
      </c>
      <c r="T24" s="265">
        <v>1.0963449478149414</v>
      </c>
      <c r="U24" s="7480">
        <v>0.7844584584236145</v>
      </c>
      <c r="V24" s="7480">
        <v>0.48896774649620056</v>
      </c>
      <c r="W24" s="7481">
        <v>0.95710331201553345</v>
      </c>
      <c r="X24" s="7552">
        <v>2.3034970760345459</v>
      </c>
      <c r="Y24" s="7552">
        <v>2.1268625259399414</v>
      </c>
      <c r="Z24" s="7552">
        <v>1.4606224298477173</v>
      </c>
      <c r="AA24" s="7553">
        <v>2.2261233329772949</v>
      </c>
      <c r="AB24" s="7552">
        <v>4.7349643707275391</v>
      </c>
      <c r="AC24" s="7552">
        <v>4.4648146629333496</v>
      </c>
      <c r="AD24" s="7552">
        <v>3.5337917804718018</v>
      </c>
      <c r="AE24" s="7553">
        <v>4.6166272163391113</v>
      </c>
      <c r="AF24" s="232">
        <v>0.85903173685073853</v>
      </c>
      <c r="AG24" s="232">
        <v>0.79572957754135132</v>
      </c>
      <c r="AH24" s="232">
        <v>0.28849267959594727</v>
      </c>
      <c r="AI24" s="232">
        <v>0.836220383644104</v>
      </c>
      <c r="AJ24"/>
      <c r="AL24" s="7472" t="s">
        <v>31</v>
      </c>
      <c r="AM24" s="7472">
        <v>2022</v>
      </c>
      <c r="AN24" s="7549">
        <v>0.35019013285636902</v>
      </c>
      <c r="AO24" s="7549">
        <v>0.52009814977645874</v>
      </c>
      <c r="AP24" s="7549">
        <v>0.12971176207065582</v>
      </c>
      <c r="AQ24" s="265">
        <v>0.31112614274024963</v>
      </c>
      <c r="AR24" s="7480">
        <v>0.60173892974853516</v>
      </c>
      <c r="AS24" s="7481">
        <v>8.7134905159473419E-2</v>
      </c>
      <c r="AT24" s="7480">
        <v>0.1785094290971756</v>
      </c>
      <c r="AU24" s="7480">
        <v>0.72495633363723755</v>
      </c>
      <c r="AV24" s="7481">
        <v>9.6534229815006256E-2</v>
      </c>
    </row>
    <row r="25" spans="1:48">
      <c r="B25" t="s">
        <v>23</v>
      </c>
      <c r="C25" s="8">
        <v>2022</v>
      </c>
      <c r="D25" s="8">
        <v>2</v>
      </c>
      <c r="E25" s="8">
        <v>0.5</v>
      </c>
      <c r="F25" s="8">
        <v>1</v>
      </c>
      <c r="G25" s="8">
        <v>3</v>
      </c>
      <c r="H25" s="8">
        <v>1</v>
      </c>
      <c r="I25" s="8">
        <v>0.66136211156845093</v>
      </c>
      <c r="J25" s="8">
        <v>1.4405975341796875</v>
      </c>
      <c r="K25" s="8">
        <v>3.5553011894226074</v>
      </c>
      <c r="L25" s="8">
        <v>0.24436472356319427</v>
      </c>
      <c r="M25" s="8">
        <v>0.63851058483123779</v>
      </c>
      <c r="N25" s="8">
        <v>0.11712468415498734</v>
      </c>
      <c r="O25" s="8">
        <v>0.43027892708778381</v>
      </c>
      <c r="P25" s="8">
        <v>1.2936239242553711</v>
      </c>
      <c r="Q25" s="8">
        <v>52085168</v>
      </c>
      <c r="R25" s="238" t="s">
        <v>33</v>
      </c>
      <c r="S25" s="7489">
        <v>2021</v>
      </c>
      <c r="T25" s="265">
        <v>0.71827465295791626</v>
      </c>
      <c r="U25" s="7480">
        <v>0.66438472270965576</v>
      </c>
      <c r="V25" s="7480">
        <v>0.46327108144760132</v>
      </c>
      <c r="W25" s="7481">
        <v>0.69436550140380859</v>
      </c>
      <c r="X25" s="7552">
        <v>1.8876044750213623</v>
      </c>
      <c r="Y25" s="7552">
        <v>1.4243855476379395</v>
      </c>
      <c r="Z25" s="7552">
        <v>1.0657540559768677</v>
      </c>
      <c r="AA25" s="7553">
        <v>1.6591922044754028</v>
      </c>
      <c r="AB25" s="7552">
        <v>4.3686561584472656</v>
      </c>
      <c r="AC25" s="7552">
        <v>3.6441161632537842</v>
      </c>
      <c r="AD25" s="7552">
        <v>3.0955984592437744</v>
      </c>
      <c r="AE25" s="7553">
        <v>4.0113868713378906</v>
      </c>
      <c r="AF25" s="232">
        <v>0.73624587059020996</v>
      </c>
      <c r="AG25" s="232">
        <v>0.24362905323505402</v>
      </c>
      <c r="AH25" s="232">
        <v>0.24765804409980774</v>
      </c>
      <c r="AI25" s="232">
        <v>0.43432199954986572</v>
      </c>
      <c r="AJ25"/>
      <c r="AL25" s="7472" t="s">
        <v>33</v>
      </c>
      <c r="AM25" s="7472">
        <v>2021</v>
      </c>
      <c r="AN25" s="7549">
        <v>0.24973030388355255</v>
      </c>
      <c r="AO25" s="7549">
        <v>0.67789912223815918</v>
      </c>
      <c r="AP25" s="7549">
        <v>7.2370581328868866E-2</v>
      </c>
      <c r="AQ25" s="265">
        <v>0.18614588677883148</v>
      </c>
      <c r="AR25" s="7480">
        <v>0.56630301475524902</v>
      </c>
      <c r="AS25" s="7481">
        <v>0.24727636575698853</v>
      </c>
      <c r="AT25" s="7480">
        <v>0.11214753985404968</v>
      </c>
      <c r="AU25" s="7480">
        <v>0.68383646011352539</v>
      </c>
      <c r="AV25" s="7481">
        <v>0.20401598513126373</v>
      </c>
    </row>
    <row r="26" spans="1:48">
      <c r="B26" t="s">
        <v>25</v>
      </c>
      <c r="C26" s="8">
        <v>2023</v>
      </c>
      <c r="D26" s="8">
        <v>2</v>
      </c>
      <c r="E26" s="8">
        <v>0.66666668653488159</v>
      </c>
      <c r="F26" s="8">
        <v>1</v>
      </c>
      <c r="G26" s="8">
        <v>3</v>
      </c>
      <c r="H26" s="8">
        <v>0.80000001192092896</v>
      </c>
      <c r="I26" s="8">
        <v>0.77576053142547607</v>
      </c>
      <c r="J26" s="8">
        <v>1.5458893775939941</v>
      </c>
      <c r="K26" s="8">
        <v>3.5678620338439941</v>
      </c>
      <c r="L26" s="8">
        <v>0.23884567618370056</v>
      </c>
      <c r="M26" s="8">
        <v>0.60919392108917236</v>
      </c>
      <c r="N26" s="8">
        <v>0.15196040272712708</v>
      </c>
      <c r="O26" s="8">
        <v>0.3586844801902771</v>
      </c>
      <c r="P26" s="8">
        <v>0.87341463565826416</v>
      </c>
      <c r="Q26" s="8">
        <v>5212173</v>
      </c>
      <c r="R26" s="238" t="s">
        <v>34</v>
      </c>
      <c r="S26" s="7489">
        <v>2023</v>
      </c>
      <c r="T26" s="265">
        <v>0.94600701332092285</v>
      </c>
      <c r="U26" s="7480">
        <v>0.75089508295059204</v>
      </c>
      <c r="V26" s="7480">
        <v>0.51708048582077026</v>
      </c>
      <c r="W26" s="7481">
        <v>0.86216294765472412</v>
      </c>
      <c r="X26" s="7552">
        <v>1.7921539545059204</v>
      </c>
      <c r="Y26" s="7552">
        <v>1.6391969919204712</v>
      </c>
      <c r="Z26" s="7552">
        <v>1.2343181371688843</v>
      </c>
      <c r="AA26" s="7553">
        <v>1.7258658409118652</v>
      </c>
      <c r="AB26" s="7552">
        <v>4.2919907569885254</v>
      </c>
      <c r="AC26" s="7552">
        <v>4.0061678886413574</v>
      </c>
      <c r="AD26" s="7552">
        <v>3.3603312969207764</v>
      </c>
      <c r="AE26" s="7553">
        <v>4.168121337890625</v>
      </c>
      <c r="AF26" s="232">
        <v>0.78326517343521118</v>
      </c>
      <c r="AG26" s="232">
        <v>0.64510542154312134</v>
      </c>
      <c r="AH26" s="232">
        <v>0.38419845700263977</v>
      </c>
      <c r="AI26" s="232">
        <v>0.72623276710510254</v>
      </c>
      <c r="AJ26"/>
      <c r="AL26" s="7472" t="s">
        <v>34</v>
      </c>
      <c r="AM26" s="7472">
        <v>2023</v>
      </c>
      <c r="AN26" s="7549">
        <v>0.30266368389129639</v>
      </c>
      <c r="AO26" s="7549">
        <v>0.55135565996170044</v>
      </c>
      <c r="AP26" s="7549">
        <v>0.14598064124584198</v>
      </c>
      <c r="AQ26" s="265">
        <v>0.26136940717697144</v>
      </c>
      <c r="AR26" s="7480">
        <v>0.59236407279968262</v>
      </c>
      <c r="AS26" s="7481">
        <v>0.14626653492450714</v>
      </c>
      <c r="AT26" s="7480">
        <v>0.16584372520446777</v>
      </c>
      <c r="AU26" s="7480">
        <v>0.69448387622833252</v>
      </c>
      <c r="AV26" s="7481">
        <v>0.13967239856719971</v>
      </c>
    </row>
    <row r="27" spans="1:48">
      <c r="B27" t="s">
        <v>27</v>
      </c>
      <c r="C27" s="8">
        <v>2022</v>
      </c>
      <c r="D27" s="8">
        <v>2</v>
      </c>
      <c r="E27" s="8">
        <v>1</v>
      </c>
      <c r="F27" s="8">
        <v>1</v>
      </c>
      <c r="G27" s="8">
        <v>4</v>
      </c>
      <c r="H27" s="8">
        <v>1.25</v>
      </c>
      <c r="I27" s="8">
        <v>0.94339495897293091</v>
      </c>
      <c r="J27" s="8">
        <v>1.5638446807861328</v>
      </c>
      <c r="K27" s="8">
        <v>3.6759700775146484</v>
      </c>
      <c r="L27" s="8">
        <v>0.30332297086715698</v>
      </c>
      <c r="M27" s="8">
        <v>0.55143195390701294</v>
      </c>
      <c r="N27" s="8">
        <v>0.14524507522583008</v>
      </c>
      <c r="O27" s="8">
        <v>0.47095748782157898</v>
      </c>
      <c r="P27" s="8">
        <v>1.2701708078384399</v>
      </c>
      <c r="Q27" s="8">
        <v>11332973</v>
      </c>
      <c r="R27" s="238" t="s">
        <v>38</v>
      </c>
      <c r="S27" s="7489">
        <v>2022</v>
      </c>
      <c r="T27" s="265">
        <v>0.985973060131073</v>
      </c>
      <c r="U27" s="7480">
        <v>0.78157681226730347</v>
      </c>
      <c r="V27" s="7480">
        <v>0.43511372804641724</v>
      </c>
      <c r="W27" s="7481">
        <v>0.84397870302200317</v>
      </c>
      <c r="X27" s="7552">
        <v>1.7316185235977173</v>
      </c>
      <c r="Y27" s="7552">
        <v>1.6914368867874146</v>
      </c>
      <c r="Z27" s="7552">
        <v>1.174940824508667</v>
      </c>
      <c r="AA27" s="7553">
        <v>1.7043089866638184</v>
      </c>
      <c r="AB27" s="7552">
        <v>4.0975828170776367</v>
      </c>
      <c r="AC27" s="7552">
        <v>4.0824122428894043</v>
      </c>
      <c r="AD27" s="7552">
        <v>3.1993331909179688</v>
      </c>
      <c r="AE27" s="7553">
        <v>4.0872721672058105</v>
      </c>
      <c r="AF27" s="232">
        <v>0.52584397792816162</v>
      </c>
      <c r="AG27" s="232">
        <v>0.57448416948318481</v>
      </c>
      <c r="AH27" s="232">
        <v>0.24828632175922394</v>
      </c>
      <c r="AI27" s="232">
        <v>0.55543941259384155</v>
      </c>
      <c r="AJ27"/>
      <c r="AL27" s="7472" t="s">
        <v>38</v>
      </c>
      <c r="AM27" s="7472">
        <v>2022</v>
      </c>
      <c r="AN27" s="7549">
        <v>0.27674767374992371</v>
      </c>
      <c r="AO27" s="7549">
        <v>0.50234568119049072</v>
      </c>
      <c r="AP27" s="7549">
        <v>0.22090665996074677</v>
      </c>
      <c r="AQ27" s="265">
        <v>0.26822450757026672</v>
      </c>
      <c r="AR27" s="7480">
        <v>0.59020978212356567</v>
      </c>
      <c r="AS27" s="7481">
        <v>0.1415657103061676</v>
      </c>
      <c r="AT27" s="7480">
        <v>0.14428281784057617</v>
      </c>
      <c r="AU27" s="7480">
        <v>0.71883457899093628</v>
      </c>
      <c r="AV27" s="7481">
        <v>0.13688258826732635</v>
      </c>
    </row>
    <row r="28" spans="1:48">
      <c r="B28" t="s">
        <v>29</v>
      </c>
      <c r="C28" s="8">
        <v>2023</v>
      </c>
      <c r="D28" s="8">
        <v>2</v>
      </c>
      <c r="E28" s="8">
        <v>0.66666668653488159</v>
      </c>
      <c r="F28" s="8">
        <v>2</v>
      </c>
      <c r="G28" s="8">
        <v>4</v>
      </c>
      <c r="H28" s="8">
        <v>1.3333333730697632</v>
      </c>
      <c r="I28" s="8">
        <v>0.88100743293762207</v>
      </c>
      <c r="J28" s="8">
        <v>1.8767194747924805</v>
      </c>
      <c r="K28" s="8">
        <v>4.290524959564209</v>
      </c>
      <c r="L28" s="8">
        <v>0.30356889963150024</v>
      </c>
      <c r="M28" s="8">
        <v>0.57191455364227295</v>
      </c>
      <c r="N28" s="8">
        <v>0.1245165541768074</v>
      </c>
      <c r="O28" s="8">
        <v>0.61568719148635864</v>
      </c>
      <c r="P28" s="8">
        <v>1.6202003955841064</v>
      </c>
      <c r="Q28" s="8">
        <v>18190484</v>
      </c>
      <c r="R28" s="238" t="s">
        <v>42</v>
      </c>
      <c r="S28" s="7489">
        <v>2022</v>
      </c>
      <c r="T28" s="265">
        <v>0.94448697566986084</v>
      </c>
      <c r="U28" s="7480">
        <v>0.87095910310745239</v>
      </c>
      <c r="V28" s="7480">
        <v>0.50249689817428589</v>
      </c>
      <c r="W28" s="7481">
        <v>0.90096604824066162</v>
      </c>
      <c r="X28" s="7552">
        <v>2.2514071464538574</v>
      </c>
      <c r="Y28" s="7552">
        <v>1.6724096536636353</v>
      </c>
      <c r="Z28" s="7552">
        <v>1.1063799858093262</v>
      </c>
      <c r="AA28" s="7553">
        <v>1.9061472415924072</v>
      </c>
      <c r="AB28" s="7552">
        <v>4.9554738998413086</v>
      </c>
      <c r="AC28" s="7552">
        <v>4.0460615158081055</v>
      </c>
      <c r="AD28" s="7552">
        <v>3.20188307762146</v>
      </c>
      <c r="AE28" s="7553">
        <v>4.4131855964660645</v>
      </c>
      <c r="AF28" s="232">
        <v>1.168235182762146</v>
      </c>
      <c r="AG28" s="232">
        <v>0.63389033079147339</v>
      </c>
      <c r="AH28" s="232">
        <v>0.28587624430656433</v>
      </c>
      <c r="AI28" s="232">
        <v>0.78931963443756104</v>
      </c>
      <c r="AJ28"/>
      <c r="AL28" s="7472" t="s">
        <v>42</v>
      </c>
      <c r="AM28" s="7472">
        <v>2022</v>
      </c>
      <c r="AN28" s="7549">
        <v>0.31978702545166016</v>
      </c>
      <c r="AO28" s="7549">
        <v>0.5883902907371521</v>
      </c>
      <c r="AP28" s="7549">
        <v>9.1822721064090729E-2</v>
      </c>
      <c r="AQ28" s="265">
        <v>0.24550290405750275</v>
      </c>
      <c r="AR28" s="7480">
        <v>0.58834272623062134</v>
      </c>
      <c r="AS28" s="7481">
        <v>0.1661544144153595</v>
      </c>
      <c r="AT28" s="7480">
        <v>0.1336323469877243</v>
      </c>
      <c r="AU28" s="7480">
        <v>0.6671898365020752</v>
      </c>
      <c r="AV28" s="7481">
        <v>0.1991778165102005</v>
      </c>
    </row>
    <row r="29" spans="1:48">
      <c r="B29" t="s">
        <v>31</v>
      </c>
      <c r="C29" s="8">
        <v>2022</v>
      </c>
      <c r="D29" s="8">
        <v>2</v>
      </c>
      <c r="E29" s="8">
        <v>0.66666668653488159</v>
      </c>
      <c r="F29" s="8">
        <v>2</v>
      </c>
      <c r="G29" s="8">
        <v>4</v>
      </c>
      <c r="H29" s="8">
        <v>2</v>
      </c>
      <c r="I29" s="8">
        <v>0.7844584584236145</v>
      </c>
      <c r="J29" s="8">
        <v>2.1268625259399414</v>
      </c>
      <c r="K29" s="8">
        <v>4.4648146629333496</v>
      </c>
      <c r="L29" s="8">
        <v>0.31112614274024963</v>
      </c>
      <c r="M29" s="8">
        <v>0.60173892974853516</v>
      </c>
      <c r="N29" s="8">
        <v>8.7134905159473419E-2</v>
      </c>
      <c r="O29" s="8">
        <v>0.79572957754135132</v>
      </c>
      <c r="P29" s="8">
        <v>2.4375689029693604</v>
      </c>
      <c r="Q29" s="8">
        <v>18092026</v>
      </c>
      <c r="R29" s="238" t="s">
        <v>44</v>
      </c>
      <c r="S29" s="7489">
        <v>2022</v>
      </c>
      <c r="T29" s="265">
        <v>0.91340857744216919</v>
      </c>
      <c r="U29" s="7480">
        <v>0.78608441352844238</v>
      </c>
      <c r="V29" s="7480">
        <v>0.49133250117301941</v>
      </c>
      <c r="W29" s="7481">
        <v>0.82720893621444702</v>
      </c>
      <c r="X29" s="7552">
        <v>1.8261843919754028</v>
      </c>
      <c r="Y29" s="7552">
        <v>1.6143094301223755</v>
      </c>
      <c r="Z29" s="7552">
        <v>1.2744314670562744</v>
      </c>
      <c r="AA29" s="7553">
        <v>1.681637167930603</v>
      </c>
      <c r="AB29" s="7552">
        <v>4.0225443840026855</v>
      </c>
      <c r="AC29" s="7552">
        <v>3.7894024848937988</v>
      </c>
      <c r="AD29" s="7552">
        <v>3.2826368808746338</v>
      </c>
      <c r="AE29" s="7553">
        <v>3.8634881973266602</v>
      </c>
      <c r="AF29" s="232">
        <v>0.515758216381073</v>
      </c>
      <c r="AG29" s="232">
        <v>0.45700061321258545</v>
      </c>
      <c r="AH29" s="232">
        <v>0.25506788492202759</v>
      </c>
      <c r="AI29" s="232">
        <v>0.47470849752426147</v>
      </c>
      <c r="AJ29"/>
      <c r="AL29" s="7472" t="s">
        <v>44</v>
      </c>
      <c r="AM29" s="7472">
        <v>2022</v>
      </c>
      <c r="AN29" s="7549">
        <v>0.28725224733352661</v>
      </c>
      <c r="AO29" s="7549">
        <v>0.54558521509170532</v>
      </c>
      <c r="AP29" s="7549">
        <v>0.16716252267360687</v>
      </c>
      <c r="AQ29" s="265">
        <v>0.2536487877368927</v>
      </c>
      <c r="AR29" s="7480">
        <v>0.55815517902374268</v>
      </c>
      <c r="AS29" s="7481">
        <v>0.18819603323936462</v>
      </c>
      <c r="AT29" s="7480">
        <v>0.15374182164669037</v>
      </c>
      <c r="AU29" s="7480">
        <v>0.67984533309936523</v>
      </c>
      <c r="AV29" s="7481">
        <v>0.16641286015510559</v>
      </c>
    </row>
    <row r="30" spans="1:48">
      <c r="B30" t="s">
        <v>33</v>
      </c>
      <c r="C30" s="8">
        <v>2021</v>
      </c>
      <c r="D30" s="8">
        <v>2</v>
      </c>
      <c r="E30" s="8">
        <v>0.5</v>
      </c>
      <c r="F30" s="8">
        <v>1</v>
      </c>
      <c r="G30" s="8">
        <v>4</v>
      </c>
      <c r="H30" s="8"/>
      <c r="I30" s="8">
        <v>0.66438472270965576</v>
      </c>
      <c r="J30" s="8">
        <v>1.4243855476379395</v>
      </c>
      <c r="K30" s="8">
        <v>3.6441161632537842</v>
      </c>
      <c r="L30" s="8">
        <v>0.18614588677883148</v>
      </c>
      <c r="M30" s="8">
        <v>0.56630301475524902</v>
      </c>
      <c r="N30" s="8">
        <v>0.24727636575698853</v>
      </c>
      <c r="O30" s="8">
        <v>0.24362905323505402</v>
      </c>
      <c r="P30" s="8"/>
      <c r="Q30" s="8">
        <v>813834</v>
      </c>
      <c r="R30" s="238" t="s">
        <v>45</v>
      </c>
      <c r="S30" s="7489">
        <v>2022</v>
      </c>
      <c r="T30" s="265">
        <v>0.97944772243499756</v>
      </c>
      <c r="U30" s="7480">
        <v>0.91962558031082153</v>
      </c>
      <c r="V30" s="7480">
        <v>0.48167502880096436</v>
      </c>
      <c r="W30" s="7481">
        <v>0.94396013021469116</v>
      </c>
      <c r="X30" s="7552">
        <v>1.9176430702209473</v>
      </c>
      <c r="Y30" s="7552">
        <v>1.8258029222488403</v>
      </c>
      <c r="Z30" s="7552">
        <v>1.3523354530334473</v>
      </c>
      <c r="AA30" s="7553">
        <v>1.8618322610855103</v>
      </c>
      <c r="AB30" s="7552">
        <v>4.055260181427002</v>
      </c>
      <c r="AC30" s="7552">
        <v>4.0128679275512695</v>
      </c>
      <c r="AD30" s="7552">
        <v>3.5251972675323486</v>
      </c>
      <c r="AE30" s="7553">
        <v>4.0294985771179199</v>
      </c>
      <c r="AF30" s="232">
        <v>0.71496540307998657</v>
      </c>
      <c r="AG30" s="232">
        <v>0.77302789688110352</v>
      </c>
      <c r="AH30" s="232">
        <v>0.53357613086700439</v>
      </c>
      <c r="AI30" s="232">
        <v>0.7562708854675293</v>
      </c>
      <c r="AJ30"/>
      <c r="AL30" s="7472" t="s">
        <v>45</v>
      </c>
      <c r="AM30" s="7472">
        <v>2022</v>
      </c>
      <c r="AN30" s="7549">
        <v>0.34612265229225159</v>
      </c>
      <c r="AO30" s="7549">
        <v>0.58372962474822998</v>
      </c>
      <c r="AP30" s="7549">
        <v>7.014775276184082E-2</v>
      </c>
      <c r="AQ30" s="265">
        <v>0.31384915113449097</v>
      </c>
      <c r="AR30" s="7480">
        <v>0.5454171895980835</v>
      </c>
      <c r="AS30" s="7481">
        <v>0.14073365926742554</v>
      </c>
      <c r="AT30" s="7480">
        <v>0.18765231966972351</v>
      </c>
      <c r="AU30" s="7480">
        <v>0.71620601415634155</v>
      </c>
      <c r="AV30" s="7481">
        <v>9.6141651272773743E-2</v>
      </c>
    </row>
    <row r="31" spans="1:48">
      <c r="B31" t="s">
        <v>34</v>
      </c>
      <c r="C31" s="8">
        <v>2023</v>
      </c>
      <c r="D31" s="8">
        <v>2</v>
      </c>
      <c r="E31" s="8">
        <v>0.60000002384185791</v>
      </c>
      <c r="F31" s="8">
        <v>2</v>
      </c>
      <c r="G31" s="8">
        <v>4</v>
      </c>
      <c r="H31" s="8"/>
      <c r="I31" s="8">
        <v>0.75089508295059204</v>
      </c>
      <c r="J31" s="8">
        <v>1.6391969919204712</v>
      </c>
      <c r="K31" s="8">
        <v>4.0061678886413574</v>
      </c>
      <c r="L31" s="8">
        <v>0.26136940717697144</v>
      </c>
      <c r="M31" s="8">
        <v>0.59236407279968262</v>
      </c>
      <c r="N31" s="8">
        <v>0.14626653492450714</v>
      </c>
      <c r="O31" s="8">
        <v>0.64510542154312134</v>
      </c>
      <c r="P31" s="8"/>
      <c r="Q31" s="8">
        <v>10593798</v>
      </c>
      <c r="R31" s="238" t="s">
        <v>46</v>
      </c>
      <c r="S31" s="7489">
        <v>2023</v>
      </c>
      <c r="T31" s="265">
        <v>0.80888783931732178</v>
      </c>
      <c r="U31" s="7480">
        <v>0.70854419469833374</v>
      </c>
      <c r="V31" s="7480">
        <v>0.42487022280693054</v>
      </c>
      <c r="W31" s="7481">
        <v>0.74950999021530151</v>
      </c>
      <c r="X31" s="7552">
        <v>1.3016330003738403</v>
      </c>
      <c r="Y31" s="7552">
        <v>1.4708266258239746</v>
      </c>
      <c r="Z31" s="7552">
        <v>1.084513783454895</v>
      </c>
      <c r="AA31" s="7553">
        <v>1.3993918895721436</v>
      </c>
      <c r="AB31" s="7552">
        <v>3.3187410831451416</v>
      </c>
      <c r="AC31" s="7552">
        <v>3.5972776412963867</v>
      </c>
      <c r="AD31" s="7552">
        <v>3.0394141674041748</v>
      </c>
      <c r="AE31" s="7553">
        <v>3.4796774387359619</v>
      </c>
      <c r="AF31" s="232">
        <v>0.42493864893913269</v>
      </c>
      <c r="AG31" s="232">
        <v>0.44811722636222839</v>
      </c>
      <c r="AH31" s="232">
        <v>0.23468850553035736</v>
      </c>
      <c r="AI31" s="232">
        <v>0.43642967939376831</v>
      </c>
      <c r="AJ31"/>
      <c r="AL31" s="7472" t="s">
        <v>46</v>
      </c>
      <c r="AM31" s="7472">
        <v>2023</v>
      </c>
      <c r="AN31" s="7549">
        <v>0.24175241589546204</v>
      </c>
      <c r="AO31" s="7549">
        <v>0.56501865386962891</v>
      </c>
      <c r="AP31" s="7549">
        <v>0.19322891533374786</v>
      </c>
      <c r="AQ31" s="265">
        <v>0.25972622632980347</v>
      </c>
      <c r="AR31" s="7480">
        <v>0.61341387033462524</v>
      </c>
      <c r="AS31" s="7481">
        <v>0.12685993313789368</v>
      </c>
      <c r="AT31" s="7480">
        <v>0.1404636949300766</v>
      </c>
      <c r="AU31" s="7480">
        <v>0.72856396436691284</v>
      </c>
      <c r="AV31" s="7481">
        <v>0.13097234070301056</v>
      </c>
    </row>
    <row r="32" spans="1:48">
      <c r="B32" t="s">
        <v>38</v>
      </c>
      <c r="C32" s="8">
        <v>2022</v>
      </c>
      <c r="D32" s="8">
        <v>2</v>
      </c>
      <c r="E32" s="8">
        <v>0.66666668653488159</v>
      </c>
      <c r="F32" s="8">
        <v>2</v>
      </c>
      <c r="G32" s="8">
        <v>4</v>
      </c>
      <c r="H32" s="8">
        <v>1.2000000476837158</v>
      </c>
      <c r="I32" s="8">
        <v>0.78157681226730347</v>
      </c>
      <c r="J32" s="8">
        <v>1.6914368867874146</v>
      </c>
      <c r="K32" s="8">
        <v>4.0824122428894043</v>
      </c>
      <c r="L32" s="8">
        <v>0.26822450757026672</v>
      </c>
      <c r="M32" s="8">
        <v>0.59020978212356567</v>
      </c>
      <c r="N32" s="8">
        <v>0.1415657103061676</v>
      </c>
      <c r="O32" s="8">
        <v>0.57448416948318481</v>
      </c>
      <c r="P32" s="8">
        <v>1.3519043922424316</v>
      </c>
      <c r="Q32" s="8">
        <v>128455567</v>
      </c>
      <c r="R32" s="238" t="s">
        <v>50</v>
      </c>
      <c r="S32" s="7489">
        <v>2022</v>
      </c>
      <c r="T32" s="265">
        <v>1.1328073740005493</v>
      </c>
      <c r="U32" s="7480">
        <v>0.78177362680435181</v>
      </c>
      <c r="V32" s="7480">
        <v>0.44557133316993713</v>
      </c>
      <c r="W32" s="7481">
        <v>0.87021231651306152</v>
      </c>
      <c r="X32" s="7552">
        <v>2.6228938102722168</v>
      </c>
      <c r="Y32" s="7552">
        <v>1.9371916055679321</v>
      </c>
      <c r="Z32" s="7552">
        <v>0.8609277606010437</v>
      </c>
      <c r="AA32" s="7553">
        <v>2.1080443859100342</v>
      </c>
      <c r="AB32" s="7552">
        <v>4.6049084663391113</v>
      </c>
      <c r="AC32" s="7552">
        <v>3.9426536560058594</v>
      </c>
      <c r="AD32" s="7552">
        <v>2.6780471801757813</v>
      </c>
      <c r="AE32" s="7553">
        <v>4.1076641082763672</v>
      </c>
      <c r="AF32" s="232">
        <v>1.7190037965774536</v>
      </c>
      <c r="AG32" s="232">
        <v>0.6350439190864563</v>
      </c>
      <c r="AH32" s="232">
        <v>0.1007654070854187</v>
      </c>
      <c r="AI32" s="232">
        <v>0.77660328149795532</v>
      </c>
      <c r="AJ32"/>
      <c r="AL32" s="7472" t="s">
        <v>50</v>
      </c>
      <c r="AM32" s="7472">
        <v>2022</v>
      </c>
      <c r="AN32" s="7549">
        <v>0.42916524410247803</v>
      </c>
      <c r="AO32" s="7549">
        <v>0.55006104707717896</v>
      </c>
      <c r="AP32" s="7549">
        <v>2.0773718133568764E-2</v>
      </c>
      <c r="AQ32" s="265">
        <v>0.31361174583435059</v>
      </c>
      <c r="AR32" s="7480">
        <v>0.62732857465744019</v>
      </c>
      <c r="AS32" s="7481">
        <v>5.9059713035821915E-2</v>
      </c>
      <c r="AT32" s="7480">
        <v>0.11509475857019424</v>
      </c>
      <c r="AU32" s="7480">
        <v>0.63943195343017578</v>
      </c>
      <c r="AV32" s="7481">
        <v>0.24547329545021057</v>
      </c>
    </row>
    <row r="33" spans="1:54">
      <c r="B33" t="s">
        <v>42</v>
      </c>
      <c r="C33" s="8">
        <v>2022</v>
      </c>
      <c r="D33" s="8">
        <v>2</v>
      </c>
      <c r="E33" s="8">
        <v>0.80000001192092896</v>
      </c>
      <c r="F33" s="8">
        <v>1</v>
      </c>
      <c r="G33" s="8">
        <v>4</v>
      </c>
      <c r="H33" s="8">
        <v>1</v>
      </c>
      <c r="I33" s="8">
        <v>0.87095910310745239</v>
      </c>
      <c r="J33" s="8">
        <v>1.6724096536636353</v>
      </c>
      <c r="K33" s="8">
        <v>4.0460615158081055</v>
      </c>
      <c r="L33" s="8">
        <v>0.24550290405750275</v>
      </c>
      <c r="M33" s="8">
        <v>0.58834272623062134</v>
      </c>
      <c r="N33" s="8">
        <v>0.1661544144153595</v>
      </c>
      <c r="O33" s="8">
        <v>0.63389033079147339</v>
      </c>
      <c r="P33" s="8">
        <v>1.5358471870422363</v>
      </c>
      <c r="Q33" s="8">
        <v>4468087</v>
      </c>
      <c r="R33" s="239" t="s">
        <v>51</v>
      </c>
      <c r="S33" s="7489">
        <v>2021</v>
      </c>
      <c r="T33" s="266">
        <v>0.69005751609802246</v>
      </c>
      <c r="U33" s="7482">
        <v>0.56551182270050049</v>
      </c>
      <c r="V33" s="7482">
        <v>0.4307340681552887</v>
      </c>
      <c r="W33" s="7483">
        <v>0.65883976221084595</v>
      </c>
      <c r="X33" s="7554">
        <v>1.4041028022766113</v>
      </c>
      <c r="Y33" s="7554">
        <v>1.3224804401397705</v>
      </c>
      <c r="Z33" s="7554">
        <v>0.96795457601547241</v>
      </c>
      <c r="AA33" s="7555">
        <v>1.3837772607803345</v>
      </c>
      <c r="AB33" s="7554">
        <v>3.5015888214111328</v>
      </c>
      <c r="AC33" s="7554">
        <v>3.3593721389770508</v>
      </c>
      <c r="AD33" s="7554">
        <v>2.8649015426635742</v>
      </c>
      <c r="AE33" s="7555">
        <v>3.4661741256713867</v>
      </c>
      <c r="AF33" s="232">
        <v>0.41371750831604004</v>
      </c>
      <c r="AG33" s="232">
        <v>0.30747604370117188</v>
      </c>
      <c r="AH33" s="232">
        <v>0.24516910314559937</v>
      </c>
      <c r="AI33" s="232">
        <v>0.38897797465324402</v>
      </c>
      <c r="AJ33"/>
      <c r="AL33" s="7472" t="s">
        <v>51</v>
      </c>
      <c r="AM33" s="7472">
        <v>2021</v>
      </c>
      <c r="AN33" s="7549">
        <v>0.23267611861228943</v>
      </c>
      <c r="AO33" s="7549">
        <v>0.63381826877593994</v>
      </c>
      <c r="AP33" s="7549">
        <v>0.13350559771060944</v>
      </c>
      <c r="AQ33" s="266">
        <v>0.20173510909080505</v>
      </c>
      <c r="AR33" s="7482">
        <v>0.67624098062515259</v>
      </c>
      <c r="AS33" s="7483">
        <v>0.12202388048171997</v>
      </c>
      <c r="AT33" s="7480">
        <v>0.15052959322929382</v>
      </c>
      <c r="AU33" s="7480">
        <v>0.74115836620330811</v>
      </c>
      <c r="AV33" s="7481">
        <v>0.10831203311681747</v>
      </c>
    </row>
    <row r="34" spans="1:54">
      <c r="B34" t="s">
        <v>44</v>
      </c>
      <c r="C34" s="8">
        <v>2022</v>
      </c>
      <c r="D34" s="8">
        <v>2</v>
      </c>
      <c r="E34" s="8">
        <v>0.66666668653488159</v>
      </c>
      <c r="F34" s="8">
        <v>2</v>
      </c>
      <c r="G34" s="8">
        <v>4</v>
      </c>
      <c r="H34" s="8">
        <v>1.3333333730697632</v>
      </c>
      <c r="I34" s="8">
        <v>0.78608441352844238</v>
      </c>
      <c r="J34" s="8">
        <v>1.6143094301223755</v>
      </c>
      <c r="K34" s="8">
        <v>3.7894024848937988</v>
      </c>
      <c r="L34" s="8">
        <v>0.2536487877368927</v>
      </c>
      <c r="M34" s="8">
        <v>0.55815517902374268</v>
      </c>
      <c r="N34" s="8">
        <v>0.18819603323936462</v>
      </c>
      <c r="O34" s="8">
        <v>0.45700061321258545</v>
      </c>
      <c r="P34" s="8">
        <v>1.5673434734344482</v>
      </c>
      <c r="Q34" s="8">
        <v>34352719</v>
      </c>
      <c r="R34" s="258" t="s">
        <v>0</v>
      </c>
      <c r="S34" s="234"/>
      <c r="T34" s="259">
        <f>AVERAGE(T16:T33)</f>
        <v>0.91928436027632821</v>
      </c>
      <c r="U34" s="259">
        <f t="shared" ref="U34:AI34" si="5">AVERAGE(U16:U33)</f>
        <v>0.7720401353306241</v>
      </c>
      <c r="V34" s="259">
        <f t="shared" si="5"/>
        <v>0.46347834832138485</v>
      </c>
      <c r="W34" s="260">
        <f t="shared" si="5"/>
        <v>0.83225162823994958</v>
      </c>
      <c r="X34" s="234">
        <f t="shared" si="5"/>
        <v>1.9072500334845648</v>
      </c>
      <c r="Y34" s="246">
        <f t="shared" si="5"/>
        <v>1.663933104938931</v>
      </c>
      <c r="Z34" s="246">
        <f t="shared" si="5"/>
        <v>1.0878178510400984</v>
      </c>
      <c r="AA34" s="247">
        <f t="shared" si="5"/>
        <v>1.7562127643161349</v>
      </c>
      <c r="AB34" s="242">
        <f t="shared" si="5"/>
        <v>4.1002908150355024</v>
      </c>
      <c r="AC34" s="236">
        <f t="shared" si="5"/>
        <v>3.8310006062189736</v>
      </c>
      <c r="AD34" s="236">
        <f t="shared" si="5"/>
        <v>3.0402050283220081</v>
      </c>
      <c r="AE34" s="237">
        <f t="shared" si="5"/>
        <v>3.9392569330003528</v>
      </c>
      <c r="AF34" s="261">
        <f t="shared" si="5"/>
        <v>0.75754664838314056</v>
      </c>
      <c r="AG34" s="262">
        <f t="shared" si="5"/>
        <v>0.51709048863914275</v>
      </c>
      <c r="AH34" s="262">
        <f t="shared" si="5"/>
        <v>0.23801628831360075</v>
      </c>
      <c r="AI34" s="263">
        <f t="shared" si="5"/>
        <v>0.57649676005045569</v>
      </c>
      <c r="AL34" s="258" t="s">
        <v>0</v>
      </c>
      <c r="AM34" s="234"/>
      <c r="AN34" s="259">
        <f>AVERAGE(AN16:AN33)</f>
        <v>0.30977732357051635</v>
      </c>
      <c r="AO34" s="259">
        <f t="shared" ref="AO34" si="6">AVERAGE(AO16:AO33)</f>
        <v>0.5831006417671839</v>
      </c>
      <c r="AP34" s="259">
        <f t="shared" ref="AP34" si="7">AVERAGE(AP16:AP33)</f>
        <v>0.10712204713167416</v>
      </c>
      <c r="AQ34" s="270">
        <f t="shared" ref="AQ34" si="8">AVERAGE(AQ16:AQ33)</f>
        <v>0.26469696230358547</v>
      </c>
      <c r="AR34" s="271">
        <f t="shared" ref="AR34" si="9">AVERAGE(AR16:AR33)</f>
        <v>0.60123188296953833</v>
      </c>
      <c r="AS34" s="247">
        <f t="shared" ref="AS34" si="10">AVERAGE(AS16:AS33)</f>
        <v>0.13405589283340508</v>
      </c>
      <c r="AT34" s="270">
        <f t="shared" ref="AT34" si="11">AVERAGE(AT16:AT33)</f>
        <v>0.14340434844295183</v>
      </c>
      <c r="AU34" s="259">
        <f t="shared" ref="AU34" si="12">AVERAGE(AU16:AU33)</f>
        <v>0.69397540556059945</v>
      </c>
      <c r="AV34" s="260">
        <f>AVERAGE(AV16:AV33)</f>
        <v>0.16262024723821217</v>
      </c>
    </row>
    <row r="35" spans="1:54">
      <c r="B35" t="s">
        <v>45</v>
      </c>
      <c r="C35" s="8">
        <v>2022</v>
      </c>
      <c r="D35" s="8">
        <v>2</v>
      </c>
      <c r="E35" s="8">
        <v>1</v>
      </c>
      <c r="F35" s="8">
        <v>2</v>
      </c>
      <c r="G35" s="8">
        <v>4</v>
      </c>
      <c r="H35" s="8">
        <v>1.3333333730697632</v>
      </c>
      <c r="I35" s="8">
        <v>0.91962558031082153</v>
      </c>
      <c r="J35" s="8">
        <v>1.8258029222488403</v>
      </c>
      <c r="K35" s="8">
        <v>4.0128679275512695</v>
      </c>
      <c r="L35" s="8">
        <v>0.31384915113449097</v>
      </c>
      <c r="M35" s="8">
        <v>0.5454171895980835</v>
      </c>
      <c r="N35" s="8">
        <v>0.14073365926742554</v>
      </c>
      <c r="O35" s="8">
        <v>0.77302789688110352</v>
      </c>
      <c r="P35" s="8">
        <v>1.6333569288253784</v>
      </c>
      <c r="Q35" s="8">
        <v>6861524</v>
      </c>
      <c r="R35" s="257" t="s">
        <v>1145</v>
      </c>
      <c r="S35" s="239"/>
      <c r="T35" s="240">
        <f>SUMPRODUCT($Q$16:$Q$33,T16:T33)/SUM($Q$16:$Q$33)</f>
        <v>1.0752397259059983</v>
      </c>
      <c r="U35" s="240">
        <f t="shared" ref="U35:AI35" si="13">SUMPRODUCT($Q$16:$Q$33,U16:U33)/SUM($Q$16:$Q$33)</f>
        <v>0.80355382646822904</v>
      </c>
      <c r="V35" s="240">
        <f t="shared" si="13"/>
        <v>0.47389234427770616</v>
      </c>
      <c r="W35" s="241">
        <f t="shared" si="13"/>
        <v>0.89544580299120458</v>
      </c>
      <c r="X35" s="239">
        <f t="shared" si="13"/>
        <v>2.3168929145060226</v>
      </c>
      <c r="Y35" s="243">
        <f t="shared" si="13"/>
        <v>1.7826069959762958</v>
      </c>
      <c r="Z35" s="243">
        <f t="shared" si="13"/>
        <v>1.0665307122156349</v>
      </c>
      <c r="AA35" s="244">
        <f t="shared" si="13"/>
        <v>1.9629145202265637</v>
      </c>
      <c r="AB35" s="248">
        <f t="shared" si="13"/>
        <v>4.5634181020575628</v>
      </c>
      <c r="AC35" s="249">
        <f t="shared" si="13"/>
        <v>4.0034484470490703</v>
      </c>
      <c r="AD35" s="249">
        <f t="shared" si="13"/>
        <v>3.0087986879057418</v>
      </c>
      <c r="AE35" s="250">
        <f t="shared" si="13"/>
        <v>4.1976748737866654</v>
      </c>
      <c r="AF35" s="253">
        <f t="shared" si="13"/>
        <v>0.91128350318697304</v>
      </c>
      <c r="AG35" s="254">
        <f t="shared" si="13"/>
        <v>0.55469929873916091</v>
      </c>
      <c r="AH35" s="254">
        <f t="shared" si="13"/>
        <v>0.19233024593511058</v>
      </c>
      <c r="AI35" s="255">
        <f t="shared" si="13"/>
        <v>0.62520137431996625</v>
      </c>
      <c r="AL35" s="257" t="s">
        <v>1145</v>
      </c>
      <c r="AM35" s="239"/>
      <c r="AN35" s="240">
        <f>SUMPRODUCT($Q$3:$Q$20,AN16:AN33)/SUM($Q$3:$Q$20)</f>
        <v>0.31218233714069304</v>
      </c>
      <c r="AO35" s="240">
        <f>SUMPRODUCT($Q$21:$Q$38,AO16:AO33)/SUM($Q$21:$Q$38)</f>
        <v>0.58628749194020813</v>
      </c>
      <c r="AP35" s="240">
        <f>SUMPRODUCT($Q$39:$Q$56,AP16:AP33)/SUM($Q$39:$Q$56)</f>
        <v>0.10153018381839438</v>
      </c>
      <c r="AQ35" s="240">
        <f>SUMPRODUCT($Q$3:$Q$20,AQ16:AQ33)/SUM($Q$3:$Q$20)</f>
        <v>0.26134677842838883</v>
      </c>
      <c r="AR35" s="240">
        <f>SUMPRODUCT($Q$21:$Q$38,AR16:AR33)/SUM($Q$21:$Q$38)</f>
        <v>0.63381445816123994</v>
      </c>
      <c r="AS35" s="240">
        <f>SUMPRODUCT($Q$21:$Q$38,AS16:AS33)/SUM($Q$21:$Q$38)</f>
        <v>0.10483839329277959</v>
      </c>
      <c r="AT35" s="266">
        <f>SUMPRODUCT($Q$39:$Q$56,AT16:AT33)/SUM($Q$39:$Q$56)</f>
        <v>0.13287121305146757</v>
      </c>
      <c r="AU35" s="240">
        <f>SUMPRODUCT($Q$39:$Q$56,AU16:AU33)/SUM($Q$39:$Q$56)</f>
        <v>0.7057433837789493</v>
      </c>
      <c r="AV35" s="241">
        <f>SUMPRODUCT($Q$39:$Q$56,AV16:AV33)/SUM($Q$39:$Q$56)</f>
        <v>0.16138541021037109</v>
      </c>
    </row>
    <row r="36" spans="1:54">
      <c r="B36" t="s">
        <v>46</v>
      </c>
      <c r="C36" s="8">
        <v>2023</v>
      </c>
      <c r="D36" s="8">
        <v>2</v>
      </c>
      <c r="E36" s="8">
        <v>0.5</v>
      </c>
      <c r="F36" s="8">
        <v>1</v>
      </c>
      <c r="G36" s="8">
        <v>4</v>
      </c>
      <c r="H36" s="8">
        <v>1.5</v>
      </c>
      <c r="I36" s="8">
        <v>0.70854419469833374</v>
      </c>
      <c r="J36" s="8">
        <v>1.4708266258239746</v>
      </c>
      <c r="K36" s="8">
        <v>3.5972776412963867</v>
      </c>
      <c r="L36" s="8">
        <v>0.25972622632980347</v>
      </c>
      <c r="M36" s="8">
        <v>0.61341387033462524</v>
      </c>
      <c r="N36" s="8">
        <v>0.12685993313789368</v>
      </c>
      <c r="O36" s="8">
        <v>0.44811722636222839</v>
      </c>
      <c r="P36" s="8">
        <v>1.9351347684860229</v>
      </c>
      <c r="Q36" s="8">
        <v>6364943</v>
      </c>
      <c r="AL36" s="232"/>
      <c r="AM36" s="232"/>
      <c r="AN36" s="232"/>
      <c r="AO36" s="232"/>
      <c r="AP36" s="232"/>
      <c r="AQ36" s="233"/>
      <c r="AR36" s="233"/>
      <c r="AS36" s="233"/>
      <c r="AT36" s="232"/>
      <c r="AU36" s="232"/>
      <c r="AV36" s="232"/>
    </row>
    <row r="37" spans="1:54">
      <c r="B37" t="s">
        <v>50</v>
      </c>
      <c r="C37" s="8">
        <v>2022</v>
      </c>
      <c r="D37" s="8">
        <v>2</v>
      </c>
      <c r="E37" s="8">
        <v>0.66666668653488159</v>
      </c>
      <c r="F37" s="8">
        <v>2</v>
      </c>
      <c r="G37" s="8">
        <v>4</v>
      </c>
      <c r="H37" s="8">
        <v>1.25</v>
      </c>
      <c r="I37" s="8">
        <v>0.78177362680435181</v>
      </c>
      <c r="J37" s="8">
        <v>1.9371916055679321</v>
      </c>
      <c r="K37" s="8">
        <v>3.9426536560058594</v>
      </c>
      <c r="L37" s="8">
        <v>0.31361174583435059</v>
      </c>
      <c r="M37" s="8">
        <v>0.62732857465744019</v>
      </c>
      <c r="N37" s="8">
        <v>5.9059713035821915E-2</v>
      </c>
      <c r="O37" s="8">
        <v>0.6350439190864563</v>
      </c>
      <c r="P37" s="8">
        <v>1.3511334657669067</v>
      </c>
      <c r="Q37" s="8">
        <v>3423109</v>
      </c>
      <c r="AL37"/>
      <c r="AM37"/>
      <c r="AN37"/>
      <c r="AO37"/>
      <c r="AP37"/>
      <c r="AR37" s="13"/>
      <c r="AS37" s="13"/>
      <c r="AZ37" s="8"/>
      <c r="BA37" s="8"/>
      <c r="BB37" s="8"/>
    </row>
    <row r="38" spans="1:54">
      <c r="B38" t="s">
        <v>51</v>
      </c>
      <c r="C38" s="8">
        <v>2021</v>
      </c>
      <c r="D38" s="8">
        <v>2</v>
      </c>
      <c r="E38" s="8">
        <v>0.5</v>
      </c>
      <c r="F38" s="8">
        <v>1</v>
      </c>
      <c r="G38" s="8">
        <v>3</v>
      </c>
      <c r="H38" s="8"/>
      <c r="I38" s="8">
        <v>0.56551182270050049</v>
      </c>
      <c r="J38" s="8">
        <v>1.3224804401397705</v>
      </c>
      <c r="K38" s="8">
        <v>3.3593721389770508</v>
      </c>
      <c r="L38" s="8">
        <v>0.20173510909080505</v>
      </c>
      <c r="M38" s="8">
        <v>0.67624098062515259</v>
      </c>
      <c r="N38" s="8">
        <v>0.12202388048171997</v>
      </c>
      <c r="O38" s="8">
        <v>0.30747604370117188</v>
      </c>
      <c r="P38" s="8"/>
      <c r="Q38" s="8">
        <v>28838499</v>
      </c>
      <c r="AL38"/>
      <c r="AM38"/>
      <c r="AN38"/>
      <c r="AO38"/>
      <c r="AP38"/>
      <c r="AR38" s="13"/>
      <c r="AS38" s="13"/>
      <c r="AZ38" s="8"/>
      <c r="BA38" s="8"/>
      <c r="BB38" s="8"/>
    </row>
    <row r="39" spans="1:54">
      <c r="A39" s="7495"/>
      <c r="B39" s="7495" t="s">
        <v>10</v>
      </c>
      <c r="C39" s="7496">
        <v>2022</v>
      </c>
      <c r="D39" s="7496">
        <v>3</v>
      </c>
      <c r="E39" s="7496">
        <v>0.3333333432674408</v>
      </c>
      <c r="F39" s="7496">
        <v>1</v>
      </c>
      <c r="G39" s="7496">
        <v>3</v>
      </c>
      <c r="H39" s="7496">
        <v>1</v>
      </c>
      <c r="I39" s="7496">
        <v>0.48700961470603943</v>
      </c>
      <c r="J39" s="7496">
        <v>1.0160316228866577</v>
      </c>
      <c r="K39" s="7496">
        <v>2.8005228042602539</v>
      </c>
      <c r="L39" s="7496">
        <v>0.14176635444164276</v>
      </c>
      <c r="M39" s="7496">
        <v>0.65025854110717773</v>
      </c>
      <c r="N39" s="7496">
        <v>0.2079751044511795</v>
      </c>
      <c r="O39" s="7496">
        <v>0.15525682270526886</v>
      </c>
      <c r="P39" s="7496">
        <v>1.0789990425109863</v>
      </c>
      <c r="Q39" s="8">
        <v>45773884</v>
      </c>
      <c r="AL39"/>
      <c r="AM39"/>
      <c r="AN39"/>
      <c r="AO39"/>
      <c r="AP39"/>
      <c r="AR39" s="240"/>
      <c r="AS39" s="240"/>
      <c r="AT39" s="240"/>
      <c r="AZ39" s="8"/>
      <c r="BA39" s="8"/>
      <c r="BB39" s="8"/>
    </row>
    <row r="40" spans="1:54">
      <c r="A40" s="7495"/>
      <c r="B40" s="7495" t="s">
        <v>15</v>
      </c>
      <c r="C40" s="7496">
        <v>2022</v>
      </c>
      <c r="D40" s="7496">
        <v>3</v>
      </c>
      <c r="E40" s="7496">
        <v>0.5</v>
      </c>
      <c r="F40" s="7496">
        <v>1</v>
      </c>
      <c r="G40" s="7496">
        <v>3</v>
      </c>
      <c r="H40" s="7496">
        <v>1</v>
      </c>
      <c r="I40" s="7496">
        <v>0.53924417495727539</v>
      </c>
      <c r="J40" s="7496">
        <v>1.3269363641738892</v>
      </c>
      <c r="K40" s="7496">
        <v>3.1547083854675293</v>
      </c>
      <c r="L40" s="7496">
        <v>0.19002939760684967</v>
      </c>
      <c r="M40" s="7496">
        <v>0.67787975072860718</v>
      </c>
      <c r="N40" s="7496">
        <v>0.13209083676338196</v>
      </c>
      <c r="O40" s="7496">
        <v>0.26803174614906311</v>
      </c>
      <c r="P40" s="7496">
        <v>1.4084469079971313</v>
      </c>
      <c r="Q40" s="8">
        <v>12388571</v>
      </c>
      <c r="AL40"/>
      <c r="AM40"/>
      <c r="AN40"/>
      <c r="AO40"/>
      <c r="AP40"/>
      <c r="AR40" s="13"/>
      <c r="AS40" s="13"/>
      <c r="AZ40" s="8"/>
      <c r="BA40" s="8"/>
      <c r="BB40" s="8"/>
    </row>
    <row r="41" spans="1:54">
      <c r="A41" s="7495"/>
      <c r="B41" s="7495" t="s">
        <v>17</v>
      </c>
      <c r="C41" s="7496">
        <v>2022</v>
      </c>
      <c r="D41" s="7496">
        <v>3</v>
      </c>
      <c r="E41" s="7496">
        <v>0</v>
      </c>
      <c r="F41" s="7496">
        <v>1</v>
      </c>
      <c r="G41" s="7496">
        <v>3</v>
      </c>
      <c r="H41" s="7496"/>
      <c r="I41" s="7496">
        <v>0.38622787594795227</v>
      </c>
      <c r="J41" s="7496">
        <v>0.77709269523620605</v>
      </c>
      <c r="K41" s="7496">
        <v>2.6869630813598633</v>
      </c>
      <c r="L41" s="7496">
        <v>0.10924495756626129</v>
      </c>
      <c r="M41" s="7496">
        <v>0.71059948205947876</v>
      </c>
      <c r="N41" s="7496">
        <v>0.18015559017658234</v>
      </c>
      <c r="O41" s="7496">
        <v>0.13637934625148773</v>
      </c>
      <c r="P41" s="7496"/>
      <c r="Q41" s="8">
        <v>216422446</v>
      </c>
      <c r="AL41"/>
      <c r="AM41"/>
      <c r="AN41"/>
      <c r="AO41"/>
      <c r="AP41"/>
      <c r="AR41" s="13"/>
      <c r="AS41" s="13"/>
      <c r="AZ41" s="8"/>
      <c r="BA41" s="8"/>
      <c r="BB41" s="8"/>
    </row>
    <row r="42" spans="1:54">
      <c r="A42" s="7495"/>
      <c r="B42" s="7495" t="s">
        <v>21</v>
      </c>
      <c r="C42" s="7496">
        <v>2022</v>
      </c>
      <c r="D42" s="7496">
        <v>3</v>
      </c>
      <c r="E42" s="7496">
        <v>0.25</v>
      </c>
      <c r="F42" s="7496">
        <v>1</v>
      </c>
      <c r="G42" s="7496">
        <v>3</v>
      </c>
      <c r="H42" s="7496"/>
      <c r="I42" s="7496">
        <v>0.44863513112068176</v>
      </c>
      <c r="J42" s="7496">
        <v>0.92542648315429688</v>
      </c>
      <c r="K42" s="7496">
        <v>2.7988085746765137</v>
      </c>
      <c r="L42" s="7496">
        <v>0.12477672100067139</v>
      </c>
      <c r="M42" s="7496">
        <v>0.68650734424591064</v>
      </c>
      <c r="N42" s="7496">
        <v>0.18871593475341797</v>
      </c>
      <c r="O42" s="7496">
        <v>0.16603094339370728</v>
      </c>
      <c r="P42" s="7496"/>
      <c r="Q42" s="8">
        <v>19629590</v>
      </c>
      <c r="AL42"/>
      <c r="AM42"/>
      <c r="AN42"/>
      <c r="AO42"/>
      <c r="AP42"/>
      <c r="AR42" s="13"/>
      <c r="AS42" s="13"/>
      <c r="AZ42" s="8"/>
      <c r="BA42" s="8"/>
      <c r="BB42" s="8"/>
    </row>
    <row r="43" spans="1:54">
      <c r="A43" s="7495"/>
      <c r="B43" s="7495" t="s">
        <v>23</v>
      </c>
      <c r="C43" s="7496">
        <v>2022</v>
      </c>
      <c r="D43" s="7496">
        <v>3</v>
      </c>
      <c r="E43" s="7496">
        <v>0</v>
      </c>
      <c r="F43" s="7496">
        <v>1</v>
      </c>
      <c r="G43" s="7496">
        <v>3</v>
      </c>
      <c r="H43" s="7496">
        <v>0.75</v>
      </c>
      <c r="I43" s="7496">
        <v>0.38946059346199036</v>
      </c>
      <c r="J43" s="7496">
        <v>0.8449249267578125</v>
      </c>
      <c r="K43" s="7496">
        <v>2.6922895908355713</v>
      </c>
      <c r="L43" s="7496">
        <v>0.12147865444421768</v>
      </c>
      <c r="M43" s="7496">
        <v>0.73523533344268799</v>
      </c>
      <c r="N43" s="7496">
        <v>0.14328600466251373</v>
      </c>
      <c r="O43" s="7496">
        <v>0.17590400576591492</v>
      </c>
      <c r="P43" s="7496">
        <v>0.8655427098274231</v>
      </c>
      <c r="Q43" s="8">
        <v>52085168</v>
      </c>
      <c r="AL43"/>
      <c r="AM43"/>
      <c r="AN43"/>
      <c r="AO43"/>
      <c r="AP43"/>
      <c r="AR43" s="13"/>
      <c r="AS43" s="13"/>
      <c r="AZ43" s="8"/>
      <c r="BA43" s="8"/>
      <c r="BB43" s="8"/>
    </row>
    <row r="44" spans="1:54">
      <c r="A44" s="7495"/>
      <c r="B44" s="7495" t="s">
        <v>25</v>
      </c>
      <c r="C44" s="7496">
        <v>2023</v>
      </c>
      <c r="D44" s="7496">
        <v>3</v>
      </c>
      <c r="E44" s="7496">
        <v>0.20000000298023224</v>
      </c>
      <c r="F44" s="7496">
        <v>1</v>
      </c>
      <c r="G44" s="7496">
        <v>3</v>
      </c>
      <c r="H44" s="7496">
        <v>0.57142859697341919</v>
      </c>
      <c r="I44" s="7496">
        <v>0.41468262672424316</v>
      </c>
      <c r="J44" s="7496">
        <v>0.95054608583450317</v>
      </c>
      <c r="K44" s="7496">
        <v>2.8035752773284912</v>
      </c>
      <c r="L44" s="7496">
        <v>0.10146980732679367</v>
      </c>
      <c r="M44" s="7496">
        <v>0.69130247831344604</v>
      </c>
      <c r="N44" s="7496">
        <v>0.20722773671150208</v>
      </c>
      <c r="O44" s="7496">
        <v>0.13126921653747559</v>
      </c>
      <c r="P44" s="7496">
        <v>0.61459708213806152</v>
      </c>
      <c r="Q44" s="8">
        <v>5212173</v>
      </c>
      <c r="AL44"/>
      <c r="AM44"/>
      <c r="AN44"/>
      <c r="AO44"/>
      <c r="AP44"/>
      <c r="AR44" s="13"/>
      <c r="AS44" s="13"/>
      <c r="AZ44" s="8"/>
      <c r="BA44" s="8"/>
      <c r="BB44" s="8"/>
    </row>
    <row r="45" spans="1:54">
      <c r="A45" s="7495"/>
      <c r="B45" s="7495" t="s">
        <v>27</v>
      </c>
      <c r="C45" s="7496">
        <v>2022</v>
      </c>
      <c r="D45" s="7496">
        <v>3</v>
      </c>
      <c r="E45" s="7496">
        <v>0.3333333432674408</v>
      </c>
      <c r="F45" s="7496">
        <v>1</v>
      </c>
      <c r="G45" s="7496">
        <v>3</v>
      </c>
      <c r="H45" s="7496">
        <v>1</v>
      </c>
      <c r="I45" s="7496">
        <v>0.48181271553039551</v>
      </c>
      <c r="J45" s="7496">
        <v>0.96454203128814697</v>
      </c>
      <c r="K45" s="7496">
        <v>2.7876558303833008</v>
      </c>
      <c r="L45" s="7496">
        <v>0.15026675164699554</v>
      </c>
      <c r="M45" s="7496">
        <v>0.68915677070617676</v>
      </c>
      <c r="N45" s="7496">
        <v>0.16057652235031128</v>
      </c>
      <c r="O45" s="7496">
        <v>0.20837680995464325</v>
      </c>
      <c r="P45" s="7496">
        <v>0.90869122743606567</v>
      </c>
      <c r="Q45" s="8">
        <v>11332973</v>
      </c>
      <c r="AL45"/>
      <c r="AM45"/>
      <c r="AN45"/>
      <c r="AO45"/>
      <c r="AP45"/>
      <c r="AR45" s="13"/>
      <c r="AS45" s="13"/>
      <c r="AZ45" s="8"/>
      <c r="BA45" s="8"/>
      <c r="BB45" s="8"/>
    </row>
    <row r="46" spans="1:54">
      <c r="A46" s="7495"/>
      <c r="B46" s="7495" t="s">
        <v>29</v>
      </c>
      <c r="C46" s="7496">
        <v>2023</v>
      </c>
      <c r="D46" s="7496">
        <v>3</v>
      </c>
      <c r="E46" s="7496">
        <v>0.3333333432674408</v>
      </c>
      <c r="F46" s="7496">
        <v>1</v>
      </c>
      <c r="G46" s="7496">
        <v>3</v>
      </c>
      <c r="H46" s="7496">
        <v>1</v>
      </c>
      <c r="I46" s="7496">
        <v>0.51442444324493408</v>
      </c>
      <c r="J46" s="7496">
        <v>1.1930426359176636</v>
      </c>
      <c r="K46" s="7496">
        <v>3.2180321216583252</v>
      </c>
      <c r="L46" s="7496">
        <v>0.160347580909729</v>
      </c>
      <c r="M46" s="7496">
        <v>0.65611088275909424</v>
      </c>
      <c r="N46" s="7496">
        <v>0.18354152143001556</v>
      </c>
      <c r="O46" s="7496">
        <v>0.21926552057266235</v>
      </c>
      <c r="P46" s="7496">
        <v>1.0317518711090088</v>
      </c>
      <c r="Q46" s="8">
        <v>18190484</v>
      </c>
      <c r="R46" s="8"/>
      <c r="AM46"/>
      <c r="AN46"/>
      <c r="AO46"/>
      <c r="AP46"/>
      <c r="AR46" s="13"/>
      <c r="AS46" s="13"/>
      <c r="AZ46" s="8"/>
      <c r="BA46" s="8"/>
      <c r="BB46" s="8"/>
    </row>
    <row r="47" spans="1:54">
      <c r="A47" s="7495"/>
      <c r="B47" s="7495" t="s">
        <v>31</v>
      </c>
      <c r="C47" s="7496">
        <v>2022</v>
      </c>
      <c r="D47" s="7496">
        <v>3</v>
      </c>
      <c r="E47" s="7496">
        <v>0.3333333432674408</v>
      </c>
      <c r="F47" s="7496">
        <v>1</v>
      </c>
      <c r="G47" s="7496">
        <v>3</v>
      </c>
      <c r="H47" s="7496">
        <v>1.3333333730697632</v>
      </c>
      <c r="I47" s="7496">
        <v>0.48896774649620056</v>
      </c>
      <c r="J47" s="7496">
        <v>1.4606224298477173</v>
      </c>
      <c r="K47" s="7496">
        <v>3.5337917804718018</v>
      </c>
      <c r="L47" s="7496">
        <v>0.1785094290971756</v>
      </c>
      <c r="M47" s="7496">
        <v>0.72495633363723755</v>
      </c>
      <c r="N47" s="7496">
        <v>9.6534229815006256E-2</v>
      </c>
      <c r="O47" s="7496">
        <v>0.28849267959594727</v>
      </c>
      <c r="P47" s="7496">
        <v>1.5670614242553711</v>
      </c>
      <c r="Q47" s="8">
        <v>18092026</v>
      </c>
      <c r="R47" s="8"/>
      <c r="AM47"/>
      <c r="AN47"/>
      <c r="AO47"/>
      <c r="AP47"/>
      <c r="AR47" s="13"/>
      <c r="AS47" s="13"/>
      <c r="AZ47" s="8"/>
      <c r="BA47" s="8"/>
      <c r="BB47" s="8"/>
    </row>
    <row r="48" spans="1:54">
      <c r="A48" s="7495"/>
      <c r="B48" s="7495" t="s">
        <v>33</v>
      </c>
      <c r="C48" s="7496">
        <v>2021</v>
      </c>
      <c r="D48" s="7496">
        <v>3</v>
      </c>
      <c r="E48" s="7496">
        <v>0.25</v>
      </c>
      <c r="F48" s="7496">
        <v>1</v>
      </c>
      <c r="G48" s="7496">
        <v>3</v>
      </c>
      <c r="H48" s="7496"/>
      <c r="I48" s="7496">
        <v>0.46327108144760132</v>
      </c>
      <c r="J48" s="7496">
        <v>1.0657540559768677</v>
      </c>
      <c r="K48" s="7496">
        <v>3.0955984592437744</v>
      </c>
      <c r="L48" s="7496">
        <v>0.11214753985404968</v>
      </c>
      <c r="M48" s="7496">
        <v>0.68383646011352539</v>
      </c>
      <c r="N48" s="7496">
        <v>0.20401598513126373</v>
      </c>
      <c r="O48" s="7496">
        <v>0.24765804409980774</v>
      </c>
      <c r="P48" s="7496"/>
      <c r="Q48" s="8">
        <v>813834</v>
      </c>
      <c r="R48" s="8"/>
      <c r="AM48"/>
      <c r="AN48"/>
      <c r="AO48"/>
      <c r="AP48"/>
      <c r="AR48" s="13"/>
      <c r="AS48" s="13"/>
      <c r="AZ48" s="8"/>
      <c r="BA48" s="8"/>
      <c r="BB48" s="8"/>
    </row>
    <row r="49" spans="1:54">
      <c r="A49" s="7495"/>
      <c r="B49" s="7495" t="s">
        <v>34</v>
      </c>
      <c r="C49" s="7496">
        <v>2023</v>
      </c>
      <c r="D49" s="7496">
        <v>3</v>
      </c>
      <c r="E49" s="7496">
        <v>0.3333333432674408</v>
      </c>
      <c r="F49" s="7496">
        <v>1</v>
      </c>
      <c r="G49" s="7496">
        <v>3</v>
      </c>
      <c r="H49" s="7496"/>
      <c r="I49" s="7496">
        <v>0.51708048582077026</v>
      </c>
      <c r="J49" s="7496">
        <v>1.2343181371688843</v>
      </c>
      <c r="K49" s="7496">
        <v>3.3603312969207764</v>
      </c>
      <c r="L49" s="7496">
        <v>0.16584372520446777</v>
      </c>
      <c r="M49" s="7496">
        <v>0.69448387622833252</v>
      </c>
      <c r="N49" s="7496">
        <v>0.13967239856719971</v>
      </c>
      <c r="O49" s="7496">
        <v>0.38419845700263977</v>
      </c>
      <c r="P49" s="7496"/>
      <c r="Q49" s="8">
        <v>10593798</v>
      </c>
      <c r="R49" s="8"/>
      <c r="AM49"/>
      <c r="AN49"/>
      <c r="AO49"/>
      <c r="AP49"/>
      <c r="AR49" s="13"/>
      <c r="AS49" s="13"/>
      <c r="AZ49" s="8"/>
      <c r="BA49" s="8"/>
      <c r="BB49" s="8"/>
    </row>
    <row r="50" spans="1:54">
      <c r="A50" s="7495"/>
      <c r="B50" s="7495" t="s">
        <v>38</v>
      </c>
      <c r="C50" s="7496">
        <v>2022</v>
      </c>
      <c r="D50" s="7496">
        <v>3</v>
      </c>
      <c r="E50" s="7496">
        <v>0.25</v>
      </c>
      <c r="F50" s="7496">
        <v>1</v>
      </c>
      <c r="G50" s="7496">
        <v>3</v>
      </c>
      <c r="H50" s="7496">
        <v>0.75</v>
      </c>
      <c r="I50" s="7496">
        <v>0.43511372804641724</v>
      </c>
      <c r="J50" s="7496">
        <v>1.174940824508667</v>
      </c>
      <c r="K50" s="7496">
        <v>3.1993331909179688</v>
      </c>
      <c r="L50" s="7496">
        <v>0.14428281784057617</v>
      </c>
      <c r="M50" s="7496">
        <v>0.71883457899093628</v>
      </c>
      <c r="N50" s="7496">
        <v>0.13688258826732635</v>
      </c>
      <c r="O50" s="7496">
        <v>0.24828632175922394</v>
      </c>
      <c r="P50" s="7496">
        <v>0.8973878026008606</v>
      </c>
      <c r="Q50" s="8">
        <v>128455567</v>
      </c>
      <c r="R50" s="8"/>
      <c r="AM50"/>
      <c r="AN50"/>
      <c r="AO50"/>
      <c r="AP50"/>
      <c r="AR50" s="13"/>
      <c r="AS50" s="13"/>
      <c r="AZ50" s="8"/>
      <c r="BA50" s="8"/>
      <c r="BB50" s="8"/>
    </row>
    <row r="51" spans="1:54">
      <c r="A51" s="7495"/>
      <c r="B51" s="7495" t="s">
        <v>42</v>
      </c>
      <c r="C51" s="7496">
        <v>2022</v>
      </c>
      <c r="D51" s="7496">
        <v>3</v>
      </c>
      <c r="E51" s="7496">
        <v>0.3333333432674408</v>
      </c>
      <c r="F51" s="7496">
        <v>1</v>
      </c>
      <c r="G51" s="7496">
        <v>3</v>
      </c>
      <c r="H51" s="7496">
        <v>0.75</v>
      </c>
      <c r="I51" s="7496">
        <v>0.50249689817428589</v>
      </c>
      <c r="J51" s="7496">
        <v>1.1063799858093262</v>
      </c>
      <c r="K51" s="7496">
        <v>3.20188307762146</v>
      </c>
      <c r="L51" s="7496">
        <v>0.1336323469877243</v>
      </c>
      <c r="M51" s="7496">
        <v>0.6671898365020752</v>
      </c>
      <c r="N51" s="7496">
        <v>0.1991778165102005</v>
      </c>
      <c r="O51" s="7496">
        <v>0.28587624430656433</v>
      </c>
      <c r="P51" s="7496">
        <v>0.9051634669303894</v>
      </c>
      <c r="Q51" s="8">
        <v>4468087</v>
      </c>
      <c r="R51" s="8"/>
      <c r="AM51"/>
      <c r="AN51"/>
      <c r="AO51"/>
      <c r="AP51"/>
      <c r="AR51" s="13"/>
      <c r="AS51" s="13"/>
      <c r="AZ51" s="8"/>
      <c r="BA51" s="8"/>
      <c r="BB51" s="8"/>
    </row>
    <row r="52" spans="1:54">
      <c r="A52" s="7495"/>
      <c r="B52" s="7495" t="s">
        <v>44</v>
      </c>
      <c r="C52" s="7496">
        <v>2022</v>
      </c>
      <c r="D52" s="7496">
        <v>3</v>
      </c>
      <c r="E52" s="7496">
        <v>0.3333333432674408</v>
      </c>
      <c r="F52" s="7496">
        <v>1</v>
      </c>
      <c r="G52" s="7496">
        <v>3</v>
      </c>
      <c r="H52" s="7496">
        <v>1</v>
      </c>
      <c r="I52" s="7496">
        <v>0.49133250117301941</v>
      </c>
      <c r="J52" s="7496">
        <v>1.2744314670562744</v>
      </c>
      <c r="K52" s="7496">
        <v>3.2826368808746338</v>
      </c>
      <c r="L52" s="7496">
        <v>0.15374182164669037</v>
      </c>
      <c r="M52" s="7496">
        <v>0.67984533309936523</v>
      </c>
      <c r="N52" s="7496">
        <v>0.16641286015510559</v>
      </c>
      <c r="O52" s="7496">
        <v>0.25506788492202759</v>
      </c>
      <c r="P52" s="7496">
        <v>1.1430250406265259</v>
      </c>
      <c r="Q52" s="8">
        <v>34352719</v>
      </c>
      <c r="R52" s="8"/>
    </row>
    <row r="53" spans="1:54">
      <c r="A53" s="7495"/>
      <c r="B53" s="7495" t="s">
        <v>45</v>
      </c>
      <c r="C53" s="7496">
        <v>2022</v>
      </c>
      <c r="D53" s="7496">
        <v>3</v>
      </c>
      <c r="E53" s="7496">
        <v>0.3333333432674408</v>
      </c>
      <c r="F53" s="7496">
        <v>1</v>
      </c>
      <c r="G53" s="7496">
        <v>3</v>
      </c>
      <c r="H53" s="7496">
        <v>1</v>
      </c>
      <c r="I53" s="7496">
        <v>0.48167502880096436</v>
      </c>
      <c r="J53" s="7496">
        <v>1.3523354530334473</v>
      </c>
      <c r="K53" s="7496">
        <v>3.5251972675323486</v>
      </c>
      <c r="L53" s="7496">
        <v>0.18765231966972351</v>
      </c>
      <c r="M53" s="7496">
        <v>0.71620601415634155</v>
      </c>
      <c r="N53" s="7496">
        <v>9.6141651272773743E-2</v>
      </c>
      <c r="O53" s="7496">
        <v>0.53357613086700439</v>
      </c>
      <c r="P53" s="7496">
        <v>1.1516959667205811</v>
      </c>
      <c r="Q53" s="8">
        <v>6861524</v>
      </c>
      <c r="R53" s="8"/>
    </row>
    <row r="54" spans="1:54">
      <c r="A54" s="7495"/>
      <c r="B54" s="7495" t="s">
        <v>46</v>
      </c>
      <c r="C54" s="7496">
        <v>2023</v>
      </c>
      <c r="D54" s="7496">
        <v>3</v>
      </c>
      <c r="E54" s="7496">
        <v>0.3333333432674408</v>
      </c>
      <c r="F54" s="7496">
        <v>1</v>
      </c>
      <c r="G54" s="7496">
        <v>3</v>
      </c>
      <c r="H54" s="7496">
        <v>1</v>
      </c>
      <c r="I54" s="7496">
        <v>0.42487022280693054</v>
      </c>
      <c r="J54" s="7496">
        <v>1.084513783454895</v>
      </c>
      <c r="K54" s="7496">
        <v>3.0394141674041748</v>
      </c>
      <c r="L54" s="7496">
        <v>0.1404636949300766</v>
      </c>
      <c r="M54" s="7496">
        <v>0.72856396436691284</v>
      </c>
      <c r="N54" s="7496">
        <v>0.13097234070301056</v>
      </c>
      <c r="O54" s="7496">
        <v>0.23468850553035736</v>
      </c>
      <c r="P54" s="7496">
        <v>1.3212372064590454</v>
      </c>
      <c r="Q54" s="8">
        <v>6364943</v>
      </c>
      <c r="R54" s="8"/>
    </row>
    <row r="55" spans="1:54">
      <c r="A55" s="7495"/>
      <c r="B55" s="7495" t="s">
        <v>50</v>
      </c>
      <c r="C55" s="7496">
        <v>2022</v>
      </c>
      <c r="D55" s="7496">
        <v>3</v>
      </c>
      <c r="E55" s="7496">
        <v>0.3333333432674408</v>
      </c>
      <c r="F55" s="7496">
        <v>1</v>
      </c>
      <c r="G55" s="7496">
        <v>2</v>
      </c>
      <c r="H55" s="7496">
        <v>0.75</v>
      </c>
      <c r="I55" s="7496">
        <v>0.44557133316993713</v>
      </c>
      <c r="J55" s="7496">
        <v>0.8609277606010437</v>
      </c>
      <c r="K55" s="7496">
        <v>2.6780471801757813</v>
      </c>
      <c r="L55" s="7496">
        <v>0.11509475857019424</v>
      </c>
      <c r="M55" s="7496">
        <v>0.63943195343017578</v>
      </c>
      <c r="N55" s="7496">
        <v>0.24547329545021057</v>
      </c>
      <c r="O55" s="7496">
        <v>0.1007654070854187</v>
      </c>
      <c r="P55" s="7496">
        <v>0.80442154407501221</v>
      </c>
      <c r="Q55" s="8">
        <v>3423109</v>
      </c>
      <c r="R55" s="8"/>
    </row>
    <row r="56" spans="1:54">
      <c r="A56" s="7495"/>
      <c r="B56" s="7495" t="s">
        <v>51</v>
      </c>
      <c r="C56" s="7496">
        <v>2021</v>
      </c>
      <c r="D56" s="7496">
        <v>3</v>
      </c>
      <c r="E56" s="7496">
        <v>0.25</v>
      </c>
      <c r="F56" s="7496">
        <v>1</v>
      </c>
      <c r="G56" s="7496">
        <v>3</v>
      </c>
      <c r="H56" s="7496"/>
      <c r="I56" s="7496">
        <v>0.4307340681552887</v>
      </c>
      <c r="J56" s="7496">
        <v>0.96795457601547241</v>
      </c>
      <c r="K56" s="7496">
        <v>2.8649015426635742</v>
      </c>
      <c r="L56" s="7496">
        <v>0.15052959322929382</v>
      </c>
      <c r="M56" s="7496">
        <v>0.74115836620330811</v>
      </c>
      <c r="N56" s="7496">
        <v>0.10831203311681747</v>
      </c>
      <c r="O56" s="7496">
        <v>0.24516910314559937</v>
      </c>
      <c r="P56" s="7496"/>
      <c r="Q56" s="8">
        <v>28838499</v>
      </c>
      <c r="R56" s="8"/>
    </row>
    <row r="57" spans="1:54">
      <c r="B57" t="s">
        <v>10</v>
      </c>
      <c r="C57" s="8">
        <v>2022</v>
      </c>
      <c r="D57" s="8">
        <v>100</v>
      </c>
      <c r="E57" s="8">
        <v>0.5</v>
      </c>
      <c r="F57" s="8">
        <v>2</v>
      </c>
      <c r="G57" s="8">
        <v>4</v>
      </c>
      <c r="H57" s="8">
        <v>1.5</v>
      </c>
      <c r="I57" s="8">
        <v>0.7943684458732605</v>
      </c>
      <c r="J57" s="8">
        <v>2.0677845478057861</v>
      </c>
      <c r="K57" s="8">
        <v>4.2707672119140625</v>
      </c>
      <c r="L57" s="8">
        <v>0.30808144807815552</v>
      </c>
      <c r="M57" s="8">
        <v>0.64385342597961426</v>
      </c>
      <c r="N57" s="8">
        <v>4.8065122216939926E-2</v>
      </c>
      <c r="O57" s="8">
        <v>0.8166157603263855</v>
      </c>
      <c r="P57" s="8">
        <v>1.7549169063568115</v>
      </c>
      <c r="Q57" s="8">
        <v>45773884</v>
      </c>
    </row>
    <row r="58" spans="1:54">
      <c r="B58" t="s">
        <v>15</v>
      </c>
      <c r="C58" s="8">
        <v>2022</v>
      </c>
      <c r="D58" s="8">
        <v>100</v>
      </c>
      <c r="E58" s="8">
        <v>0.80000001192092896</v>
      </c>
      <c r="F58" s="8">
        <v>2</v>
      </c>
      <c r="G58" s="8">
        <v>4</v>
      </c>
      <c r="H58" s="8">
        <v>1.6666666269302368</v>
      </c>
      <c r="I58" s="8">
        <v>0.9449426531791687</v>
      </c>
      <c r="J58" s="8">
        <v>2.0042812824249268</v>
      </c>
      <c r="K58" s="8">
        <v>3.9267528057098389</v>
      </c>
      <c r="L58" s="8">
        <v>0.30361038446426392</v>
      </c>
      <c r="M58" s="8">
        <v>0.53793108463287354</v>
      </c>
      <c r="N58" s="8">
        <v>0.15845851600170135</v>
      </c>
      <c r="O58" s="8">
        <v>0.38786536455154419</v>
      </c>
      <c r="P58" s="8">
        <v>2.0848321914672852</v>
      </c>
      <c r="Q58" s="8">
        <v>12388571</v>
      </c>
    </row>
    <row r="59" spans="1:54">
      <c r="B59" t="s">
        <v>17</v>
      </c>
      <c r="C59" s="8">
        <v>2022</v>
      </c>
      <c r="D59" s="8">
        <v>100</v>
      </c>
      <c r="E59" s="8">
        <v>0.5</v>
      </c>
      <c r="F59" s="8">
        <v>1</v>
      </c>
      <c r="G59" s="8">
        <v>4</v>
      </c>
      <c r="H59" s="8"/>
      <c r="I59" s="8">
        <v>0.68727582693099976</v>
      </c>
      <c r="J59" s="8">
        <v>1.5572652816772461</v>
      </c>
      <c r="K59" s="8">
        <v>3.6325733661651611</v>
      </c>
      <c r="L59" s="8">
        <v>0.28547462821006775</v>
      </c>
      <c r="M59" s="8">
        <v>0.67079812288284302</v>
      </c>
      <c r="N59" s="8">
        <v>4.3727260082960129E-2</v>
      </c>
      <c r="O59" s="8">
        <v>0.63507080078125</v>
      </c>
      <c r="P59" s="8"/>
      <c r="Q59" s="8">
        <v>216422446</v>
      </c>
    </row>
    <row r="60" spans="1:54">
      <c r="B60" t="s">
        <v>21</v>
      </c>
      <c r="C60" s="8">
        <v>2022</v>
      </c>
      <c r="D60" s="8">
        <v>100</v>
      </c>
      <c r="E60" s="8">
        <v>0.5</v>
      </c>
      <c r="F60" s="8">
        <v>1</v>
      </c>
      <c r="G60" s="8">
        <v>3</v>
      </c>
      <c r="H60" s="8"/>
      <c r="I60" s="8">
        <v>0.67610210180282593</v>
      </c>
      <c r="J60" s="8">
        <v>1.5085904598236084</v>
      </c>
      <c r="K60" s="8">
        <v>3.4238862991333008</v>
      </c>
      <c r="L60" s="8">
        <v>0.23545335233211517</v>
      </c>
      <c r="M60" s="8">
        <v>0.67365026473999023</v>
      </c>
      <c r="N60" s="8">
        <v>9.0896375477313995E-2</v>
      </c>
      <c r="O60" s="8">
        <v>0.41358190774917603</v>
      </c>
      <c r="P60" s="8"/>
      <c r="Q60" s="8">
        <v>19629590</v>
      </c>
    </row>
    <row r="61" spans="1:54">
      <c r="B61" t="s">
        <v>23</v>
      </c>
      <c r="C61" s="8">
        <v>2022</v>
      </c>
      <c r="D61" s="8">
        <v>100</v>
      </c>
      <c r="E61" s="8">
        <v>0.5</v>
      </c>
      <c r="F61" s="8">
        <v>1</v>
      </c>
      <c r="G61" s="8">
        <v>3</v>
      </c>
      <c r="H61" s="8">
        <v>1</v>
      </c>
      <c r="I61" s="8">
        <v>0.75000035762786865</v>
      </c>
      <c r="J61" s="8">
        <v>1.4532618522644043</v>
      </c>
      <c r="K61" s="8">
        <v>3.5065286159515381</v>
      </c>
      <c r="L61" s="8">
        <v>0.25692093372344971</v>
      </c>
      <c r="M61" s="8">
        <v>0.59960293769836426</v>
      </c>
      <c r="N61" s="8">
        <v>0.14347614347934723</v>
      </c>
      <c r="O61" s="8">
        <v>0.39419177174568176</v>
      </c>
      <c r="P61" s="8">
        <v>1.370050311088562</v>
      </c>
      <c r="Q61" s="8">
        <v>52085168</v>
      </c>
    </row>
    <row r="62" spans="1:54">
      <c r="B62" t="s">
        <v>25</v>
      </c>
      <c r="C62" s="8">
        <v>2023</v>
      </c>
      <c r="D62" s="8">
        <v>100</v>
      </c>
      <c r="E62" s="8">
        <v>0.66666668653488159</v>
      </c>
      <c r="F62" s="8">
        <v>1</v>
      </c>
      <c r="G62" s="8">
        <v>3</v>
      </c>
      <c r="H62" s="8">
        <v>0.80000001192092896</v>
      </c>
      <c r="I62" s="8">
        <v>0.80052059888839722</v>
      </c>
      <c r="J62" s="8">
        <v>1.6083559989929199</v>
      </c>
      <c r="K62" s="8">
        <v>3.6168441772460938</v>
      </c>
      <c r="L62" s="8">
        <v>0.24807363748550415</v>
      </c>
      <c r="M62" s="8">
        <v>0.609142005443573</v>
      </c>
      <c r="N62" s="8">
        <v>0.14278435707092285</v>
      </c>
      <c r="O62" s="8">
        <v>0.40171414613723755</v>
      </c>
      <c r="P62" s="8">
        <v>0.91625845432281494</v>
      </c>
      <c r="Q62" s="8">
        <v>5212173</v>
      </c>
    </row>
    <row r="63" spans="1:54">
      <c r="B63" t="s">
        <v>27</v>
      </c>
      <c r="C63" s="8">
        <v>2022</v>
      </c>
      <c r="D63" s="8">
        <v>100</v>
      </c>
      <c r="E63" s="8">
        <v>1</v>
      </c>
      <c r="F63" s="8">
        <v>1</v>
      </c>
      <c r="G63" s="8">
        <v>4</v>
      </c>
      <c r="H63" s="8">
        <v>1.25</v>
      </c>
      <c r="I63" s="8">
        <v>0.98691755533218384</v>
      </c>
      <c r="J63" s="8">
        <v>1.5763278007507324</v>
      </c>
      <c r="K63" s="8">
        <v>3.6912703514099121</v>
      </c>
      <c r="L63" s="8">
        <v>0.31023943424224854</v>
      </c>
      <c r="M63" s="8">
        <v>0.54714137315750122</v>
      </c>
      <c r="N63" s="8">
        <v>0.14261919260025024</v>
      </c>
      <c r="O63" s="8">
        <v>0.5129353404045105</v>
      </c>
      <c r="P63" s="8">
        <v>1.2951587438583374</v>
      </c>
      <c r="Q63" s="8">
        <v>11332973</v>
      </c>
    </row>
    <row r="64" spans="1:54">
      <c r="B64" t="s">
        <v>29</v>
      </c>
      <c r="C64" s="8">
        <v>2023</v>
      </c>
      <c r="D64" s="8">
        <v>100</v>
      </c>
      <c r="E64" s="8">
        <v>1</v>
      </c>
      <c r="F64" s="8">
        <v>2</v>
      </c>
      <c r="G64" s="8">
        <v>4</v>
      </c>
      <c r="H64" s="8">
        <v>1.5</v>
      </c>
      <c r="I64" s="8">
        <v>1.0320941209793091</v>
      </c>
      <c r="J64" s="8">
        <v>2.1796419620513916</v>
      </c>
      <c r="K64" s="8">
        <v>4.5949063301086426</v>
      </c>
      <c r="L64" s="8">
        <v>0.34153524041175842</v>
      </c>
      <c r="M64" s="8">
        <v>0.54144585132598877</v>
      </c>
      <c r="N64" s="8">
        <v>0.1170189157128334</v>
      </c>
      <c r="O64" s="8">
        <v>0.64044207334518433</v>
      </c>
      <c r="P64" s="8">
        <v>1.7425656318664551</v>
      </c>
      <c r="Q64" s="8">
        <v>18190484</v>
      </c>
    </row>
    <row r="65" spans="2:17">
      <c r="B65" t="s">
        <v>31</v>
      </c>
      <c r="C65" s="8">
        <v>2022</v>
      </c>
      <c r="D65" s="8">
        <v>100</v>
      </c>
      <c r="E65" s="8">
        <v>1</v>
      </c>
      <c r="F65" s="8">
        <v>2</v>
      </c>
      <c r="G65" s="8">
        <v>4</v>
      </c>
      <c r="H65" s="8">
        <v>2</v>
      </c>
      <c r="I65" s="8">
        <v>0.95710331201553345</v>
      </c>
      <c r="J65" s="8">
        <v>2.2261233329772949</v>
      </c>
      <c r="K65" s="8">
        <v>4.6166272163391113</v>
      </c>
      <c r="L65" s="8">
        <v>0.33307841420173645</v>
      </c>
      <c r="M65" s="8">
        <v>0.55586034059524536</v>
      </c>
      <c r="N65" s="8">
        <v>0.11106125265359879</v>
      </c>
      <c r="O65" s="8">
        <v>0.836220383644104</v>
      </c>
      <c r="P65" s="8">
        <v>2.6198666095733643</v>
      </c>
      <c r="Q65" s="8">
        <v>18092026</v>
      </c>
    </row>
    <row r="66" spans="2:17">
      <c r="B66" t="s">
        <v>33</v>
      </c>
      <c r="C66" s="8">
        <v>2021</v>
      </c>
      <c r="D66" s="8">
        <v>100</v>
      </c>
      <c r="E66" s="8">
        <v>0.5</v>
      </c>
      <c r="F66" s="8">
        <v>1</v>
      </c>
      <c r="G66" s="8">
        <v>4</v>
      </c>
      <c r="H66" s="8"/>
      <c r="I66" s="8">
        <v>0.69436550140380859</v>
      </c>
      <c r="J66" s="8">
        <v>1.6591922044754028</v>
      </c>
      <c r="K66" s="8">
        <v>4.0113868713378906</v>
      </c>
      <c r="L66" s="8">
        <v>0.21837696433067322</v>
      </c>
      <c r="M66" s="8">
        <v>0.62287133932113647</v>
      </c>
      <c r="N66" s="8">
        <v>0.15861625969409943</v>
      </c>
      <c r="O66" s="8">
        <v>0.43432199954986572</v>
      </c>
      <c r="P66" s="8"/>
      <c r="Q66" s="8">
        <v>813834</v>
      </c>
    </row>
    <row r="67" spans="2:17">
      <c r="B67" t="s">
        <v>34</v>
      </c>
      <c r="C67" s="8">
        <v>2023</v>
      </c>
      <c r="D67" s="8">
        <v>100</v>
      </c>
      <c r="E67" s="8">
        <v>0.66666668653488159</v>
      </c>
      <c r="F67" s="8">
        <v>2</v>
      </c>
      <c r="G67" s="8">
        <v>4</v>
      </c>
      <c r="H67" s="8"/>
      <c r="I67" s="8">
        <v>0.86216294765472412</v>
      </c>
      <c r="J67" s="8">
        <v>1.7258658409118652</v>
      </c>
      <c r="K67" s="8">
        <v>4.168121337890625</v>
      </c>
      <c r="L67" s="8">
        <v>0.28476765751838684</v>
      </c>
      <c r="M67" s="8">
        <v>0.56912779808044434</v>
      </c>
      <c r="N67" s="8">
        <v>0.14610454440116882</v>
      </c>
      <c r="O67" s="8">
        <v>0.72623276710510254</v>
      </c>
      <c r="P67" s="8"/>
      <c r="Q67" s="8">
        <v>10593798</v>
      </c>
    </row>
    <row r="68" spans="2:17">
      <c r="B68" t="s">
        <v>38</v>
      </c>
      <c r="C68" s="8">
        <v>2022</v>
      </c>
      <c r="D68" s="8">
        <v>100</v>
      </c>
      <c r="E68" s="8">
        <v>0.66666668653488159</v>
      </c>
      <c r="F68" s="8">
        <v>2</v>
      </c>
      <c r="G68" s="8">
        <v>4</v>
      </c>
      <c r="H68" s="8">
        <v>1.25</v>
      </c>
      <c r="I68" s="8">
        <v>0.84397870302200317</v>
      </c>
      <c r="J68" s="8">
        <v>1.7043089866638184</v>
      </c>
      <c r="K68" s="8">
        <v>4.0872721672058105</v>
      </c>
      <c r="L68" s="8">
        <v>0.27095487713813782</v>
      </c>
      <c r="M68" s="8">
        <v>0.56206279993057251</v>
      </c>
      <c r="N68" s="8">
        <v>0.16698230803012848</v>
      </c>
      <c r="O68" s="8">
        <v>0.55543941259384155</v>
      </c>
      <c r="P68" s="8">
        <v>1.4159018993377686</v>
      </c>
      <c r="Q68" s="8">
        <v>128455567</v>
      </c>
    </row>
    <row r="69" spans="2:17">
      <c r="B69" t="s">
        <v>42</v>
      </c>
      <c r="C69" s="8">
        <v>2022</v>
      </c>
      <c r="D69" s="8">
        <v>100</v>
      </c>
      <c r="E69" s="8">
        <v>0.75</v>
      </c>
      <c r="F69" s="8">
        <v>2</v>
      </c>
      <c r="G69" s="8">
        <v>4</v>
      </c>
      <c r="H69" s="8">
        <v>1.25</v>
      </c>
      <c r="I69" s="8">
        <v>0.90096604824066162</v>
      </c>
      <c r="J69" s="8">
        <v>1.9061472415924072</v>
      </c>
      <c r="K69" s="8">
        <v>4.4131855964660645</v>
      </c>
      <c r="L69" s="8">
        <v>0.27549093961715698</v>
      </c>
      <c r="M69" s="8">
        <v>0.58836191892623901</v>
      </c>
      <c r="N69" s="8">
        <v>0.13614718616008759</v>
      </c>
      <c r="O69" s="8">
        <v>0.78931963443756104</v>
      </c>
      <c r="P69" s="8">
        <v>1.9222660064697266</v>
      </c>
      <c r="Q69" s="8">
        <v>4468087</v>
      </c>
    </row>
    <row r="70" spans="2:17">
      <c r="B70" t="s">
        <v>44</v>
      </c>
      <c r="C70" s="8">
        <v>2022</v>
      </c>
      <c r="D70" s="8">
        <v>100</v>
      </c>
      <c r="E70" s="8">
        <v>0.66666668653488159</v>
      </c>
      <c r="F70" s="8">
        <v>2</v>
      </c>
      <c r="G70" s="8">
        <v>4</v>
      </c>
      <c r="H70" s="8">
        <v>1.3333333730697632</v>
      </c>
      <c r="I70" s="8">
        <v>0.82720893621444702</v>
      </c>
      <c r="J70" s="8">
        <v>1.681637167930603</v>
      </c>
      <c r="K70" s="8">
        <v>3.8634881973266602</v>
      </c>
      <c r="L70" s="8">
        <v>0.26432698965072632</v>
      </c>
      <c r="M70" s="8">
        <v>0.55416083335876465</v>
      </c>
      <c r="N70" s="8">
        <v>0.18151220679283142</v>
      </c>
      <c r="O70" s="8">
        <v>0.47470849752426147</v>
      </c>
      <c r="P70" s="8">
        <v>1.6361186504364014</v>
      </c>
      <c r="Q70" s="8">
        <v>34352719</v>
      </c>
    </row>
    <row r="71" spans="2:17">
      <c r="B71" t="s">
        <v>45</v>
      </c>
      <c r="C71" s="8">
        <v>2022</v>
      </c>
      <c r="D71" s="8">
        <v>100</v>
      </c>
      <c r="E71" s="8">
        <v>1</v>
      </c>
      <c r="F71" s="8">
        <v>2</v>
      </c>
      <c r="G71" s="8">
        <v>4</v>
      </c>
      <c r="H71" s="8">
        <v>1.3333333730697632</v>
      </c>
      <c r="I71" s="8">
        <v>0.94396013021469116</v>
      </c>
      <c r="J71" s="8">
        <v>1.8618322610855103</v>
      </c>
      <c r="K71" s="8">
        <v>4.0294985771179199</v>
      </c>
      <c r="L71" s="8">
        <v>0.32651019096374512</v>
      </c>
      <c r="M71" s="8">
        <v>0.5604473352432251</v>
      </c>
      <c r="N71" s="8">
        <v>0.11304249614477158</v>
      </c>
      <c r="O71" s="8">
        <v>0.7562708854675293</v>
      </c>
      <c r="P71" s="8">
        <v>1.713276743888855</v>
      </c>
      <c r="Q71" s="8">
        <v>6861524</v>
      </c>
    </row>
    <row r="72" spans="2:17">
      <c r="B72" t="s">
        <v>46</v>
      </c>
      <c r="C72" s="8">
        <v>2023</v>
      </c>
      <c r="D72" s="8">
        <v>100</v>
      </c>
      <c r="E72" s="8">
        <v>0.5</v>
      </c>
      <c r="F72" s="8">
        <v>1</v>
      </c>
      <c r="G72" s="8">
        <v>3</v>
      </c>
      <c r="H72" s="8">
        <v>1.3333333730697632</v>
      </c>
      <c r="I72" s="8">
        <v>0.74950999021530151</v>
      </c>
      <c r="J72" s="8">
        <v>1.3993918895721436</v>
      </c>
      <c r="K72" s="8">
        <v>3.4796774387359619</v>
      </c>
      <c r="L72" s="8">
        <v>0.25213754177093506</v>
      </c>
      <c r="M72" s="8">
        <v>0.59298104047775269</v>
      </c>
      <c r="N72" s="8">
        <v>0.15488140285015106</v>
      </c>
      <c r="O72" s="8">
        <v>0.43642967939376831</v>
      </c>
      <c r="P72" s="8">
        <v>1.9072983264923096</v>
      </c>
      <c r="Q72" s="8">
        <v>6364943</v>
      </c>
    </row>
    <row r="73" spans="2:17">
      <c r="B73" t="s">
        <v>50</v>
      </c>
      <c r="C73" s="8">
        <v>2022</v>
      </c>
      <c r="D73" s="8">
        <v>100</v>
      </c>
      <c r="E73" s="8">
        <v>0.66666668653488159</v>
      </c>
      <c r="F73" s="8">
        <v>2</v>
      </c>
      <c r="G73" s="8">
        <v>4</v>
      </c>
      <c r="H73" s="8">
        <v>1.3333333730697632</v>
      </c>
      <c r="I73" s="8">
        <v>0.87021231651306152</v>
      </c>
      <c r="J73" s="8">
        <v>2.1080443859100342</v>
      </c>
      <c r="K73" s="8">
        <v>4.1076641082763672</v>
      </c>
      <c r="L73" s="8">
        <v>0.3424035906791687</v>
      </c>
      <c r="M73" s="8">
        <v>0.60807621479034424</v>
      </c>
      <c r="N73" s="8">
        <v>4.9520190805196762E-2</v>
      </c>
      <c r="O73" s="8">
        <v>0.77660328149795532</v>
      </c>
      <c r="P73" s="8">
        <v>1.4577054977416992</v>
      </c>
      <c r="Q73" s="8">
        <v>3423109</v>
      </c>
    </row>
    <row r="74" spans="2:17">
      <c r="B74" t="s">
        <v>51</v>
      </c>
      <c r="C74" s="8">
        <v>2021</v>
      </c>
      <c r="D74" s="8">
        <v>100</v>
      </c>
      <c r="E74" s="8">
        <v>0.5</v>
      </c>
      <c r="F74" s="8">
        <v>1</v>
      </c>
      <c r="G74" s="8">
        <v>3</v>
      </c>
      <c r="H74" s="8"/>
      <c r="I74" s="8">
        <v>0.65883976221084595</v>
      </c>
      <c r="J74" s="8">
        <v>1.3837772607803345</v>
      </c>
      <c r="K74" s="8">
        <v>3.4661741256713867</v>
      </c>
      <c r="L74" s="8">
        <v>0.22497119009494781</v>
      </c>
      <c r="M74" s="8">
        <v>0.64438241720199585</v>
      </c>
      <c r="N74" s="8">
        <v>0.13064642250537872</v>
      </c>
      <c r="O74" s="8">
        <v>0.38897797465324402</v>
      </c>
      <c r="P74" s="8"/>
      <c r="Q74" s="8">
        <v>28838499</v>
      </c>
    </row>
  </sheetData>
  <pageMargins left="0.7" right="0.7" top="0.75" bottom="0.75" header="0.3" footer="0.3"/>
  <pageSetup orientation="portrait" r:id="rId3"/>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6AC83-C360-4271-B79C-67FC6721E94A}">
  <sheetPr>
    <tabColor rgb="FF002060"/>
  </sheetPr>
  <dimension ref="B1:AE57"/>
  <sheetViews>
    <sheetView showGridLines="0" topLeftCell="J1" zoomScale="50" zoomScaleNormal="50" workbookViewId="0">
      <selection activeCell="Y7" sqref="Y7:AA13"/>
    </sheetView>
  </sheetViews>
  <sheetFormatPr defaultRowHeight="14.5"/>
  <cols>
    <col min="12" max="14" width="10.81640625" customWidth="1"/>
    <col min="16" max="16" width="11.81640625" bestFit="1" customWidth="1"/>
  </cols>
  <sheetData>
    <row r="1" spans="2:31">
      <c r="B1" s="125" t="s">
        <v>995</v>
      </c>
      <c r="C1" s="125" t="s">
        <v>996</v>
      </c>
      <c r="D1" s="125" t="s">
        <v>1045</v>
      </c>
      <c r="E1" s="125" t="s">
        <v>1064</v>
      </c>
      <c r="F1" s="125" t="s">
        <v>1065</v>
      </c>
      <c r="G1" s="125" t="s">
        <v>1066</v>
      </c>
      <c r="H1" s="125" t="s">
        <v>1067</v>
      </c>
      <c r="I1" s="125" t="s">
        <v>1068</v>
      </c>
      <c r="J1" s="125" t="s">
        <v>1069</v>
      </c>
      <c r="K1" s="125" t="s">
        <v>1095</v>
      </c>
      <c r="L1" s="125" t="s">
        <v>1005</v>
      </c>
      <c r="M1" s="122"/>
      <c r="N1" s="122"/>
    </row>
    <row r="2" spans="2:31">
      <c r="B2" s="125" t="s">
        <v>10</v>
      </c>
      <c r="C2" s="127">
        <v>2022</v>
      </c>
      <c r="D2" s="127">
        <v>1</v>
      </c>
      <c r="E2" s="128">
        <v>0.37714505195617681</v>
      </c>
      <c r="F2" s="128">
        <v>0.25412005186080933</v>
      </c>
      <c r="G2" s="128">
        <v>0.19834105670452121</v>
      </c>
      <c r="H2" s="128">
        <v>0.12990237772464749</v>
      </c>
      <c r="I2" s="128">
        <v>3.3934898674488068E-2</v>
      </c>
      <c r="J2" s="128">
        <v>6.5565821714699268E-3</v>
      </c>
      <c r="K2" s="128">
        <v>0.5926673412322998</v>
      </c>
      <c r="L2" s="127">
        <v>45773884</v>
      </c>
      <c r="M2" s="122"/>
      <c r="N2" s="122"/>
      <c r="Q2" s="76" t="s">
        <v>1096</v>
      </c>
      <c r="R2" s="76" t="s">
        <v>1097</v>
      </c>
      <c r="S2" s="76" t="s">
        <v>1098</v>
      </c>
      <c r="T2" s="76" t="s">
        <v>1099</v>
      </c>
      <c r="U2" s="76" t="s">
        <v>1100</v>
      </c>
      <c r="V2">
        <v>76</v>
      </c>
      <c r="W2" s="76" t="s">
        <v>1101</v>
      </c>
    </row>
    <row r="3" spans="2:31">
      <c r="B3" s="125" t="s">
        <v>15</v>
      </c>
      <c r="C3" s="127">
        <v>2022</v>
      </c>
      <c r="D3" s="127">
        <v>1</v>
      </c>
      <c r="E3" s="128">
        <v>0.4492504894733429</v>
      </c>
      <c r="F3" s="128">
        <v>0.19221162796020511</v>
      </c>
      <c r="G3" s="128">
        <v>0.1730494350194931</v>
      </c>
      <c r="H3" s="128">
        <v>0.13583199679851529</v>
      </c>
      <c r="I3" s="128">
        <v>3.795328363776207E-2</v>
      </c>
      <c r="J3" s="128">
        <v>1.1703170835971831E-2</v>
      </c>
      <c r="K3" s="128">
        <v>0.51221144199371338</v>
      </c>
      <c r="L3" s="127">
        <v>12388571</v>
      </c>
      <c r="M3" s="122"/>
      <c r="N3" s="122"/>
      <c r="P3" s="124" t="s">
        <v>900</v>
      </c>
      <c r="Q3" s="8">
        <f>SUMPRODUCT(E2:E19,$L$2:$L$19)/SUM($L$2:$L$19)*100</f>
        <v>38.997117167016555</v>
      </c>
      <c r="R3" s="8">
        <f>SUMPRODUCT(F2:F19,$L$2:$L$19)/SUM($L$2:$L$19)*100</f>
        <v>21.672221343453092</v>
      </c>
      <c r="S3" s="8">
        <f t="shared" ref="S3:W3" si="0">SUMPRODUCT(G2:G19,$L$2:$L$19)/SUM($L$2:$L$19)*100</f>
        <v>19.05684579800408</v>
      </c>
      <c r="T3" s="8">
        <f t="shared" si="0"/>
        <v>11.893904478897028</v>
      </c>
      <c r="U3" s="8">
        <f t="shared" si="0"/>
        <v>5.8878614878588698</v>
      </c>
      <c r="V3" s="8">
        <f t="shared" si="0"/>
        <v>2.4920496982606148</v>
      </c>
      <c r="W3" s="8">
        <f t="shared" si="0"/>
        <v>54.209125684538549</v>
      </c>
      <c r="X3" s="8"/>
      <c r="Y3" s="8"/>
      <c r="Z3" s="8"/>
    </row>
    <row r="4" spans="2:31">
      <c r="B4" s="125" t="s">
        <v>17</v>
      </c>
      <c r="C4" s="127">
        <v>2022</v>
      </c>
      <c r="D4" s="127">
        <v>1</v>
      </c>
      <c r="E4" s="128">
        <v>0.41239431500434881</v>
      </c>
      <c r="F4" s="128">
        <v>0.23942436277866361</v>
      </c>
      <c r="G4" s="128">
        <v>0.21130554378032679</v>
      </c>
      <c r="H4" s="128">
        <v>0.11005923897027969</v>
      </c>
      <c r="I4" s="128">
        <v>2.3028101772069931E-2</v>
      </c>
      <c r="J4" s="128">
        <v>3.7884402554482222E-3</v>
      </c>
      <c r="K4" s="128">
        <v>0.5710301399230957</v>
      </c>
      <c r="L4" s="127">
        <v>216422446</v>
      </c>
      <c r="M4" s="122"/>
      <c r="N4" s="122"/>
      <c r="P4" s="124" t="s">
        <v>1014</v>
      </c>
      <c r="Q4" s="8">
        <f>SUMPRODUCT(E20:E37,$L$20:$L$37)/SUM($L$20:$L$37)*100</f>
        <v>32.896709405581035</v>
      </c>
      <c r="R4" s="8">
        <f t="shared" ref="R4:W4" si="1">SUMPRODUCT(F20:F37,$L$20:$L$37)/SUM($L$20:$L$37)*100</f>
        <v>23.472214917431973</v>
      </c>
      <c r="S4" s="8">
        <f t="shared" si="1"/>
        <v>20.434819441936899</v>
      </c>
      <c r="T4" s="8">
        <f t="shared" si="1"/>
        <v>13.396981735938219</v>
      </c>
      <c r="U4" s="8">
        <f t="shared" si="1"/>
        <v>7.2002441855636699</v>
      </c>
      <c r="V4" s="8">
        <f t="shared" si="1"/>
        <v>2.5990304485811708</v>
      </c>
      <c r="W4" s="8">
        <f t="shared" si="1"/>
        <v>59.366921737725505</v>
      </c>
      <c r="X4" s="8"/>
      <c r="Y4" s="8"/>
      <c r="Z4" s="8"/>
    </row>
    <row r="5" spans="2:31">
      <c r="B5" s="125" t="s">
        <v>21</v>
      </c>
      <c r="C5" s="127">
        <v>2022</v>
      </c>
      <c r="D5" s="127">
        <v>1</v>
      </c>
      <c r="E5" s="128">
        <v>0.31304734945297241</v>
      </c>
      <c r="F5" s="128">
        <v>0.21444086730480191</v>
      </c>
      <c r="G5" s="128">
        <v>0.19831500947475431</v>
      </c>
      <c r="H5" s="128">
        <v>0.1838203817605972</v>
      </c>
      <c r="I5" s="128">
        <v>7.4396684765815735E-2</v>
      </c>
      <c r="J5" s="128">
        <v>1.59797053784132E-2</v>
      </c>
      <c r="K5" s="128">
        <v>0.63159149885177612</v>
      </c>
      <c r="L5" s="127">
        <v>19629590</v>
      </c>
      <c r="M5" s="122"/>
      <c r="N5" s="122"/>
      <c r="P5" s="124" t="s">
        <v>1102</v>
      </c>
      <c r="Q5" s="8">
        <f>SUMPRODUCT(E38:E55,$L$38:$L$55)/SUM($L$38:$L$55)*100</f>
        <v>19.414531601399176</v>
      </c>
      <c r="R5" s="8">
        <f t="shared" ref="R5:W5" si="2">SUMPRODUCT(F38:F55,$L$38:$L$55)/SUM($L$38:$L$55)*100</f>
        <v>23.692963000244081</v>
      </c>
      <c r="S5" s="8">
        <f t="shared" si="2"/>
        <v>21.943472151526944</v>
      </c>
      <c r="T5" s="8">
        <f t="shared" si="2"/>
        <v>18.944703443517412</v>
      </c>
      <c r="U5" s="8">
        <f t="shared" si="2"/>
        <v>11.77194299221363</v>
      </c>
      <c r="V5" s="8">
        <f t="shared" si="2"/>
        <v>4.2323871383633112</v>
      </c>
      <c r="W5" s="8">
        <f t="shared" si="2"/>
        <v>67.767434053717096</v>
      </c>
      <c r="X5" s="8"/>
      <c r="Y5" s="8"/>
      <c r="Z5" s="8"/>
    </row>
    <row r="6" spans="2:31">
      <c r="B6" s="125" t="s">
        <v>23</v>
      </c>
      <c r="C6" s="127">
        <v>2022</v>
      </c>
      <c r="D6" s="127">
        <v>1</v>
      </c>
      <c r="E6" s="128">
        <v>0.36044621467590332</v>
      </c>
      <c r="F6" s="128">
        <v>0.21633870899677279</v>
      </c>
      <c r="G6" s="128">
        <v>0.1714507192373276</v>
      </c>
      <c r="H6" s="128">
        <v>0.1232998371124268</v>
      </c>
      <c r="I6" s="128">
        <v>8.5025161504745483E-2</v>
      </c>
      <c r="J6" s="128">
        <v>4.3439347296953201E-2</v>
      </c>
      <c r="K6" s="128">
        <v>0.53226542472839355</v>
      </c>
      <c r="L6" s="127">
        <v>52085168</v>
      </c>
      <c r="M6" s="122"/>
      <c r="N6" s="122"/>
      <c r="P6" s="8"/>
    </row>
    <row r="7" spans="2:31">
      <c r="B7" s="125" t="s">
        <v>25</v>
      </c>
      <c r="C7" s="127">
        <v>2023</v>
      </c>
      <c r="D7" s="127">
        <v>1</v>
      </c>
      <c r="E7" s="128">
        <v>0.35602092742919922</v>
      </c>
      <c r="F7" s="128">
        <v>0.20792561769485471</v>
      </c>
      <c r="G7" s="128">
        <v>0.17954942584037781</v>
      </c>
      <c r="H7" s="128">
        <v>0.13411673903465271</v>
      </c>
      <c r="I7" s="128">
        <v>9.394025057554245E-2</v>
      </c>
      <c r="J7" s="128">
        <v>2.8447043150663379E-2</v>
      </c>
      <c r="K7" s="128">
        <v>0.54746615886688232</v>
      </c>
      <c r="L7" s="127">
        <v>5212173</v>
      </c>
      <c r="M7" s="122"/>
      <c r="N7" s="122"/>
      <c r="Y7" s="76" t="s">
        <v>1103</v>
      </c>
      <c r="Z7" s="76" t="s">
        <v>1102</v>
      </c>
      <c r="AA7" s="76" t="s">
        <v>900</v>
      </c>
      <c r="AC7" s="76"/>
    </row>
    <row r="8" spans="2:31">
      <c r="B8" s="125" t="s">
        <v>27</v>
      </c>
      <c r="C8" s="127">
        <v>2022</v>
      </c>
      <c r="D8" s="127">
        <v>1</v>
      </c>
      <c r="E8" s="128">
        <v>0.41909441351890558</v>
      </c>
      <c r="F8" s="128">
        <v>0.19513356685638431</v>
      </c>
      <c r="G8" s="128">
        <v>0.15343643724918371</v>
      </c>
      <c r="H8" s="128">
        <v>0.1118185818195343</v>
      </c>
      <c r="I8" s="128">
        <v>8.6678437888622284E-2</v>
      </c>
      <c r="J8" s="128">
        <v>3.3838555216789253E-2</v>
      </c>
      <c r="K8" s="128">
        <v>0.48367485404014587</v>
      </c>
      <c r="L8" s="127">
        <v>11332973</v>
      </c>
      <c r="M8" s="122"/>
      <c r="N8" s="122"/>
      <c r="Y8" s="76" t="s">
        <v>1096</v>
      </c>
      <c r="Z8" s="8">
        <f>Q5</f>
        <v>19.414531601399176</v>
      </c>
      <c r="AA8" s="8">
        <f>-Q3</f>
        <v>-38.997117167016555</v>
      </c>
      <c r="AC8" s="8"/>
      <c r="AE8" t="s">
        <v>1104</v>
      </c>
    </row>
    <row r="9" spans="2:31">
      <c r="B9" s="125" t="s">
        <v>29</v>
      </c>
      <c r="C9" s="127">
        <v>2023</v>
      </c>
      <c r="D9" s="127">
        <v>1</v>
      </c>
      <c r="E9" s="128">
        <v>0.49204477667808533</v>
      </c>
      <c r="F9" s="128">
        <v>0.19399704039096829</v>
      </c>
      <c r="G9" s="128">
        <v>0.14973290264606481</v>
      </c>
      <c r="H9" s="128">
        <v>9.8547466099262238E-2</v>
      </c>
      <c r="I9" s="128">
        <v>4.0064942091703408E-2</v>
      </c>
      <c r="J9" s="128">
        <v>2.5612890720367432E-2</v>
      </c>
      <c r="K9" s="128">
        <v>0.4538058340549469</v>
      </c>
      <c r="L9" s="127">
        <v>18190484</v>
      </c>
      <c r="M9" s="122"/>
      <c r="N9" s="122"/>
      <c r="Y9" s="76" t="s">
        <v>1097</v>
      </c>
      <c r="Z9" s="8">
        <f>R5</f>
        <v>23.692963000244081</v>
      </c>
      <c r="AA9" s="8">
        <f>-R3</f>
        <v>-21.672221343453092</v>
      </c>
      <c r="AC9" s="8"/>
      <c r="AE9" t="s">
        <v>1105</v>
      </c>
    </row>
    <row r="10" spans="2:31">
      <c r="B10" s="125" t="s">
        <v>31</v>
      </c>
      <c r="C10" s="127">
        <v>2022</v>
      </c>
      <c r="D10" s="127">
        <v>1</v>
      </c>
      <c r="E10" s="128">
        <v>0.43788519501686102</v>
      </c>
      <c r="F10" s="128">
        <v>0.21712155640125269</v>
      </c>
      <c r="G10" s="128">
        <v>0.16292603313922879</v>
      </c>
      <c r="H10" s="128">
        <v>8.9080147445201874E-2</v>
      </c>
      <c r="I10" s="128">
        <v>6.8111494183540344E-2</v>
      </c>
      <c r="J10" s="128">
        <v>2.4875568225979802E-2</v>
      </c>
      <c r="K10" s="128">
        <v>0.48162189126014709</v>
      </c>
      <c r="L10" s="127">
        <v>18092026</v>
      </c>
      <c r="M10" s="122"/>
      <c r="N10" s="122"/>
      <c r="Y10" s="76" t="s">
        <v>1098</v>
      </c>
      <c r="Z10" s="8">
        <f>S5</f>
        <v>21.943472151526944</v>
      </c>
      <c r="AA10" s="8">
        <f>-S3</f>
        <v>-19.05684579800408</v>
      </c>
      <c r="AC10" s="8"/>
      <c r="AE10" t="s">
        <v>1106</v>
      </c>
    </row>
    <row r="11" spans="2:31">
      <c r="B11" s="125" t="s">
        <v>33</v>
      </c>
      <c r="C11" s="127">
        <v>2021</v>
      </c>
      <c r="D11" s="127">
        <v>1</v>
      </c>
      <c r="E11" s="128">
        <v>0.34272018074989319</v>
      </c>
      <c r="F11" s="128">
        <v>0.24690914154052729</v>
      </c>
      <c r="G11" s="128">
        <v>0.16266047954559329</v>
      </c>
      <c r="H11" s="128">
        <v>0.15459221601486209</v>
      </c>
      <c r="I11" s="128">
        <v>7.6861634850502014E-2</v>
      </c>
      <c r="J11" s="128">
        <v>1.6256330534815788E-2</v>
      </c>
      <c r="K11" s="128">
        <v>0.58856141567230225</v>
      </c>
      <c r="L11" s="127">
        <v>813834</v>
      </c>
      <c r="M11" s="122"/>
      <c r="N11" s="122"/>
      <c r="Y11" s="76" t="s">
        <v>1099</v>
      </c>
      <c r="Z11" s="8">
        <f>T5</f>
        <v>18.944703443517412</v>
      </c>
      <c r="AA11" s="8">
        <f>-T3</f>
        <v>-11.893904478897028</v>
      </c>
      <c r="AC11" s="8"/>
    </row>
    <row r="12" spans="2:31">
      <c r="B12" s="125" t="s">
        <v>34</v>
      </c>
      <c r="C12" s="127">
        <v>2023</v>
      </c>
      <c r="D12" s="127">
        <v>1</v>
      </c>
      <c r="E12" s="128">
        <v>0.37705463171005249</v>
      </c>
      <c r="F12" s="128">
        <v>0.21829794347286219</v>
      </c>
      <c r="G12" s="128">
        <v>0.1671738475561142</v>
      </c>
      <c r="H12" s="128">
        <v>0.1146903485059738</v>
      </c>
      <c r="I12" s="128">
        <v>8.5651479661464691E-2</v>
      </c>
      <c r="J12" s="128">
        <v>3.7131745368242257E-2</v>
      </c>
      <c r="K12" s="128">
        <v>0.52158832550048828</v>
      </c>
      <c r="L12" s="127">
        <v>10593798</v>
      </c>
      <c r="M12" s="122"/>
      <c r="N12" s="122"/>
      <c r="Y12" s="76" t="s">
        <v>1100</v>
      </c>
      <c r="Z12" s="8">
        <f>U5</f>
        <v>11.77194299221363</v>
      </c>
      <c r="AA12" s="8">
        <f>-U3</f>
        <v>-5.8878614878588698</v>
      </c>
      <c r="AC12" s="8"/>
    </row>
    <row r="13" spans="2:31">
      <c r="B13" s="125" t="s">
        <v>38</v>
      </c>
      <c r="C13" s="127">
        <v>2022</v>
      </c>
      <c r="D13" s="127">
        <v>1</v>
      </c>
      <c r="E13" s="128">
        <v>0.36979961395263672</v>
      </c>
      <c r="F13" s="128">
        <v>0.181136354804039</v>
      </c>
      <c r="G13" s="128">
        <v>0.1822065860033035</v>
      </c>
      <c r="H13" s="128">
        <v>0.11550648510456089</v>
      </c>
      <c r="I13" s="128">
        <v>9.7007870674133301E-2</v>
      </c>
      <c r="J13" s="128">
        <v>5.4343082010746002E-2</v>
      </c>
      <c r="K13" s="128">
        <v>0.49659177660942078</v>
      </c>
      <c r="L13" s="127">
        <v>128455567</v>
      </c>
      <c r="M13" s="122"/>
      <c r="N13" s="122"/>
      <c r="Y13" s="26">
        <v>76</v>
      </c>
      <c r="Z13" s="8">
        <f>V5</f>
        <v>4.2323871383633112</v>
      </c>
      <c r="AA13" s="8">
        <f>-V3</f>
        <v>-2.4920496982606148</v>
      </c>
      <c r="AC13" s="8"/>
    </row>
    <row r="14" spans="2:31">
      <c r="B14" s="125" t="s">
        <v>42</v>
      </c>
      <c r="C14" s="127">
        <v>2022</v>
      </c>
      <c r="D14" s="127">
        <v>1</v>
      </c>
      <c r="E14" s="128">
        <v>0.49717110395431519</v>
      </c>
      <c r="F14" s="128">
        <v>0.20955902338027951</v>
      </c>
      <c r="G14" s="128">
        <v>0.1145457327365875</v>
      </c>
      <c r="H14" s="128">
        <v>0.11186766624450679</v>
      </c>
      <c r="I14" s="128">
        <v>5.4749604314565659E-2</v>
      </c>
      <c r="J14" s="128">
        <v>1.21068898588419E-2</v>
      </c>
      <c r="K14" s="128">
        <v>0.45311525464057922</v>
      </c>
      <c r="L14" s="127">
        <v>4468087</v>
      </c>
      <c r="M14" s="122"/>
      <c r="N14" s="122"/>
    </row>
    <row r="15" spans="2:31">
      <c r="B15" s="125" t="s">
        <v>44</v>
      </c>
      <c r="C15" s="127">
        <v>2022</v>
      </c>
      <c r="D15" s="127">
        <v>1</v>
      </c>
      <c r="E15" s="128">
        <v>0.37479403614997858</v>
      </c>
      <c r="F15" s="128">
        <v>0.1814184635877609</v>
      </c>
      <c r="G15" s="128">
        <v>0.18366377055644989</v>
      </c>
      <c r="H15" s="128">
        <v>0.12986120581626889</v>
      </c>
      <c r="I15" s="128">
        <v>8.9241795241832733E-2</v>
      </c>
      <c r="J15" s="128">
        <v>4.1020717471837997E-2</v>
      </c>
      <c r="K15" s="128">
        <v>0.51875400543212891</v>
      </c>
      <c r="L15" s="127">
        <v>34352719</v>
      </c>
      <c r="M15" s="122"/>
      <c r="N15" s="122"/>
    </row>
    <row r="16" spans="2:31">
      <c r="B16" s="125" t="s">
        <v>45</v>
      </c>
      <c r="C16" s="127">
        <v>2022</v>
      </c>
      <c r="D16" s="127">
        <v>1</v>
      </c>
      <c r="E16" s="128">
        <v>0.42289769649505621</v>
      </c>
      <c r="F16" s="128">
        <v>0.2094545513391495</v>
      </c>
      <c r="G16" s="128">
        <v>0.16745063662528989</v>
      </c>
      <c r="H16" s="128">
        <v>0.12969861924648279</v>
      </c>
      <c r="I16" s="128">
        <v>5.1030702888965607E-2</v>
      </c>
      <c r="J16" s="128">
        <v>1.9467780366539959E-2</v>
      </c>
      <c r="K16" s="128">
        <v>0.52301841974258423</v>
      </c>
      <c r="L16" s="127">
        <v>6861524</v>
      </c>
      <c r="M16" s="122"/>
      <c r="N16" s="122"/>
    </row>
    <row r="17" spans="2:20">
      <c r="B17" s="125" t="s">
        <v>46</v>
      </c>
      <c r="C17" s="127">
        <v>2023</v>
      </c>
      <c r="D17" s="127">
        <v>1</v>
      </c>
      <c r="E17" s="128">
        <v>0.31867948174476618</v>
      </c>
      <c r="F17" s="128">
        <v>0.20273470878601069</v>
      </c>
      <c r="G17" s="128">
        <v>0.1760019063949585</v>
      </c>
      <c r="H17" s="128">
        <v>0.13990889489650729</v>
      </c>
      <c r="I17" s="128">
        <v>0.1031130105257034</v>
      </c>
      <c r="J17" s="128">
        <v>5.9562020003795617E-2</v>
      </c>
      <c r="K17" s="128">
        <v>0.54276448488235474</v>
      </c>
      <c r="L17" s="127">
        <v>6364943</v>
      </c>
      <c r="M17" s="122"/>
      <c r="N17" s="122"/>
    </row>
    <row r="18" spans="2:20">
      <c r="B18" s="125" t="s">
        <v>50</v>
      </c>
      <c r="C18" s="127">
        <v>2022</v>
      </c>
      <c r="D18" s="127">
        <v>1</v>
      </c>
      <c r="E18" s="128">
        <v>0.48213690519332891</v>
      </c>
      <c r="F18" s="128">
        <v>0.24216240644454959</v>
      </c>
      <c r="G18" s="128">
        <v>0.16643056273460391</v>
      </c>
      <c r="H18" s="128">
        <v>8.0641694366931915E-2</v>
      </c>
      <c r="I18" s="128">
        <v>2.5543088093400002E-2</v>
      </c>
      <c r="J18" s="128">
        <v>3.0853438656777139E-3</v>
      </c>
      <c r="K18" s="128">
        <v>0.5014796257019043</v>
      </c>
      <c r="L18" s="127">
        <v>3423109</v>
      </c>
      <c r="M18" s="122"/>
      <c r="N18" s="122"/>
    </row>
    <row r="19" spans="2:20">
      <c r="B19" s="125" t="s">
        <v>51</v>
      </c>
      <c r="C19" s="127">
        <v>2021</v>
      </c>
      <c r="D19" s="127">
        <v>1</v>
      </c>
      <c r="E19" s="128">
        <v>0.31687772274017328</v>
      </c>
      <c r="F19" s="128">
        <v>0.22596396505832669</v>
      </c>
      <c r="G19" s="128">
        <v>0.19728387892246249</v>
      </c>
      <c r="H19" s="128">
        <v>0.1418177932500839</v>
      </c>
      <c r="I19" s="128">
        <v>8.7881922721862793E-2</v>
      </c>
      <c r="J19" s="128">
        <v>3.0174719169735909E-2</v>
      </c>
      <c r="K19" s="128">
        <v>0.58959341049194336</v>
      </c>
      <c r="L19" s="127">
        <v>28838499</v>
      </c>
      <c r="M19" s="122"/>
      <c r="N19" s="122"/>
    </row>
    <row r="20" spans="2:20">
      <c r="B20" s="125" t="s">
        <v>10</v>
      </c>
      <c r="C20" s="127">
        <v>2022</v>
      </c>
      <c r="D20" s="127">
        <v>2</v>
      </c>
      <c r="E20" s="128">
        <v>0.35987699031829828</v>
      </c>
      <c r="F20" s="128">
        <v>0.25331681966781622</v>
      </c>
      <c r="G20" s="128">
        <v>0.19658830761909479</v>
      </c>
      <c r="H20" s="128">
        <v>0.1234343647956848</v>
      </c>
      <c r="I20" s="128">
        <v>5.2736710757017143E-2</v>
      </c>
      <c r="J20" s="128">
        <v>1.40468142926693E-2</v>
      </c>
      <c r="K20" s="128">
        <v>0.58959472179412842</v>
      </c>
      <c r="L20" s="127">
        <v>45773884</v>
      </c>
      <c r="M20" s="122"/>
      <c r="N20" s="122"/>
    </row>
    <row r="21" spans="2:20">
      <c r="B21" s="125" t="s">
        <v>15</v>
      </c>
      <c r="C21" s="127">
        <v>2022</v>
      </c>
      <c r="D21" s="127">
        <v>2</v>
      </c>
      <c r="E21" s="128">
        <v>0.39059323072433472</v>
      </c>
      <c r="F21" s="128">
        <v>0.20424894988536829</v>
      </c>
      <c r="G21" s="128">
        <v>0.17076919972896579</v>
      </c>
      <c r="H21" s="128">
        <v>0.1003580987453461</v>
      </c>
      <c r="I21" s="128">
        <v>8.6249716579914093E-2</v>
      </c>
      <c r="J21" s="128">
        <v>4.778081551194191E-2</v>
      </c>
      <c r="K21" s="128">
        <v>0.49638214707374573</v>
      </c>
      <c r="L21" s="127">
        <v>12388571</v>
      </c>
      <c r="M21" s="122"/>
      <c r="N21" s="122"/>
    </row>
    <row r="22" spans="2:20">
      <c r="B22" s="125" t="s">
        <v>17</v>
      </c>
      <c r="C22" s="127">
        <v>2022</v>
      </c>
      <c r="D22" s="127">
        <v>2</v>
      </c>
      <c r="E22" s="128">
        <v>0.31513583660125732</v>
      </c>
      <c r="F22" s="128">
        <v>0.24563002586364749</v>
      </c>
      <c r="G22" s="128">
        <v>0.22435130178928381</v>
      </c>
      <c r="H22" s="128">
        <v>0.14105790853500369</v>
      </c>
      <c r="I22" s="128">
        <v>5.7594183832406998E-2</v>
      </c>
      <c r="J22" s="128">
        <v>1.6230752691626549E-2</v>
      </c>
      <c r="K22" s="128">
        <v>0.63063102960586548</v>
      </c>
      <c r="L22" s="127">
        <v>216422446</v>
      </c>
      <c r="M22" s="122"/>
      <c r="N22" s="122"/>
    </row>
    <row r="23" spans="2:20">
      <c r="B23" s="125" t="s">
        <v>21</v>
      </c>
      <c r="C23" s="127">
        <v>2022</v>
      </c>
      <c r="D23" s="127">
        <v>2</v>
      </c>
      <c r="E23" s="128">
        <v>0.3051038384437561</v>
      </c>
      <c r="F23" s="128">
        <v>0.22846043109893799</v>
      </c>
      <c r="G23" s="128">
        <v>0.1843936741352081</v>
      </c>
      <c r="H23" s="128">
        <v>0.15944091975688929</v>
      </c>
      <c r="I23" s="128">
        <v>9.3635961413383484E-2</v>
      </c>
      <c r="J23" s="128">
        <v>2.8965182602405552E-2</v>
      </c>
      <c r="K23" s="128">
        <v>0.60360068082809448</v>
      </c>
      <c r="L23" s="127">
        <v>19629590</v>
      </c>
      <c r="M23" s="122"/>
      <c r="N23" s="122"/>
      <c r="T23" t="s">
        <v>1107</v>
      </c>
    </row>
    <row r="24" spans="2:20">
      <c r="B24" s="125" t="s">
        <v>23</v>
      </c>
      <c r="C24" s="127">
        <v>2022</v>
      </c>
      <c r="D24" s="127">
        <v>2</v>
      </c>
      <c r="E24" s="128">
        <v>0.30634564161300659</v>
      </c>
      <c r="F24" s="128">
        <v>0.24765211343765259</v>
      </c>
      <c r="G24" s="128">
        <v>0.20012275874614721</v>
      </c>
      <c r="H24" s="128">
        <v>0.13776049017906189</v>
      </c>
      <c r="I24" s="128">
        <v>7.9787760972976685E-2</v>
      </c>
      <c r="J24" s="128">
        <v>2.8331233188509941E-2</v>
      </c>
      <c r="K24" s="128">
        <v>0.60828924179077148</v>
      </c>
      <c r="L24" s="127">
        <v>52085168</v>
      </c>
      <c r="M24" s="122"/>
      <c r="N24" s="122"/>
    </row>
    <row r="25" spans="2:20">
      <c r="B25" s="125" t="s">
        <v>25</v>
      </c>
      <c r="C25" s="127">
        <v>2023</v>
      </c>
      <c r="D25" s="127">
        <v>2</v>
      </c>
      <c r="E25" s="128">
        <v>0.31271311640739441</v>
      </c>
      <c r="F25" s="128">
        <v>0.19837144017219541</v>
      </c>
      <c r="G25" s="128">
        <v>0.1962086409330368</v>
      </c>
      <c r="H25" s="128">
        <v>0.14103373885154721</v>
      </c>
      <c r="I25" s="128">
        <v>0.11054433882236479</v>
      </c>
      <c r="J25" s="128">
        <v>4.1128747165203088E-2</v>
      </c>
      <c r="K25" s="128">
        <v>0.56821632385253906</v>
      </c>
      <c r="L25" s="127">
        <v>5212173</v>
      </c>
      <c r="M25" s="122"/>
      <c r="N25" s="122"/>
    </row>
    <row r="26" spans="2:20">
      <c r="B26" s="125" t="s">
        <v>27</v>
      </c>
      <c r="C26" s="127">
        <v>2022</v>
      </c>
      <c r="D26" s="127">
        <v>2</v>
      </c>
      <c r="E26" s="128">
        <v>0.38482761383056641</v>
      </c>
      <c r="F26" s="128">
        <v>0.2209404855966568</v>
      </c>
      <c r="G26" s="128">
        <v>0.17493544518947601</v>
      </c>
      <c r="H26" s="128">
        <v>0.1013566628098488</v>
      </c>
      <c r="I26" s="128">
        <v>7.9685315489768982E-2</v>
      </c>
      <c r="J26" s="128">
        <v>3.8254499435424798E-2</v>
      </c>
      <c r="K26" s="128">
        <v>0.51661670207977295</v>
      </c>
      <c r="L26" s="127">
        <v>11332973</v>
      </c>
      <c r="M26" s="122"/>
      <c r="N26" s="122"/>
    </row>
    <row r="27" spans="2:20">
      <c r="B27" s="125" t="s">
        <v>29</v>
      </c>
      <c r="C27" s="127">
        <v>2023</v>
      </c>
      <c r="D27" s="127">
        <v>2</v>
      </c>
      <c r="E27" s="128">
        <v>0.36870065331459051</v>
      </c>
      <c r="F27" s="128">
        <v>0.23453293740749359</v>
      </c>
      <c r="G27" s="128">
        <v>0.18128648400306699</v>
      </c>
      <c r="H27" s="128">
        <v>0.11449673771858219</v>
      </c>
      <c r="I27" s="128">
        <v>6.6310010850429535E-2</v>
      </c>
      <c r="J27" s="128">
        <v>3.467317670583725E-2</v>
      </c>
      <c r="K27" s="128">
        <v>0.5460466742515564</v>
      </c>
      <c r="L27" s="127">
        <v>18190484</v>
      </c>
      <c r="M27" s="122"/>
      <c r="N27" s="122"/>
    </row>
    <row r="28" spans="2:20">
      <c r="B28" s="125" t="s">
        <v>31</v>
      </c>
      <c r="C28" s="127">
        <v>2022</v>
      </c>
      <c r="D28" s="127">
        <v>2</v>
      </c>
      <c r="E28" s="128">
        <v>0.37764960527420038</v>
      </c>
      <c r="F28" s="128">
        <v>0.2503030002117157</v>
      </c>
      <c r="G28" s="128">
        <v>0.19969034194946289</v>
      </c>
      <c r="H28" s="128">
        <v>0.1020546481013298</v>
      </c>
      <c r="I28" s="128">
        <v>5.3043264895677573E-2</v>
      </c>
      <c r="J28" s="128">
        <v>1.7259148880839351E-2</v>
      </c>
      <c r="K28" s="128">
        <v>0.56758278608322144</v>
      </c>
      <c r="L28" s="127">
        <v>18092026</v>
      </c>
      <c r="M28" s="122"/>
      <c r="N28" s="122"/>
    </row>
    <row r="29" spans="2:20">
      <c r="B29" s="125" t="s">
        <v>33</v>
      </c>
      <c r="C29" s="127">
        <v>2021</v>
      </c>
      <c r="D29" s="127">
        <v>2</v>
      </c>
      <c r="E29" s="128">
        <v>0.273394376039505</v>
      </c>
      <c r="F29" s="128">
        <v>0.2415802925825119</v>
      </c>
      <c r="G29" s="128">
        <v>0.17967720329761511</v>
      </c>
      <c r="H29" s="128">
        <v>0.141462042927742</v>
      </c>
      <c r="I29" s="128">
        <v>0.12640741467475891</v>
      </c>
      <c r="J29" s="128">
        <v>3.7478659301996231E-2</v>
      </c>
      <c r="K29" s="128">
        <v>0.59099775552749634</v>
      </c>
      <c r="L29" s="127">
        <v>813834</v>
      </c>
      <c r="M29" s="122"/>
      <c r="N29" s="122"/>
    </row>
    <row r="30" spans="2:20">
      <c r="B30" s="125" t="s">
        <v>34</v>
      </c>
      <c r="C30" s="127">
        <v>2023</v>
      </c>
      <c r="D30" s="127">
        <v>2</v>
      </c>
      <c r="E30" s="128">
        <v>0.33755028247833252</v>
      </c>
      <c r="F30" s="128">
        <v>0.22744019329547879</v>
      </c>
      <c r="G30" s="128">
        <v>0.1900057643651962</v>
      </c>
      <c r="H30" s="128">
        <v>0.1227999627590179</v>
      </c>
      <c r="I30" s="128">
        <v>8.7477579712867737E-2</v>
      </c>
      <c r="J30" s="128">
        <v>3.4726224839687347E-2</v>
      </c>
      <c r="K30" s="128">
        <v>0.5635949969291687</v>
      </c>
      <c r="L30" s="127">
        <v>10593798</v>
      </c>
      <c r="M30" s="122"/>
      <c r="N30" s="122"/>
    </row>
    <row r="31" spans="2:20">
      <c r="B31" s="125" t="s">
        <v>38</v>
      </c>
      <c r="C31" s="127">
        <v>2022</v>
      </c>
      <c r="D31" s="127">
        <v>2</v>
      </c>
      <c r="E31" s="128">
        <v>0.33382350206375122</v>
      </c>
      <c r="F31" s="128">
        <v>0.21871823072433469</v>
      </c>
      <c r="G31" s="128">
        <v>0.19661156833171839</v>
      </c>
      <c r="H31" s="128">
        <v>0.13229633867740631</v>
      </c>
      <c r="I31" s="128">
        <v>8.4037132561206818E-2</v>
      </c>
      <c r="J31" s="128">
        <v>3.4513212740421302E-2</v>
      </c>
      <c r="K31" s="128">
        <v>0.56800007820129395</v>
      </c>
      <c r="L31" s="127">
        <v>128455567</v>
      </c>
      <c r="M31" s="122"/>
      <c r="N31" s="122"/>
    </row>
    <row r="32" spans="2:20">
      <c r="B32" s="125" t="s">
        <v>42</v>
      </c>
      <c r="C32" s="127">
        <v>2022</v>
      </c>
      <c r="D32" s="127">
        <v>2</v>
      </c>
      <c r="E32" s="128">
        <v>0.41025060415267939</v>
      </c>
      <c r="F32" s="128">
        <v>0.19453930854797361</v>
      </c>
      <c r="G32" s="128">
        <v>0.13863441348075869</v>
      </c>
      <c r="H32" s="128">
        <v>0.1254728585481644</v>
      </c>
      <c r="I32" s="128">
        <v>8.5772573947906494E-2</v>
      </c>
      <c r="J32" s="128">
        <v>4.533025249838829E-2</v>
      </c>
      <c r="K32" s="128">
        <v>0.48043578863143921</v>
      </c>
      <c r="L32" s="127">
        <v>4468087</v>
      </c>
      <c r="M32" s="122"/>
      <c r="N32" s="122"/>
    </row>
    <row r="33" spans="2:14">
      <c r="B33" s="125" t="s">
        <v>44</v>
      </c>
      <c r="C33" s="127">
        <v>2022</v>
      </c>
      <c r="D33" s="127">
        <v>2</v>
      </c>
      <c r="E33" s="128">
        <v>0.33333516120910639</v>
      </c>
      <c r="F33" s="128">
        <v>0.20022973418235779</v>
      </c>
      <c r="G33" s="128">
        <v>0.1912409961223602</v>
      </c>
      <c r="H33" s="128">
        <v>0.13218507170677191</v>
      </c>
      <c r="I33" s="128">
        <v>9.6578299999237061E-2</v>
      </c>
      <c r="J33" s="128">
        <v>4.6430736780166633E-2</v>
      </c>
      <c r="K33" s="128">
        <v>0.54806375503540039</v>
      </c>
      <c r="L33" s="127">
        <v>34352719</v>
      </c>
      <c r="M33" s="122"/>
      <c r="N33" s="122"/>
    </row>
    <row r="34" spans="2:14">
      <c r="B34" s="125" t="s">
        <v>45</v>
      </c>
      <c r="C34" s="127">
        <v>2022</v>
      </c>
      <c r="D34" s="127">
        <v>2</v>
      </c>
      <c r="E34" s="128">
        <v>0.38877719640731812</v>
      </c>
      <c r="F34" s="128">
        <v>0.20824150741100311</v>
      </c>
      <c r="G34" s="128">
        <v>0.20152357220649719</v>
      </c>
      <c r="H34" s="128">
        <v>9.0484693646430969E-2</v>
      </c>
      <c r="I34" s="128">
        <v>7.8716963529586792E-2</v>
      </c>
      <c r="J34" s="128">
        <v>3.225606307387352E-2</v>
      </c>
      <c r="K34" s="128">
        <v>0.5199275016784668</v>
      </c>
      <c r="L34" s="127">
        <v>6861524</v>
      </c>
      <c r="M34" s="122"/>
      <c r="N34" s="122"/>
    </row>
    <row r="35" spans="2:14">
      <c r="B35" s="126" t="s">
        <v>46</v>
      </c>
      <c r="C35" s="127">
        <v>2023</v>
      </c>
      <c r="D35" s="127">
        <v>2</v>
      </c>
      <c r="E35" s="128">
        <v>0.32194960117340088</v>
      </c>
      <c r="F35" s="128">
        <v>0.2482320815324783</v>
      </c>
      <c r="G35" s="128">
        <v>0.19309441745281219</v>
      </c>
      <c r="H35" s="128">
        <v>0.12955391407012939</v>
      </c>
      <c r="I35" s="128">
        <v>7.2694860398769379E-2</v>
      </c>
      <c r="J35" s="128">
        <v>3.4475132822990417E-2</v>
      </c>
      <c r="K35" s="128">
        <v>0.59229379892349243</v>
      </c>
      <c r="L35" s="127">
        <v>6364943</v>
      </c>
      <c r="M35" s="122"/>
      <c r="N35" s="122"/>
    </row>
    <row r="36" spans="2:14">
      <c r="B36" s="126" t="s">
        <v>50</v>
      </c>
      <c r="C36" s="127">
        <v>2022</v>
      </c>
      <c r="D36" s="127">
        <v>2</v>
      </c>
      <c r="E36" s="128">
        <v>0.37446907162666321</v>
      </c>
      <c r="F36" s="128">
        <v>0.25205132365226751</v>
      </c>
      <c r="G36" s="128">
        <v>0.19959031045436859</v>
      </c>
      <c r="H36" s="128">
        <v>0.1161566749215126</v>
      </c>
      <c r="I36" s="128">
        <v>4.9423079937696457E-2</v>
      </c>
      <c r="J36" s="128">
        <v>8.3095123991370201E-3</v>
      </c>
      <c r="K36" s="128">
        <v>0.5805172324180603</v>
      </c>
      <c r="L36" s="127">
        <v>3423109</v>
      </c>
      <c r="M36" s="122"/>
      <c r="N36" s="122"/>
    </row>
    <row r="37" spans="2:14">
      <c r="B37" s="125" t="s">
        <v>51</v>
      </c>
      <c r="C37" s="127">
        <v>2021</v>
      </c>
      <c r="D37" s="127">
        <v>2</v>
      </c>
      <c r="E37" s="128">
        <v>0.28061506152153021</v>
      </c>
      <c r="F37" s="128">
        <v>0.24202185869216919</v>
      </c>
      <c r="G37" s="128">
        <v>0.20262828469276431</v>
      </c>
      <c r="H37" s="128">
        <v>0.15982268750667569</v>
      </c>
      <c r="I37" s="128">
        <v>8.9998438954353333E-2</v>
      </c>
      <c r="J37" s="128">
        <v>2.491365559399128E-2</v>
      </c>
      <c r="K37" s="128">
        <v>0.62940496206283569</v>
      </c>
      <c r="L37" s="127">
        <v>28838499</v>
      </c>
      <c r="M37" s="122"/>
      <c r="N37" s="122"/>
    </row>
    <row r="38" spans="2:14">
      <c r="B38" s="125" t="s">
        <v>10</v>
      </c>
      <c r="C38" s="127">
        <v>2022</v>
      </c>
      <c r="D38" s="127">
        <v>3</v>
      </c>
      <c r="E38" s="128">
        <v>0.21930161118507391</v>
      </c>
      <c r="F38" s="128">
        <v>0.21980603039264679</v>
      </c>
      <c r="G38" s="128">
        <v>0.21502009034156799</v>
      </c>
      <c r="H38" s="128">
        <v>0.16599161922931671</v>
      </c>
      <c r="I38" s="128">
        <v>0.12682358920574191</v>
      </c>
      <c r="J38" s="128">
        <v>5.3057063370943069E-2</v>
      </c>
      <c r="K38" s="128">
        <v>0.63029462099075317</v>
      </c>
      <c r="L38" s="127">
        <v>45773884</v>
      </c>
      <c r="M38" s="122"/>
      <c r="N38" s="122"/>
    </row>
    <row r="39" spans="2:14">
      <c r="B39" s="125" t="s">
        <v>15</v>
      </c>
      <c r="C39" s="127">
        <v>2022</v>
      </c>
      <c r="D39" s="127">
        <v>3</v>
      </c>
      <c r="E39" s="128">
        <v>0.2728462815284729</v>
      </c>
      <c r="F39" s="128">
        <v>0.25400659441947943</v>
      </c>
      <c r="G39" s="128">
        <v>0.20698894560337069</v>
      </c>
      <c r="H39" s="128">
        <v>0.1440059691667557</v>
      </c>
      <c r="I39" s="128">
        <v>9.5825672149658203E-2</v>
      </c>
      <c r="J39" s="128">
        <v>2.6326525956392292E-2</v>
      </c>
      <c r="K39" s="128">
        <v>0.6337440013885498</v>
      </c>
      <c r="L39" s="127">
        <v>12388571</v>
      </c>
      <c r="M39" s="122"/>
      <c r="N39" s="122"/>
    </row>
    <row r="40" spans="2:14">
      <c r="B40" s="125" t="s">
        <v>17</v>
      </c>
      <c r="C40" s="127">
        <v>2022</v>
      </c>
      <c r="D40" s="127">
        <v>3</v>
      </c>
      <c r="E40" s="128">
        <v>0.16175207495689389</v>
      </c>
      <c r="F40" s="128">
        <v>0.22207458317279821</v>
      </c>
      <c r="G40" s="128">
        <v>0.23784688115119931</v>
      </c>
      <c r="H40" s="128">
        <v>0.19596414268016821</v>
      </c>
      <c r="I40" s="128">
        <v>0.13221694529056549</v>
      </c>
      <c r="J40" s="128">
        <v>5.0145383924245827E-2</v>
      </c>
      <c r="K40" s="128">
        <v>0.69019412994384766</v>
      </c>
      <c r="L40" s="127">
        <v>216422446</v>
      </c>
      <c r="M40" s="122"/>
      <c r="N40" s="122"/>
    </row>
    <row r="41" spans="2:14">
      <c r="B41" s="125" t="s">
        <v>21</v>
      </c>
      <c r="C41" s="127">
        <v>2022</v>
      </c>
      <c r="D41" s="127">
        <v>3</v>
      </c>
      <c r="E41" s="128">
        <v>0.18771675229072571</v>
      </c>
      <c r="F41" s="128">
        <v>0.20906832814216611</v>
      </c>
      <c r="G41" s="128">
        <v>0.2323985546827316</v>
      </c>
      <c r="H41" s="128">
        <v>0.18596690893173221</v>
      </c>
      <c r="I41" s="128">
        <v>0.13061639666557309</v>
      </c>
      <c r="J41" s="128">
        <v>5.4233059287071228E-2</v>
      </c>
      <c r="K41" s="128">
        <v>0.65950542688369751</v>
      </c>
      <c r="L41" s="127">
        <v>19629590</v>
      </c>
      <c r="M41" s="122"/>
      <c r="N41" s="122"/>
    </row>
    <row r="42" spans="2:14">
      <c r="B42" s="125" t="s">
        <v>23</v>
      </c>
      <c r="C42" s="127">
        <v>2022</v>
      </c>
      <c r="D42" s="127">
        <v>3</v>
      </c>
      <c r="E42" s="128">
        <v>0.1774022430181503</v>
      </c>
      <c r="F42" s="128">
        <v>0.242492750287056</v>
      </c>
      <c r="G42" s="128">
        <v>0.22865511476993561</v>
      </c>
      <c r="H42" s="128">
        <v>0.1938486248254776</v>
      </c>
      <c r="I42" s="128">
        <v>0.1183771342039108</v>
      </c>
      <c r="J42" s="128">
        <v>3.9224136620759957E-2</v>
      </c>
      <c r="K42" s="128">
        <v>0.6980401873588562</v>
      </c>
      <c r="L42" s="127">
        <v>52085168</v>
      </c>
      <c r="M42" s="122"/>
      <c r="N42" s="122"/>
    </row>
    <row r="43" spans="2:14">
      <c r="B43" s="125" t="s">
        <v>25</v>
      </c>
      <c r="C43" s="127">
        <v>2023</v>
      </c>
      <c r="D43" s="127">
        <v>3</v>
      </c>
      <c r="E43" s="128">
        <v>0.15316540002822879</v>
      </c>
      <c r="F43" s="128">
        <v>0.21584469079971311</v>
      </c>
      <c r="G43" s="128">
        <v>0.21308574080467221</v>
      </c>
      <c r="H43" s="128">
        <v>0.20774602890014651</v>
      </c>
      <c r="I43" s="128">
        <v>0.1538693159818649</v>
      </c>
      <c r="J43" s="128">
        <v>5.6288823485374451E-2</v>
      </c>
      <c r="K43" s="128">
        <v>0.6797369122505188</v>
      </c>
      <c r="L43" s="127">
        <v>5212173</v>
      </c>
      <c r="M43" s="122"/>
      <c r="N43" s="122"/>
    </row>
    <row r="44" spans="2:14">
      <c r="B44" s="125" t="s">
        <v>27</v>
      </c>
      <c r="C44" s="127">
        <v>2022</v>
      </c>
      <c r="D44" s="127">
        <v>3</v>
      </c>
      <c r="E44" s="128">
        <v>0.22839102149009699</v>
      </c>
      <c r="F44" s="128">
        <v>0.24493579566478729</v>
      </c>
      <c r="G44" s="128">
        <v>0.20022483170032501</v>
      </c>
      <c r="H44" s="128">
        <v>0.17414629459381101</v>
      </c>
      <c r="I44" s="128">
        <v>0.10524078458547589</v>
      </c>
      <c r="J44" s="128">
        <v>4.7061271965503693E-2</v>
      </c>
      <c r="K44" s="128">
        <v>0.64896386861801147</v>
      </c>
      <c r="L44" s="127">
        <v>11332973</v>
      </c>
      <c r="M44" s="122"/>
      <c r="N44" s="122"/>
    </row>
    <row r="45" spans="2:14">
      <c r="B45" s="125" t="s">
        <v>29</v>
      </c>
      <c r="C45" s="127">
        <v>2023</v>
      </c>
      <c r="D45" s="127">
        <v>3</v>
      </c>
      <c r="E45" s="128">
        <v>0.23386672139167791</v>
      </c>
      <c r="F45" s="128">
        <v>0.24067555367946619</v>
      </c>
      <c r="G45" s="128">
        <v>0.19413264095783231</v>
      </c>
      <c r="H45" s="128">
        <v>0.1785679757595062</v>
      </c>
      <c r="I45" s="128">
        <v>0.1121795400977135</v>
      </c>
      <c r="J45" s="128">
        <v>4.057755321264267E-2</v>
      </c>
      <c r="K45" s="128">
        <v>0.64064872264862061</v>
      </c>
      <c r="L45" s="127">
        <v>18190484</v>
      </c>
      <c r="M45" s="122"/>
      <c r="N45" s="122"/>
    </row>
    <row r="46" spans="2:14">
      <c r="B46" s="125" t="s">
        <v>31</v>
      </c>
      <c r="C46" s="127">
        <v>2022</v>
      </c>
      <c r="D46" s="127">
        <v>3</v>
      </c>
      <c r="E46" s="128">
        <v>0.2459758073091507</v>
      </c>
      <c r="F46" s="128">
        <v>0.28395107388496399</v>
      </c>
      <c r="G46" s="128">
        <v>0.2092004120349884</v>
      </c>
      <c r="H46" s="128">
        <v>0.1560830473899841</v>
      </c>
      <c r="I46" s="128">
        <v>8.3182655274868011E-2</v>
      </c>
      <c r="J46" s="128">
        <v>2.1607004106044769E-2</v>
      </c>
      <c r="K46" s="128">
        <v>0.67572420835494995</v>
      </c>
      <c r="L46" s="127">
        <v>18092026</v>
      </c>
      <c r="M46" s="122"/>
      <c r="N46" s="122"/>
    </row>
    <row r="47" spans="2:14">
      <c r="B47" s="125" t="s">
        <v>33</v>
      </c>
      <c r="C47" s="127">
        <v>2021</v>
      </c>
      <c r="D47" s="127">
        <v>3</v>
      </c>
      <c r="E47" s="128">
        <v>0.18257623910903931</v>
      </c>
      <c r="F47" s="128">
        <v>0.27016448974609381</v>
      </c>
      <c r="G47" s="128">
        <v>0.17601251602172849</v>
      </c>
      <c r="H47" s="128">
        <v>0.18871739506721499</v>
      </c>
      <c r="I47" s="128">
        <v>0.1429884731769562</v>
      </c>
      <c r="J47" s="128">
        <v>3.9540901780128479E-2</v>
      </c>
      <c r="K47" s="128">
        <v>0.66454207897186279</v>
      </c>
      <c r="L47" s="127">
        <v>813834</v>
      </c>
      <c r="M47" s="122"/>
      <c r="N47" s="122"/>
    </row>
    <row r="48" spans="2:14">
      <c r="B48" s="125" t="s">
        <v>34</v>
      </c>
      <c r="C48" s="127">
        <v>2023</v>
      </c>
      <c r="D48" s="127">
        <v>3</v>
      </c>
      <c r="E48" s="128">
        <v>0.2281511873006821</v>
      </c>
      <c r="F48" s="128">
        <v>0.27484625577926641</v>
      </c>
      <c r="G48" s="128">
        <v>0.18978160619735721</v>
      </c>
      <c r="H48" s="128">
        <v>0.16714686155319211</v>
      </c>
      <c r="I48" s="128">
        <v>0.1019719913601875</v>
      </c>
      <c r="J48" s="128">
        <v>3.8102097809314728E-2</v>
      </c>
      <c r="K48" s="128">
        <v>0.66150712966918945</v>
      </c>
      <c r="L48" s="127">
        <v>10593798</v>
      </c>
      <c r="M48" s="122"/>
      <c r="N48" s="122"/>
    </row>
    <row r="49" spans="2:14">
      <c r="B49" s="125" t="s">
        <v>38</v>
      </c>
      <c r="C49" s="127">
        <v>2022</v>
      </c>
      <c r="D49" s="127">
        <v>3</v>
      </c>
      <c r="E49" s="128">
        <v>0.20731863379478449</v>
      </c>
      <c r="F49" s="128">
        <v>0.25196003913879389</v>
      </c>
      <c r="G49" s="128">
        <v>0.20436714589595789</v>
      </c>
      <c r="H49" s="128">
        <v>0.19891247153282171</v>
      </c>
      <c r="I49" s="128">
        <v>0.1045876145362854</v>
      </c>
      <c r="J49" s="128">
        <v>3.2854095101356513E-2</v>
      </c>
      <c r="K49" s="128">
        <v>0.68665587902069092</v>
      </c>
      <c r="L49" s="127">
        <v>128455567</v>
      </c>
      <c r="M49" s="122"/>
      <c r="N49" s="122"/>
    </row>
    <row r="50" spans="2:14">
      <c r="B50" s="125" t="s">
        <v>42</v>
      </c>
      <c r="C50" s="127">
        <v>2022</v>
      </c>
      <c r="D50" s="127">
        <v>3</v>
      </c>
      <c r="E50" s="128">
        <v>0.2378022372722626</v>
      </c>
      <c r="F50" s="128">
        <v>0.2243480384349823</v>
      </c>
      <c r="G50" s="128">
        <v>0.16900782287120819</v>
      </c>
      <c r="H50" s="128">
        <v>0.1911035627126694</v>
      </c>
      <c r="I50" s="128">
        <v>0.1258613467216492</v>
      </c>
      <c r="J50" s="128">
        <v>5.187699943780899E-2</v>
      </c>
      <c r="K50" s="128">
        <v>0.61921072006225586</v>
      </c>
      <c r="L50" s="127">
        <v>4468087</v>
      </c>
      <c r="M50" s="122"/>
      <c r="N50" s="122"/>
    </row>
    <row r="51" spans="2:14">
      <c r="B51" s="125" t="s">
        <v>44</v>
      </c>
      <c r="C51" s="127">
        <v>2022</v>
      </c>
      <c r="D51" s="127">
        <v>3</v>
      </c>
      <c r="E51" s="128">
        <v>0.21342481672763819</v>
      </c>
      <c r="F51" s="128">
        <v>0.24360087513923651</v>
      </c>
      <c r="G51" s="128">
        <v>0.19358864426612851</v>
      </c>
      <c r="H51" s="128">
        <v>0.1919059157371521</v>
      </c>
      <c r="I51" s="128">
        <v>0.11427633464336399</v>
      </c>
      <c r="J51" s="128">
        <v>4.3203409761190407E-2</v>
      </c>
      <c r="K51" s="128">
        <v>0.66103744506835938</v>
      </c>
      <c r="L51" s="127">
        <v>34352719</v>
      </c>
      <c r="M51" s="122"/>
      <c r="N51" s="122"/>
    </row>
    <row r="52" spans="2:14">
      <c r="B52" s="125" t="s">
        <v>45</v>
      </c>
      <c r="C52" s="127">
        <v>2022</v>
      </c>
      <c r="D52" s="127">
        <v>3</v>
      </c>
      <c r="E52" s="128">
        <v>0.24925349652767179</v>
      </c>
      <c r="F52" s="128">
        <v>0.28514695167541498</v>
      </c>
      <c r="G52" s="128">
        <v>0.2213676571846008</v>
      </c>
      <c r="H52" s="128">
        <v>0.1448511332273483</v>
      </c>
      <c r="I52" s="128">
        <v>7.6348520815372467E-2</v>
      </c>
      <c r="J52" s="128">
        <v>2.303223870694637E-2</v>
      </c>
      <c r="K52" s="128">
        <v>0.67371547222137451</v>
      </c>
      <c r="L52" s="127">
        <v>6861524</v>
      </c>
      <c r="M52" s="122"/>
      <c r="N52" s="122"/>
    </row>
    <row r="53" spans="2:14">
      <c r="B53" s="125" t="s">
        <v>46</v>
      </c>
      <c r="C53" s="127">
        <v>2023</v>
      </c>
      <c r="D53" s="127">
        <v>3</v>
      </c>
      <c r="E53" s="128">
        <v>0.1920602023601532</v>
      </c>
      <c r="F53" s="128">
        <v>0.27682971954345698</v>
      </c>
      <c r="G53" s="128">
        <v>0.21304890513420099</v>
      </c>
      <c r="H53" s="128">
        <v>0.18543240427970889</v>
      </c>
      <c r="I53" s="128">
        <v>9.4311997294425964E-2</v>
      </c>
      <c r="J53" s="128">
        <v>3.8316767662763603E-2</v>
      </c>
      <c r="K53" s="128">
        <v>0.70135468244552612</v>
      </c>
      <c r="L53" s="127">
        <v>6364943</v>
      </c>
      <c r="M53" s="122"/>
      <c r="N53" s="122"/>
    </row>
    <row r="54" spans="2:14">
      <c r="B54" s="126" t="s">
        <v>50</v>
      </c>
      <c r="C54" s="127">
        <v>2022</v>
      </c>
      <c r="D54" s="127">
        <v>3</v>
      </c>
      <c r="E54" s="128">
        <v>0.17516276240348819</v>
      </c>
      <c r="F54" s="128">
        <v>0.2073238343000412</v>
      </c>
      <c r="G54" s="128">
        <v>0.19955264031887049</v>
      </c>
      <c r="H54" s="128">
        <v>0.19672322273254389</v>
      </c>
      <c r="I54" s="128">
        <v>0.14807033538818359</v>
      </c>
      <c r="J54" s="128">
        <v>7.3167204856872559E-2</v>
      </c>
      <c r="K54" s="128">
        <v>0.6393468976020813</v>
      </c>
      <c r="L54" s="127">
        <v>3423109</v>
      </c>
      <c r="M54" s="122"/>
      <c r="N54" s="122"/>
    </row>
    <row r="55" spans="2:14">
      <c r="B55" s="126" t="s">
        <v>51</v>
      </c>
      <c r="C55" s="127">
        <v>2021</v>
      </c>
      <c r="D55" s="127">
        <v>3</v>
      </c>
      <c r="E55" s="128">
        <v>0.2235276252031326</v>
      </c>
      <c r="F55" s="128">
        <v>0.2413955628871918</v>
      </c>
      <c r="G55" s="128">
        <v>0.22035627067089081</v>
      </c>
      <c r="H55" s="128">
        <v>0.19570483267307279</v>
      </c>
      <c r="I55" s="128">
        <v>9.5252357423305511E-2</v>
      </c>
      <c r="J55" s="128">
        <v>2.376334369182587E-2</v>
      </c>
      <c r="K55" s="128">
        <v>0.68430948257446289</v>
      </c>
      <c r="L55" s="127">
        <v>28838499</v>
      </c>
      <c r="M55" s="122"/>
      <c r="N55" s="122"/>
    </row>
    <row r="56" spans="2:14">
      <c r="B56" s="125"/>
      <c r="C56" s="127"/>
      <c r="D56" s="127"/>
      <c r="E56" s="128"/>
      <c r="F56" s="128"/>
      <c r="G56" s="128"/>
      <c r="H56" s="128"/>
      <c r="I56" s="128"/>
      <c r="J56" s="128"/>
      <c r="K56" s="128"/>
      <c r="L56" s="127"/>
      <c r="M56" s="122"/>
      <c r="N56" s="122"/>
    </row>
    <row r="57" spans="2:14">
      <c r="B57" s="125"/>
      <c r="C57" s="127"/>
      <c r="D57" s="127"/>
      <c r="E57" s="128"/>
      <c r="F57" s="128"/>
      <c r="G57" s="128"/>
      <c r="H57" s="128"/>
      <c r="I57" s="128"/>
      <c r="J57" s="128"/>
      <c r="K57" s="128"/>
      <c r="L57" s="127"/>
      <c r="M57" s="122"/>
      <c r="N57" s="122"/>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5F846-2106-412F-99C5-2C42747B12D0}">
  <sheetPr filterMode="1"/>
  <dimension ref="B1:R53"/>
  <sheetViews>
    <sheetView workbookViewId="0">
      <selection activeCell="E11" sqref="E11"/>
    </sheetView>
  </sheetViews>
  <sheetFormatPr defaultRowHeight="14.5"/>
  <sheetData>
    <row r="1" spans="2:18">
      <c r="B1" t="s">
        <v>995</v>
      </c>
      <c r="C1" t="s">
        <v>996</v>
      </c>
      <c r="D1" t="s">
        <v>1045</v>
      </c>
      <c r="E1" t="s">
        <v>1064</v>
      </c>
      <c r="F1" t="s">
        <v>1065</v>
      </c>
      <c r="G1" t="s">
        <v>1066</v>
      </c>
      <c r="H1" t="s">
        <v>1067</v>
      </c>
      <c r="I1" t="s">
        <v>1068</v>
      </c>
      <c r="J1" t="s">
        <v>1069</v>
      </c>
      <c r="K1" t="s">
        <v>1005</v>
      </c>
      <c r="M1" t="s">
        <v>1064</v>
      </c>
      <c r="N1" t="s">
        <v>1065</v>
      </c>
      <c r="O1" t="s">
        <v>1066</v>
      </c>
      <c r="P1" t="s">
        <v>1067</v>
      </c>
      <c r="Q1" t="s">
        <v>1068</v>
      </c>
      <c r="R1" t="s">
        <v>1069</v>
      </c>
    </row>
    <row r="2" spans="2:18">
      <c r="B2" t="s">
        <v>10</v>
      </c>
      <c r="C2" s="122">
        <v>2022</v>
      </c>
      <c r="D2" s="122">
        <v>1</v>
      </c>
      <c r="E2" s="122">
        <v>741856</v>
      </c>
      <c r="F2" s="122">
        <v>499862</v>
      </c>
      <c r="G2" s="122">
        <v>390143</v>
      </c>
      <c r="H2" s="122">
        <v>255522</v>
      </c>
      <c r="I2" s="122">
        <v>66751</v>
      </c>
      <c r="J2" s="122">
        <v>12897</v>
      </c>
      <c r="K2" s="122">
        <v>45773884</v>
      </c>
      <c r="L2" s="8">
        <f>SUM(E2:J2)</f>
        <v>1967031</v>
      </c>
      <c r="M2" s="35">
        <f>E2/$L2</f>
        <v>0.377145047536109</v>
      </c>
      <c r="N2" s="35">
        <f t="shared" ref="N2:R2" si="0">F2/$L2</f>
        <v>0.25412004182953901</v>
      </c>
      <c r="O2" s="35">
        <f t="shared" si="0"/>
        <v>0.19834105308965644</v>
      </c>
      <c r="P2" s="35">
        <f t="shared" si="0"/>
        <v>0.12990237571243157</v>
      </c>
      <c r="Q2" s="35">
        <f t="shared" si="0"/>
        <v>3.3934899856687566E-2</v>
      </c>
      <c r="R2" s="35">
        <f t="shared" si="0"/>
        <v>6.5565819755763893E-3</v>
      </c>
    </row>
    <row r="3" spans="2:18" hidden="1">
      <c r="B3" t="s">
        <v>10</v>
      </c>
      <c r="C3" s="122">
        <v>2022</v>
      </c>
      <c r="D3" s="122">
        <v>2</v>
      </c>
      <c r="E3" s="122">
        <v>1120970</v>
      </c>
      <c r="F3" s="122">
        <v>789049</v>
      </c>
      <c r="G3" s="122">
        <v>612347</v>
      </c>
      <c r="H3" s="122">
        <v>384482</v>
      </c>
      <c r="I3" s="122">
        <v>164268</v>
      </c>
      <c r="J3" s="122">
        <v>43754</v>
      </c>
      <c r="K3" s="122">
        <v>45773884</v>
      </c>
      <c r="L3" s="8">
        <f t="shared" ref="L3:L53" si="1">SUM(E3:J3)</f>
        <v>3114870</v>
      </c>
      <c r="M3">
        <f t="shared" ref="M3:M53" si="2">E3/$L3</f>
        <v>0.35987697720932171</v>
      </c>
      <c r="N3">
        <f t="shared" ref="N3:N53" si="3">F3/$L3</f>
        <v>0.25331683184209935</v>
      </c>
      <c r="O3">
        <f t="shared" ref="O3:O53" si="4">G3/$L3</f>
        <v>0.19658830063533952</v>
      </c>
      <c r="P3">
        <f t="shared" ref="P3:P53" si="5">H3/$L3</f>
        <v>0.1234343648370558</v>
      </c>
      <c r="Q3">
        <f t="shared" ref="Q3:Q53" si="6">I3/$L3</f>
        <v>5.2736711323426021E-2</v>
      </c>
      <c r="R3">
        <f t="shared" ref="R3:R53" si="7">J3/$L3</f>
        <v>1.4046814152757579E-2</v>
      </c>
    </row>
    <row r="4" spans="2:18" hidden="1">
      <c r="B4" t="s">
        <v>10</v>
      </c>
      <c r="C4" s="122">
        <v>2022</v>
      </c>
      <c r="D4" s="122">
        <v>3</v>
      </c>
      <c r="E4" s="122">
        <v>4185115</v>
      </c>
      <c r="F4" s="122">
        <v>4194741</v>
      </c>
      <c r="G4" s="122">
        <v>4103407</v>
      </c>
      <c r="H4" s="122">
        <v>3167756</v>
      </c>
      <c r="I4" s="122">
        <v>2420280</v>
      </c>
      <c r="J4" s="122">
        <v>1012532</v>
      </c>
      <c r="K4" s="122">
        <v>45773884</v>
      </c>
      <c r="L4" s="8">
        <f t="shared" si="1"/>
        <v>19083831</v>
      </c>
      <c r="M4">
        <f t="shared" si="2"/>
        <v>0.2193016171648135</v>
      </c>
      <c r="N4">
        <f t="shared" si="3"/>
        <v>0.21980602322458212</v>
      </c>
      <c r="O4">
        <f t="shared" si="4"/>
        <v>0.2150200868997425</v>
      </c>
      <c r="P4">
        <f t="shared" si="5"/>
        <v>0.16599161876878915</v>
      </c>
      <c r="Q4">
        <f t="shared" si="6"/>
        <v>0.12682359218125544</v>
      </c>
      <c r="R4">
        <f t="shared" si="7"/>
        <v>5.3057061760817315E-2</v>
      </c>
    </row>
    <row r="5" spans="2:18">
      <c r="B5" t="s">
        <v>15</v>
      </c>
      <c r="C5" s="122">
        <v>2022</v>
      </c>
      <c r="D5" s="122">
        <v>1</v>
      </c>
      <c r="E5" s="122">
        <v>465784.77732467651</v>
      </c>
      <c r="F5" s="122">
        <v>199285.80611038211</v>
      </c>
      <c r="G5" s="122">
        <v>179418.3719005585</v>
      </c>
      <c r="H5" s="122">
        <v>140831.17433357239</v>
      </c>
      <c r="I5" s="122">
        <v>39350.121429443359</v>
      </c>
      <c r="J5" s="122">
        <v>12133.896488189701</v>
      </c>
      <c r="K5" s="122">
        <v>12388571</v>
      </c>
      <c r="L5" s="8">
        <f t="shared" si="1"/>
        <v>1036804.1475868225</v>
      </c>
      <c r="M5" s="35">
        <f t="shared" si="2"/>
        <v>0.44925049577473014</v>
      </c>
      <c r="N5" s="35">
        <f t="shared" si="3"/>
        <v>0.19221162123456284</v>
      </c>
      <c r="O5" s="35">
        <f t="shared" si="4"/>
        <v>0.17304943495659958</v>
      </c>
      <c r="P5" s="35">
        <f t="shared" si="5"/>
        <v>0.13583199359431489</v>
      </c>
      <c r="Q5" s="35">
        <f t="shared" si="6"/>
        <v>3.7953283193389385E-2</v>
      </c>
      <c r="R5" s="35">
        <f t="shared" si="7"/>
        <v>1.1703171246403219E-2</v>
      </c>
    </row>
    <row r="6" spans="2:18" hidden="1">
      <c r="B6" t="s">
        <v>15</v>
      </c>
      <c r="C6" s="122">
        <v>2022</v>
      </c>
      <c r="D6" s="122">
        <v>2</v>
      </c>
      <c r="E6" s="122">
        <v>556214.04113578796</v>
      </c>
      <c r="F6" s="122">
        <v>290855.36228370672</v>
      </c>
      <c r="G6" s="122">
        <v>243179.4005699158</v>
      </c>
      <c r="H6" s="122">
        <v>142912.3247413635</v>
      </c>
      <c r="I6" s="122">
        <v>122821.6433811188</v>
      </c>
      <c r="J6" s="122">
        <v>68041.01643371582</v>
      </c>
      <c r="K6" s="122">
        <v>12388571</v>
      </c>
      <c r="L6" s="8">
        <f t="shared" si="1"/>
        <v>1424023.7885456085</v>
      </c>
      <c r="M6">
        <f t="shared" si="2"/>
        <v>0.39059322295722559</v>
      </c>
      <c r="N6">
        <f t="shared" si="3"/>
        <v>0.20424894908586089</v>
      </c>
      <c r="O6">
        <f t="shared" si="4"/>
        <v>0.17076919818753947</v>
      </c>
      <c r="P6">
        <f t="shared" si="5"/>
        <v>0.10035810208432225</v>
      </c>
      <c r="Q6">
        <f t="shared" si="6"/>
        <v>8.6249713220422852E-2</v>
      </c>
      <c r="R6">
        <f t="shared" si="7"/>
        <v>4.7780814464629014E-2</v>
      </c>
    </row>
    <row r="7" spans="2:18" hidden="1">
      <c r="B7" t="s">
        <v>15</v>
      </c>
      <c r="C7" s="122">
        <v>2022</v>
      </c>
      <c r="D7" s="122">
        <v>3</v>
      </c>
      <c r="E7" s="122">
        <v>2407417.866205215</v>
      </c>
      <c r="F7" s="122">
        <v>2241188.7443561549</v>
      </c>
      <c r="G7" s="122">
        <v>1826335.6539649961</v>
      </c>
      <c r="H7" s="122">
        <v>1270614.812795639</v>
      </c>
      <c r="I7" s="122">
        <v>845503.28647041321</v>
      </c>
      <c r="J7" s="122">
        <v>232288.11703681949</v>
      </c>
      <c r="K7" s="122">
        <v>12388571</v>
      </c>
      <c r="L7" s="8">
        <f t="shared" si="1"/>
        <v>8823348.4808292389</v>
      </c>
      <c r="M7">
        <f t="shared" si="2"/>
        <v>0.27284628635442498</v>
      </c>
      <c r="N7">
        <f t="shared" si="3"/>
        <v>0.25400659956088723</v>
      </c>
      <c r="O7">
        <f t="shared" si="4"/>
        <v>0.20698895186256464</v>
      </c>
      <c r="P7">
        <f t="shared" si="5"/>
        <v>0.1440059650320219</v>
      </c>
      <c r="Q7">
        <f t="shared" si="6"/>
        <v>9.5825670753848638E-2</v>
      </c>
      <c r="R7">
        <f t="shared" si="7"/>
        <v>2.6326526436252523E-2</v>
      </c>
    </row>
    <row r="8" spans="2:18">
      <c r="B8" t="s">
        <v>17</v>
      </c>
      <c r="C8" s="122">
        <v>2022</v>
      </c>
      <c r="D8" s="122">
        <v>1</v>
      </c>
      <c r="E8" s="122">
        <v>8911790.595495224</v>
      </c>
      <c r="F8" s="122">
        <v>5173931.141582489</v>
      </c>
      <c r="G8" s="122">
        <v>4566286.7984218597</v>
      </c>
      <c r="H8" s="122">
        <v>2378366.6523647308</v>
      </c>
      <c r="I8" s="122">
        <v>497634.47191429138</v>
      </c>
      <c r="J8" s="122">
        <v>81867.727096557617</v>
      </c>
      <c r="K8" s="122">
        <v>216422446</v>
      </c>
      <c r="L8" s="8">
        <f t="shared" si="1"/>
        <v>21609877.386875153</v>
      </c>
      <c r="M8" s="35">
        <f t="shared" si="2"/>
        <v>0.41239431561549889</v>
      </c>
      <c r="N8" s="35">
        <f t="shared" si="3"/>
        <v>0.23942436363497821</v>
      </c>
      <c r="O8" s="35">
        <f t="shared" si="4"/>
        <v>0.21130553943796149</v>
      </c>
      <c r="P8" s="35">
        <f t="shared" si="5"/>
        <v>0.11005923864284586</v>
      </c>
      <c r="Q8" s="35">
        <f t="shared" si="6"/>
        <v>2.3028102520217524E-2</v>
      </c>
      <c r="R8" s="35">
        <f t="shared" si="7"/>
        <v>3.7884401484980343E-3</v>
      </c>
    </row>
    <row r="9" spans="2:18" hidden="1">
      <c r="B9" t="s">
        <v>17</v>
      </c>
      <c r="C9" s="122">
        <v>2022</v>
      </c>
      <c r="D9" s="122">
        <v>2</v>
      </c>
      <c r="E9" s="122">
        <v>11676371.526761049</v>
      </c>
      <c r="F9" s="122">
        <v>9101051.1949863434</v>
      </c>
      <c r="G9" s="122">
        <v>8312634.8136024484</v>
      </c>
      <c r="H9" s="122">
        <v>5226458.8350973129</v>
      </c>
      <c r="I9" s="122">
        <v>2133972.0919685359</v>
      </c>
      <c r="J9" s="122">
        <v>601379.71049118042</v>
      </c>
      <c r="K9" s="122">
        <v>216422446</v>
      </c>
      <c r="L9" s="8">
        <f t="shared" si="1"/>
        <v>37051868.172906868</v>
      </c>
      <c r="M9">
        <f t="shared" si="2"/>
        <v>0.31513583801690914</v>
      </c>
      <c r="N9">
        <f t="shared" si="3"/>
        <v>0.24563002201441572</v>
      </c>
      <c r="O9">
        <f t="shared" si="4"/>
        <v>0.22435130058248529</v>
      </c>
      <c r="P9">
        <f t="shared" si="5"/>
        <v>0.14105790322656425</v>
      </c>
      <c r="Q9">
        <f t="shared" si="6"/>
        <v>5.7594183429836951E-2</v>
      </c>
      <c r="R9">
        <f t="shared" si="7"/>
        <v>1.6230752729788734E-2</v>
      </c>
    </row>
    <row r="10" spans="2:18" hidden="1">
      <c r="B10" t="s">
        <v>17</v>
      </c>
      <c r="C10" s="122">
        <v>2022</v>
      </c>
      <c r="D10" s="122">
        <v>3</v>
      </c>
      <c r="E10" s="122">
        <v>22669118.360700611</v>
      </c>
      <c r="F10" s="122">
        <v>31123155.14309692</v>
      </c>
      <c r="G10" s="122">
        <v>33333600.628851891</v>
      </c>
      <c r="H10" s="122">
        <v>27463847.153028488</v>
      </c>
      <c r="I10" s="122">
        <v>18529850.55532169</v>
      </c>
      <c r="J10" s="122">
        <v>7027740.8717651367</v>
      </c>
      <c r="K10" s="122">
        <v>216422446</v>
      </c>
      <c r="L10" s="8">
        <f t="shared" si="1"/>
        <v>140147312.71276474</v>
      </c>
      <c r="M10">
        <f t="shared" si="2"/>
        <v>0.16175207302876732</v>
      </c>
      <c r="N10">
        <f t="shared" si="3"/>
        <v>0.22207457667693256</v>
      </c>
      <c r="O10">
        <f t="shared" si="4"/>
        <v>0.23784687685856595</v>
      </c>
      <c r="P10">
        <f t="shared" si="5"/>
        <v>0.19596413674599883</v>
      </c>
      <c r="Q10">
        <f t="shared" si="6"/>
        <v>0.13221695226721228</v>
      </c>
      <c r="R10">
        <f t="shared" si="7"/>
        <v>5.0145384422523032E-2</v>
      </c>
    </row>
    <row r="11" spans="2:18">
      <c r="B11" t="s">
        <v>21</v>
      </c>
      <c r="C11" s="122">
        <v>2022</v>
      </c>
      <c r="D11" s="122">
        <v>1</v>
      </c>
      <c r="E11" s="122">
        <v>186343</v>
      </c>
      <c r="F11" s="122">
        <v>127647</v>
      </c>
      <c r="G11" s="122">
        <v>118048</v>
      </c>
      <c r="H11" s="122">
        <v>109420</v>
      </c>
      <c r="I11" s="122">
        <v>44285</v>
      </c>
      <c r="J11" s="122">
        <v>9512</v>
      </c>
      <c r="K11" s="122">
        <v>19629590</v>
      </c>
      <c r="L11" s="8">
        <f t="shared" si="1"/>
        <v>595255</v>
      </c>
      <c r="M11" s="35">
        <f t="shared" si="2"/>
        <v>0.31304734945527546</v>
      </c>
      <c r="N11" s="35">
        <f t="shared" si="3"/>
        <v>0.21444086987929542</v>
      </c>
      <c r="O11" s="35">
        <f t="shared" si="4"/>
        <v>0.19831500785377695</v>
      </c>
      <c r="P11" s="35">
        <f t="shared" si="5"/>
        <v>0.18382037950122215</v>
      </c>
      <c r="Q11" s="35">
        <f t="shared" si="6"/>
        <v>7.4396687134085399E-2</v>
      </c>
      <c r="R11" s="35">
        <f t="shared" si="7"/>
        <v>1.5979706176344591E-2</v>
      </c>
    </row>
    <row r="12" spans="2:18" hidden="1">
      <c r="B12" t="s">
        <v>21</v>
      </c>
      <c r="C12" s="122">
        <v>2022</v>
      </c>
      <c r="D12" s="122">
        <v>2</v>
      </c>
      <c r="E12" s="122">
        <v>452739</v>
      </c>
      <c r="F12" s="122">
        <v>339009</v>
      </c>
      <c r="G12" s="122">
        <v>273619</v>
      </c>
      <c r="H12" s="122">
        <v>236592</v>
      </c>
      <c r="I12" s="122">
        <v>138945</v>
      </c>
      <c r="J12" s="122">
        <v>42981</v>
      </c>
      <c r="K12" s="122">
        <v>19629590</v>
      </c>
      <c r="L12" s="8">
        <f t="shared" si="1"/>
        <v>1483885</v>
      </c>
      <c r="M12">
        <f t="shared" si="2"/>
        <v>0.30510383217028275</v>
      </c>
      <c r="N12">
        <f t="shared" si="3"/>
        <v>0.22846042651553186</v>
      </c>
      <c r="O12">
        <f t="shared" si="4"/>
        <v>0.18439366932073578</v>
      </c>
      <c r="P12">
        <f t="shared" si="5"/>
        <v>0.15944092702601617</v>
      </c>
      <c r="Q12">
        <f t="shared" si="6"/>
        <v>9.3635962355573379E-2</v>
      </c>
      <c r="R12">
        <f t="shared" si="7"/>
        <v>2.8965182611860082E-2</v>
      </c>
    </row>
    <row r="13" spans="2:18" hidden="1">
      <c r="B13" t="s">
        <v>21</v>
      </c>
      <c r="C13" s="122">
        <v>2022</v>
      </c>
      <c r="D13" s="122">
        <v>3</v>
      </c>
      <c r="E13" s="122">
        <v>3069932</v>
      </c>
      <c r="F13" s="122">
        <v>3419117</v>
      </c>
      <c r="G13" s="122">
        <v>3800661</v>
      </c>
      <c r="H13" s="122">
        <v>3041315</v>
      </c>
      <c r="I13" s="122">
        <v>2136109</v>
      </c>
      <c r="J13" s="122">
        <v>886931</v>
      </c>
      <c r="K13" s="122">
        <v>19629590</v>
      </c>
      <c r="L13" s="8">
        <f t="shared" si="1"/>
        <v>16354065</v>
      </c>
      <c r="M13">
        <f t="shared" si="2"/>
        <v>0.18771675421370773</v>
      </c>
      <c r="N13">
        <f t="shared" si="3"/>
        <v>0.20906832643749429</v>
      </c>
      <c r="O13">
        <f t="shared" si="4"/>
        <v>0.23239855045213528</v>
      </c>
      <c r="P13">
        <f t="shared" si="5"/>
        <v>0.18596691403635732</v>
      </c>
      <c r="Q13">
        <f t="shared" si="6"/>
        <v>0.13061639415032286</v>
      </c>
      <c r="R13">
        <f t="shared" si="7"/>
        <v>5.4233060709982503E-2</v>
      </c>
    </row>
    <row r="14" spans="2:18">
      <c r="B14" t="s">
        <v>23</v>
      </c>
      <c r="C14" s="122">
        <v>2022</v>
      </c>
      <c r="D14" s="122">
        <v>1</v>
      </c>
      <c r="E14" s="122">
        <v>3306760.844574451</v>
      </c>
      <c r="F14" s="122">
        <v>1984707.6811556821</v>
      </c>
      <c r="G14" s="122">
        <v>1572901.904335022</v>
      </c>
      <c r="H14" s="122">
        <v>1131162.031798363</v>
      </c>
      <c r="I14" s="122">
        <v>780027.27720117569</v>
      </c>
      <c r="J14" s="122">
        <v>398515.87354326248</v>
      </c>
      <c r="K14" s="122">
        <v>52085168</v>
      </c>
      <c r="L14" s="8">
        <f t="shared" si="1"/>
        <v>9174075.6126079559</v>
      </c>
      <c r="M14" s="35">
        <f t="shared" si="2"/>
        <v>0.36044621651362463</v>
      </c>
      <c r="N14" s="35">
        <f t="shared" si="3"/>
        <v>0.21633870974728975</v>
      </c>
      <c r="O14" s="35">
        <f t="shared" si="4"/>
        <v>0.17145072383896409</v>
      </c>
      <c r="P14" s="35">
        <f t="shared" si="5"/>
        <v>0.12329983745106744</v>
      </c>
      <c r="Q14" s="35">
        <f t="shared" si="6"/>
        <v>8.5025163312277718E-2</v>
      </c>
      <c r="R14" s="35">
        <f t="shared" si="7"/>
        <v>4.3439349136776363E-2</v>
      </c>
    </row>
    <row r="15" spans="2:18" hidden="1">
      <c r="B15" t="s">
        <v>23</v>
      </c>
      <c r="C15" s="122">
        <v>2022</v>
      </c>
      <c r="D15" s="122">
        <v>2</v>
      </c>
      <c r="E15" s="122">
        <v>3121919.2157196999</v>
      </c>
      <c r="F15" s="122">
        <v>2523782.7847247119</v>
      </c>
      <c r="G15" s="122">
        <v>2039418.732212543</v>
      </c>
      <c r="H15" s="122">
        <v>1403894.954819679</v>
      </c>
      <c r="I15" s="122">
        <v>813104.23753929138</v>
      </c>
      <c r="J15" s="122">
        <v>288719.0296459198</v>
      </c>
      <c r="K15" s="122">
        <v>52085168</v>
      </c>
      <c r="L15" s="8">
        <f t="shared" si="1"/>
        <v>10190838.954661846</v>
      </c>
      <c r="M15">
        <f t="shared" si="2"/>
        <v>0.30634565315072154</v>
      </c>
      <c r="N15">
        <f t="shared" si="3"/>
        <v>0.24765211146528773</v>
      </c>
      <c r="O15">
        <f t="shared" si="4"/>
        <v>0.20012275155026382</v>
      </c>
      <c r="P15">
        <f t="shared" si="5"/>
        <v>0.13776048871594235</v>
      </c>
      <c r="Q15">
        <f t="shared" si="6"/>
        <v>7.9787762436117501E-2</v>
      </c>
      <c r="R15">
        <f t="shared" si="7"/>
        <v>2.8331232681666894E-2</v>
      </c>
    </row>
    <row r="16" spans="2:18" hidden="1">
      <c r="B16" t="s">
        <v>23</v>
      </c>
      <c r="C16" s="122">
        <v>2022</v>
      </c>
      <c r="D16" s="122">
        <v>3</v>
      </c>
      <c r="E16" s="122">
        <v>4872471.7701129913</v>
      </c>
      <c r="F16" s="122">
        <v>6660226.5989618301</v>
      </c>
      <c r="G16" s="122">
        <v>6280166.6096081734</v>
      </c>
      <c r="H16" s="122">
        <v>5324182.974190712</v>
      </c>
      <c r="I16" s="122">
        <v>3251307.558457375</v>
      </c>
      <c r="J16" s="122">
        <v>1077317.2579073911</v>
      </c>
      <c r="K16" s="122">
        <v>52085168</v>
      </c>
      <c r="L16" s="8">
        <f t="shared" si="1"/>
        <v>27465672.769238472</v>
      </c>
      <c r="M16">
        <f t="shared" si="2"/>
        <v>0.17740223627691928</v>
      </c>
      <c r="N16">
        <f t="shared" si="3"/>
        <v>0.24249275285989999</v>
      </c>
      <c r="O16">
        <f t="shared" si="4"/>
        <v>0.22865511660220295</v>
      </c>
      <c r="P16">
        <f t="shared" si="5"/>
        <v>0.19384862766419442</v>
      </c>
      <c r="Q16">
        <f t="shared" si="6"/>
        <v>0.11837713154796035</v>
      </c>
      <c r="R16">
        <f t="shared" si="7"/>
        <v>3.9224135048823029E-2</v>
      </c>
    </row>
    <row r="17" spans="2:18">
      <c r="B17" t="s">
        <v>25</v>
      </c>
      <c r="C17" s="122">
        <v>2023</v>
      </c>
      <c r="D17" s="122">
        <v>1</v>
      </c>
      <c r="E17" s="122">
        <v>115553</v>
      </c>
      <c r="F17" s="122">
        <v>67486</v>
      </c>
      <c r="G17" s="122">
        <v>58276</v>
      </c>
      <c r="H17" s="122">
        <v>43530</v>
      </c>
      <c r="I17" s="122">
        <v>30490</v>
      </c>
      <c r="J17" s="122">
        <v>9233</v>
      </c>
      <c r="K17" s="122">
        <v>5212173</v>
      </c>
      <c r="L17" s="8">
        <f t="shared" si="1"/>
        <v>324568</v>
      </c>
      <c r="M17" s="35">
        <f t="shared" si="2"/>
        <v>0.35602092627739024</v>
      </c>
      <c r="N17" s="35">
        <f t="shared" si="3"/>
        <v>0.20792561189026645</v>
      </c>
      <c r="O17" s="35">
        <f t="shared" si="4"/>
        <v>0.1795494318601957</v>
      </c>
      <c r="P17" s="35">
        <f t="shared" si="5"/>
        <v>0.1341167336274679</v>
      </c>
      <c r="Q17" s="35">
        <f t="shared" si="6"/>
        <v>9.3940252889995315E-2</v>
      </c>
      <c r="R17" s="35">
        <f t="shared" si="7"/>
        <v>2.8447043454684382E-2</v>
      </c>
    </row>
    <row r="18" spans="2:18" hidden="1">
      <c r="B18" t="s">
        <v>25</v>
      </c>
      <c r="C18" s="122">
        <v>2023</v>
      </c>
      <c r="D18" s="122">
        <v>2</v>
      </c>
      <c r="E18" s="122">
        <v>220206</v>
      </c>
      <c r="F18" s="122">
        <v>139689</v>
      </c>
      <c r="G18" s="122">
        <v>138166</v>
      </c>
      <c r="H18" s="122">
        <v>99313</v>
      </c>
      <c r="I18" s="122">
        <v>77843</v>
      </c>
      <c r="J18" s="122">
        <v>28962</v>
      </c>
      <c r="K18" s="122">
        <v>5212173</v>
      </c>
      <c r="L18" s="8">
        <f t="shared" si="1"/>
        <v>704179</v>
      </c>
      <c r="M18">
        <f t="shared" si="2"/>
        <v>0.31271310277642472</v>
      </c>
      <c r="N18">
        <f t="shared" si="3"/>
        <v>0.1983714368079707</v>
      </c>
      <c r="O18">
        <f t="shared" si="4"/>
        <v>0.19620863445231965</v>
      </c>
      <c r="P18">
        <f t="shared" si="5"/>
        <v>0.1410337428409538</v>
      </c>
      <c r="Q18">
        <f t="shared" si="6"/>
        <v>0.11054433602819738</v>
      </c>
      <c r="R18">
        <f t="shared" si="7"/>
        <v>4.1128747094133736E-2</v>
      </c>
    </row>
    <row r="19" spans="2:18" hidden="1">
      <c r="B19" t="s">
        <v>25</v>
      </c>
      <c r="C19" s="122">
        <v>2023</v>
      </c>
      <c r="D19" s="122">
        <v>3</v>
      </c>
      <c r="E19" s="122">
        <v>596631</v>
      </c>
      <c r="F19" s="122">
        <v>840788</v>
      </c>
      <c r="G19" s="122">
        <v>830041</v>
      </c>
      <c r="H19" s="122">
        <v>809241</v>
      </c>
      <c r="I19" s="122">
        <v>599373</v>
      </c>
      <c r="J19" s="122">
        <v>219264</v>
      </c>
      <c r="K19" s="122">
        <v>5212173</v>
      </c>
      <c r="L19" s="8">
        <f t="shared" si="1"/>
        <v>3895338</v>
      </c>
      <c r="M19">
        <f t="shared" si="2"/>
        <v>0.15316539925418537</v>
      </c>
      <c r="N19">
        <f t="shared" si="3"/>
        <v>0.21584468408133003</v>
      </c>
      <c r="O19">
        <f t="shared" si="4"/>
        <v>0.21308574506243103</v>
      </c>
      <c r="P19">
        <f t="shared" si="5"/>
        <v>0.20774602871432465</v>
      </c>
      <c r="Q19">
        <f t="shared" si="6"/>
        <v>0.1538693176304598</v>
      </c>
      <c r="R19">
        <f t="shared" si="7"/>
        <v>5.6288825257269075E-2</v>
      </c>
    </row>
    <row r="20" spans="2:18">
      <c r="B20" t="s">
        <v>27</v>
      </c>
      <c r="C20" s="122">
        <v>2022</v>
      </c>
      <c r="D20" s="122">
        <v>1</v>
      </c>
      <c r="E20" s="122">
        <v>373509.37805175781</v>
      </c>
      <c r="F20" s="122">
        <v>173908.82664489749</v>
      </c>
      <c r="G20" s="122">
        <v>136747.09860229489</v>
      </c>
      <c r="H20" s="122">
        <v>99656.03483581543</v>
      </c>
      <c r="I20" s="122">
        <v>77250.395080566406</v>
      </c>
      <c r="J20" s="122">
        <v>30157.923492431641</v>
      </c>
      <c r="K20" s="122">
        <v>11332973</v>
      </c>
      <c r="L20" s="8">
        <f t="shared" si="1"/>
        <v>891229.65670776367</v>
      </c>
      <c r="M20" s="35">
        <f t="shared" si="2"/>
        <v>0.41909442222952464</v>
      </c>
      <c r="N20" s="35">
        <f t="shared" si="3"/>
        <v>0.19513357229080922</v>
      </c>
      <c r="O20" s="35">
        <f t="shared" si="4"/>
        <v>0.15343643198257551</v>
      </c>
      <c r="P20" s="35">
        <f t="shared" si="5"/>
        <v>0.11181858018947509</v>
      </c>
      <c r="Q20" s="35">
        <f t="shared" si="6"/>
        <v>8.6678438603504632E-2</v>
      </c>
      <c r="R20" s="35">
        <f t="shared" si="7"/>
        <v>3.3838554704110901E-2</v>
      </c>
    </row>
    <row r="21" spans="2:18" hidden="1">
      <c r="B21" t="s">
        <v>27</v>
      </c>
      <c r="C21" s="122">
        <v>2022</v>
      </c>
      <c r="D21" s="122">
        <v>2</v>
      </c>
      <c r="E21" s="122">
        <v>776948.61094665527</v>
      </c>
      <c r="F21" s="122">
        <v>446068.30708312988</v>
      </c>
      <c r="G21" s="122">
        <v>353186.31869506842</v>
      </c>
      <c r="H21" s="122">
        <v>204634.2704620361</v>
      </c>
      <c r="I21" s="122">
        <v>160880.85618591309</v>
      </c>
      <c r="J21" s="122">
        <v>77234.016418457031</v>
      </c>
      <c r="K21" s="122">
        <v>11332973</v>
      </c>
      <c r="L21" s="8">
        <f t="shared" si="1"/>
        <v>2018952.3797912598</v>
      </c>
      <c r="M21">
        <f t="shared" si="2"/>
        <v>0.38482760600177418</v>
      </c>
      <c r="N21">
        <f t="shared" si="3"/>
        <v>0.22094047960123211</v>
      </c>
      <c r="O21">
        <f t="shared" si="4"/>
        <v>0.17493543791834479</v>
      </c>
      <c r="P21">
        <f t="shared" si="5"/>
        <v>0.10135666027110224</v>
      </c>
      <c r="Q21">
        <f t="shared" si="6"/>
        <v>7.9685314916910832E-2</v>
      </c>
      <c r="R21">
        <f t="shared" si="7"/>
        <v>3.8254501290635831E-2</v>
      </c>
    </row>
    <row r="22" spans="2:18" hidden="1">
      <c r="B22" t="s">
        <v>27</v>
      </c>
      <c r="C22" s="122">
        <v>2022</v>
      </c>
      <c r="D22" s="122">
        <v>3</v>
      </c>
      <c r="E22" s="122">
        <v>1596677.8979797361</v>
      </c>
      <c r="F22" s="122">
        <v>1712342.2034759519</v>
      </c>
      <c r="G22" s="122">
        <v>1399768.5878143311</v>
      </c>
      <c r="H22" s="122">
        <v>1217453.88331604</v>
      </c>
      <c r="I22" s="122">
        <v>735736.62104797363</v>
      </c>
      <c r="J22" s="122">
        <v>329004.58515930182</v>
      </c>
      <c r="K22" s="122">
        <v>11332973</v>
      </c>
      <c r="L22" s="8">
        <f t="shared" si="1"/>
        <v>6990983.778793335</v>
      </c>
      <c r="M22">
        <f t="shared" si="2"/>
        <v>0.22839101741633958</v>
      </c>
      <c r="N22">
        <f t="shared" si="3"/>
        <v>0.24493579983266781</v>
      </c>
      <c r="O22">
        <f t="shared" si="4"/>
        <v>0.20022483703372795</v>
      </c>
      <c r="P22">
        <f t="shared" si="5"/>
        <v>0.17414628925461137</v>
      </c>
      <c r="Q22">
        <f t="shared" si="6"/>
        <v>0.10524078503511619</v>
      </c>
      <c r="R22">
        <f t="shared" si="7"/>
        <v>4.7061271427537056E-2</v>
      </c>
    </row>
    <row r="23" spans="2:18">
      <c r="B23" t="s">
        <v>29</v>
      </c>
      <c r="C23" s="122">
        <v>2023</v>
      </c>
      <c r="D23" s="122">
        <v>1</v>
      </c>
      <c r="E23" s="122">
        <v>1361468.1959915161</v>
      </c>
      <c r="F23" s="122">
        <v>536782.05188751221</v>
      </c>
      <c r="G23" s="122">
        <v>414304.94942092901</v>
      </c>
      <c r="H23" s="122">
        <v>272676.89084243769</v>
      </c>
      <c r="I23" s="122">
        <v>110858.0973205566</v>
      </c>
      <c r="J23" s="122">
        <v>70869.844699859619</v>
      </c>
      <c r="K23" s="122">
        <v>18190484</v>
      </c>
      <c r="L23" s="8">
        <f t="shared" si="1"/>
        <v>2766960.0301628113</v>
      </c>
      <c r="M23" s="35">
        <f t="shared" si="2"/>
        <v>0.49204476434428496</v>
      </c>
      <c r="N23" s="35">
        <f t="shared" si="3"/>
        <v>0.19399703864024639</v>
      </c>
      <c r="O23" s="35">
        <f t="shared" si="4"/>
        <v>0.14973289997129116</v>
      </c>
      <c r="P23" s="35">
        <f t="shared" si="5"/>
        <v>9.8547462872599953E-2</v>
      </c>
      <c r="Q23" s="35">
        <f t="shared" si="6"/>
        <v>4.0064943516380888E-2</v>
      </c>
      <c r="R23" s="35">
        <f t="shared" si="7"/>
        <v>2.5612890655196618E-2</v>
      </c>
    </row>
    <row r="24" spans="2:18" hidden="1">
      <c r="B24" t="s">
        <v>29</v>
      </c>
      <c r="C24" s="122">
        <v>2023</v>
      </c>
      <c r="D24" s="122">
        <v>2</v>
      </c>
      <c r="E24" s="122">
        <v>1575613.9884719851</v>
      </c>
      <c r="F24" s="122">
        <v>1002258.558149338</v>
      </c>
      <c r="G24" s="122">
        <v>774713.92513656616</v>
      </c>
      <c r="H24" s="122">
        <v>489293.06096839899</v>
      </c>
      <c r="I24" s="122">
        <v>283370.7661113739</v>
      </c>
      <c r="J24" s="122">
        <v>148173.16637039179</v>
      </c>
      <c r="K24" s="122">
        <v>18190484</v>
      </c>
      <c r="L24" s="8">
        <f t="shared" si="1"/>
        <v>4273423.4652080536</v>
      </c>
      <c r="M24">
        <f t="shared" si="2"/>
        <v>0.36870064511504608</v>
      </c>
      <c r="N24">
        <f t="shared" si="3"/>
        <v>0.23453293742340195</v>
      </c>
      <c r="O24">
        <f t="shared" si="4"/>
        <v>0.18128648645374743</v>
      </c>
      <c r="P24">
        <f t="shared" si="5"/>
        <v>0.1144967413016668</v>
      </c>
      <c r="Q24">
        <f t="shared" si="6"/>
        <v>6.6310013135470497E-2</v>
      </c>
      <c r="R24">
        <f t="shared" si="7"/>
        <v>3.4673176570667312E-2</v>
      </c>
    </row>
    <row r="25" spans="2:18" hidden="1">
      <c r="B25" t="s">
        <v>29</v>
      </c>
      <c r="C25" s="122">
        <v>2023</v>
      </c>
      <c r="D25" s="122">
        <v>3</v>
      </c>
      <c r="E25" s="122">
        <v>2404611.1819486618</v>
      </c>
      <c r="F25" s="122">
        <v>2474619.4117908478</v>
      </c>
      <c r="G25" s="122">
        <v>1996066.4225406649</v>
      </c>
      <c r="H25" s="122">
        <v>1836030.9760322571</v>
      </c>
      <c r="I25" s="122">
        <v>1153426.915035248</v>
      </c>
      <c r="J25" s="122">
        <v>417217.28361225128</v>
      </c>
      <c r="K25" s="122">
        <v>18190484</v>
      </c>
      <c r="L25" s="8">
        <f t="shared" si="1"/>
        <v>10281972.19095993</v>
      </c>
      <c r="M25">
        <f t="shared" si="2"/>
        <v>0.23386672685837775</v>
      </c>
      <c r="N25">
        <f t="shared" si="3"/>
        <v>0.24067555969141519</v>
      </c>
      <c r="O25">
        <f t="shared" si="4"/>
        <v>0.19413264162449667</v>
      </c>
      <c r="P25">
        <f t="shared" si="5"/>
        <v>0.17856797722585985</v>
      </c>
      <c r="Q25">
        <f t="shared" si="6"/>
        <v>0.11217954042409868</v>
      </c>
      <c r="R25">
        <f t="shared" si="7"/>
        <v>4.0577554175751922E-2</v>
      </c>
    </row>
    <row r="26" spans="2:18">
      <c r="B26" t="s">
        <v>31</v>
      </c>
      <c r="C26" s="122">
        <v>2022</v>
      </c>
      <c r="D26" s="122">
        <v>1</v>
      </c>
      <c r="E26" s="122">
        <v>2182634</v>
      </c>
      <c r="F26" s="122">
        <v>1082240</v>
      </c>
      <c r="G26" s="122">
        <v>812103</v>
      </c>
      <c r="H26" s="122">
        <v>444019</v>
      </c>
      <c r="I26" s="122">
        <v>339501</v>
      </c>
      <c r="J26" s="122">
        <v>123992</v>
      </c>
      <c r="K26" s="122">
        <v>18092026</v>
      </c>
      <c r="L26" s="8">
        <f t="shared" si="1"/>
        <v>4984489</v>
      </c>
      <c r="M26" s="35">
        <f t="shared" si="2"/>
        <v>0.43788520749067755</v>
      </c>
      <c r="N26" s="35">
        <f t="shared" si="3"/>
        <v>0.21712155448632747</v>
      </c>
      <c r="O26" s="35">
        <f t="shared" si="4"/>
        <v>0.16292602912755952</v>
      </c>
      <c r="P26" s="35">
        <f t="shared" si="5"/>
        <v>8.9080144424032226E-2</v>
      </c>
      <c r="Q26" s="35">
        <f t="shared" si="6"/>
        <v>6.8111495481282036E-2</v>
      </c>
      <c r="R26" s="35">
        <f t="shared" si="7"/>
        <v>2.4875568990121152E-2</v>
      </c>
    </row>
    <row r="27" spans="2:18" hidden="1">
      <c r="B27" t="s">
        <v>31</v>
      </c>
      <c r="C27" s="122">
        <v>2022</v>
      </c>
      <c r="D27" s="122">
        <v>2</v>
      </c>
      <c r="E27" s="122">
        <v>1390283</v>
      </c>
      <c r="F27" s="122">
        <v>921468</v>
      </c>
      <c r="G27" s="122">
        <v>735142</v>
      </c>
      <c r="H27" s="122">
        <v>375705</v>
      </c>
      <c r="I27" s="122">
        <v>195274</v>
      </c>
      <c r="J27" s="122">
        <v>63538</v>
      </c>
      <c r="K27" s="122">
        <v>18092026</v>
      </c>
      <c r="L27" s="8">
        <f t="shared" si="1"/>
        <v>3681410</v>
      </c>
      <c r="M27">
        <f t="shared" si="2"/>
        <v>0.3776495962144939</v>
      </c>
      <c r="N27">
        <f t="shared" si="3"/>
        <v>0.25030300890148066</v>
      </c>
      <c r="O27">
        <f t="shared" si="4"/>
        <v>0.19969033603972391</v>
      </c>
      <c r="P27">
        <f t="shared" si="5"/>
        <v>0.10205464753993715</v>
      </c>
      <c r="Q27">
        <f t="shared" si="6"/>
        <v>5.3043263314871206E-2</v>
      </c>
      <c r="R27">
        <f t="shared" si="7"/>
        <v>1.7259147989493157E-2</v>
      </c>
    </row>
    <row r="28" spans="2:18" hidden="1">
      <c r="B28" t="s">
        <v>31</v>
      </c>
      <c r="C28" s="122">
        <v>2022</v>
      </c>
      <c r="D28" s="122">
        <v>3</v>
      </c>
      <c r="E28" s="122">
        <v>1713224</v>
      </c>
      <c r="F28" s="122">
        <v>1977722</v>
      </c>
      <c r="G28" s="122">
        <v>1457083</v>
      </c>
      <c r="H28" s="122">
        <v>1087120</v>
      </c>
      <c r="I28" s="122">
        <v>579368</v>
      </c>
      <c r="J28" s="122">
        <v>150493</v>
      </c>
      <c r="K28" s="122">
        <v>18092026</v>
      </c>
      <c r="L28" s="8">
        <f t="shared" si="1"/>
        <v>6965010</v>
      </c>
      <c r="M28">
        <f t="shared" si="2"/>
        <v>0.24597581338720259</v>
      </c>
      <c r="N28">
        <f t="shared" si="3"/>
        <v>0.28395106396114289</v>
      </c>
      <c r="O28">
        <f t="shared" si="4"/>
        <v>0.20920041751555274</v>
      </c>
      <c r="P28">
        <f t="shared" si="5"/>
        <v>0.15608304941414297</v>
      </c>
      <c r="Q28">
        <f t="shared" si="6"/>
        <v>8.3182651568339455E-2</v>
      </c>
      <c r="R28">
        <f t="shared" si="7"/>
        <v>2.1607004153619307E-2</v>
      </c>
    </row>
    <row r="29" spans="2:18">
      <c r="B29" t="s">
        <v>33</v>
      </c>
      <c r="C29" s="122">
        <v>2021</v>
      </c>
      <c r="D29" s="122">
        <v>1</v>
      </c>
      <c r="E29" s="122">
        <v>64734.335487365723</v>
      </c>
      <c r="F29" s="122">
        <v>46637.169727325439</v>
      </c>
      <c r="G29" s="122">
        <v>30723.949127197269</v>
      </c>
      <c r="H29" s="122">
        <v>29199.98612785339</v>
      </c>
      <c r="I29" s="122">
        <v>14517.92816162109</v>
      </c>
      <c r="J29" s="122">
        <v>3070.559743881226</v>
      </c>
      <c r="K29" s="122">
        <v>813834</v>
      </c>
      <c r="L29" s="8">
        <f t="shared" si="1"/>
        <v>188883.92837524414</v>
      </c>
      <c r="M29" s="35">
        <f t="shared" si="2"/>
        <v>0.34272018823518952</v>
      </c>
      <c r="N29" s="35">
        <f t="shared" si="3"/>
        <v>0.24690914747746154</v>
      </c>
      <c r="O29" s="35">
        <f t="shared" si="4"/>
        <v>0.16266047297660963</v>
      </c>
      <c r="P29" s="35">
        <f t="shared" si="5"/>
        <v>0.15459222168359166</v>
      </c>
      <c r="Q29" s="35">
        <f t="shared" si="6"/>
        <v>7.6861638184373263E-2</v>
      </c>
      <c r="R29" s="35">
        <f t="shared" si="7"/>
        <v>1.6256331442774385E-2</v>
      </c>
    </row>
    <row r="30" spans="2:18" hidden="1">
      <c r="B30" t="s">
        <v>33</v>
      </c>
      <c r="C30" s="122">
        <v>2021</v>
      </c>
      <c r="D30" s="122">
        <v>2</v>
      </c>
      <c r="E30" s="122">
        <v>41745.833923339836</v>
      </c>
      <c r="F30" s="122">
        <v>36887.994552612297</v>
      </c>
      <c r="G30" s="122">
        <v>27435.73040390015</v>
      </c>
      <c r="H30" s="122">
        <v>21600.48489570618</v>
      </c>
      <c r="I30" s="122">
        <v>19301.724494934078</v>
      </c>
      <c r="J30" s="122">
        <v>5722.7873458862296</v>
      </c>
      <c r="K30" s="122">
        <v>813834</v>
      </c>
      <c r="L30" s="8">
        <f t="shared" si="1"/>
        <v>152694.55561637876</v>
      </c>
      <c r="M30">
        <f t="shared" si="2"/>
        <v>0.27339438367547125</v>
      </c>
      <c r="N30">
        <f t="shared" si="3"/>
        <v>0.24158028689174504</v>
      </c>
      <c r="O30">
        <f t="shared" si="4"/>
        <v>0.17967720128036616</v>
      </c>
      <c r="P30">
        <f t="shared" si="5"/>
        <v>0.14146205022511757</v>
      </c>
      <c r="Q30">
        <f t="shared" si="6"/>
        <v>0.12640741784812976</v>
      </c>
      <c r="R30">
        <f t="shared" si="7"/>
        <v>3.7478660079170341E-2</v>
      </c>
    </row>
    <row r="31" spans="2:18" hidden="1">
      <c r="B31" t="s">
        <v>33</v>
      </c>
      <c r="C31" s="122">
        <v>2021</v>
      </c>
      <c r="D31" s="122">
        <v>3</v>
      </c>
      <c r="E31" s="122">
        <v>45042.117153167717</v>
      </c>
      <c r="F31" s="122">
        <v>66650.401107788086</v>
      </c>
      <c r="G31" s="122">
        <v>43422.825462341309</v>
      </c>
      <c r="H31" s="122">
        <v>46557.157421112061</v>
      </c>
      <c r="I31" s="122">
        <v>35275.691263198853</v>
      </c>
      <c r="J31" s="122">
        <v>9754.861156463623</v>
      </c>
      <c r="K31" s="122">
        <v>813834</v>
      </c>
      <c r="L31" s="8">
        <f t="shared" si="1"/>
        <v>246703.05356407166</v>
      </c>
      <c r="M31">
        <f t="shared" si="2"/>
        <v>0.18257624501380465</v>
      </c>
      <c r="N31">
        <f t="shared" si="3"/>
        <v>0.27016447565160845</v>
      </c>
      <c r="O31">
        <f t="shared" si="4"/>
        <v>0.17601251721460309</v>
      </c>
      <c r="P31">
        <f t="shared" si="5"/>
        <v>0.18871739424587472</v>
      </c>
      <c r="Q31">
        <f t="shared" si="6"/>
        <v>0.14298846631031806</v>
      </c>
      <c r="R31">
        <f t="shared" si="7"/>
        <v>3.9540901563791031E-2</v>
      </c>
    </row>
    <row r="32" spans="2:18">
      <c r="B32" t="s">
        <v>34</v>
      </c>
      <c r="C32" s="122">
        <v>2023</v>
      </c>
      <c r="D32" s="122">
        <v>1</v>
      </c>
      <c r="E32" s="122">
        <v>1174677.316986084</v>
      </c>
      <c r="F32" s="122">
        <v>680086.18594360352</v>
      </c>
      <c r="G32" s="122">
        <v>520813.96963500982</v>
      </c>
      <c r="H32" s="122">
        <v>357306.71797180182</v>
      </c>
      <c r="I32" s="122">
        <v>266838.9143371582</v>
      </c>
      <c r="J32" s="122">
        <v>115680.3688659668</v>
      </c>
      <c r="K32" s="122">
        <v>10593798</v>
      </c>
      <c r="L32" s="8">
        <f t="shared" si="1"/>
        <v>3115403.473739624</v>
      </c>
      <c r="M32" s="35">
        <f t="shared" si="2"/>
        <v>0.37705463413894236</v>
      </c>
      <c r="N32" s="35">
        <f t="shared" si="3"/>
        <v>0.2182979481393629</v>
      </c>
      <c r="O32" s="35">
        <f t="shared" si="4"/>
        <v>0.16717384249746711</v>
      </c>
      <c r="P32" s="35">
        <f t="shared" si="5"/>
        <v>0.11469035101989632</v>
      </c>
      <c r="Q32" s="35">
        <f t="shared" si="6"/>
        <v>8.565147872062101E-2</v>
      </c>
      <c r="R32" s="35">
        <f t="shared" si="7"/>
        <v>3.7131745483710343E-2</v>
      </c>
    </row>
    <row r="33" spans="2:18" hidden="1">
      <c r="B33" t="s">
        <v>34</v>
      </c>
      <c r="C33" s="122">
        <v>2023</v>
      </c>
      <c r="D33" s="122">
        <v>2</v>
      </c>
      <c r="E33" s="122">
        <v>748033.1148223877</v>
      </c>
      <c r="F33" s="122">
        <v>504022.08084106451</v>
      </c>
      <c r="G33" s="122">
        <v>421064.98118591309</v>
      </c>
      <c r="H33" s="122">
        <v>272132.6051940918</v>
      </c>
      <c r="I33" s="122">
        <v>193855.93521118161</v>
      </c>
      <c r="J33" s="122">
        <v>76955.549758911133</v>
      </c>
      <c r="K33" s="122">
        <v>10593798</v>
      </c>
      <c r="L33" s="8">
        <f t="shared" si="1"/>
        <v>2216064.2670135498</v>
      </c>
      <c r="M33">
        <f t="shared" si="2"/>
        <v>0.33755028044852903</v>
      </c>
      <c r="N33">
        <f t="shared" si="3"/>
        <v>0.22744019130830684</v>
      </c>
      <c r="O33">
        <f t="shared" si="4"/>
        <v>0.1900057626728289</v>
      </c>
      <c r="P33">
        <f t="shared" si="5"/>
        <v>0.12279996083363943</v>
      </c>
      <c r="Q33">
        <f t="shared" si="6"/>
        <v>8.7477578198771749E-2</v>
      </c>
      <c r="R33">
        <f t="shared" si="7"/>
        <v>3.4726226537924045E-2</v>
      </c>
    </row>
    <row r="34" spans="2:18" hidden="1">
      <c r="B34" t="s">
        <v>34</v>
      </c>
      <c r="C34" s="122">
        <v>2023</v>
      </c>
      <c r="D34" s="122">
        <v>3</v>
      </c>
      <c r="E34" s="122">
        <v>805177.46411132813</v>
      </c>
      <c r="F34" s="122">
        <v>969970.92886352539</v>
      </c>
      <c r="G34" s="122">
        <v>669765.86283874512</v>
      </c>
      <c r="H34" s="122">
        <v>589884.65835571289</v>
      </c>
      <c r="I34" s="122">
        <v>359873.41944885248</v>
      </c>
      <c r="J34" s="122">
        <v>134467.6428527832</v>
      </c>
      <c r="K34" s="122">
        <v>10593798</v>
      </c>
      <c r="L34" s="8">
        <f t="shared" si="1"/>
        <v>3529139.9764709473</v>
      </c>
      <c r="M34">
        <f t="shared" si="2"/>
        <v>0.22815118399369516</v>
      </c>
      <c r="N34">
        <f t="shared" si="3"/>
        <v>0.27484626150574859</v>
      </c>
      <c r="O34">
        <f t="shared" si="4"/>
        <v>0.18978160892005605</v>
      </c>
      <c r="P34">
        <f t="shared" si="5"/>
        <v>0.16714685795647669</v>
      </c>
      <c r="Q34">
        <f t="shared" si="6"/>
        <v>0.10197198803338965</v>
      </c>
      <c r="R34">
        <f t="shared" si="7"/>
        <v>3.8102099590633841E-2</v>
      </c>
    </row>
    <row r="35" spans="2:18">
      <c r="B35" t="s">
        <v>38</v>
      </c>
      <c r="C35" s="122">
        <v>2022</v>
      </c>
      <c r="D35" s="122">
        <v>1</v>
      </c>
      <c r="E35" s="122">
        <v>4597334</v>
      </c>
      <c r="F35" s="122">
        <v>2251880</v>
      </c>
      <c r="G35" s="122">
        <v>2265185</v>
      </c>
      <c r="H35" s="122">
        <v>1435972</v>
      </c>
      <c r="I35" s="122">
        <v>1205998</v>
      </c>
      <c r="J35" s="122">
        <v>675591</v>
      </c>
      <c r="K35" s="122">
        <v>128455567</v>
      </c>
      <c r="L35" s="8">
        <f t="shared" si="1"/>
        <v>12431960</v>
      </c>
      <c r="M35" s="35">
        <f t="shared" si="2"/>
        <v>0.36979961325486888</v>
      </c>
      <c r="N35" s="35">
        <f t="shared" si="3"/>
        <v>0.18113636144260439</v>
      </c>
      <c r="O35" s="35">
        <f t="shared" si="4"/>
        <v>0.18220658689378022</v>
      </c>
      <c r="P35" s="35">
        <f t="shared" si="5"/>
        <v>0.11550648489860006</v>
      </c>
      <c r="Q35" s="35">
        <f t="shared" si="6"/>
        <v>9.7007873255705451E-2</v>
      </c>
      <c r="R35" s="35">
        <f t="shared" si="7"/>
        <v>5.434308025444097E-2</v>
      </c>
    </row>
    <row r="36" spans="2:18" hidden="1">
      <c r="B36" t="s">
        <v>38</v>
      </c>
      <c r="C36" s="122">
        <v>2022</v>
      </c>
      <c r="D36" s="122">
        <v>2</v>
      </c>
      <c r="E36" s="122">
        <v>8786392</v>
      </c>
      <c r="F36" s="122">
        <v>5756767</v>
      </c>
      <c r="G36" s="122">
        <v>5174909</v>
      </c>
      <c r="H36" s="122">
        <v>3482102</v>
      </c>
      <c r="I36" s="122">
        <v>2211897</v>
      </c>
      <c r="J36" s="122">
        <v>908404</v>
      </c>
      <c r="K36" s="122">
        <v>128455567</v>
      </c>
      <c r="L36" s="8">
        <f t="shared" si="1"/>
        <v>26320471</v>
      </c>
      <c r="M36">
        <f t="shared" si="2"/>
        <v>0.33382350946531314</v>
      </c>
      <c r="N36">
        <f t="shared" si="3"/>
        <v>0.21871823646316968</v>
      </c>
      <c r="O36">
        <f t="shared" si="4"/>
        <v>0.1966115651957748</v>
      </c>
      <c r="P36">
        <f t="shared" si="5"/>
        <v>0.13229634074557403</v>
      </c>
      <c r="Q36">
        <f t="shared" si="6"/>
        <v>8.4037135961586712E-2</v>
      </c>
      <c r="R36">
        <f t="shared" si="7"/>
        <v>3.4513212168581636E-2</v>
      </c>
    </row>
    <row r="37" spans="2:18" hidden="1">
      <c r="B37" t="s">
        <v>38</v>
      </c>
      <c r="C37" s="122">
        <v>2022</v>
      </c>
      <c r="D37" s="122">
        <v>3</v>
      </c>
      <c r="E37" s="122">
        <v>16999756</v>
      </c>
      <c r="F37" s="122">
        <v>20660271</v>
      </c>
      <c r="G37" s="122">
        <v>16757740</v>
      </c>
      <c r="H37" s="122">
        <v>16310466</v>
      </c>
      <c r="I37" s="122">
        <v>8575997</v>
      </c>
      <c r="J37" s="122">
        <v>2693977</v>
      </c>
      <c r="K37" s="122">
        <v>128455567</v>
      </c>
      <c r="L37" s="8">
        <f t="shared" si="1"/>
        <v>81998207</v>
      </c>
      <c r="M37">
        <f t="shared" si="2"/>
        <v>0.20731863075981649</v>
      </c>
      <c r="N37">
        <f t="shared" si="3"/>
        <v>0.25196003371146886</v>
      </c>
      <c r="O37">
        <f t="shared" si="4"/>
        <v>0.20436715158905852</v>
      </c>
      <c r="P37">
        <f t="shared" si="5"/>
        <v>0.19891247134220874</v>
      </c>
      <c r="Q37">
        <f t="shared" si="6"/>
        <v>0.10458761616580226</v>
      </c>
      <c r="R37">
        <f t="shared" si="7"/>
        <v>3.2854096431645143E-2</v>
      </c>
    </row>
    <row r="38" spans="2:18">
      <c r="B38" t="s">
        <v>42</v>
      </c>
      <c r="C38" s="122">
        <v>2022</v>
      </c>
      <c r="D38" s="122">
        <v>1</v>
      </c>
      <c r="E38" s="122">
        <v>187873</v>
      </c>
      <c r="F38" s="122">
        <v>79189</v>
      </c>
      <c r="G38" s="122">
        <v>43285</v>
      </c>
      <c r="H38" s="122">
        <v>42273</v>
      </c>
      <c r="I38" s="122">
        <v>20689</v>
      </c>
      <c r="J38" s="122">
        <v>4575</v>
      </c>
      <c r="K38" s="122">
        <v>4468087</v>
      </c>
      <c r="L38" s="8">
        <f t="shared" si="1"/>
        <v>377884</v>
      </c>
      <c r="M38" s="35">
        <f t="shared" si="2"/>
        <v>0.4971710895407056</v>
      </c>
      <c r="N38" s="35">
        <f t="shared" si="3"/>
        <v>0.20955901811137809</v>
      </c>
      <c r="O38" s="35">
        <f t="shared" si="4"/>
        <v>0.1145457336113728</v>
      </c>
      <c r="P38" s="35">
        <f t="shared" si="5"/>
        <v>0.11186766309237756</v>
      </c>
      <c r="Q38" s="35">
        <f t="shared" si="6"/>
        <v>5.4749605699103428E-2</v>
      </c>
      <c r="R38" s="35">
        <f t="shared" si="7"/>
        <v>1.2106889945062507E-2</v>
      </c>
    </row>
    <row r="39" spans="2:18" hidden="1">
      <c r="B39" t="s">
        <v>42</v>
      </c>
      <c r="C39" s="122">
        <v>2022</v>
      </c>
      <c r="D39" s="122">
        <v>2</v>
      </c>
      <c r="E39" s="122">
        <v>180788</v>
      </c>
      <c r="F39" s="122">
        <v>85729</v>
      </c>
      <c r="G39" s="122">
        <v>61093</v>
      </c>
      <c r="H39" s="122">
        <v>55293</v>
      </c>
      <c r="I39" s="122">
        <v>37798</v>
      </c>
      <c r="J39" s="122">
        <v>19976</v>
      </c>
      <c r="K39" s="122">
        <v>4468087</v>
      </c>
      <c r="L39" s="8">
        <f t="shared" si="1"/>
        <v>440677</v>
      </c>
      <c r="M39">
        <f t="shared" si="2"/>
        <v>0.41025059170322026</v>
      </c>
      <c r="N39">
        <f t="shared" si="3"/>
        <v>0.19453931110541281</v>
      </c>
      <c r="O39">
        <f t="shared" si="4"/>
        <v>0.13863441931391926</v>
      </c>
      <c r="P39">
        <f t="shared" si="5"/>
        <v>0.12547285199817554</v>
      </c>
      <c r="Q39">
        <f t="shared" si="6"/>
        <v>8.5772572655255439E-2</v>
      </c>
      <c r="R39">
        <f t="shared" si="7"/>
        <v>4.5330253224016681E-2</v>
      </c>
    </row>
    <row r="40" spans="2:18" hidden="1">
      <c r="B40" t="s">
        <v>42</v>
      </c>
      <c r="C40" s="122">
        <v>2022</v>
      </c>
      <c r="D40" s="122">
        <v>3</v>
      </c>
      <c r="E40" s="122">
        <v>799191</v>
      </c>
      <c r="F40" s="122">
        <v>753975</v>
      </c>
      <c r="G40" s="122">
        <v>567991</v>
      </c>
      <c r="H40" s="122">
        <v>642249</v>
      </c>
      <c r="I40" s="122">
        <v>422987</v>
      </c>
      <c r="J40" s="122">
        <v>174345</v>
      </c>
      <c r="K40" s="122">
        <v>4468087</v>
      </c>
      <c r="L40" s="8">
        <f t="shared" si="1"/>
        <v>3360738</v>
      </c>
      <c r="M40">
        <f t="shared" si="2"/>
        <v>0.23780223272388387</v>
      </c>
      <c r="N40">
        <f t="shared" si="3"/>
        <v>0.22434804498297695</v>
      </c>
      <c r="O40">
        <f t="shared" si="4"/>
        <v>0.16900781911592036</v>
      </c>
      <c r="P40">
        <f t="shared" si="5"/>
        <v>0.19110356118209751</v>
      </c>
      <c r="Q40">
        <f t="shared" si="6"/>
        <v>0.12586134355013689</v>
      </c>
      <c r="R40">
        <f t="shared" si="7"/>
        <v>5.1876998444984404E-2</v>
      </c>
    </row>
    <row r="41" spans="2:18">
      <c r="B41" t="s">
        <v>44</v>
      </c>
      <c r="C41" s="122">
        <v>2022</v>
      </c>
      <c r="D41" s="122">
        <v>1</v>
      </c>
      <c r="E41" s="122">
        <v>1536010.1635056729</v>
      </c>
      <c r="F41" s="122">
        <v>743503.28617095947</v>
      </c>
      <c r="G41" s="122">
        <v>752705.17065370083</v>
      </c>
      <c r="H41" s="122">
        <v>532207.3351149559</v>
      </c>
      <c r="I41" s="122">
        <v>365737.69350087643</v>
      </c>
      <c r="J41" s="122">
        <v>168114.30490756029</v>
      </c>
      <c r="K41" s="122">
        <v>34352719</v>
      </c>
      <c r="L41" s="8">
        <f t="shared" si="1"/>
        <v>4098277.9538537259</v>
      </c>
      <c r="M41" s="35">
        <f t="shared" si="2"/>
        <v>0.37479404296170771</v>
      </c>
      <c r="N41" s="35">
        <f t="shared" si="3"/>
        <v>0.18141846271598597</v>
      </c>
      <c r="O41" s="35">
        <f t="shared" si="4"/>
        <v>0.18366376783837002</v>
      </c>
      <c r="P41" s="35">
        <f t="shared" si="5"/>
        <v>0.12986121027113506</v>
      </c>
      <c r="Q41" s="35">
        <f t="shared" si="6"/>
        <v>8.9241798047631937E-2</v>
      </c>
      <c r="R41" s="35">
        <f t="shared" si="7"/>
        <v>4.1020718165169272E-2</v>
      </c>
    </row>
    <row r="42" spans="2:18" hidden="1">
      <c r="B42" t="s">
        <v>44</v>
      </c>
      <c r="C42" s="122">
        <v>2022</v>
      </c>
      <c r="D42" s="122">
        <v>2</v>
      </c>
      <c r="E42" s="122">
        <v>2744612.323475718</v>
      </c>
      <c r="F42" s="122">
        <v>1648649.9109808209</v>
      </c>
      <c r="G42" s="122">
        <v>1574638.538082123</v>
      </c>
      <c r="H42" s="122">
        <v>1088384.368994117</v>
      </c>
      <c r="I42" s="122">
        <v>795205.5805182457</v>
      </c>
      <c r="J42" s="122">
        <v>382301.02565443522</v>
      </c>
      <c r="K42" s="122">
        <v>34352719</v>
      </c>
      <c r="L42" s="8">
        <f t="shared" si="1"/>
        <v>8233791.7477054596</v>
      </c>
      <c r="M42">
        <f t="shared" si="2"/>
        <v>0.33333516411082037</v>
      </c>
      <c r="N42">
        <f t="shared" si="3"/>
        <v>0.20022973151346171</v>
      </c>
      <c r="O42">
        <f t="shared" si="4"/>
        <v>0.19124099641224632</v>
      </c>
      <c r="P42">
        <f t="shared" si="5"/>
        <v>0.13218507369917645</v>
      </c>
      <c r="Q42">
        <f t="shared" si="6"/>
        <v>9.6578296474385386E-2</v>
      </c>
      <c r="R42">
        <f t="shared" si="7"/>
        <v>4.6430737789909783E-2</v>
      </c>
    </row>
    <row r="43" spans="2:18" hidden="1">
      <c r="B43" t="s">
        <v>44</v>
      </c>
      <c r="C43" s="122">
        <v>2022</v>
      </c>
      <c r="D43" s="122">
        <v>3</v>
      </c>
      <c r="E43" s="122">
        <v>4348301.6365751028</v>
      </c>
      <c r="F43" s="122">
        <v>4963106.1518809795</v>
      </c>
      <c r="G43" s="122">
        <v>3944160.8522729869</v>
      </c>
      <c r="H43" s="122">
        <v>3909877.0477032661</v>
      </c>
      <c r="I43" s="122">
        <v>2328257.6156358719</v>
      </c>
      <c r="J43" s="122">
        <v>880223.10512006283</v>
      </c>
      <c r="K43" s="122">
        <v>34352719</v>
      </c>
      <c r="L43" s="8">
        <f t="shared" si="1"/>
        <v>20373926.409188271</v>
      </c>
      <c r="M43">
        <f t="shared" si="2"/>
        <v>0.21342482294498216</v>
      </c>
      <c r="N43">
        <f t="shared" si="3"/>
        <v>0.24360086770720391</v>
      </c>
      <c r="O43">
        <f t="shared" si="4"/>
        <v>0.19358864722777452</v>
      </c>
      <c r="P43">
        <f t="shared" si="5"/>
        <v>0.19190591784703723</v>
      </c>
      <c r="Q43">
        <f t="shared" si="6"/>
        <v>0.1142763338236988</v>
      </c>
      <c r="R43">
        <f t="shared" si="7"/>
        <v>4.3203410449303391E-2</v>
      </c>
    </row>
    <row r="44" spans="2:18">
      <c r="B44" t="s">
        <v>45</v>
      </c>
      <c r="C44" s="122">
        <v>2022</v>
      </c>
      <c r="D44" s="122">
        <v>1</v>
      </c>
      <c r="E44" s="122">
        <v>363034</v>
      </c>
      <c r="F44" s="122">
        <v>179805</v>
      </c>
      <c r="G44" s="122">
        <v>143747</v>
      </c>
      <c r="H44" s="122">
        <v>111339</v>
      </c>
      <c r="I44" s="122">
        <v>43807</v>
      </c>
      <c r="J44" s="122">
        <v>16712</v>
      </c>
      <c r="K44" s="122">
        <v>6861524</v>
      </c>
      <c r="L44" s="8">
        <f t="shared" si="1"/>
        <v>858444</v>
      </c>
      <c r="M44" s="35">
        <f t="shared" si="2"/>
        <v>0.42289770794600462</v>
      </c>
      <c r="N44" s="35">
        <f t="shared" si="3"/>
        <v>0.20945454799614185</v>
      </c>
      <c r="O44" s="35">
        <f t="shared" si="4"/>
        <v>0.1674506432568694</v>
      </c>
      <c r="P44" s="35">
        <f t="shared" si="5"/>
        <v>0.12969861749863706</v>
      </c>
      <c r="Q44" s="35">
        <f t="shared" si="6"/>
        <v>5.1030702060938161E-2</v>
      </c>
      <c r="R44" s="35">
        <f t="shared" si="7"/>
        <v>1.9467781241408876E-2</v>
      </c>
    </row>
    <row r="45" spans="2:18" hidden="1">
      <c r="B45" t="s">
        <v>45</v>
      </c>
      <c r="C45" s="122">
        <v>2022</v>
      </c>
      <c r="D45" s="122">
        <v>2</v>
      </c>
      <c r="E45" s="122">
        <v>513668</v>
      </c>
      <c r="F45" s="122">
        <v>275137</v>
      </c>
      <c r="G45" s="122">
        <v>266261</v>
      </c>
      <c r="H45" s="122">
        <v>119552</v>
      </c>
      <c r="I45" s="122">
        <v>104004</v>
      </c>
      <c r="J45" s="122">
        <v>42618</v>
      </c>
      <c r="K45" s="122">
        <v>6861524</v>
      </c>
      <c r="L45" s="8">
        <f t="shared" si="1"/>
        <v>1321240</v>
      </c>
      <c r="M45">
        <f t="shared" si="2"/>
        <v>0.38877720928824439</v>
      </c>
      <c r="N45">
        <f t="shared" si="3"/>
        <v>0.20824150040870698</v>
      </c>
      <c r="O45">
        <f t="shared" si="4"/>
        <v>0.2015235687687324</v>
      </c>
      <c r="P45">
        <f t="shared" si="5"/>
        <v>9.0484696194483974E-2</v>
      </c>
      <c r="Q45">
        <f t="shared" si="6"/>
        <v>7.8716962853077416E-2</v>
      </c>
      <c r="R45">
        <f t="shared" si="7"/>
        <v>3.2256062486754868E-2</v>
      </c>
    </row>
    <row r="46" spans="2:18" hidden="1">
      <c r="B46" t="s">
        <v>45</v>
      </c>
      <c r="C46" s="122">
        <v>2022</v>
      </c>
      <c r="D46" s="122">
        <v>3</v>
      </c>
      <c r="E46" s="122">
        <v>1189829</v>
      </c>
      <c r="F46" s="122">
        <v>1361169</v>
      </c>
      <c r="G46" s="122">
        <v>1056714</v>
      </c>
      <c r="H46" s="122">
        <v>691457</v>
      </c>
      <c r="I46" s="122">
        <v>364455</v>
      </c>
      <c r="J46" s="122">
        <v>109946</v>
      </c>
      <c r="K46" s="122">
        <v>6861524</v>
      </c>
      <c r="L46" s="8">
        <f t="shared" si="1"/>
        <v>4773570</v>
      </c>
      <c r="M46">
        <f t="shared" si="2"/>
        <v>0.24925349371644284</v>
      </c>
      <c r="N46">
        <f t="shared" si="3"/>
        <v>0.28514696547866691</v>
      </c>
      <c r="O46">
        <f t="shared" si="4"/>
        <v>0.22136765565394453</v>
      </c>
      <c r="P46">
        <f t="shared" si="5"/>
        <v>0.14485112819126986</v>
      </c>
      <c r="Q46">
        <f t="shared" si="6"/>
        <v>7.6348519032925041E-2</v>
      </c>
      <c r="R46">
        <f t="shared" si="7"/>
        <v>2.303223792675084E-2</v>
      </c>
    </row>
    <row r="47" spans="2:18">
      <c r="B47" t="s">
        <v>46</v>
      </c>
      <c r="C47" s="122">
        <v>2023</v>
      </c>
      <c r="D47" s="122">
        <v>1</v>
      </c>
      <c r="E47" s="122">
        <v>1350829.5268783569</v>
      </c>
      <c r="F47" s="122">
        <v>1443012.125385284</v>
      </c>
      <c r="G47" s="122">
        <v>1130638.2142162321</v>
      </c>
      <c r="H47" s="122">
        <v>922495.29834270477</v>
      </c>
      <c r="I47" s="122">
        <v>505891.89631271362</v>
      </c>
      <c r="J47" s="122">
        <v>227359.71832752231</v>
      </c>
      <c r="K47" s="122">
        <v>6364943</v>
      </c>
      <c r="L47" s="8">
        <f t="shared" si="1"/>
        <v>5580226.7794628134</v>
      </c>
      <c r="M47" s="35">
        <f t="shared" si="2"/>
        <v>0.24207430634358484</v>
      </c>
      <c r="N47" s="35">
        <f t="shared" si="3"/>
        <v>0.25859381391022912</v>
      </c>
      <c r="O47" s="35">
        <f t="shared" si="4"/>
        <v>0.2026151013032976</v>
      </c>
      <c r="P47" s="35">
        <f t="shared" si="5"/>
        <v>0.16531501940706247</v>
      </c>
      <c r="Q47" s="35">
        <f t="shared" si="6"/>
        <v>9.0657945690410427E-2</v>
      </c>
      <c r="R47" s="35">
        <f t="shared" si="7"/>
        <v>4.0743813345415568E-2</v>
      </c>
    </row>
    <row r="48" spans="2:18">
      <c r="B48" t="s">
        <v>50</v>
      </c>
      <c r="C48" s="122">
        <v>2022</v>
      </c>
      <c r="D48" s="122">
        <v>1</v>
      </c>
      <c r="E48" s="122">
        <v>65007</v>
      </c>
      <c r="F48" s="122">
        <v>32651</v>
      </c>
      <c r="G48" s="122">
        <v>22440</v>
      </c>
      <c r="H48" s="122">
        <v>10873</v>
      </c>
      <c r="I48" s="122">
        <v>3444</v>
      </c>
      <c r="J48" s="122">
        <v>416</v>
      </c>
      <c r="K48" s="122">
        <v>3423109</v>
      </c>
      <c r="L48" s="8">
        <f t="shared" si="1"/>
        <v>134831</v>
      </c>
      <c r="M48" s="35">
        <f t="shared" si="2"/>
        <v>0.48213689730106579</v>
      </c>
      <c r="N48" s="35">
        <f t="shared" si="3"/>
        <v>0.24216241072156997</v>
      </c>
      <c r="O48" s="35">
        <f t="shared" si="4"/>
        <v>0.16643056863777617</v>
      </c>
      <c r="P48" s="35">
        <f t="shared" si="5"/>
        <v>8.0641692192448322E-2</v>
      </c>
      <c r="Q48" s="35">
        <f t="shared" si="6"/>
        <v>2.5543087272214847E-2</v>
      </c>
      <c r="R48" s="35">
        <f t="shared" si="7"/>
        <v>3.0853438749249059E-3</v>
      </c>
    </row>
    <row r="49" spans="2:18" hidden="1">
      <c r="B49" t="s">
        <v>50</v>
      </c>
      <c r="C49" s="122">
        <v>2022</v>
      </c>
      <c r="D49" s="122">
        <v>2</v>
      </c>
      <c r="E49" s="122">
        <v>129427</v>
      </c>
      <c r="F49" s="122">
        <v>87116</v>
      </c>
      <c r="G49" s="122">
        <v>68984</v>
      </c>
      <c r="H49" s="122">
        <v>40147</v>
      </c>
      <c r="I49" s="122">
        <v>17082</v>
      </c>
      <c r="J49" s="122">
        <v>2872</v>
      </c>
      <c r="K49" s="122">
        <v>3423109</v>
      </c>
      <c r="L49" s="8">
        <f t="shared" si="1"/>
        <v>345628</v>
      </c>
      <c r="M49">
        <f t="shared" si="2"/>
        <v>0.37446908236601201</v>
      </c>
      <c r="N49">
        <f t="shared" si="3"/>
        <v>0.2520513384332288</v>
      </c>
      <c r="O49">
        <f t="shared" si="4"/>
        <v>0.19959031097017602</v>
      </c>
      <c r="P49">
        <f t="shared" si="5"/>
        <v>0.11615667712106659</v>
      </c>
      <c r="Q49">
        <f t="shared" si="6"/>
        <v>4.9423079148680084E-2</v>
      </c>
      <c r="R49">
        <f t="shared" si="7"/>
        <v>8.3095119608365062E-3</v>
      </c>
    </row>
    <row r="50" spans="2:18" hidden="1">
      <c r="B50" t="s">
        <v>50</v>
      </c>
      <c r="C50" s="122">
        <v>2022</v>
      </c>
      <c r="D50" s="122">
        <v>3</v>
      </c>
      <c r="E50" s="122">
        <v>499780</v>
      </c>
      <c r="F50" s="122">
        <v>591543</v>
      </c>
      <c r="G50" s="122">
        <v>569370</v>
      </c>
      <c r="H50" s="122">
        <v>561297</v>
      </c>
      <c r="I50" s="122">
        <v>422479</v>
      </c>
      <c r="J50" s="122">
        <v>208763</v>
      </c>
      <c r="K50" s="122">
        <v>3423109</v>
      </c>
      <c r="L50" s="8">
        <f t="shared" si="1"/>
        <v>2853232</v>
      </c>
      <c r="M50">
        <f t="shared" si="2"/>
        <v>0.17516276278970655</v>
      </c>
      <c r="N50">
        <f t="shared" si="3"/>
        <v>0.20732383486516343</v>
      </c>
      <c r="O50">
        <f t="shared" si="4"/>
        <v>0.19955264766412265</v>
      </c>
      <c r="P50">
        <f t="shared" si="5"/>
        <v>0.19672322475003784</v>
      </c>
      <c r="Q50">
        <f t="shared" si="6"/>
        <v>0.14807032866587785</v>
      </c>
      <c r="R50">
        <f t="shared" si="7"/>
        <v>7.3167201265091658E-2</v>
      </c>
    </row>
    <row r="51" spans="2:18">
      <c r="B51" t="s">
        <v>51</v>
      </c>
      <c r="C51" s="122">
        <v>2021</v>
      </c>
      <c r="D51" s="122">
        <v>1</v>
      </c>
      <c r="E51" s="122">
        <v>4452013.7498054504</v>
      </c>
      <c r="F51" s="122">
        <v>3174709.2513237</v>
      </c>
      <c r="G51" s="122">
        <v>2771764.684009552</v>
      </c>
      <c r="H51" s="122">
        <v>1992486.903175354</v>
      </c>
      <c r="I51" s="122">
        <v>1234708.158130646</v>
      </c>
      <c r="J51" s="122">
        <v>423943.53266906738</v>
      </c>
      <c r="K51" s="122">
        <v>28838499</v>
      </c>
      <c r="L51" s="8">
        <f t="shared" si="1"/>
        <v>14049626.27911377</v>
      </c>
      <c r="M51" s="35">
        <f t="shared" si="2"/>
        <v>0.3168777347781721</v>
      </c>
      <c r="N51" s="35">
        <f t="shared" si="3"/>
        <v>0.22596396432574406</v>
      </c>
      <c r="O51" s="35">
        <f t="shared" si="4"/>
        <v>0.19728387281945489</v>
      </c>
      <c r="P51" s="35">
        <f t="shared" si="5"/>
        <v>0.14181778672201359</v>
      </c>
      <c r="Q51" s="35">
        <f t="shared" si="6"/>
        <v>8.788192181070098E-2</v>
      </c>
      <c r="R51" s="35">
        <f t="shared" si="7"/>
        <v>3.0174719543914385E-2</v>
      </c>
    </row>
    <row r="52" spans="2:18" hidden="1">
      <c r="B52" t="s">
        <v>51</v>
      </c>
      <c r="C52" s="122">
        <v>2021</v>
      </c>
      <c r="D52" s="122">
        <v>2</v>
      </c>
      <c r="E52" s="122">
        <v>1262363.595180511</v>
      </c>
      <c r="F52" s="122">
        <v>1088749.713340759</v>
      </c>
      <c r="G52" s="122">
        <v>911535.4070854187</v>
      </c>
      <c r="H52" s="122">
        <v>718971.87554168701</v>
      </c>
      <c r="I52" s="122">
        <v>404863.33201980591</v>
      </c>
      <c r="J52" s="122">
        <v>112075.5633125305</v>
      </c>
      <c r="K52" s="122">
        <v>28838499</v>
      </c>
      <c r="L52" s="8">
        <f t="shared" si="1"/>
        <v>4498559.486480712</v>
      </c>
      <c r="M52">
        <f t="shared" si="2"/>
        <v>0.28061507221905746</v>
      </c>
      <c r="N52">
        <f t="shared" si="3"/>
        <v>0.24202185535452453</v>
      </c>
      <c r="O52">
        <f t="shared" si="4"/>
        <v>0.20262828797191831</v>
      </c>
      <c r="P52">
        <f t="shared" si="5"/>
        <v>0.1598226893969894</v>
      </c>
      <c r="Q52">
        <f t="shared" si="6"/>
        <v>8.9998439108456993E-2</v>
      </c>
      <c r="R52">
        <f t="shared" si="7"/>
        <v>2.4913655949053336E-2</v>
      </c>
    </row>
    <row r="53" spans="2:18" hidden="1">
      <c r="B53" t="s">
        <v>51</v>
      </c>
      <c r="C53" s="122">
        <v>2021</v>
      </c>
      <c r="D53" s="122">
        <v>3</v>
      </c>
      <c r="E53" s="122">
        <v>1689454.0567970281</v>
      </c>
      <c r="F53" s="122">
        <v>1824502.486724854</v>
      </c>
      <c r="G53" s="122">
        <v>1665484.469238281</v>
      </c>
      <c r="H53" s="122">
        <v>1479165.323730469</v>
      </c>
      <c r="I53" s="122">
        <v>719931.04379272461</v>
      </c>
      <c r="J53" s="122">
        <v>179606.77031707761</v>
      </c>
      <c r="K53" s="122">
        <v>28838499</v>
      </c>
      <c r="L53" s="8">
        <f t="shared" si="1"/>
        <v>7558144.1506004343</v>
      </c>
      <c r="M53">
        <f t="shared" si="2"/>
        <v>0.22352763100751583</v>
      </c>
      <c r="N53">
        <f t="shared" si="3"/>
        <v>0.24139556620918798</v>
      </c>
      <c r="O53">
        <f t="shared" si="4"/>
        <v>0.22035627212878331</v>
      </c>
      <c r="P53">
        <f t="shared" si="5"/>
        <v>0.19570483100841113</v>
      </c>
      <c r="Q53">
        <f t="shared" si="6"/>
        <v>9.5252356854762008E-2</v>
      </c>
      <c r="R53">
        <f t="shared" si="7"/>
        <v>2.3763342791339761E-2</v>
      </c>
    </row>
  </sheetData>
  <autoFilter ref="B1:R53" xr:uid="{00000000-0009-0000-0000-000013000000}">
    <filterColumn colId="2">
      <filters>
        <filter val="1"/>
      </filters>
    </filterColumn>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76FDB-0291-4011-BD57-D28455C9B4BA}">
  <dimension ref="A1:W26"/>
  <sheetViews>
    <sheetView zoomScale="57" zoomScaleNormal="57" workbookViewId="0">
      <selection activeCell="U18" sqref="U18"/>
    </sheetView>
  </sheetViews>
  <sheetFormatPr defaultRowHeight="14.5"/>
  <cols>
    <col min="22" max="22" width="18.26953125" customWidth="1"/>
    <col min="23" max="23" width="11" customWidth="1"/>
  </cols>
  <sheetData>
    <row r="1" spans="1:23">
      <c r="A1" t="s">
        <v>995</v>
      </c>
      <c r="B1" t="s">
        <v>1070</v>
      </c>
      <c r="C1" t="s">
        <v>1071</v>
      </c>
      <c r="D1" t="s">
        <v>1007</v>
      </c>
      <c r="E1" t="s">
        <v>1008</v>
      </c>
      <c r="F1" t="s">
        <v>1072</v>
      </c>
      <c r="G1" t="s">
        <v>1073</v>
      </c>
      <c r="H1" t="s">
        <v>1074</v>
      </c>
      <c r="I1" t="s">
        <v>1075</v>
      </c>
      <c r="J1" t="s">
        <v>1076</v>
      </c>
      <c r="K1" t="s">
        <v>1077</v>
      </c>
      <c r="L1" t="s">
        <v>1078</v>
      </c>
      <c r="M1" t="s">
        <v>1079</v>
      </c>
      <c r="N1" t="s">
        <v>1080</v>
      </c>
      <c r="O1" t="s">
        <v>1081</v>
      </c>
      <c r="P1" t="s">
        <v>1082</v>
      </c>
      <c r="Q1" t="s">
        <v>1083</v>
      </c>
      <c r="R1" t="s">
        <v>1084</v>
      </c>
      <c r="S1" t="s">
        <v>1085</v>
      </c>
      <c r="T1" t="s">
        <v>1086</v>
      </c>
      <c r="U1" t="s">
        <v>1087</v>
      </c>
      <c r="V1" t="s">
        <v>1088</v>
      </c>
      <c r="W1" t="s">
        <v>1005</v>
      </c>
    </row>
    <row r="2" spans="1:23">
      <c r="A2" s="122" t="s">
        <v>10</v>
      </c>
      <c r="B2" s="8">
        <v>57.158382415771484</v>
      </c>
      <c r="C2" s="8">
        <v>47.702262878417969</v>
      </c>
      <c r="D2" s="8">
        <v>42.032127380371094</v>
      </c>
      <c r="E2" s="8">
        <v>36.897781372070313</v>
      </c>
      <c r="F2" s="8">
        <v>25.974327087402344</v>
      </c>
      <c r="G2" s="8">
        <v>22.230743408203125</v>
      </c>
      <c r="H2" s="8">
        <v>18.889942169189453</v>
      </c>
      <c r="I2" s="8">
        <v>13.833292007446289</v>
      </c>
      <c r="J2" s="8">
        <v>9.2170419692993164</v>
      </c>
      <c r="K2" s="8">
        <v>6.6303329467773438</v>
      </c>
      <c r="L2" s="8">
        <v>4.8721566200256348</v>
      </c>
      <c r="M2" s="8">
        <v>5.4898667335510254</v>
      </c>
      <c r="N2" s="8">
        <v>6.2616653442382813</v>
      </c>
      <c r="O2" s="8">
        <v>7.0701084136962891</v>
      </c>
      <c r="P2" s="8">
        <v>6.2889890670776367</v>
      </c>
      <c r="Q2" s="8">
        <v>6.9654927253723145</v>
      </c>
      <c r="R2" s="8">
        <v>8.6303396224975586</v>
      </c>
      <c r="S2" s="8">
        <v>9.8575401306152344</v>
      </c>
      <c r="T2" s="8">
        <v>8.5299263000488281</v>
      </c>
      <c r="U2" s="8">
        <v>8.1207027435302734</v>
      </c>
      <c r="V2" s="8">
        <v>7.7311115264892578</v>
      </c>
      <c r="W2" s="8">
        <v>45773884</v>
      </c>
    </row>
    <row r="3" spans="1:23">
      <c r="A3" s="122" t="s">
        <v>15</v>
      </c>
      <c r="B3" s="8">
        <v>21.430349349975586</v>
      </c>
      <c r="C3" s="8">
        <v>24.495639801025391</v>
      </c>
      <c r="D3" s="8">
        <v>27.560932159423828</v>
      </c>
      <c r="E3" s="8">
        <v>26.16798210144043</v>
      </c>
      <c r="F3" s="8">
        <v>22.608821868896484</v>
      </c>
      <c r="G3" s="8">
        <v>18.504581451416016</v>
      </c>
      <c r="H3" s="8">
        <v>17.264245986938477</v>
      </c>
      <c r="I3" s="8">
        <v>15.153205871582031</v>
      </c>
      <c r="J3" s="8">
        <v>13.042166709899902</v>
      </c>
      <c r="K3" s="8">
        <v>14.157891273498535</v>
      </c>
      <c r="L3" s="8">
        <v>11.691269874572754</v>
      </c>
      <c r="M3" s="8">
        <v>12.334632873535156</v>
      </c>
      <c r="N3" s="8">
        <v>11.448407173156738</v>
      </c>
      <c r="O3" s="8">
        <v>12.753410339355469</v>
      </c>
      <c r="P3" s="8">
        <v>11.879587173461914</v>
      </c>
      <c r="Q3" s="8">
        <v>10.777788162231445</v>
      </c>
      <c r="R3" s="8">
        <v>7.537266731262207</v>
      </c>
      <c r="S3" s="8">
        <v>10.430375099182129</v>
      </c>
      <c r="T3" s="8">
        <v>7.6802902221679688</v>
      </c>
      <c r="U3" s="8">
        <v>9.1588373184204102</v>
      </c>
      <c r="V3" s="8">
        <v>10.922021865844727</v>
      </c>
      <c r="W3" s="8">
        <v>12388571</v>
      </c>
    </row>
    <row r="4" spans="1:23">
      <c r="A4" s="122" t="s">
        <v>17</v>
      </c>
      <c r="B4" s="8">
        <v>30.236900329589844</v>
      </c>
      <c r="C4" s="8">
        <v>28.498611450195313</v>
      </c>
      <c r="D4" s="8">
        <v>26.960596084594727</v>
      </c>
      <c r="E4" s="8">
        <v>24.759138107299805</v>
      </c>
      <c r="F4" s="8">
        <v>22.482553482055664</v>
      </c>
      <c r="G4" s="8">
        <v>19.973526000976563</v>
      </c>
      <c r="H4" s="8">
        <v>19.103296279907227</v>
      </c>
      <c r="I4" s="8">
        <v>17.352252960205078</v>
      </c>
      <c r="J4" s="8">
        <v>15.601207733154297</v>
      </c>
      <c r="K4" s="8">
        <v>13.240234375</v>
      </c>
      <c r="L4" s="8">
        <v>12.882226943969727</v>
      </c>
      <c r="M4" s="8">
        <v>11.426709175109863</v>
      </c>
      <c r="N4" s="8">
        <v>12.774162292480469</v>
      </c>
      <c r="O4" s="8">
        <v>13.507540702819824</v>
      </c>
      <c r="P4" s="8">
        <v>13.595446586608887</v>
      </c>
      <c r="Q4" s="8">
        <v>14.036323547363281</v>
      </c>
      <c r="R4" s="8">
        <v>13.071751594543457</v>
      </c>
      <c r="S4" s="8">
        <v>10.93248176574707</v>
      </c>
      <c r="T4" s="8">
        <v>15.934523582458496</v>
      </c>
      <c r="U4" s="8">
        <v>10.865315437316895</v>
      </c>
      <c r="V4" s="8">
        <v>7.4087610244750977</v>
      </c>
      <c r="W4" s="8">
        <v>216422446</v>
      </c>
    </row>
    <row r="5" spans="1:23">
      <c r="A5" s="122" t="s">
        <v>21</v>
      </c>
      <c r="B5" s="8">
        <v>14.444070816040039</v>
      </c>
      <c r="C5" s="8">
        <v>12.610490798950195</v>
      </c>
      <c r="D5" s="8">
        <v>11.009672164916992</v>
      </c>
      <c r="E5" s="8">
        <v>9.6120662689208984</v>
      </c>
      <c r="F5" s="8">
        <v>8.7864065170288086</v>
      </c>
      <c r="G5" s="8">
        <v>8.0316696166992188</v>
      </c>
      <c r="H5" s="8">
        <v>7.3417620658874512</v>
      </c>
      <c r="I5" s="8">
        <v>6.9364314079284668</v>
      </c>
      <c r="J5" s="8">
        <v>6.5311007499694824</v>
      </c>
      <c r="K5" s="8">
        <v>5.5308938026428223</v>
      </c>
      <c r="L5" s="8">
        <v>4.5306868553161621</v>
      </c>
      <c r="M5" s="8">
        <v>4.3979816436767578</v>
      </c>
      <c r="N5" s="8">
        <v>4.2652759552001953</v>
      </c>
      <c r="O5" s="8">
        <v>3.9760651588439941</v>
      </c>
      <c r="P5" s="8">
        <v>3.686854362487793</v>
      </c>
      <c r="Q5" s="8">
        <v>4.6684908866882324</v>
      </c>
      <c r="R5" s="8">
        <v>5.9114909172058105</v>
      </c>
      <c r="S5" s="8">
        <v>7.485443115234375</v>
      </c>
      <c r="T5" s="8">
        <v>5.3512134552001953</v>
      </c>
      <c r="U5" s="8">
        <v>3.2169833183288574</v>
      </c>
      <c r="V5" s="8">
        <v>1.9339504241943359</v>
      </c>
      <c r="W5" s="8">
        <v>19629590</v>
      </c>
    </row>
    <row r="6" spans="1:23">
      <c r="A6" s="122" t="s">
        <v>23</v>
      </c>
      <c r="B6" s="8">
        <v>38.569931030273438</v>
      </c>
      <c r="C6" s="8">
        <v>39.924068450927734</v>
      </c>
      <c r="D6" s="8">
        <v>33.969875335693359</v>
      </c>
      <c r="E6" s="8">
        <v>42.363014221191406</v>
      </c>
      <c r="F6" s="8">
        <v>39.306632995605469</v>
      </c>
      <c r="G6" s="8">
        <v>30.391078948974609</v>
      </c>
      <c r="H6" s="8">
        <v>29.397424697875977</v>
      </c>
      <c r="I6" s="8">
        <v>26.507530212402344</v>
      </c>
      <c r="J6" s="8">
        <v>23.320600509643555</v>
      </c>
      <c r="K6" s="8">
        <v>23.747005462646484</v>
      </c>
      <c r="L6" s="8">
        <v>21.165475845336914</v>
      </c>
      <c r="M6" s="8">
        <v>19.967647552490234</v>
      </c>
      <c r="N6" s="8">
        <v>19.205020904541016</v>
      </c>
      <c r="O6" s="8">
        <v>18.622251510620117</v>
      </c>
      <c r="P6" s="8">
        <v>18.066314697265625</v>
      </c>
      <c r="Q6" s="8">
        <v>18.631380081176758</v>
      </c>
      <c r="R6" s="8">
        <v>19.659185409545898</v>
      </c>
      <c r="S6" s="8">
        <v>21.620937347412109</v>
      </c>
      <c r="T6" s="8">
        <v>20.451343536376953</v>
      </c>
      <c r="U6" s="8">
        <v>19.512697219848633</v>
      </c>
      <c r="V6" s="8">
        <v>18.617132186889648</v>
      </c>
      <c r="W6" s="8">
        <v>52085168</v>
      </c>
    </row>
    <row r="7" spans="1:23">
      <c r="A7" s="122" t="s">
        <v>25</v>
      </c>
      <c r="B7" s="8">
        <v>14.039286613464355</v>
      </c>
      <c r="C7" s="8">
        <v>13.902563095092773</v>
      </c>
      <c r="D7" s="8">
        <v>12.411727905273438</v>
      </c>
      <c r="E7" s="8">
        <v>11.610855102539063</v>
      </c>
      <c r="F7" s="8">
        <v>8.7138156890869141</v>
      </c>
      <c r="G7" s="8">
        <v>7.4615211486816406</v>
      </c>
      <c r="H7" s="8">
        <v>7.8839383125305176</v>
      </c>
      <c r="I7" s="8">
        <v>7.8005781173706055</v>
      </c>
      <c r="J7" s="8">
        <v>10.64293384552002</v>
      </c>
      <c r="K7" s="8">
        <v>8.1358013153076172</v>
      </c>
      <c r="L7" s="8">
        <v>8.2189216613769531</v>
      </c>
      <c r="M7" s="8">
        <v>7.4477596282958984</v>
      </c>
      <c r="N7" s="8">
        <v>7.3149294853210449</v>
      </c>
      <c r="O7" s="8">
        <v>7.0541119575500488</v>
      </c>
      <c r="P7" s="8">
        <v>6.5865716934204102</v>
      </c>
      <c r="Q7" s="8">
        <v>7.129307746887207</v>
      </c>
      <c r="R7" s="8">
        <v>6.8127789497375488</v>
      </c>
      <c r="S7" s="8">
        <v>12.124826431274414</v>
      </c>
      <c r="T7" s="8">
        <v>7.5102291107177734</v>
      </c>
      <c r="U7" s="8">
        <v>7.0888323783874512</v>
      </c>
      <c r="V7" s="8">
        <v>6.5896177291870117</v>
      </c>
      <c r="W7" s="8">
        <v>5212173</v>
      </c>
    </row>
    <row r="8" spans="1:23">
      <c r="A8" s="122" t="s">
        <v>27</v>
      </c>
      <c r="B8" s="8">
        <v>29.330852508544922</v>
      </c>
      <c r="C8" s="8">
        <v>36.2017822265625</v>
      </c>
      <c r="D8" s="8">
        <v>30.235481262207031</v>
      </c>
      <c r="E8" s="8">
        <v>27.800455093383789</v>
      </c>
      <c r="F8" s="8">
        <v>25.786188125610352</v>
      </c>
      <c r="G8" s="8">
        <v>25.155765533447266</v>
      </c>
      <c r="H8" s="8">
        <v>24.71571159362793</v>
      </c>
      <c r="I8" s="8">
        <v>24.857109069824219</v>
      </c>
      <c r="J8" s="8">
        <v>22.856687545776367</v>
      </c>
      <c r="K8" s="8">
        <v>23.490676879882813</v>
      </c>
      <c r="L8" s="8">
        <v>22.152072906494141</v>
      </c>
      <c r="M8" s="8">
        <v>19.500482559204102</v>
      </c>
      <c r="N8" s="8">
        <v>15.745692253112793</v>
      </c>
      <c r="O8" s="8">
        <v>15.299579620361328</v>
      </c>
      <c r="P8" s="8">
        <v>10.76158618927002</v>
      </c>
      <c r="Q8" s="8">
        <v>9.6287860870361328</v>
      </c>
      <c r="R8" s="8">
        <v>7.701484203338623</v>
      </c>
      <c r="S8" s="8">
        <v>13.13040828704834</v>
      </c>
      <c r="T8" s="8">
        <v>10.436375617980957</v>
      </c>
      <c r="U8" s="8">
        <v>9.0519723892211914</v>
      </c>
      <c r="V8" s="8">
        <v>7.8512125015258789</v>
      </c>
      <c r="W8" s="8">
        <v>11332973</v>
      </c>
    </row>
    <row r="9" spans="1:23">
      <c r="A9" s="122" t="s">
        <v>29</v>
      </c>
      <c r="B9" s="8">
        <v>37.090213775634766</v>
      </c>
      <c r="C9" s="8">
        <v>33.023811340332031</v>
      </c>
      <c r="D9" s="8">
        <v>30.692819595336914</v>
      </c>
      <c r="E9" s="8">
        <v>25.60865592956543</v>
      </c>
      <c r="F9" s="8">
        <v>24.897134780883789</v>
      </c>
      <c r="G9" s="8">
        <v>23.852746963500977</v>
      </c>
      <c r="H9" s="8">
        <v>23.81477165222168</v>
      </c>
      <c r="I9" s="8">
        <v>21.660617828369141</v>
      </c>
      <c r="J9" s="8">
        <v>17.783233642578125</v>
      </c>
      <c r="K9" s="8">
        <v>17.211780548095703</v>
      </c>
      <c r="L9" s="8">
        <v>15.392486572265625</v>
      </c>
      <c r="M9" s="8">
        <v>13.559603691101074</v>
      </c>
      <c r="N9" s="8">
        <v>14.046497344970703</v>
      </c>
      <c r="O9" s="8">
        <v>14.130780220031738</v>
      </c>
      <c r="P9" s="8">
        <v>13.528898239135742</v>
      </c>
      <c r="Q9" s="8">
        <v>14.329412460327148</v>
      </c>
      <c r="R9" s="8">
        <v>15.837186813354492</v>
      </c>
      <c r="S9" s="8">
        <v>21.555841445922852</v>
      </c>
      <c r="T9" s="8">
        <v>15.889734268188477</v>
      </c>
      <c r="U9" s="8">
        <v>14.630291938781738</v>
      </c>
      <c r="V9" s="8">
        <v>15.846808433532715</v>
      </c>
      <c r="W9" s="8">
        <v>18190484</v>
      </c>
    </row>
    <row r="10" spans="1:23">
      <c r="A10" s="122" t="s">
        <v>31</v>
      </c>
      <c r="B10" s="8">
        <v>29.191434860229492</v>
      </c>
      <c r="C10" s="8">
        <v>40.634037017822266</v>
      </c>
      <c r="D10" s="8">
        <v>34.707344055175781</v>
      </c>
      <c r="E10" s="8">
        <v>28.780647277832031</v>
      </c>
      <c r="F10" s="8">
        <v>32.770954132080078</v>
      </c>
      <c r="G10" s="8">
        <v>37.314498901367188</v>
      </c>
      <c r="H10" s="8">
        <v>42.487987518310547</v>
      </c>
      <c r="I10" s="8">
        <v>48.378761291503906</v>
      </c>
      <c r="J10" s="8">
        <v>47.511631011962891</v>
      </c>
      <c r="K10" s="8">
        <v>37.146160125732422</v>
      </c>
      <c r="L10" s="8">
        <v>34.089271545410156</v>
      </c>
      <c r="M10" s="8">
        <v>32.221889495849609</v>
      </c>
      <c r="N10" s="8">
        <v>29.102621078491211</v>
      </c>
      <c r="O10" s="8">
        <v>32.294181823730469</v>
      </c>
      <c r="P10" s="8">
        <v>32.957473754882813</v>
      </c>
      <c r="Q10" s="8">
        <v>34.01861572265625</v>
      </c>
      <c r="R10" s="8">
        <v>31.740251541137695</v>
      </c>
      <c r="S10" s="8">
        <v>32.39715576171875</v>
      </c>
      <c r="T10" s="8">
        <v>33.054058074951172</v>
      </c>
      <c r="U10" s="8">
        <v>31.91087532043457</v>
      </c>
      <c r="V10" s="8">
        <v>30.807229995727539</v>
      </c>
      <c r="W10" s="8">
        <v>18092026</v>
      </c>
    </row>
    <row r="11" spans="1:23">
      <c r="A11" s="122" t="s">
        <v>33</v>
      </c>
      <c r="B11" s="8"/>
      <c r="C11" s="8"/>
      <c r="D11" s="8"/>
      <c r="E11" s="8"/>
      <c r="F11" s="8"/>
      <c r="G11" s="8"/>
      <c r="H11" s="8"/>
      <c r="I11" s="8"/>
      <c r="J11" s="8"/>
      <c r="K11" s="8"/>
      <c r="L11" s="8"/>
      <c r="M11" s="8"/>
      <c r="N11" s="8"/>
      <c r="O11" s="8"/>
      <c r="P11" s="8">
        <v>29.606311798095703</v>
      </c>
      <c r="Q11" s="8">
        <v>31.088315963745117</v>
      </c>
      <c r="R11" s="8">
        <v>32.4420166015625</v>
      </c>
      <c r="S11" s="8">
        <v>32.220237731933594</v>
      </c>
      <c r="T11" s="8">
        <v>31.99846076965332</v>
      </c>
      <c r="U11" s="8"/>
      <c r="V11" s="8"/>
      <c r="W11" s="8">
        <v>813834</v>
      </c>
    </row>
    <row r="12" spans="1:23">
      <c r="A12" s="122" t="s">
        <v>34</v>
      </c>
      <c r="B12" s="8">
        <v>40.934581756591797</v>
      </c>
      <c r="C12" s="8">
        <v>44.941993713378906</v>
      </c>
      <c r="D12" s="8">
        <v>43.037544250488281</v>
      </c>
      <c r="E12" s="8">
        <v>40.247760772705078</v>
      </c>
      <c r="F12" s="8">
        <v>35.678627014160156</v>
      </c>
      <c r="G12" s="8">
        <v>31.946559906005859</v>
      </c>
      <c r="H12" s="8">
        <v>31.835147857666016</v>
      </c>
      <c r="I12" s="8">
        <v>34.298114776611328</v>
      </c>
      <c r="J12" s="8">
        <v>36.528945922851563</v>
      </c>
      <c r="K12" s="8">
        <v>41.205833435058594</v>
      </c>
      <c r="L12" s="8">
        <v>39.225311279296875</v>
      </c>
      <c r="M12" s="8">
        <v>35.128620147705078</v>
      </c>
      <c r="N12" s="8">
        <v>34.949161529541016</v>
      </c>
      <c r="O12" s="8">
        <v>33.862903594970703</v>
      </c>
      <c r="P12" s="8">
        <v>36.080768585205078</v>
      </c>
      <c r="Q12" s="8">
        <v>35.269680023193359</v>
      </c>
      <c r="R12" s="8">
        <v>38.266094207763672</v>
      </c>
      <c r="S12" s="8">
        <v>39.636203765869141</v>
      </c>
      <c r="T12" s="8">
        <v>41.055366516113281</v>
      </c>
      <c r="U12" s="8">
        <v>42.525337219238281</v>
      </c>
      <c r="V12" s="8">
        <v>35.109729766845703</v>
      </c>
      <c r="W12" s="8">
        <v>10593798</v>
      </c>
    </row>
    <row r="13" spans="1:23">
      <c r="A13" s="122" t="s">
        <v>38</v>
      </c>
      <c r="B13" s="8"/>
      <c r="C13" s="8">
        <v>22.750726699829102</v>
      </c>
      <c r="D13" s="8">
        <v>22.862800598144531</v>
      </c>
      <c r="E13" s="8">
        <v>18.521760940551758</v>
      </c>
      <c r="F13" s="8">
        <v>27.209262847900391</v>
      </c>
      <c r="G13" s="8">
        <v>35.896762847900391</v>
      </c>
      <c r="H13" s="8">
        <v>37.317001342773438</v>
      </c>
      <c r="I13" s="8">
        <v>38.737236022949219</v>
      </c>
      <c r="J13" s="8">
        <v>34.130359649658203</v>
      </c>
      <c r="K13" s="8">
        <v>29.523483276367188</v>
      </c>
      <c r="L13" s="8">
        <v>24.604236602783203</v>
      </c>
      <c r="M13" s="8">
        <v>19.684988021850586</v>
      </c>
      <c r="N13" s="8">
        <v>16.780857086181641</v>
      </c>
      <c r="O13" s="8">
        <v>13.876727104187012</v>
      </c>
      <c r="P13" s="8">
        <v>13.180578231811523</v>
      </c>
      <c r="Q13" s="8">
        <v>12.484429359436035</v>
      </c>
      <c r="R13" s="8">
        <v>13.74195671081543</v>
      </c>
      <c r="S13" s="8">
        <v>14.999485015869141</v>
      </c>
      <c r="T13" s="8">
        <v>12.634235382080078</v>
      </c>
      <c r="U13" s="8">
        <v>10.268985748291016</v>
      </c>
      <c r="V13" s="8">
        <v>8.3465337753295898</v>
      </c>
      <c r="W13" s="8">
        <v>128455567</v>
      </c>
    </row>
    <row r="14" spans="1:23">
      <c r="A14" s="122" t="s">
        <v>42</v>
      </c>
      <c r="B14" s="8">
        <v>19.505472183227539</v>
      </c>
      <c r="C14" s="8">
        <v>19.894149780273438</v>
      </c>
      <c r="D14" s="8">
        <v>19.046466827392578</v>
      </c>
      <c r="E14" s="8">
        <v>19.16015625</v>
      </c>
      <c r="F14" s="8">
        <v>16.640659332275391</v>
      </c>
      <c r="G14" s="8">
        <v>16.262025833129883</v>
      </c>
      <c r="H14" s="8">
        <v>14.433358192443848</v>
      </c>
      <c r="I14" s="8">
        <v>14.408330917358398</v>
      </c>
      <c r="J14" s="8">
        <v>12.223545074462891</v>
      </c>
      <c r="K14" s="8">
        <v>9.4491634368896484</v>
      </c>
      <c r="L14" s="8">
        <v>10.783822059631348</v>
      </c>
      <c r="M14" s="8">
        <v>9.8965740203857422</v>
      </c>
      <c r="N14" s="8">
        <v>10.029431343078613</v>
      </c>
      <c r="O14" s="8">
        <v>8.4328737258911133</v>
      </c>
      <c r="P14" s="8">
        <v>8.1176433563232422</v>
      </c>
      <c r="Q14" s="8">
        <v>8.4074573516845703</v>
      </c>
      <c r="R14" s="8">
        <v>8.2286205291748047</v>
      </c>
      <c r="S14" s="8">
        <v>8.4610786437988281</v>
      </c>
      <c r="T14" s="8">
        <v>8.700103759765625</v>
      </c>
      <c r="U14" s="8">
        <v>8.9458808898925781</v>
      </c>
      <c r="V14" s="8">
        <v>9.1986007690429688</v>
      </c>
      <c r="W14" s="8">
        <v>4468087</v>
      </c>
    </row>
    <row r="15" spans="1:23">
      <c r="A15" s="122" t="s">
        <v>44</v>
      </c>
      <c r="B15" s="8">
        <v>36.082656860351563</v>
      </c>
      <c r="C15" s="8">
        <v>36.340023040771484</v>
      </c>
      <c r="D15" s="8">
        <v>39.131866455078125</v>
      </c>
      <c r="E15" s="8">
        <v>36.236225128173828</v>
      </c>
      <c r="F15" s="8">
        <v>29.151054382324219</v>
      </c>
      <c r="G15" s="8">
        <v>25.421737670898438</v>
      </c>
      <c r="H15" s="8">
        <v>18.704830169677734</v>
      </c>
      <c r="I15" s="8">
        <v>16.461704254150391</v>
      </c>
      <c r="J15" s="8">
        <v>18.892986297607422</v>
      </c>
      <c r="K15" s="8">
        <v>17.266027450561523</v>
      </c>
      <c r="L15" s="8">
        <v>16.544425964355469</v>
      </c>
      <c r="M15" s="8">
        <v>15.426937103271484</v>
      </c>
      <c r="N15" s="8">
        <v>14.944316864013672</v>
      </c>
      <c r="O15" s="8">
        <v>14.880022048950195</v>
      </c>
      <c r="P15" s="8">
        <v>14.749188423156738</v>
      </c>
      <c r="Q15" s="8">
        <v>12.959710121154785</v>
      </c>
      <c r="R15" s="8">
        <v>11.822205543518066</v>
      </c>
      <c r="S15" s="8">
        <v>23.303895950317383</v>
      </c>
      <c r="T15" s="8">
        <v>14.145053863525391</v>
      </c>
      <c r="U15" s="8">
        <v>12.462396621704102</v>
      </c>
      <c r="V15" s="8">
        <v>10.979904174804688</v>
      </c>
      <c r="W15" s="8">
        <v>34352719</v>
      </c>
    </row>
    <row r="16" spans="1:23">
      <c r="A16" s="122" t="s">
        <v>45</v>
      </c>
      <c r="B16" s="8">
        <v>29.401519775390625</v>
      </c>
      <c r="C16" s="8">
        <v>25.954771041870117</v>
      </c>
      <c r="D16" s="8">
        <v>21.66015625</v>
      </c>
      <c r="E16" s="8">
        <v>26.555629730224609</v>
      </c>
      <c r="F16" s="8">
        <v>22.036409378051758</v>
      </c>
      <c r="G16" s="8">
        <v>21.534603118896484</v>
      </c>
      <c r="H16" s="8">
        <v>20.314241409301758</v>
      </c>
      <c r="I16" s="8">
        <v>20.313493728637695</v>
      </c>
      <c r="J16" s="8">
        <v>18.601699829101563</v>
      </c>
      <c r="K16" s="8">
        <v>18.355260848999023</v>
      </c>
      <c r="L16" s="8">
        <v>13.512746810913086</v>
      </c>
      <c r="M16" s="8">
        <v>13.23590087890625</v>
      </c>
      <c r="N16" s="8">
        <v>13.862668037414551</v>
      </c>
      <c r="O16" s="8">
        <v>15.528464317321777</v>
      </c>
      <c r="P16" s="8">
        <v>14.606579780578613</v>
      </c>
      <c r="Q16" s="8">
        <v>12.543441772460938</v>
      </c>
      <c r="R16" s="8">
        <v>12.439337730407715</v>
      </c>
      <c r="S16" s="8">
        <v>10.641407012939453</v>
      </c>
      <c r="T16" s="8">
        <v>11.396774291992188</v>
      </c>
      <c r="U16" s="8">
        <v>12.367045402526855</v>
      </c>
      <c r="V16" s="8">
        <v>13.419920921325684</v>
      </c>
      <c r="W16" s="8">
        <v>6861524</v>
      </c>
    </row>
    <row r="17" spans="1:23">
      <c r="A17" s="122" t="s">
        <v>46</v>
      </c>
      <c r="B17" s="8">
        <v>30.098274230957031</v>
      </c>
      <c r="C17" s="8">
        <v>29.909538269042969</v>
      </c>
      <c r="D17" s="8">
        <v>33.278915405273438</v>
      </c>
      <c r="E17" s="8">
        <v>29.543764114379883</v>
      </c>
      <c r="F17" s="8">
        <v>26.075855255126953</v>
      </c>
      <c r="G17" s="8">
        <v>29.958087921142578</v>
      </c>
      <c r="H17" s="8">
        <v>30.230155944824219</v>
      </c>
      <c r="I17" s="8">
        <v>29.565187454223633</v>
      </c>
      <c r="J17" s="8">
        <v>27.949380874633789</v>
      </c>
      <c r="K17" s="8">
        <v>26.217578887939453</v>
      </c>
      <c r="L17" s="8">
        <v>23.065671920776367</v>
      </c>
      <c r="M17" s="8">
        <v>22.834812164306641</v>
      </c>
      <c r="N17" s="8">
        <v>20.33000373840332</v>
      </c>
      <c r="O17" s="8">
        <v>20.716344833374023</v>
      </c>
      <c r="P17" s="8">
        <v>18.393341064453125</v>
      </c>
      <c r="Q17" s="8">
        <v>16.515666961669922</v>
      </c>
      <c r="R17" s="8">
        <v>14.110957145690918</v>
      </c>
      <c r="S17" s="8">
        <v>18.446578979492188</v>
      </c>
      <c r="T17" s="8">
        <v>17.403285980224609</v>
      </c>
      <c r="U17" s="8">
        <v>17.153528213500977</v>
      </c>
      <c r="V17" s="8">
        <v>15.566752433776855</v>
      </c>
      <c r="W17" s="8">
        <v>6364943</v>
      </c>
    </row>
    <row r="18" spans="1:23">
      <c r="A18" s="122" t="s">
        <v>50</v>
      </c>
      <c r="B18" s="8">
        <v>11.772184371948242</v>
      </c>
      <c r="C18" s="8">
        <v>13.025636672973633</v>
      </c>
      <c r="D18" s="8">
        <v>12.149932861328125</v>
      </c>
      <c r="E18" s="8">
        <v>8.6665973663330078</v>
      </c>
      <c r="F18" s="8">
        <v>9.0558414459228516</v>
      </c>
      <c r="G18" s="8">
        <v>4.9746270179748535</v>
      </c>
      <c r="H18" s="8">
        <v>6.0477023124694824</v>
      </c>
      <c r="I18" s="8">
        <v>4.8753628730773926</v>
      </c>
      <c r="J18" s="8">
        <v>4.2148504257202148</v>
      </c>
      <c r="K18" s="8">
        <v>4.2156963348388672</v>
      </c>
      <c r="L18" s="8">
        <v>3.9434285163879395</v>
      </c>
      <c r="M18" s="8">
        <v>3.4458074569702148</v>
      </c>
      <c r="N18" s="8">
        <v>3.8563013076782227</v>
      </c>
      <c r="O18" s="8">
        <v>3.5427837371826172</v>
      </c>
      <c r="P18" s="8">
        <v>2.8764021396636963</v>
      </c>
      <c r="Q18" s="8">
        <v>2.8609726428985596</v>
      </c>
      <c r="R18" s="8">
        <v>3.1808047294616699</v>
      </c>
      <c r="S18" s="8">
        <v>4.6586627960205078</v>
      </c>
      <c r="T18" s="8">
        <v>4.559272289276123</v>
      </c>
      <c r="U18" s="8">
        <v>3.9979178905487061</v>
      </c>
      <c r="V18" s="8">
        <v>3.5056796073913574</v>
      </c>
      <c r="W18" s="8">
        <v>3423109</v>
      </c>
    </row>
    <row r="19" spans="1:23">
      <c r="A19" s="122" t="s">
        <v>51</v>
      </c>
      <c r="B19" s="8">
        <v>34.786518096923828</v>
      </c>
      <c r="C19" s="8">
        <v>25.831439971923828</v>
      </c>
      <c r="D19" s="8">
        <v>23.026056289672852</v>
      </c>
      <c r="E19" s="8">
        <v>13.7447509765625</v>
      </c>
      <c r="F19" s="8">
        <v>10.19660758972168</v>
      </c>
      <c r="G19" s="8">
        <v>9.0856914520263672</v>
      </c>
      <c r="H19" s="8">
        <v>8.0975875854492188</v>
      </c>
      <c r="I19" s="8">
        <v>8.1186361312866211</v>
      </c>
      <c r="J19" s="8">
        <v>8.4276628494262695</v>
      </c>
      <c r="K19" s="8">
        <v>8.5514430999755859</v>
      </c>
      <c r="L19" s="8">
        <v>7.9765357971191406</v>
      </c>
      <c r="M19" s="8">
        <v>6.1628198623657227</v>
      </c>
      <c r="N19" s="8">
        <v>8.7236251831054688</v>
      </c>
      <c r="O19" s="8">
        <v>19.372528076171875</v>
      </c>
      <c r="P19" s="8">
        <v>17.856193542480469</v>
      </c>
      <c r="Q19" s="8">
        <v>25.077169418334961</v>
      </c>
      <c r="R19" s="8">
        <v>50.179054260253906</v>
      </c>
      <c r="S19" s="8">
        <v>75.280937194824219</v>
      </c>
      <c r="T19" s="8">
        <v>53.867767333984375</v>
      </c>
      <c r="U19" s="8"/>
      <c r="V19" s="8"/>
      <c r="W19" s="8">
        <v>28838499</v>
      </c>
    </row>
    <row r="20" spans="1:23">
      <c r="B20" s="122"/>
      <c r="C20" s="122"/>
      <c r="D20" s="122"/>
      <c r="E20" s="122"/>
      <c r="F20" s="122"/>
      <c r="G20" s="122"/>
      <c r="H20" s="122"/>
      <c r="I20" s="122"/>
      <c r="J20" s="122"/>
      <c r="K20" s="122"/>
      <c r="L20" s="122"/>
      <c r="M20" s="122"/>
      <c r="N20" s="122"/>
      <c r="O20" s="122"/>
      <c r="P20" s="122"/>
      <c r="Q20" s="122"/>
      <c r="R20" s="122"/>
      <c r="S20" s="122"/>
      <c r="T20" s="122"/>
      <c r="U20" s="122"/>
      <c r="V20" s="122"/>
    </row>
    <row r="21" spans="1:23">
      <c r="B21" s="122"/>
      <c r="C21" s="122"/>
      <c r="D21" s="122"/>
      <c r="E21" s="122"/>
      <c r="F21" s="122"/>
      <c r="G21" s="122"/>
      <c r="H21" s="122"/>
      <c r="I21" s="122"/>
      <c r="J21" s="122"/>
      <c r="K21" s="122"/>
      <c r="L21" s="122"/>
      <c r="M21" s="122"/>
      <c r="N21" s="122"/>
      <c r="O21" s="122"/>
      <c r="P21" s="122"/>
      <c r="Q21" s="122"/>
      <c r="R21" s="122"/>
      <c r="S21" s="122"/>
      <c r="T21" s="122"/>
      <c r="U21" s="122"/>
      <c r="V21" s="122"/>
    </row>
    <row r="22" spans="1:23">
      <c r="B22" s="122"/>
      <c r="C22" s="122"/>
      <c r="D22" s="122"/>
      <c r="E22" s="122"/>
      <c r="F22" s="122"/>
      <c r="G22" s="122"/>
      <c r="H22" s="122"/>
      <c r="I22" s="122"/>
      <c r="J22" s="122"/>
      <c r="K22" s="122"/>
      <c r="L22" s="122"/>
      <c r="M22" s="122"/>
      <c r="N22" s="122"/>
      <c r="O22" s="122"/>
      <c r="P22" s="122"/>
      <c r="Q22" s="122"/>
      <c r="R22" s="122"/>
      <c r="S22" s="122"/>
      <c r="T22" s="122"/>
      <c r="U22" s="122"/>
      <c r="V22" s="122"/>
    </row>
    <row r="23" spans="1:23">
      <c r="B23" s="122"/>
      <c r="C23" s="122"/>
      <c r="D23" s="122"/>
      <c r="E23" s="122"/>
      <c r="F23" s="122"/>
      <c r="G23" s="122"/>
      <c r="H23" s="122"/>
      <c r="I23" s="122"/>
      <c r="J23" s="122"/>
      <c r="K23" s="122"/>
      <c r="L23" s="122"/>
      <c r="M23" s="122"/>
      <c r="N23" s="122"/>
      <c r="O23" s="122"/>
      <c r="P23" s="122"/>
      <c r="Q23" s="122"/>
      <c r="R23" s="122"/>
      <c r="S23" s="122"/>
      <c r="T23" s="122"/>
      <c r="U23" s="122"/>
      <c r="V23" s="122"/>
    </row>
    <row r="24" spans="1:23">
      <c r="B24" s="122"/>
      <c r="C24" s="122"/>
      <c r="D24" s="122"/>
      <c r="E24" s="122"/>
      <c r="F24" s="122"/>
      <c r="G24" s="122"/>
      <c r="H24" s="122"/>
      <c r="I24" s="122"/>
      <c r="J24" s="122"/>
      <c r="K24" s="122"/>
      <c r="L24" s="122"/>
      <c r="M24" s="122"/>
      <c r="N24" s="122"/>
      <c r="O24" s="122"/>
      <c r="P24" s="122"/>
      <c r="Q24" s="122"/>
      <c r="R24" s="122"/>
      <c r="S24" s="122"/>
      <c r="T24" s="122"/>
      <c r="U24" s="122"/>
      <c r="V24" s="122"/>
    </row>
    <row r="25" spans="1:23">
      <c r="B25" s="122"/>
      <c r="C25" s="122"/>
      <c r="D25" s="122"/>
      <c r="E25" s="122"/>
      <c r="F25" s="122"/>
      <c r="G25" s="122"/>
      <c r="H25" s="122"/>
      <c r="I25" s="122"/>
      <c r="J25" s="122"/>
      <c r="K25" s="122"/>
      <c r="L25" s="122"/>
      <c r="M25" s="122"/>
      <c r="N25" s="122"/>
      <c r="O25" s="122"/>
      <c r="P25" s="122"/>
      <c r="Q25" s="122"/>
      <c r="R25" s="122"/>
      <c r="S25" s="122"/>
      <c r="T25" s="122"/>
      <c r="U25" s="122"/>
      <c r="V25" s="122"/>
    </row>
    <row r="26" spans="1:23">
      <c r="B26" s="122"/>
      <c r="C26" s="122"/>
      <c r="D26" s="122"/>
      <c r="E26" s="122"/>
      <c r="F26" s="122"/>
      <c r="G26" s="122"/>
      <c r="H26" s="122"/>
      <c r="I26" s="122"/>
      <c r="J26" s="122"/>
      <c r="K26" s="122"/>
      <c r="L26" s="122"/>
      <c r="M26" s="122"/>
      <c r="N26" s="122"/>
      <c r="O26" s="122"/>
      <c r="P26" s="122"/>
      <c r="Q26" s="122"/>
      <c r="R26" s="122"/>
      <c r="S26" s="122"/>
      <c r="T26" s="122"/>
      <c r="U26" s="122"/>
      <c r="V26" s="122"/>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C304A-4700-4F78-96C9-F59202CA1743}">
  <dimension ref="A1:W26"/>
  <sheetViews>
    <sheetView zoomScale="62" zoomScaleNormal="62" workbookViewId="0">
      <selection activeCell="B3" sqref="B3"/>
    </sheetView>
  </sheetViews>
  <sheetFormatPr defaultRowHeight="14.5"/>
  <sheetData>
    <row r="1" spans="1:23">
      <c r="A1" t="s">
        <v>995</v>
      </c>
      <c r="B1" t="s">
        <v>1070</v>
      </c>
      <c r="C1" t="s">
        <v>1071</v>
      </c>
      <c r="D1" t="s">
        <v>1007</v>
      </c>
      <c r="E1" t="s">
        <v>1008</v>
      </c>
      <c r="F1" t="s">
        <v>1072</v>
      </c>
      <c r="G1" t="s">
        <v>1073</v>
      </c>
      <c r="H1" t="s">
        <v>1074</v>
      </c>
      <c r="I1" t="s">
        <v>1075</v>
      </c>
      <c r="J1" t="s">
        <v>1076</v>
      </c>
      <c r="K1" t="s">
        <v>1077</v>
      </c>
      <c r="L1" t="s">
        <v>1078</v>
      </c>
      <c r="M1" t="s">
        <v>1079</v>
      </c>
      <c r="N1" t="s">
        <v>1080</v>
      </c>
      <c r="O1" t="s">
        <v>1081</v>
      </c>
      <c r="P1" t="s">
        <v>1082</v>
      </c>
      <c r="Q1" t="s">
        <v>1083</v>
      </c>
      <c r="R1" t="s">
        <v>1084</v>
      </c>
      <c r="S1" t="s">
        <v>1085</v>
      </c>
      <c r="T1" t="s">
        <v>1086</v>
      </c>
      <c r="U1" t="s">
        <v>1087</v>
      </c>
      <c r="V1" t="s">
        <v>1088</v>
      </c>
      <c r="W1" t="s">
        <v>1005</v>
      </c>
    </row>
    <row r="2" spans="1:23">
      <c r="A2" s="122" t="s">
        <v>10</v>
      </c>
      <c r="B2" s="8">
        <v>23.022911071777344</v>
      </c>
      <c r="C2" s="8">
        <v>26.926044464111328</v>
      </c>
      <c r="D2" s="8">
        <v>27.641334533691406</v>
      </c>
      <c r="E2" s="8">
        <v>27.848964691162109</v>
      </c>
      <c r="F2" s="8">
        <v>27.477052688598633</v>
      </c>
      <c r="G2" s="8">
        <v>26.714622497558594</v>
      </c>
      <c r="H2" s="8">
        <v>23.234474182128906</v>
      </c>
      <c r="I2" s="8">
        <v>21.96925163269043</v>
      </c>
      <c r="J2" s="8">
        <v>18.013568878173828</v>
      </c>
      <c r="K2" s="8">
        <v>14.993183135986328</v>
      </c>
      <c r="L2" s="8">
        <v>11.623519897460938</v>
      </c>
      <c r="M2" s="8">
        <v>14.168858528137207</v>
      </c>
      <c r="N2" s="8">
        <v>16.860288619995117</v>
      </c>
      <c r="O2" s="8">
        <v>11.83381175994873</v>
      </c>
      <c r="P2" s="8">
        <v>9.605499267578125</v>
      </c>
      <c r="Q2" s="8">
        <v>11.343873977661133</v>
      </c>
      <c r="R2" s="8">
        <v>12.223098754882813</v>
      </c>
      <c r="S2" s="8">
        <v>15.851166725158691</v>
      </c>
      <c r="T2" s="8">
        <v>14.83424186706543</v>
      </c>
      <c r="U2" s="8">
        <v>12.861659049987793</v>
      </c>
      <c r="V2" s="8">
        <v>11.15138053894043</v>
      </c>
      <c r="W2" s="8">
        <v>45773884</v>
      </c>
    </row>
    <row r="3" spans="1:23">
      <c r="A3" s="122" t="s">
        <v>15</v>
      </c>
      <c r="B3" s="8">
        <v>21.16325569152832</v>
      </c>
      <c r="C3" s="8">
        <v>21.766212463378906</v>
      </c>
      <c r="D3" s="8">
        <v>22.369171142578125</v>
      </c>
      <c r="E3" s="8">
        <v>19.35621452331543</v>
      </c>
      <c r="F3" s="8">
        <v>21.454442977905273</v>
      </c>
      <c r="G3" s="8">
        <v>17.52546501159668</v>
      </c>
      <c r="H3" s="8">
        <v>15.340775489807129</v>
      </c>
      <c r="I3" s="8">
        <v>14.76222038269043</v>
      </c>
      <c r="J3" s="8">
        <v>14.183666229248047</v>
      </c>
      <c r="K3" s="8">
        <v>13.766546249389648</v>
      </c>
      <c r="L3" s="8">
        <v>13.079665184020996</v>
      </c>
      <c r="M3" s="8">
        <v>11.993228912353516</v>
      </c>
      <c r="N3" s="8">
        <v>13.476772308349609</v>
      </c>
      <c r="O3" s="8">
        <v>12.48131275177002</v>
      </c>
      <c r="P3" s="8">
        <v>13.498062133789063</v>
      </c>
      <c r="Q3" s="8">
        <v>12.490303993225098</v>
      </c>
      <c r="R3" s="8">
        <v>11.756442070007324</v>
      </c>
      <c r="S3" s="8">
        <v>13.420627593994141</v>
      </c>
      <c r="T3" s="8">
        <v>12.864875793457031</v>
      </c>
      <c r="U3" s="8">
        <v>12.590672492980957</v>
      </c>
      <c r="V3" s="8">
        <v>12.32231330871582</v>
      </c>
      <c r="W3" s="8">
        <v>12388571</v>
      </c>
    </row>
    <row r="4" spans="1:23">
      <c r="A4" s="122" t="s">
        <v>17</v>
      </c>
      <c r="B4" s="8">
        <v>24.187110900878906</v>
      </c>
      <c r="C4" s="8">
        <v>24.079402923583984</v>
      </c>
      <c r="D4" s="8">
        <v>24.315074920654297</v>
      </c>
      <c r="E4" s="8">
        <v>23.410049438476563</v>
      </c>
      <c r="F4" s="8">
        <v>22.861953735351563</v>
      </c>
      <c r="G4" s="8">
        <v>22.044076919555664</v>
      </c>
      <c r="H4" s="8">
        <v>21.250957489013672</v>
      </c>
      <c r="I4" s="8">
        <v>21.153415679931641</v>
      </c>
      <c r="J4" s="8">
        <v>21.055873870849609</v>
      </c>
      <c r="K4" s="8">
        <v>19.916238784790039</v>
      </c>
      <c r="L4" s="8">
        <v>18.982109069824219</v>
      </c>
      <c r="M4" s="8">
        <v>19.039138793945313</v>
      </c>
      <c r="N4" s="8">
        <v>19.293371200561523</v>
      </c>
      <c r="O4" s="8">
        <v>18.592309951782227</v>
      </c>
      <c r="P4" s="8">
        <v>18.510141372680664</v>
      </c>
      <c r="Q4" s="8">
        <v>19.342800140380859</v>
      </c>
      <c r="R4" s="8">
        <v>17.71306037902832</v>
      </c>
      <c r="S4" s="8">
        <v>20.028976440429688</v>
      </c>
      <c r="T4" s="8">
        <v>19.643621444702148</v>
      </c>
      <c r="U4" s="8">
        <v>18.57042121887207</v>
      </c>
      <c r="V4" s="8">
        <v>17.555852890014648</v>
      </c>
      <c r="W4" s="8">
        <v>216422446</v>
      </c>
    </row>
    <row r="5" spans="1:23">
      <c r="A5" s="122" t="s">
        <v>21</v>
      </c>
      <c r="B5" s="8">
        <v>24.52642822265625</v>
      </c>
      <c r="C5" s="8">
        <v>23.737665176391602</v>
      </c>
      <c r="D5" s="8">
        <v>22.974269866943359</v>
      </c>
      <c r="E5" s="8">
        <v>22.235424041748047</v>
      </c>
      <c r="F5" s="8">
        <v>21.048152923583984</v>
      </c>
      <c r="G5" s="8">
        <v>19.924278259277344</v>
      </c>
      <c r="H5" s="8">
        <v>18.86041259765625</v>
      </c>
      <c r="I5" s="8">
        <v>18.058792114257813</v>
      </c>
      <c r="J5" s="8">
        <v>17.257173538208008</v>
      </c>
      <c r="K5" s="8">
        <v>15.269649505615234</v>
      </c>
      <c r="L5" s="8">
        <v>13.282124519348145</v>
      </c>
      <c r="M5" s="8">
        <v>13.838159561157227</v>
      </c>
      <c r="N5" s="8">
        <v>14.394195556640625</v>
      </c>
      <c r="O5" s="8">
        <v>13.269428253173828</v>
      </c>
      <c r="P5" s="8">
        <v>12.144660949707031</v>
      </c>
      <c r="Q5" s="8">
        <v>12.608997344970703</v>
      </c>
      <c r="R5" s="8">
        <v>13.091086387634277</v>
      </c>
      <c r="S5" s="8">
        <v>13.591607093811035</v>
      </c>
      <c r="T5" s="8">
        <v>10.79689884185791</v>
      </c>
      <c r="U5" s="8">
        <v>8.0021905899047852</v>
      </c>
      <c r="V5" s="8">
        <v>5.9308748245239258</v>
      </c>
      <c r="W5" s="8">
        <v>19629590</v>
      </c>
    </row>
    <row r="6" spans="1:23">
      <c r="A6" s="122" t="s">
        <v>23</v>
      </c>
      <c r="B6" s="8">
        <v>26.935308456420898</v>
      </c>
      <c r="C6" s="8">
        <v>25.400453567504883</v>
      </c>
      <c r="D6" s="8">
        <v>27.348258972167969</v>
      </c>
      <c r="E6" s="8">
        <v>22.210733413696289</v>
      </c>
      <c r="F6" s="8">
        <v>24.052228927612305</v>
      </c>
      <c r="G6" s="8">
        <v>23.820743560791016</v>
      </c>
      <c r="H6" s="8">
        <v>24.0496826171875</v>
      </c>
      <c r="I6" s="8">
        <v>24.44743537902832</v>
      </c>
      <c r="J6" s="8">
        <v>23.773138046264648</v>
      </c>
      <c r="K6" s="8">
        <v>22.936904907226563</v>
      </c>
      <c r="L6" s="8">
        <v>22.844123840332031</v>
      </c>
      <c r="M6" s="8">
        <v>21.947647094726563</v>
      </c>
      <c r="N6" s="8">
        <v>22.793067932128906</v>
      </c>
      <c r="O6" s="8">
        <v>23.11981201171875</v>
      </c>
      <c r="P6" s="8">
        <v>23.688838958740234</v>
      </c>
      <c r="Q6" s="8">
        <v>23.012002944946289</v>
      </c>
      <c r="R6" s="8">
        <v>22.513420104980469</v>
      </c>
      <c r="S6" s="8">
        <v>24.878913879394531</v>
      </c>
      <c r="T6" s="8">
        <v>24.558988571166992</v>
      </c>
      <c r="U6" s="8">
        <v>21.709625244140625</v>
      </c>
      <c r="V6" s="8">
        <v>19.190849304199219</v>
      </c>
      <c r="W6" s="8">
        <v>52085168</v>
      </c>
    </row>
    <row r="7" spans="1:23">
      <c r="A7" s="122" t="s">
        <v>25</v>
      </c>
      <c r="B7" s="8">
        <v>20.232477188110352</v>
      </c>
      <c r="C7" s="8">
        <v>21.898368835449219</v>
      </c>
      <c r="D7" s="8">
        <v>19.71527099609375</v>
      </c>
      <c r="E7" s="8">
        <v>20.289663314819336</v>
      </c>
      <c r="F7" s="8">
        <v>18.388881683349609</v>
      </c>
      <c r="G7" s="8">
        <v>18.100149154663086</v>
      </c>
      <c r="H7" s="8">
        <v>17.770160675048828</v>
      </c>
      <c r="I7" s="8">
        <v>17.093246459960938</v>
      </c>
      <c r="J7" s="8">
        <v>15.746500015258789</v>
      </c>
      <c r="K7" s="8">
        <v>15.900924682617188</v>
      </c>
      <c r="L7" s="8">
        <v>15.414279937744141</v>
      </c>
      <c r="M7" s="8">
        <v>15.166674613952637</v>
      </c>
      <c r="N7" s="8">
        <v>13.914436340332031</v>
      </c>
      <c r="O7" s="8">
        <v>13.958318710327148</v>
      </c>
      <c r="P7" s="8">
        <v>13.85936164855957</v>
      </c>
      <c r="Q7" s="8">
        <v>14.028373718261719</v>
      </c>
      <c r="R7" s="8">
        <v>14.879727363586426</v>
      </c>
      <c r="S7" s="8">
        <v>18.712263107299805</v>
      </c>
      <c r="T7" s="8">
        <v>16.404233932495117</v>
      </c>
      <c r="U7" s="8">
        <v>15.634213447570801</v>
      </c>
      <c r="V7" s="8">
        <v>14.285224914550781</v>
      </c>
      <c r="W7" s="8">
        <v>5212173</v>
      </c>
    </row>
    <row r="8" spans="1:23">
      <c r="A8" s="122" t="s">
        <v>27</v>
      </c>
      <c r="B8" s="8">
        <v>27.390316009521484</v>
      </c>
      <c r="C8" s="8">
        <v>28.124729156494141</v>
      </c>
      <c r="D8" s="8">
        <v>26.530986785888672</v>
      </c>
      <c r="E8" s="8">
        <v>25.531867980957031</v>
      </c>
      <c r="F8" s="8">
        <v>27.275680541992188</v>
      </c>
      <c r="G8" s="8">
        <v>27.748525619506836</v>
      </c>
      <c r="H8" s="8">
        <v>26.284385681152344</v>
      </c>
      <c r="I8" s="8">
        <v>26.496257781982422</v>
      </c>
      <c r="J8" s="8">
        <v>28.946372985839844</v>
      </c>
      <c r="K8" s="8">
        <v>29.316965103149414</v>
      </c>
      <c r="L8" s="8">
        <v>28.941011428833008</v>
      </c>
      <c r="M8" s="8">
        <v>26.334131240844727</v>
      </c>
      <c r="N8" s="8">
        <v>25.451595306396484</v>
      </c>
      <c r="O8" s="8">
        <v>23.7127685546875</v>
      </c>
      <c r="P8" s="8">
        <v>22.355861663818359</v>
      </c>
      <c r="Q8" s="8">
        <v>21.285907745361328</v>
      </c>
      <c r="R8" s="8">
        <v>19.962697982788086</v>
      </c>
      <c r="S8" s="8">
        <v>25.927192687988281</v>
      </c>
      <c r="T8" s="8">
        <v>22.693580627441406</v>
      </c>
      <c r="U8" s="8">
        <v>20.271793365478516</v>
      </c>
      <c r="V8" s="8">
        <v>18.108451843261719</v>
      </c>
      <c r="W8" s="8">
        <v>11332973</v>
      </c>
    </row>
    <row r="9" spans="1:23">
      <c r="A9" s="122" t="s">
        <v>29</v>
      </c>
      <c r="B9" s="8">
        <v>26.247650146484375</v>
      </c>
      <c r="C9" s="8">
        <v>25.315877914428711</v>
      </c>
      <c r="D9" s="8">
        <v>25.582992553710938</v>
      </c>
      <c r="E9" s="8">
        <v>26.702112197875977</v>
      </c>
      <c r="F9" s="8">
        <v>26.665180206298828</v>
      </c>
      <c r="G9" s="8">
        <v>25.818733215332031</v>
      </c>
      <c r="H9" s="8">
        <v>27.694272994995117</v>
      </c>
      <c r="I9" s="8">
        <v>25.876665115356445</v>
      </c>
      <c r="J9" s="8">
        <v>25.998760223388672</v>
      </c>
      <c r="K9" s="8">
        <v>23.91425895690918</v>
      </c>
      <c r="L9" s="8">
        <v>25.419008255004883</v>
      </c>
      <c r="M9" s="8">
        <v>23.049327850341797</v>
      </c>
      <c r="N9" s="8">
        <v>23.107000350952148</v>
      </c>
      <c r="O9" s="8">
        <v>23.72966194152832</v>
      </c>
      <c r="P9" s="8">
        <v>22.28325080871582</v>
      </c>
      <c r="Q9" s="8">
        <v>23.074090957641602</v>
      </c>
      <c r="R9" s="8">
        <v>23.261062622070313</v>
      </c>
      <c r="S9" s="8">
        <v>25.683143615722656</v>
      </c>
      <c r="T9" s="8">
        <v>25.928991317749023</v>
      </c>
      <c r="U9" s="8">
        <v>25.726709365844727</v>
      </c>
      <c r="V9" s="8">
        <v>24.52301025390625</v>
      </c>
      <c r="W9" s="8">
        <v>18190484</v>
      </c>
    </row>
    <row r="10" spans="1:23">
      <c r="A10" s="122" t="s">
        <v>31</v>
      </c>
      <c r="B10" s="8">
        <v>19.583856582641602</v>
      </c>
      <c r="C10" s="8">
        <v>23.13469123840332</v>
      </c>
      <c r="D10" s="8">
        <v>22.527362823486328</v>
      </c>
      <c r="E10" s="8">
        <v>21.920036315917969</v>
      </c>
      <c r="F10" s="8">
        <v>22.049030303955078</v>
      </c>
      <c r="G10" s="8">
        <v>22.178783416748047</v>
      </c>
      <c r="H10" s="8">
        <v>22.309299468994141</v>
      </c>
      <c r="I10" s="8">
        <v>22.440586090087891</v>
      </c>
      <c r="J10" s="8">
        <v>21.628252029418945</v>
      </c>
      <c r="K10" s="8">
        <v>22.958154678344727</v>
      </c>
      <c r="L10" s="8">
        <v>24.208894729614258</v>
      </c>
      <c r="M10" s="8">
        <v>24.710781097412109</v>
      </c>
      <c r="N10" s="8">
        <v>26.831098556518555</v>
      </c>
      <c r="O10" s="8">
        <v>23.629005432128906</v>
      </c>
      <c r="P10" s="8">
        <v>23.876346588134766</v>
      </c>
      <c r="Q10" s="8">
        <v>25.303462982177734</v>
      </c>
      <c r="R10" s="8">
        <v>26.264959335327148</v>
      </c>
      <c r="S10" s="8">
        <v>26.326877593994141</v>
      </c>
      <c r="T10" s="8">
        <v>26.3887939453125</v>
      </c>
      <c r="U10" s="8">
        <v>23.455238342285156</v>
      </c>
      <c r="V10" s="8">
        <v>20.847797393798828</v>
      </c>
      <c r="W10" s="8">
        <v>18092026</v>
      </c>
    </row>
    <row r="11" spans="1:23">
      <c r="A11" s="122" t="s">
        <v>33</v>
      </c>
      <c r="B11" s="8"/>
      <c r="C11" s="8"/>
      <c r="D11" s="8"/>
      <c r="E11" s="8"/>
      <c r="F11" s="8"/>
      <c r="G11" s="8"/>
      <c r="H11" s="8"/>
      <c r="I11" s="8"/>
      <c r="J11" s="8"/>
      <c r="K11" s="8"/>
      <c r="L11" s="8"/>
      <c r="M11" s="8"/>
      <c r="N11" s="8"/>
      <c r="O11" s="8"/>
      <c r="P11" s="8">
        <v>25.358680725097656</v>
      </c>
      <c r="Q11" s="8">
        <v>26.687713623046875</v>
      </c>
      <c r="R11" s="8">
        <v>25.163105010986328</v>
      </c>
      <c r="S11" s="8">
        <v>25.552265167236328</v>
      </c>
      <c r="T11" s="8">
        <v>25.941425323486328</v>
      </c>
      <c r="U11" s="8"/>
      <c r="V11" s="8"/>
      <c r="W11" s="8">
        <v>813834</v>
      </c>
    </row>
    <row r="12" spans="1:23">
      <c r="A12" s="122" t="s">
        <v>34</v>
      </c>
      <c r="B12" s="8">
        <v>25.238725662231445</v>
      </c>
      <c r="C12" s="8">
        <v>21.617813110351563</v>
      </c>
      <c r="D12" s="8">
        <v>21.263576507568359</v>
      </c>
      <c r="E12" s="8">
        <v>21.827304840087891</v>
      </c>
      <c r="F12" s="8">
        <v>22.471349716186523</v>
      </c>
      <c r="G12" s="8">
        <v>25.144832611083984</v>
      </c>
      <c r="H12" s="8">
        <v>23.927602767944336</v>
      </c>
      <c r="I12" s="8">
        <v>24.214496612548828</v>
      </c>
      <c r="J12" s="8">
        <v>24.735809326171875</v>
      </c>
      <c r="K12" s="8">
        <v>25.125608444213867</v>
      </c>
      <c r="L12" s="8">
        <v>24.646450042724609</v>
      </c>
      <c r="M12" s="8">
        <v>25.719768524169922</v>
      </c>
      <c r="N12" s="8">
        <v>25.288368225097656</v>
      </c>
      <c r="O12" s="8">
        <v>24.651557922363281</v>
      </c>
      <c r="P12" s="8">
        <v>24.973546981811523</v>
      </c>
      <c r="Q12" s="8">
        <v>25.136354446411133</v>
      </c>
      <c r="R12" s="8">
        <v>23.31724739074707</v>
      </c>
      <c r="S12" s="8">
        <v>23.132257461547852</v>
      </c>
      <c r="T12" s="8">
        <v>22.948734283447266</v>
      </c>
      <c r="U12" s="8">
        <v>22.766666412353516</v>
      </c>
      <c r="V12" s="8">
        <v>25.065221786499023</v>
      </c>
      <c r="W12" s="8">
        <v>10593798</v>
      </c>
    </row>
    <row r="13" spans="1:23">
      <c r="A13" s="122" t="s">
        <v>38</v>
      </c>
      <c r="B13" s="8"/>
      <c r="C13" s="8">
        <v>28.230533599853516</v>
      </c>
      <c r="D13" s="8">
        <v>26.66510009765625</v>
      </c>
      <c r="E13" s="8">
        <v>27.607574462890625</v>
      </c>
      <c r="F13" s="8">
        <v>28.190956115722656</v>
      </c>
      <c r="G13" s="8">
        <v>28.774335861206055</v>
      </c>
      <c r="H13" s="8">
        <v>29.746423721313477</v>
      </c>
      <c r="I13" s="8">
        <v>30.718511581420898</v>
      </c>
      <c r="J13" s="8">
        <v>30.259502410888672</v>
      </c>
      <c r="K13" s="8">
        <v>29.800493240356445</v>
      </c>
      <c r="L13" s="8">
        <v>29.188619613647461</v>
      </c>
      <c r="M13" s="8">
        <v>28.576745986938477</v>
      </c>
      <c r="N13" s="8">
        <v>26.971405029296875</v>
      </c>
      <c r="O13" s="8">
        <v>25.366062164306641</v>
      </c>
      <c r="P13" s="8">
        <v>24.932767868041992</v>
      </c>
      <c r="Q13" s="8">
        <v>24.499473571777344</v>
      </c>
      <c r="R13" s="8">
        <v>25.111042022705078</v>
      </c>
      <c r="S13" s="8">
        <v>25.722610473632813</v>
      </c>
      <c r="T13" s="8">
        <v>23.714412689208984</v>
      </c>
      <c r="U13" s="8">
        <v>21.706216812133789</v>
      </c>
      <c r="V13" s="8">
        <v>19.868080139160156</v>
      </c>
      <c r="W13" s="8">
        <v>128455567</v>
      </c>
    </row>
    <row r="14" spans="1:23">
      <c r="A14" s="122" t="s">
        <v>42</v>
      </c>
      <c r="B14" s="8">
        <v>17.59663200378418</v>
      </c>
      <c r="C14" s="8">
        <v>16.453123092651367</v>
      </c>
      <c r="D14" s="8">
        <v>17.940937042236328</v>
      </c>
      <c r="E14" s="8">
        <v>16.841392517089844</v>
      </c>
      <c r="F14" s="8">
        <v>15.837926864624023</v>
      </c>
      <c r="G14" s="8">
        <v>14.377239227294922</v>
      </c>
      <c r="H14" s="8">
        <v>14.995941162109375</v>
      </c>
      <c r="I14" s="8">
        <v>13.019922256469727</v>
      </c>
      <c r="J14" s="8">
        <v>14.472837448120117</v>
      </c>
      <c r="K14" s="8">
        <v>12.902566909790039</v>
      </c>
      <c r="L14" s="8">
        <v>11.964855194091797</v>
      </c>
      <c r="M14" s="8">
        <v>10.928615570068359</v>
      </c>
      <c r="N14" s="8">
        <v>10.789382934570313</v>
      </c>
      <c r="O14" s="8">
        <v>9.9543170928955078</v>
      </c>
      <c r="P14" s="8">
        <v>10.177567481994629</v>
      </c>
      <c r="Q14" s="8">
        <v>9.0083036422729492</v>
      </c>
      <c r="R14" s="8">
        <v>9.2068519592285156</v>
      </c>
      <c r="S14" s="8">
        <v>9.6165342330932617</v>
      </c>
      <c r="T14" s="8">
        <v>10.044445991516113</v>
      </c>
      <c r="U14" s="8">
        <v>10.491399765014648</v>
      </c>
      <c r="V14" s="8">
        <v>10.95824146270752</v>
      </c>
      <c r="W14" s="8">
        <v>4468087</v>
      </c>
    </row>
    <row r="15" spans="1:23">
      <c r="A15" s="122" t="s">
        <v>44</v>
      </c>
      <c r="B15" s="8">
        <v>26.549615859985352</v>
      </c>
      <c r="C15" s="8">
        <v>26.959007263183594</v>
      </c>
      <c r="D15" s="8">
        <v>26.376331329345703</v>
      </c>
      <c r="E15" s="8">
        <v>25.781492233276367</v>
      </c>
      <c r="F15" s="8">
        <v>24.946033477783203</v>
      </c>
      <c r="G15" s="8">
        <v>24.539430618286133</v>
      </c>
      <c r="H15" s="8">
        <v>21.329034805297852</v>
      </c>
      <c r="I15" s="8">
        <v>20.19951057434082</v>
      </c>
      <c r="J15" s="8">
        <v>22.834062576293945</v>
      </c>
      <c r="K15" s="8">
        <v>22.219751358032227</v>
      </c>
      <c r="L15" s="8">
        <v>21.910720825195313</v>
      </c>
      <c r="M15" s="8">
        <v>22.156919479370117</v>
      </c>
      <c r="N15" s="8">
        <v>22.409946441650391</v>
      </c>
      <c r="O15" s="8">
        <v>21.096639633178711</v>
      </c>
      <c r="P15" s="8">
        <v>22.17463493347168</v>
      </c>
      <c r="Q15" s="8">
        <v>21.958845138549805</v>
      </c>
      <c r="R15" s="8">
        <v>21.402103424072266</v>
      </c>
      <c r="S15" s="8">
        <v>26.611644744873047</v>
      </c>
      <c r="T15" s="8">
        <v>26.276815414428711</v>
      </c>
      <c r="U15" s="8">
        <v>25.205045700073242</v>
      </c>
      <c r="V15" s="8">
        <v>24.176990509033203</v>
      </c>
      <c r="W15" s="8">
        <v>34352719</v>
      </c>
    </row>
    <row r="16" spans="1:23">
      <c r="A16" s="122" t="s">
        <v>45</v>
      </c>
      <c r="B16" s="8">
        <v>24.827672958374023</v>
      </c>
      <c r="C16" s="8">
        <v>26.736730575561523</v>
      </c>
      <c r="D16" s="8">
        <v>25.157958984375</v>
      </c>
      <c r="E16" s="8">
        <v>23.99897575378418</v>
      </c>
      <c r="F16" s="8">
        <v>24.774364471435547</v>
      </c>
      <c r="G16" s="8">
        <v>24.475152969360352</v>
      </c>
      <c r="H16" s="8">
        <v>21.062740325927734</v>
      </c>
      <c r="I16" s="8">
        <v>19.792831420898438</v>
      </c>
      <c r="J16" s="8">
        <v>19.51426887512207</v>
      </c>
      <c r="K16" s="8">
        <v>18.080142974853516</v>
      </c>
      <c r="L16" s="8">
        <v>18.317001342773438</v>
      </c>
      <c r="M16" s="8">
        <v>16.63810920715332</v>
      </c>
      <c r="N16" s="8">
        <v>15.717448234558105</v>
      </c>
      <c r="O16" s="8">
        <v>19.927719116210938</v>
      </c>
      <c r="P16" s="8">
        <v>19.372299194335938</v>
      </c>
      <c r="Q16" s="8">
        <v>16.144527435302734</v>
      </c>
      <c r="R16" s="8">
        <v>17.142047882080078</v>
      </c>
      <c r="S16" s="8">
        <v>19.56251335144043</v>
      </c>
      <c r="T16" s="8">
        <v>19.53570556640625</v>
      </c>
      <c r="U16" s="8">
        <v>18.956794738769531</v>
      </c>
      <c r="V16" s="8">
        <v>18.395038604736328</v>
      </c>
      <c r="W16" s="8">
        <v>6861524</v>
      </c>
    </row>
    <row r="17" spans="1:23">
      <c r="A17" s="122" t="s">
        <v>46</v>
      </c>
      <c r="B17" s="8">
        <v>26.592439651489258</v>
      </c>
      <c r="C17" s="8">
        <v>29.330665588378906</v>
      </c>
      <c r="D17" s="8">
        <v>28.630033493041992</v>
      </c>
      <c r="E17" s="8">
        <v>30.840646743774414</v>
      </c>
      <c r="F17" s="8">
        <v>31.429758071899414</v>
      </c>
      <c r="G17" s="8">
        <v>29.746971130371094</v>
      </c>
      <c r="H17" s="8">
        <v>29.420948028564453</v>
      </c>
      <c r="I17" s="8">
        <v>28.542270660400391</v>
      </c>
      <c r="J17" s="8">
        <v>32.268283843994141</v>
      </c>
      <c r="K17" s="8">
        <v>31.364419937133789</v>
      </c>
      <c r="L17" s="8">
        <v>30.711528778076172</v>
      </c>
      <c r="M17" s="8">
        <v>30.953285217285156</v>
      </c>
      <c r="N17" s="8">
        <v>31.63670539855957</v>
      </c>
      <c r="O17" s="8">
        <v>29.288789749145508</v>
      </c>
      <c r="P17" s="8">
        <v>29.577552795410156</v>
      </c>
      <c r="Q17" s="8">
        <v>28.159633636474609</v>
      </c>
      <c r="R17" s="8">
        <v>28.522609710693359</v>
      </c>
      <c r="S17" s="8">
        <v>24.419033050537109</v>
      </c>
      <c r="T17" s="8">
        <v>24.470205307006836</v>
      </c>
      <c r="U17" s="8">
        <v>23.633247375488281</v>
      </c>
      <c r="V17" s="8">
        <v>23.091104507446289</v>
      </c>
      <c r="W17" s="8">
        <v>6364943</v>
      </c>
    </row>
    <row r="18" spans="1:23">
      <c r="A18" s="122" t="s">
        <v>50</v>
      </c>
      <c r="B18" s="8">
        <v>23.439687728881836</v>
      </c>
      <c r="C18" s="8">
        <v>22.164831161499023</v>
      </c>
      <c r="D18" s="8">
        <v>19.436775207519531</v>
      </c>
      <c r="E18" s="8">
        <v>19.40281867980957</v>
      </c>
      <c r="F18" s="8">
        <v>18.065956115722656</v>
      </c>
      <c r="G18" s="8">
        <v>16.686208724975586</v>
      </c>
      <c r="H18" s="8">
        <v>14.489025115966797</v>
      </c>
      <c r="I18" s="8">
        <v>14.635176658630371</v>
      </c>
      <c r="J18" s="8">
        <v>11.45377254486084</v>
      </c>
      <c r="K18" s="8">
        <v>10.370741844177246</v>
      </c>
      <c r="L18" s="8">
        <v>9.9814338684082031</v>
      </c>
      <c r="M18" s="8">
        <v>9.1623029708862305</v>
      </c>
      <c r="N18" s="8">
        <v>8.8388557434082031</v>
      </c>
      <c r="O18" s="8">
        <v>9.1115398406982422</v>
      </c>
      <c r="P18" s="8">
        <v>8.0856437683105469</v>
      </c>
      <c r="Q18" s="8">
        <v>8.7572975158691406</v>
      </c>
      <c r="R18" s="8">
        <v>9.0725812911987305</v>
      </c>
      <c r="S18" s="8">
        <v>11.151027679443359</v>
      </c>
      <c r="T18" s="8">
        <v>10.096809387207031</v>
      </c>
      <c r="U18" s="8">
        <v>10.314765930175781</v>
      </c>
      <c r="V18" s="8">
        <v>10.53742790222168</v>
      </c>
      <c r="W18" s="8">
        <v>3423109</v>
      </c>
    </row>
    <row r="19" spans="1:23">
      <c r="A19" s="122" t="s">
        <v>51</v>
      </c>
      <c r="B19" s="8">
        <v>30.183271408081055</v>
      </c>
      <c r="C19" s="8">
        <v>28.839504241943359</v>
      </c>
      <c r="D19" s="8">
        <v>26.629961013793945</v>
      </c>
      <c r="E19" s="8">
        <v>23.002622604370117</v>
      </c>
      <c r="F19" s="8">
        <v>18.286838531494141</v>
      </c>
      <c r="G19" s="8">
        <v>18.340126037597656</v>
      </c>
      <c r="H19" s="8">
        <v>18.439153671264648</v>
      </c>
      <c r="I19" s="8">
        <v>19.611307144165039</v>
      </c>
      <c r="J19" s="8">
        <v>19.705734252929688</v>
      </c>
      <c r="K19" s="8">
        <v>16.01618766784668</v>
      </c>
      <c r="L19" s="8">
        <v>17.943737030029297</v>
      </c>
      <c r="M19" s="8">
        <v>16.117481231689453</v>
      </c>
      <c r="N19" s="8">
        <v>19.957935333251953</v>
      </c>
      <c r="O19" s="8">
        <v>27.126041412353516</v>
      </c>
      <c r="P19" s="8">
        <v>20.817943572998047</v>
      </c>
      <c r="Q19" s="8">
        <v>5.5889129638671875</v>
      </c>
      <c r="R19" s="8">
        <v>10.141746520996094</v>
      </c>
      <c r="S19" s="8">
        <v>14.694580078125</v>
      </c>
      <c r="T19" s="8">
        <v>17.13670539855957</v>
      </c>
      <c r="U19" s="8"/>
      <c r="V19" s="8"/>
      <c r="W19" s="8">
        <v>28838499</v>
      </c>
    </row>
    <row r="20" spans="1:23">
      <c r="B20" s="122"/>
      <c r="C20" s="122"/>
      <c r="D20" s="122"/>
      <c r="E20" s="122"/>
      <c r="F20" s="122"/>
      <c r="G20" s="122"/>
      <c r="H20" s="122"/>
      <c r="I20" s="122"/>
      <c r="J20" s="122"/>
      <c r="K20" s="122"/>
      <c r="L20" s="122"/>
      <c r="M20" s="122"/>
      <c r="N20" s="122"/>
      <c r="O20" s="122"/>
      <c r="P20" s="122"/>
      <c r="Q20" s="122"/>
      <c r="R20" s="122"/>
      <c r="S20" s="122"/>
      <c r="T20" s="122"/>
      <c r="U20" s="122"/>
      <c r="V20" s="122"/>
    </row>
    <row r="21" spans="1:23">
      <c r="B21" s="122"/>
      <c r="C21" s="122"/>
      <c r="D21" s="122"/>
      <c r="E21" s="122"/>
      <c r="F21" s="122"/>
      <c r="G21" s="122"/>
      <c r="H21" s="122"/>
      <c r="I21" s="122"/>
      <c r="J21" s="122"/>
      <c r="K21" s="122"/>
      <c r="L21" s="122"/>
      <c r="M21" s="122"/>
      <c r="N21" s="122"/>
      <c r="O21" s="122"/>
      <c r="P21" s="122"/>
      <c r="Q21" s="122"/>
      <c r="R21" s="122"/>
      <c r="S21" s="122"/>
      <c r="T21" s="122"/>
      <c r="U21" s="122"/>
      <c r="V21" s="122"/>
    </row>
    <row r="22" spans="1:23">
      <c r="B22" s="122"/>
      <c r="C22" s="122"/>
      <c r="D22" s="122"/>
      <c r="E22" s="122"/>
      <c r="F22" s="122"/>
      <c r="G22" s="122"/>
      <c r="H22" s="122"/>
      <c r="I22" s="122"/>
      <c r="J22" s="122"/>
      <c r="K22" s="122"/>
      <c r="L22" s="122"/>
      <c r="M22" s="122"/>
      <c r="N22" s="122"/>
      <c r="O22" s="122"/>
      <c r="P22" s="122"/>
      <c r="Q22" s="122"/>
      <c r="R22" s="122"/>
      <c r="S22" s="122"/>
      <c r="T22" s="122"/>
      <c r="U22" s="122"/>
      <c r="V22" s="122"/>
    </row>
    <row r="23" spans="1:23">
      <c r="B23" s="122"/>
      <c r="C23" s="122"/>
      <c r="D23" s="122"/>
      <c r="E23" s="122"/>
      <c r="F23" s="122"/>
      <c r="G23" s="122"/>
      <c r="H23" s="122"/>
      <c r="I23" s="122"/>
      <c r="J23" s="122"/>
      <c r="K23" s="122"/>
      <c r="L23" s="122"/>
      <c r="M23" s="122"/>
      <c r="N23" s="122"/>
      <c r="O23" s="122"/>
      <c r="P23" s="122"/>
      <c r="Q23" s="122"/>
      <c r="R23" s="122"/>
      <c r="S23" s="122"/>
      <c r="T23" s="122"/>
      <c r="U23" s="122"/>
      <c r="V23" s="122"/>
    </row>
    <row r="24" spans="1:23">
      <c r="B24" s="122"/>
      <c r="C24" s="122"/>
      <c r="D24" s="122"/>
      <c r="E24" s="122"/>
      <c r="F24" s="122"/>
      <c r="G24" s="122"/>
      <c r="H24" s="122"/>
      <c r="I24" s="122"/>
      <c r="J24" s="122"/>
      <c r="K24" s="122"/>
      <c r="L24" s="122"/>
      <c r="M24" s="122"/>
      <c r="N24" s="122"/>
      <c r="O24" s="122"/>
      <c r="P24" s="122"/>
      <c r="Q24" s="122"/>
      <c r="R24" s="122"/>
      <c r="S24" s="122"/>
      <c r="T24" s="122"/>
      <c r="U24" s="122"/>
      <c r="V24" s="122"/>
    </row>
    <row r="25" spans="1:23">
      <c r="B25" s="122"/>
      <c r="C25" s="122"/>
      <c r="D25" s="122"/>
      <c r="E25" s="122"/>
      <c r="F25" s="122"/>
      <c r="G25" s="122"/>
      <c r="H25" s="122"/>
      <c r="I25" s="122"/>
      <c r="J25" s="122"/>
      <c r="K25" s="122"/>
      <c r="L25" s="122"/>
      <c r="M25" s="122"/>
      <c r="N25" s="122"/>
      <c r="O25" s="122"/>
      <c r="P25" s="122"/>
      <c r="Q25" s="122"/>
      <c r="R25" s="122"/>
      <c r="S25" s="122"/>
      <c r="T25" s="122"/>
      <c r="U25" s="122"/>
      <c r="V25" s="122"/>
    </row>
    <row r="26" spans="1:23">
      <c r="B26" s="122"/>
      <c r="C26" s="122"/>
      <c r="D26" s="122"/>
      <c r="E26" s="122"/>
      <c r="F26" s="122"/>
      <c r="G26" s="122"/>
      <c r="H26" s="122"/>
      <c r="I26" s="122"/>
      <c r="J26" s="122"/>
      <c r="K26" s="122"/>
      <c r="L26" s="122"/>
      <c r="M26" s="122"/>
      <c r="N26" s="122"/>
      <c r="O26" s="122"/>
      <c r="P26" s="122"/>
      <c r="Q26" s="122"/>
      <c r="R26" s="122"/>
      <c r="S26" s="122"/>
      <c r="T26" s="122"/>
      <c r="U26" s="122"/>
      <c r="V26" s="12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ACB78-DBB5-416D-BC59-323F8B0C6844}">
  <dimension ref="A1:W26"/>
  <sheetViews>
    <sheetView zoomScale="51" zoomScaleNormal="51" workbookViewId="0">
      <selection activeCell="B1" sqref="B1"/>
    </sheetView>
  </sheetViews>
  <sheetFormatPr defaultRowHeight="14.5"/>
  <sheetData>
    <row r="1" spans="1:23">
      <c r="A1" t="s">
        <v>995</v>
      </c>
      <c r="B1" t="s">
        <v>1070</v>
      </c>
      <c r="C1" t="s">
        <v>1071</v>
      </c>
      <c r="D1" t="s">
        <v>1007</v>
      </c>
      <c r="E1" t="s">
        <v>1008</v>
      </c>
      <c r="F1" t="s">
        <v>1072</v>
      </c>
      <c r="G1" t="s">
        <v>1073</v>
      </c>
      <c r="H1" t="s">
        <v>1074</v>
      </c>
      <c r="I1" t="s">
        <v>1075</v>
      </c>
      <c r="J1" t="s">
        <v>1076</v>
      </c>
      <c r="K1" t="s">
        <v>1077</v>
      </c>
      <c r="L1" t="s">
        <v>1078</v>
      </c>
      <c r="M1" t="s">
        <v>1079</v>
      </c>
      <c r="N1" t="s">
        <v>1080</v>
      </c>
      <c r="O1" t="s">
        <v>1081</v>
      </c>
      <c r="P1" t="s">
        <v>1082</v>
      </c>
      <c r="Q1" t="s">
        <v>1083</v>
      </c>
      <c r="R1" t="s">
        <v>1084</v>
      </c>
      <c r="S1" t="s">
        <v>1085</v>
      </c>
      <c r="T1" t="s">
        <v>1086</v>
      </c>
      <c r="U1" t="s">
        <v>1087</v>
      </c>
      <c r="V1" t="s">
        <v>1088</v>
      </c>
      <c r="W1" t="s">
        <v>1005</v>
      </c>
    </row>
    <row r="2" spans="1:23">
      <c r="A2" s="122" t="s">
        <v>10</v>
      </c>
      <c r="B2" s="8">
        <v>80.181297302246094</v>
      </c>
      <c r="C2" s="8">
        <v>74.628303527832031</v>
      </c>
      <c r="D2" s="8">
        <v>69.6734619140625</v>
      </c>
      <c r="E2" s="8">
        <v>64.746749877929688</v>
      </c>
      <c r="F2" s="8">
        <v>53.451377868652344</v>
      </c>
      <c r="G2" s="8">
        <v>48.945365905761719</v>
      </c>
      <c r="H2" s="8">
        <v>42.124416351318359</v>
      </c>
      <c r="I2" s="8">
        <v>35.802543640136719</v>
      </c>
      <c r="J2" s="8">
        <v>27.230607986450195</v>
      </c>
      <c r="K2" s="8">
        <v>21.623516082763672</v>
      </c>
      <c r="L2" s="8">
        <v>16.495676040649414</v>
      </c>
      <c r="M2" s="8">
        <v>19.658725738525391</v>
      </c>
      <c r="N2" s="8">
        <v>23.121952056884766</v>
      </c>
      <c r="O2" s="8">
        <v>18.903919219970703</v>
      </c>
      <c r="P2" s="8">
        <v>15.894489288330078</v>
      </c>
      <c r="Q2" s="8">
        <v>18.309366226196289</v>
      </c>
      <c r="R2" s="8">
        <v>20.853439331054688</v>
      </c>
      <c r="S2" s="8">
        <v>25.708707809448242</v>
      </c>
      <c r="T2" s="8">
        <v>23.364168167114258</v>
      </c>
      <c r="U2" s="8">
        <v>20.98236083984375</v>
      </c>
      <c r="V2" s="8">
        <v>18.843360900878906</v>
      </c>
      <c r="W2" s="8">
        <v>45773884</v>
      </c>
    </row>
    <row r="3" spans="1:23">
      <c r="A3" s="122" t="s">
        <v>15</v>
      </c>
      <c r="B3" s="8">
        <v>42.593605041503906</v>
      </c>
      <c r="C3" s="8">
        <v>46.261856079101563</v>
      </c>
      <c r="D3" s="8">
        <v>49.930103302001953</v>
      </c>
      <c r="E3" s="8">
        <v>45.524200439453125</v>
      </c>
      <c r="F3" s="8">
        <v>44.063262939453125</v>
      </c>
      <c r="G3" s="8">
        <v>36.030048370361328</v>
      </c>
      <c r="H3" s="8">
        <v>32.605022430419922</v>
      </c>
      <c r="I3" s="8">
        <v>29.915428161621094</v>
      </c>
      <c r="J3" s="8">
        <v>27.225833892822266</v>
      </c>
      <c r="K3" s="8">
        <v>27.9244384765625</v>
      </c>
      <c r="L3" s="8">
        <v>24.77093505859375</v>
      </c>
      <c r="M3" s="8">
        <v>24.327859878540039</v>
      </c>
      <c r="N3" s="8">
        <v>24.925180435180664</v>
      </c>
      <c r="O3" s="8">
        <v>25.234722137451172</v>
      </c>
      <c r="P3" s="8">
        <v>25.377649307250977</v>
      </c>
      <c r="Q3" s="8">
        <v>23.268091201782227</v>
      </c>
      <c r="R3" s="8">
        <v>19.293706893920898</v>
      </c>
      <c r="S3" s="8">
        <v>23.851003646850586</v>
      </c>
      <c r="T3" s="8">
        <v>20.545166015625</v>
      </c>
      <c r="U3" s="8">
        <v>21.749509811401367</v>
      </c>
      <c r="V3" s="8">
        <v>23.024452209472656</v>
      </c>
      <c r="W3" s="8">
        <v>12388571</v>
      </c>
    </row>
    <row r="4" spans="1:23">
      <c r="A4" s="122" t="s">
        <v>17</v>
      </c>
      <c r="B4" s="8">
        <v>54.42401123046875</v>
      </c>
      <c r="C4" s="8">
        <v>52.578014373779297</v>
      </c>
      <c r="D4" s="8">
        <v>51.275669097900391</v>
      </c>
      <c r="E4" s="8">
        <v>48.169185638427734</v>
      </c>
      <c r="F4" s="8">
        <v>45.344509124755859</v>
      </c>
      <c r="G4" s="8">
        <v>42.017601013183594</v>
      </c>
      <c r="H4" s="8">
        <v>40.354255676269531</v>
      </c>
      <c r="I4" s="8">
        <v>38.505668640136719</v>
      </c>
      <c r="J4" s="8">
        <v>36.657081604003906</v>
      </c>
      <c r="K4" s="8">
        <v>33.156471252441406</v>
      </c>
      <c r="L4" s="8">
        <v>31.864336013793945</v>
      </c>
      <c r="M4" s="8">
        <v>30.465847015380859</v>
      </c>
      <c r="N4" s="8">
        <v>32.067531585693359</v>
      </c>
      <c r="O4" s="8">
        <v>32.099849700927734</v>
      </c>
      <c r="P4" s="8">
        <v>32.1055908203125</v>
      </c>
      <c r="Q4" s="8">
        <v>33.379123687744141</v>
      </c>
      <c r="R4" s="8">
        <v>30.784809112548828</v>
      </c>
      <c r="S4" s="8">
        <v>30.961460113525391</v>
      </c>
      <c r="T4" s="8">
        <v>35.578147888183594</v>
      </c>
      <c r="U4" s="8">
        <v>29.435735702514648</v>
      </c>
      <c r="V4" s="8">
        <v>24.353784561157227</v>
      </c>
      <c r="W4" s="8">
        <v>216422446</v>
      </c>
    </row>
    <row r="5" spans="1:23">
      <c r="A5" s="122" t="s">
        <v>21</v>
      </c>
      <c r="B5" s="8">
        <v>38.970500946044922</v>
      </c>
      <c r="C5" s="8">
        <v>36.434745788574219</v>
      </c>
      <c r="D5" s="8">
        <v>34.063987731933594</v>
      </c>
      <c r="E5" s="8">
        <v>31.847488403320313</v>
      </c>
      <c r="F5" s="8">
        <v>29.84208869934082</v>
      </c>
      <c r="G5" s="8">
        <v>27.962966918945313</v>
      </c>
      <c r="H5" s="8">
        <v>26.202171325683594</v>
      </c>
      <c r="I5" s="8">
        <v>24.995223999023438</v>
      </c>
      <c r="J5" s="8">
        <v>23.788274765014648</v>
      </c>
      <c r="K5" s="8">
        <v>20.800542831420898</v>
      </c>
      <c r="L5" s="8">
        <v>17.812810897827148</v>
      </c>
      <c r="M5" s="8">
        <v>18.236141204833984</v>
      </c>
      <c r="N5" s="8">
        <v>18.65947151184082</v>
      </c>
      <c r="O5" s="8">
        <v>17.245492935180664</v>
      </c>
      <c r="P5" s="8">
        <v>15.831515312194824</v>
      </c>
      <c r="Q5" s="8">
        <v>17.416128158569336</v>
      </c>
      <c r="R5" s="8">
        <v>19.159347534179688</v>
      </c>
      <c r="S5" s="8">
        <v>21.077051162719727</v>
      </c>
      <c r="T5" s="8">
        <v>16.148113250732422</v>
      </c>
      <c r="U5" s="8">
        <v>11.219173431396484</v>
      </c>
      <c r="V5" s="8">
        <v>7.7947096824645996</v>
      </c>
      <c r="W5" s="8">
        <v>19629590</v>
      </c>
    </row>
    <row r="6" spans="1:23">
      <c r="A6" s="122" t="s">
        <v>23</v>
      </c>
      <c r="B6" s="8">
        <v>65.505233764648438</v>
      </c>
      <c r="C6" s="8">
        <v>65.32452392578125</v>
      </c>
      <c r="D6" s="8">
        <v>61.318134307861328</v>
      </c>
      <c r="E6" s="8">
        <v>64.573745727539063</v>
      </c>
      <c r="F6" s="8">
        <v>63.358867645263672</v>
      </c>
      <c r="G6" s="8">
        <v>54.211826324462891</v>
      </c>
      <c r="H6" s="8">
        <v>53.447109222412109</v>
      </c>
      <c r="I6" s="8">
        <v>50.954963684082031</v>
      </c>
      <c r="J6" s="8">
        <v>47.093738555908203</v>
      </c>
      <c r="K6" s="8">
        <v>46.683910369873047</v>
      </c>
      <c r="L6" s="8">
        <v>44.009597778320313</v>
      </c>
      <c r="M6" s="8">
        <v>41.915290832519531</v>
      </c>
      <c r="N6" s="8">
        <v>41.998088836669922</v>
      </c>
      <c r="O6" s="8">
        <v>41.7420654296875</v>
      </c>
      <c r="P6" s="8">
        <v>41.755153656005859</v>
      </c>
      <c r="Q6" s="8">
        <v>41.643383026123047</v>
      </c>
      <c r="R6" s="8">
        <v>42.172607421875</v>
      </c>
      <c r="S6" s="8">
        <v>46.499851226806641</v>
      </c>
      <c r="T6" s="8">
        <v>45.010330200195313</v>
      </c>
      <c r="U6" s="8">
        <v>41.222324371337891</v>
      </c>
      <c r="V6" s="8">
        <v>37.75311279296875</v>
      </c>
      <c r="W6" s="8">
        <v>52085168</v>
      </c>
    </row>
    <row r="7" spans="1:23">
      <c r="A7" s="122" t="s">
        <v>25</v>
      </c>
      <c r="B7" s="8">
        <v>34.271766662597656</v>
      </c>
      <c r="C7" s="8">
        <v>35.800930023193359</v>
      </c>
      <c r="D7" s="8">
        <v>32.126998901367188</v>
      </c>
      <c r="E7" s="8">
        <v>31.900516510009766</v>
      </c>
      <c r="F7" s="8">
        <v>27.102697372436523</v>
      </c>
      <c r="G7" s="8">
        <v>25.561670303344727</v>
      </c>
      <c r="H7" s="8">
        <v>25.654098510742188</v>
      </c>
      <c r="I7" s="8">
        <v>24.893825531005859</v>
      </c>
      <c r="J7" s="8">
        <v>26.389434814453125</v>
      </c>
      <c r="K7" s="8">
        <v>24.036725997924805</v>
      </c>
      <c r="L7" s="8">
        <v>23.633201599121094</v>
      </c>
      <c r="M7" s="8">
        <v>22.614435195922852</v>
      </c>
      <c r="N7" s="8">
        <v>21.229366302490234</v>
      </c>
      <c r="O7" s="8">
        <v>21.012430191040039</v>
      </c>
      <c r="P7" s="8">
        <v>20.445932388305664</v>
      </c>
      <c r="Q7" s="8">
        <v>21.157680511474609</v>
      </c>
      <c r="R7" s="8">
        <v>21.6925048828125</v>
      </c>
      <c r="S7" s="8">
        <v>30.837089538574219</v>
      </c>
      <c r="T7" s="8">
        <v>23.914463043212891</v>
      </c>
      <c r="U7" s="8">
        <v>22.723045349121094</v>
      </c>
      <c r="V7" s="8">
        <v>20.874841690063477</v>
      </c>
      <c r="W7" s="8">
        <v>5212173</v>
      </c>
    </row>
    <row r="8" spans="1:23">
      <c r="A8" s="122" t="s">
        <v>27</v>
      </c>
      <c r="B8" s="8">
        <v>56.721168518066406</v>
      </c>
      <c r="C8" s="8">
        <v>64.326515197753906</v>
      </c>
      <c r="D8" s="8">
        <v>56.766468048095703</v>
      </c>
      <c r="E8" s="8">
        <v>53.332321166992188</v>
      </c>
      <c r="F8" s="8">
        <v>53.061874389648438</v>
      </c>
      <c r="G8" s="8">
        <v>52.904289245605469</v>
      </c>
      <c r="H8" s="8">
        <v>51.000095367431641</v>
      </c>
      <c r="I8" s="8">
        <v>51.353370666503906</v>
      </c>
      <c r="J8" s="8">
        <v>51.803058624267578</v>
      </c>
      <c r="K8" s="8">
        <v>52.807640075683594</v>
      </c>
      <c r="L8" s="8">
        <v>51.093090057373047</v>
      </c>
      <c r="M8" s="8">
        <v>45.834613800048828</v>
      </c>
      <c r="N8" s="8">
        <v>41.197288513183594</v>
      </c>
      <c r="O8" s="8">
        <v>39.012348175048828</v>
      </c>
      <c r="P8" s="8">
        <v>33.117446899414063</v>
      </c>
      <c r="Q8" s="8">
        <v>30.914693832397461</v>
      </c>
      <c r="R8" s="8">
        <v>27.664180755615234</v>
      </c>
      <c r="S8" s="8">
        <v>39.057601928710938</v>
      </c>
      <c r="T8" s="8">
        <v>33.129955291748047</v>
      </c>
      <c r="U8" s="8">
        <v>29.323764801025391</v>
      </c>
      <c r="V8" s="8">
        <v>25.954854965209961</v>
      </c>
      <c r="W8" s="8">
        <v>11332973</v>
      </c>
    </row>
    <row r="9" spans="1:23">
      <c r="A9" s="122" t="s">
        <v>29</v>
      </c>
      <c r="B9" s="8">
        <v>63.337863922119141</v>
      </c>
      <c r="C9" s="8">
        <v>58.339691162109375</v>
      </c>
      <c r="D9" s="8">
        <v>56.275814056396484</v>
      </c>
      <c r="E9" s="8">
        <v>52.310771942138672</v>
      </c>
      <c r="F9" s="8">
        <v>51.56231689453125</v>
      </c>
      <c r="G9" s="8">
        <v>49.671478271484375</v>
      </c>
      <c r="H9" s="8">
        <v>51.509048461914063</v>
      </c>
      <c r="I9" s="8">
        <v>47.537281036376953</v>
      </c>
      <c r="J9" s="8">
        <v>43.781993865966797</v>
      </c>
      <c r="K9" s="8">
        <v>41.126041412353516</v>
      </c>
      <c r="L9" s="8">
        <v>40.811492919921875</v>
      </c>
      <c r="M9" s="8">
        <v>36.608932495117188</v>
      </c>
      <c r="N9" s="8">
        <v>37.153495788574219</v>
      </c>
      <c r="O9" s="8">
        <v>37.860443115234375</v>
      </c>
      <c r="P9" s="8">
        <v>35.812149047851563</v>
      </c>
      <c r="Q9" s="8">
        <v>37.40350341796875</v>
      </c>
      <c r="R9" s="8">
        <v>39.098251342773438</v>
      </c>
      <c r="S9" s="8">
        <v>47.238983154296875</v>
      </c>
      <c r="T9" s="8">
        <v>41.8187255859375</v>
      </c>
      <c r="U9" s="8">
        <v>40.356998443603516</v>
      </c>
      <c r="V9" s="8">
        <v>40.369815826416016</v>
      </c>
      <c r="W9" s="8">
        <v>18190484</v>
      </c>
    </row>
    <row r="10" spans="1:23">
      <c r="A10" s="122" t="s">
        <v>31</v>
      </c>
      <c r="B10" s="8">
        <v>48.775291442871094</v>
      </c>
      <c r="C10" s="8">
        <v>63.768726348876953</v>
      </c>
      <c r="D10" s="8">
        <v>57.234706878662109</v>
      </c>
      <c r="E10" s="8">
        <v>50.700687408447266</v>
      </c>
      <c r="F10" s="8">
        <v>55.118621826171875</v>
      </c>
      <c r="G10" s="8">
        <v>59.921524047851563</v>
      </c>
      <c r="H10" s="8">
        <v>65.1429443359375</v>
      </c>
      <c r="I10" s="8">
        <v>70.819351196289063</v>
      </c>
      <c r="J10" s="8">
        <v>69.139884948730469</v>
      </c>
      <c r="K10" s="8">
        <v>60.104316711425781</v>
      </c>
      <c r="L10" s="8">
        <v>58.298164367675781</v>
      </c>
      <c r="M10" s="8">
        <v>56.932670593261719</v>
      </c>
      <c r="N10" s="8">
        <v>55.933719635009766</v>
      </c>
      <c r="O10" s="8">
        <v>55.923187255859375</v>
      </c>
      <c r="P10" s="8">
        <v>56.833820343017578</v>
      </c>
      <c r="Q10" s="8">
        <v>59.322078704833984</v>
      </c>
      <c r="R10" s="8">
        <v>58.005214691162109</v>
      </c>
      <c r="S10" s="8">
        <v>58.724037170410156</v>
      </c>
      <c r="T10" s="8">
        <v>59.442855834960938</v>
      </c>
      <c r="U10" s="8">
        <v>55.366111755371094</v>
      </c>
      <c r="V10" s="8">
        <v>51.568962097167969</v>
      </c>
      <c r="W10" s="8">
        <v>18092026</v>
      </c>
    </row>
    <row r="11" spans="1:23">
      <c r="A11" s="122" t="s">
        <v>33</v>
      </c>
      <c r="B11" s="8"/>
      <c r="C11" s="8"/>
      <c r="D11" s="8"/>
      <c r="E11" s="8"/>
      <c r="F11" s="8"/>
      <c r="G11" s="8"/>
      <c r="H11" s="8"/>
      <c r="I11" s="8"/>
      <c r="J11" s="8"/>
      <c r="K11" s="8"/>
      <c r="L11" s="8"/>
      <c r="M11" s="8"/>
      <c r="N11" s="8"/>
      <c r="O11" s="8"/>
      <c r="P11" s="8">
        <v>54.964996337890625</v>
      </c>
      <c r="Q11" s="8">
        <v>57.776035308837891</v>
      </c>
      <c r="R11" s="8">
        <v>57.605125427246094</v>
      </c>
      <c r="S11" s="8">
        <v>57.772506713867188</v>
      </c>
      <c r="T11" s="8">
        <v>57.939888000488281</v>
      </c>
      <c r="U11" s="8"/>
      <c r="V11" s="8"/>
      <c r="W11" s="8">
        <v>813834</v>
      </c>
    </row>
    <row r="12" spans="1:23">
      <c r="A12" s="122" t="s">
        <v>34</v>
      </c>
      <c r="B12" s="8">
        <v>66.173309326171875</v>
      </c>
      <c r="C12" s="8">
        <v>66.559806823730469</v>
      </c>
      <c r="D12" s="8">
        <v>64.301124572753906</v>
      </c>
      <c r="E12" s="8">
        <v>62.075065612792969</v>
      </c>
      <c r="F12" s="8">
        <v>58.149982452392578</v>
      </c>
      <c r="G12" s="8">
        <v>57.091392517089844</v>
      </c>
      <c r="H12" s="8">
        <v>55.762748718261719</v>
      </c>
      <c r="I12" s="8">
        <v>58.512611389160156</v>
      </c>
      <c r="J12" s="8">
        <v>61.264755249023438</v>
      </c>
      <c r="K12" s="8">
        <v>66.331443786621094</v>
      </c>
      <c r="L12" s="8">
        <v>63.87176513671875</v>
      </c>
      <c r="M12" s="8">
        <v>60.848384857177734</v>
      </c>
      <c r="N12" s="8">
        <v>60.237525939941406</v>
      </c>
      <c r="O12" s="8">
        <v>58.514457702636719</v>
      </c>
      <c r="P12" s="8">
        <v>61.054317474365234</v>
      </c>
      <c r="Q12" s="8">
        <v>60.406036376953125</v>
      </c>
      <c r="R12" s="8">
        <v>61.583339691162109</v>
      </c>
      <c r="S12" s="8">
        <v>62.795543670654297</v>
      </c>
      <c r="T12" s="8">
        <v>64.031608581542969</v>
      </c>
      <c r="U12" s="8">
        <v>65.292007446289063</v>
      </c>
      <c r="V12" s="8">
        <v>60.174953460693359</v>
      </c>
      <c r="W12" s="8">
        <v>10593798</v>
      </c>
    </row>
    <row r="13" spans="1:23">
      <c r="A13" s="122" t="s">
        <v>38</v>
      </c>
      <c r="B13" s="8"/>
      <c r="C13" s="8">
        <v>50.981258392333984</v>
      </c>
      <c r="D13" s="8">
        <v>49.527896881103516</v>
      </c>
      <c r="E13" s="8">
        <v>46.12933349609375</v>
      </c>
      <c r="F13" s="8">
        <v>55.400215148925781</v>
      </c>
      <c r="G13" s="8">
        <v>64.671096801757813</v>
      </c>
      <c r="H13" s="8">
        <v>67.063423156738281</v>
      </c>
      <c r="I13" s="8">
        <v>69.45574951171875</v>
      </c>
      <c r="J13" s="8">
        <v>64.389862060546875</v>
      </c>
      <c r="K13" s="8">
        <v>59.323970794677734</v>
      </c>
      <c r="L13" s="8">
        <v>53.792854309082031</v>
      </c>
      <c r="M13" s="8">
        <v>48.261734008789063</v>
      </c>
      <c r="N13" s="8">
        <v>43.752262115478516</v>
      </c>
      <c r="O13" s="8">
        <v>39.242790222167969</v>
      </c>
      <c r="P13" s="8">
        <v>38.113346099853516</v>
      </c>
      <c r="Q13" s="8">
        <v>36.983901977539063</v>
      </c>
      <c r="R13" s="8">
        <v>38.852996826171875</v>
      </c>
      <c r="S13" s="8">
        <v>40.722095489501953</v>
      </c>
      <c r="T13" s="8">
        <v>36.348648071289063</v>
      </c>
      <c r="U13" s="8">
        <v>31.975204467773438</v>
      </c>
      <c r="V13" s="8">
        <v>28.127969741821289</v>
      </c>
      <c r="W13" s="8">
        <v>128455567</v>
      </c>
    </row>
    <row r="14" spans="1:23">
      <c r="A14" s="122" t="s">
        <v>42</v>
      </c>
      <c r="B14" s="8">
        <v>37.102108001708984</v>
      </c>
      <c r="C14" s="8">
        <v>36.347274780273438</v>
      </c>
      <c r="D14" s="8">
        <v>36.987407684326172</v>
      </c>
      <c r="E14" s="8">
        <v>36.001548767089844</v>
      </c>
      <c r="F14" s="8">
        <v>32.478584289550781</v>
      </c>
      <c r="G14" s="8">
        <v>30.639263153076172</v>
      </c>
      <c r="H14" s="8">
        <v>29.429298400878906</v>
      </c>
      <c r="I14" s="8">
        <v>27.428251266479492</v>
      </c>
      <c r="J14" s="8">
        <v>26.696380615234375</v>
      </c>
      <c r="K14" s="8">
        <v>22.35173225402832</v>
      </c>
      <c r="L14" s="8">
        <v>22.748678207397461</v>
      </c>
      <c r="M14" s="8">
        <v>20.825189590454102</v>
      </c>
      <c r="N14" s="8">
        <v>20.818813323974609</v>
      </c>
      <c r="O14" s="8">
        <v>18.387189865112305</v>
      </c>
      <c r="P14" s="8">
        <v>18.295209884643555</v>
      </c>
      <c r="Q14" s="8">
        <v>17.415761947631836</v>
      </c>
      <c r="R14" s="8">
        <v>17.43547248840332</v>
      </c>
      <c r="S14" s="8">
        <v>18.078720092773438</v>
      </c>
      <c r="T14" s="8">
        <v>18.745698928833008</v>
      </c>
      <c r="U14" s="8">
        <v>19.437280654907227</v>
      </c>
      <c r="V14" s="8">
        <v>20.154376983642578</v>
      </c>
      <c r="W14" s="8">
        <v>4468087</v>
      </c>
    </row>
    <row r="15" spans="1:23">
      <c r="A15" s="122" t="s">
        <v>44</v>
      </c>
      <c r="B15" s="8">
        <v>62.632274627685547</v>
      </c>
      <c r="C15" s="8">
        <v>63.299030303955078</v>
      </c>
      <c r="D15" s="8">
        <v>65.508201599121094</v>
      </c>
      <c r="E15" s="8">
        <v>62.017719268798828</v>
      </c>
      <c r="F15" s="8">
        <v>54.097091674804688</v>
      </c>
      <c r="G15" s="8">
        <v>49.961166381835938</v>
      </c>
      <c r="H15" s="8">
        <v>40.033866882324219</v>
      </c>
      <c r="I15" s="8">
        <v>36.661216735839844</v>
      </c>
      <c r="J15" s="8">
        <v>41.727046966552734</v>
      </c>
      <c r="K15" s="8">
        <v>39.48577880859375</v>
      </c>
      <c r="L15" s="8">
        <v>38.455146789550781</v>
      </c>
      <c r="M15" s="8">
        <v>37.583858489990234</v>
      </c>
      <c r="N15" s="8">
        <v>37.354263305664063</v>
      </c>
      <c r="O15" s="8">
        <v>35.976661682128906</v>
      </c>
      <c r="P15" s="8">
        <v>36.923824310302734</v>
      </c>
      <c r="Q15" s="8">
        <v>34.918556213378906</v>
      </c>
      <c r="R15" s="8">
        <v>33.224308013916016</v>
      </c>
      <c r="S15" s="8">
        <v>49.915538787841797</v>
      </c>
      <c r="T15" s="8">
        <v>40.421871185302734</v>
      </c>
      <c r="U15" s="8">
        <v>37.667442321777344</v>
      </c>
      <c r="V15" s="8">
        <v>35.100704193115234</v>
      </c>
      <c r="W15" s="8">
        <v>34352719</v>
      </c>
    </row>
    <row r="16" spans="1:23">
      <c r="A16" s="122" t="s">
        <v>45</v>
      </c>
      <c r="B16" s="8">
        <v>54.229194641113281</v>
      </c>
      <c r="C16" s="8">
        <v>52.691501617431641</v>
      </c>
      <c r="D16" s="8">
        <v>46.818115234375</v>
      </c>
      <c r="E16" s="8">
        <v>50.554611206054688</v>
      </c>
      <c r="F16" s="8">
        <v>46.810771942138672</v>
      </c>
      <c r="G16" s="8">
        <v>46.009757995605469</v>
      </c>
      <c r="H16" s="8">
        <v>41.376983642578125</v>
      </c>
      <c r="I16" s="8">
        <v>40.1063232421875</v>
      </c>
      <c r="J16" s="8">
        <v>38.115966796875</v>
      </c>
      <c r="K16" s="8">
        <v>36.435405731201172</v>
      </c>
      <c r="L16" s="8">
        <v>31.829750061035156</v>
      </c>
      <c r="M16" s="8">
        <v>29.874008178710938</v>
      </c>
      <c r="N16" s="8">
        <v>29.580116271972656</v>
      </c>
      <c r="O16" s="8">
        <v>35.456184387207031</v>
      </c>
      <c r="P16" s="8">
        <v>33.978878021240234</v>
      </c>
      <c r="Q16" s="8">
        <v>28.687969207763672</v>
      </c>
      <c r="R16" s="8">
        <v>29.581382751464844</v>
      </c>
      <c r="S16" s="8">
        <v>30.203924179077148</v>
      </c>
      <c r="T16" s="8">
        <v>30.932479858398438</v>
      </c>
      <c r="U16" s="8">
        <v>31.323837280273438</v>
      </c>
      <c r="V16" s="8">
        <v>31.720146179199219</v>
      </c>
      <c r="W16" s="8">
        <v>6861524</v>
      </c>
    </row>
    <row r="17" spans="1:23">
      <c r="A17" s="122" t="s">
        <v>46</v>
      </c>
      <c r="B17" s="8">
        <v>56.690715789794922</v>
      </c>
      <c r="C17" s="8">
        <v>59.240203857421875</v>
      </c>
      <c r="D17" s="8">
        <v>61.908946990966797</v>
      </c>
      <c r="E17" s="8">
        <v>60.384410858154297</v>
      </c>
      <c r="F17" s="8">
        <v>57.505615234375</v>
      </c>
      <c r="G17" s="8">
        <v>59.705055236816406</v>
      </c>
      <c r="H17" s="8">
        <v>59.651100158691406</v>
      </c>
      <c r="I17" s="8">
        <v>58.107460021972656</v>
      </c>
      <c r="J17" s="8">
        <v>60.217666625976563</v>
      </c>
      <c r="K17" s="8">
        <v>57.581996917724609</v>
      </c>
      <c r="L17" s="8">
        <v>53.777198791503906</v>
      </c>
      <c r="M17" s="8">
        <v>53.788097381591797</v>
      </c>
      <c r="N17" s="8">
        <v>51.966709136962891</v>
      </c>
      <c r="O17" s="8">
        <v>50.005130767822266</v>
      </c>
      <c r="P17" s="8">
        <v>47.970893859863281</v>
      </c>
      <c r="Q17" s="8">
        <v>44.675300598144531</v>
      </c>
      <c r="R17" s="8">
        <v>42.633567810058594</v>
      </c>
      <c r="S17" s="8">
        <v>42.865612030029297</v>
      </c>
      <c r="T17" s="8">
        <v>41.873493194580078</v>
      </c>
      <c r="U17" s="8">
        <v>40.786777496337891</v>
      </c>
      <c r="V17" s="8">
        <v>38.657855987548828</v>
      </c>
      <c r="W17" s="8">
        <v>6364943</v>
      </c>
    </row>
    <row r="18" spans="1:23">
      <c r="A18" s="122" t="s">
        <v>50</v>
      </c>
      <c r="B18" s="8">
        <v>35.211872100830078</v>
      </c>
      <c r="C18" s="8">
        <v>35.190467834472656</v>
      </c>
      <c r="D18" s="8">
        <v>31.586706161499023</v>
      </c>
      <c r="E18" s="8">
        <v>28.069416046142578</v>
      </c>
      <c r="F18" s="8">
        <v>27.121797561645508</v>
      </c>
      <c r="G18" s="8">
        <v>21.660835266113281</v>
      </c>
      <c r="H18" s="8">
        <v>20.536725997924805</v>
      </c>
      <c r="I18" s="8">
        <v>19.510538101196289</v>
      </c>
      <c r="J18" s="8">
        <v>15.668622970581055</v>
      </c>
      <c r="K18" s="8">
        <v>14.586438179016113</v>
      </c>
      <c r="L18" s="8">
        <v>13.924862861633301</v>
      </c>
      <c r="M18" s="8">
        <v>12.608110427856445</v>
      </c>
      <c r="N18" s="8">
        <v>12.695158004760742</v>
      </c>
      <c r="O18" s="8">
        <v>12.654323577880859</v>
      </c>
      <c r="P18" s="8">
        <v>10.962045669555664</v>
      </c>
      <c r="Q18" s="8">
        <v>11.618269920349121</v>
      </c>
      <c r="R18" s="8">
        <v>12.253385543823242</v>
      </c>
      <c r="S18" s="8">
        <v>15.809690475463867</v>
      </c>
      <c r="T18" s="8">
        <v>14.65608024597168</v>
      </c>
      <c r="U18" s="8">
        <v>14.31268310546875</v>
      </c>
      <c r="V18" s="8">
        <v>13.97733211517334</v>
      </c>
      <c r="W18" s="8">
        <v>3423109</v>
      </c>
    </row>
    <row r="19" spans="1:23">
      <c r="A19" s="122" t="s">
        <v>51</v>
      </c>
      <c r="B19" s="8">
        <v>64.96978759765625</v>
      </c>
      <c r="C19" s="8">
        <v>54.670940399169922</v>
      </c>
      <c r="D19" s="8">
        <v>49.656017303466797</v>
      </c>
      <c r="E19" s="8">
        <v>36.747371673583984</v>
      </c>
      <c r="F19" s="8">
        <v>28.483444213867188</v>
      </c>
      <c r="G19" s="8">
        <v>27.425817489624023</v>
      </c>
      <c r="H19" s="8">
        <v>26.536741256713867</v>
      </c>
      <c r="I19" s="8">
        <v>27.729946136474609</v>
      </c>
      <c r="J19" s="8">
        <v>28.133398056030273</v>
      </c>
      <c r="K19" s="8">
        <v>24.567630767822266</v>
      </c>
      <c r="L19" s="8">
        <v>25.920272827148438</v>
      </c>
      <c r="M19" s="8">
        <v>22.280300140380859</v>
      </c>
      <c r="N19" s="8">
        <v>28.681560516357422</v>
      </c>
      <c r="O19" s="8">
        <v>46.498569488525391</v>
      </c>
      <c r="P19" s="8">
        <v>38.674137115478516</v>
      </c>
      <c r="Q19" s="8">
        <v>30.666082382202148</v>
      </c>
      <c r="R19" s="8">
        <v>60.32080078125</v>
      </c>
      <c r="S19" s="8">
        <v>89.975517272949219</v>
      </c>
      <c r="T19" s="8">
        <v>71.004470825195313</v>
      </c>
      <c r="U19" s="8"/>
      <c r="V19" s="8"/>
      <c r="W19" s="8">
        <v>28838499</v>
      </c>
    </row>
    <row r="20" spans="1:23">
      <c r="A20" t="s">
        <v>44</v>
      </c>
      <c r="B20" s="122">
        <v>49.352054595947273</v>
      </c>
      <c r="C20" s="122">
        <v>49.191879272460938</v>
      </c>
      <c r="D20" s="122">
        <v>52.043556213378913</v>
      </c>
      <c r="E20" s="122">
        <v>48.501537322998047</v>
      </c>
      <c r="F20" s="122">
        <v>40.352836608886719</v>
      </c>
      <c r="G20" s="122">
        <v>36.444808959960938</v>
      </c>
      <c r="H20" s="122">
        <v>28.431203842163089</v>
      </c>
      <c r="I20" s="122">
        <v>25.04080772399902</v>
      </c>
      <c r="J20" s="122">
        <v>28.928873062133789</v>
      </c>
      <c r="K20" s="122">
        <v>26.514398574829102</v>
      </c>
      <c r="L20" s="122">
        <v>25.78053092956543</v>
      </c>
      <c r="M20" s="122">
        <v>24.836397171020511</v>
      </c>
      <c r="N20" s="122">
        <v>23.795955657958981</v>
      </c>
      <c r="O20" s="122">
        <v>23.860940933227539</v>
      </c>
      <c r="P20" s="122">
        <v>23.81494140625</v>
      </c>
      <c r="Q20" s="122">
        <v>22.032209396362301</v>
      </c>
      <c r="R20" s="122">
        <v>20.46498870849609</v>
      </c>
      <c r="S20" s="122">
        <v>35.399490356445313</v>
      </c>
      <c r="T20" s="122">
        <v>24.973176956176761</v>
      </c>
      <c r="U20" s="122">
        <v>22.67319488525391</v>
      </c>
      <c r="V20" s="122">
        <v>20.585037231445309</v>
      </c>
    </row>
    <row r="21" spans="1:23">
      <c r="B21" s="122"/>
      <c r="C21" s="122"/>
      <c r="D21" s="122"/>
      <c r="E21" s="122"/>
      <c r="F21" s="122"/>
      <c r="G21" s="122"/>
      <c r="H21" s="122"/>
      <c r="I21" s="122"/>
      <c r="J21" s="122"/>
      <c r="K21" s="122"/>
      <c r="L21" s="122"/>
      <c r="M21" s="122"/>
      <c r="N21" s="122"/>
      <c r="O21" s="122"/>
      <c r="P21" s="122"/>
      <c r="Q21" s="122"/>
      <c r="R21" s="122"/>
      <c r="S21" s="122"/>
      <c r="T21" s="122"/>
      <c r="U21" s="122"/>
      <c r="V21" s="122"/>
    </row>
    <row r="22" spans="1:23">
      <c r="B22" s="122"/>
      <c r="C22" s="122"/>
      <c r="D22" s="122"/>
      <c r="E22" s="122"/>
      <c r="F22" s="122"/>
      <c r="G22" s="122"/>
      <c r="H22" s="122"/>
      <c r="I22" s="122"/>
      <c r="J22" s="122"/>
      <c r="K22" s="122"/>
      <c r="L22" s="122"/>
      <c r="M22" s="122"/>
      <c r="N22" s="122"/>
      <c r="O22" s="122"/>
      <c r="P22" s="122"/>
      <c r="Q22" s="122"/>
      <c r="R22" s="122"/>
      <c r="S22" s="122"/>
      <c r="T22" s="122"/>
      <c r="U22" s="122"/>
      <c r="V22" s="122"/>
    </row>
    <row r="23" spans="1:23">
      <c r="B23" s="122"/>
      <c r="C23" s="122"/>
      <c r="D23" s="122"/>
      <c r="E23" s="122"/>
      <c r="F23" s="122"/>
      <c r="G23" s="122"/>
      <c r="H23" s="122"/>
      <c r="I23" s="122"/>
      <c r="J23" s="122"/>
      <c r="K23" s="122"/>
      <c r="L23" s="122"/>
      <c r="M23" s="122"/>
      <c r="N23" s="122"/>
      <c r="O23" s="122"/>
      <c r="P23" s="122"/>
      <c r="Q23" s="122"/>
      <c r="R23" s="122"/>
      <c r="S23" s="122"/>
      <c r="T23" s="122"/>
      <c r="U23" s="122"/>
      <c r="V23" s="122"/>
    </row>
    <row r="24" spans="1:23">
      <c r="B24" s="122"/>
      <c r="C24" s="122"/>
      <c r="D24" s="122"/>
      <c r="E24" s="122"/>
      <c r="F24" s="122"/>
      <c r="G24" s="122"/>
      <c r="H24" s="122"/>
      <c r="I24" s="122"/>
      <c r="J24" s="122"/>
      <c r="K24" s="122"/>
      <c r="L24" s="122"/>
      <c r="M24" s="122"/>
      <c r="N24" s="122"/>
      <c r="O24" s="122"/>
      <c r="P24" s="122"/>
      <c r="Q24" s="122"/>
      <c r="R24" s="122"/>
      <c r="S24" s="122"/>
      <c r="T24" s="122"/>
      <c r="U24" s="122"/>
      <c r="V24" s="122"/>
    </row>
    <row r="25" spans="1:23">
      <c r="B25" s="122"/>
      <c r="C25" s="122"/>
      <c r="D25" s="122"/>
      <c r="E25" s="122"/>
      <c r="F25" s="122"/>
      <c r="G25" s="122"/>
      <c r="H25" s="122"/>
      <c r="I25" s="122"/>
      <c r="J25" s="122"/>
      <c r="K25" s="122"/>
      <c r="L25" s="122"/>
      <c r="M25" s="122"/>
      <c r="N25" s="122"/>
      <c r="O25" s="122"/>
      <c r="P25" s="122"/>
      <c r="Q25" s="122"/>
      <c r="R25" s="122"/>
      <c r="S25" s="122"/>
      <c r="T25" s="122"/>
      <c r="U25" s="122"/>
      <c r="V25" s="122"/>
    </row>
    <row r="26" spans="1:23">
      <c r="B26" s="122"/>
      <c r="C26" s="122"/>
      <c r="D26" s="122"/>
      <c r="E26" s="122"/>
      <c r="F26" s="122"/>
      <c r="G26" s="122"/>
      <c r="H26" s="122"/>
      <c r="I26" s="122"/>
      <c r="J26" s="122"/>
      <c r="K26" s="122"/>
      <c r="L26" s="122"/>
      <c r="M26" s="122"/>
      <c r="N26" s="122"/>
      <c r="O26" s="122"/>
      <c r="P26" s="122"/>
      <c r="Q26" s="122"/>
      <c r="R26" s="122"/>
      <c r="S26" s="122"/>
      <c r="T26" s="122"/>
      <c r="U26" s="122"/>
      <c r="V26" s="12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5F791-D029-497E-BDFD-EC097C700D11}">
  <sheetPr>
    <tabColor rgb="FF023E80"/>
  </sheetPr>
  <dimension ref="A1:AB70"/>
  <sheetViews>
    <sheetView zoomScale="50" zoomScaleNormal="50" workbookViewId="0">
      <selection activeCell="J42" sqref="J42"/>
    </sheetView>
  </sheetViews>
  <sheetFormatPr defaultRowHeight="14.5"/>
  <cols>
    <col min="2" max="2" width="15.54296875" customWidth="1"/>
    <col min="3" max="4" width="11.90625" customWidth="1"/>
    <col min="5" max="5" width="12.54296875" customWidth="1"/>
    <col min="9" max="10" width="22.08984375" bestFit="1" customWidth="1"/>
    <col min="11" max="11" width="10.90625" customWidth="1"/>
    <col min="16" max="16" width="15.08984375" customWidth="1"/>
    <col min="17" max="17" width="11.36328125" customWidth="1"/>
    <col min="18" max="18" width="11.7265625" customWidth="1"/>
    <col min="19" max="19" width="13.54296875" customWidth="1"/>
  </cols>
  <sheetData>
    <row r="1" spans="1:21">
      <c r="A1" s="7560"/>
      <c r="B1" s="7717" t="s">
        <v>1211</v>
      </c>
      <c r="C1" s="7718" t="s">
        <v>1211</v>
      </c>
      <c r="D1" s="7719" t="s">
        <v>1211</v>
      </c>
      <c r="E1" s="7561" t="s">
        <v>1003</v>
      </c>
      <c r="F1" s="7562" t="s">
        <v>1186</v>
      </c>
      <c r="H1" s="7610"/>
      <c r="I1" s="7722" t="s">
        <v>1212</v>
      </c>
      <c r="J1" s="7723" t="s">
        <v>1212</v>
      </c>
      <c r="K1" s="7724" t="s">
        <v>1212</v>
      </c>
      <c r="L1" s="7611" t="s">
        <v>1003</v>
      </c>
      <c r="M1" s="7612" t="s">
        <v>1186</v>
      </c>
      <c r="O1" s="7660"/>
      <c r="P1" s="7712" t="s">
        <v>1214</v>
      </c>
      <c r="Q1" s="7713" t="s">
        <v>1214</v>
      </c>
      <c r="R1" s="7714" t="s">
        <v>1214</v>
      </c>
      <c r="S1" s="7661" t="s">
        <v>1003</v>
      </c>
      <c r="T1" s="7662" t="s">
        <v>1186</v>
      </c>
    </row>
    <row r="2" spans="1:21">
      <c r="A2" s="7563"/>
      <c r="B2" s="7720" t="s">
        <v>1187</v>
      </c>
      <c r="C2" s="7720" t="s">
        <v>1187</v>
      </c>
      <c r="D2" s="7720" t="s">
        <v>1187</v>
      </c>
      <c r="E2" s="7564" t="s">
        <v>1187</v>
      </c>
      <c r="H2" s="7613"/>
      <c r="I2" s="7725" t="s">
        <v>1213</v>
      </c>
      <c r="J2" s="7725" t="s">
        <v>1213</v>
      </c>
      <c r="K2" s="7725" t="s">
        <v>1213</v>
      </c>
      <c r="L2" s="7614" t="s">
        <v>1187</v>
      </c>
      <c r="O2" s="7663"/>
      <c r="P2" s="7715" t="s">
        <v>1213</v>
      </c>
      <c r="Q2" s="7715" t="s">
        <v>1213</v>
      </c>
      <c r="R2" s="7715" t="s">
        <v>1213</v>
      </c>
      <c r="S2" s="7664" t="s">
        <v>1187</v>
      </c>
    </row>
    <row r="3" spans="1:21">
      <c r="A3" s="7565"/>
      <c r="B3" s="7721" t="s">
        <v>1045</v>
      </c>
      <c r="C3" s="7721" t="s">
        <v>1045</v>
      </c>
      <c r="D3" s="7721" t="s">
        <v>1045</v>
      </c>
      <c r="E3" s="7566" t="s">
        <v>1211</v>
      </c>
      <c r="H3" s="7615"/>
      <c r="I3" s="7726" t="s">
        <v>1045</v>
      </c>
      <c r="J3" s="7726" t="s">
        <v>1045</v>
      </c>
      <c r="K3" s="7726" t="s">
        <v>1045</v>
      </c>
      <c r="L3" s="7616" t="s">
        <v>1212</v>
      </c>
      <c r="O3" s="7665"/>
      <c r="P3" s="7716" t="s">
        <v>1045</v>
      </c>
      <c r="Q3" s="7716" t="s">
        <v>1045</v>
      </c>
      <c r="R3" s="7716" t="s">
        <v>1045</v>
      </c>
      <c r="S3" s="7666" t="s">
        <v>1214</v>
      </c>
    </row>
    <row r="4" spans="1:21">
      <c r="A4" s="7567"/>
      <c r="B4" s="7568" t="s">
        <v>1187</v>
      </c>
      <c r="C4" s="7569" t="s">
        <v>1188</v>
      </c>
      <c r="D4" s="7570" t="s">
        <v>1189</v>
      </c>
      <c r="E4" s="7571" t="s">
        <v>1187</v>
      </c>
      <c r="H4" s="7617"/>
      <c r="I4" s="7618" t="s">
        <v>1187</v>
      </c>
      <c r="J4" s="7619" t="s">
        <v>1188</v>
      </c>
      <c r="K4" s="7620" t="s">
        <v>1189</v>
      </c>
      <c r="L4" s="7621" t="s">
        <v>1213</v>
      </c>
      <c r="O4" s="7667"/>
      <c r="P4" s="7668" t="s">
        <v>1187</v>
      </c>
      <c r="Q4" s="7669" t="s">
        <v>1188</v>
      </c>
      <c r="R4" s="7670" t="s">
        <v>1189</v>
      </c>
      <c r="S4" s="7671" t="s">
        <v>1213</v>
      </c>
      <c r="U4" s="8"/>
    </row>
    <row r="5" spans="1:21">
      <c r="A5" s="7572" t="s">
        <v>1125</v>
      </c>
      <c r="B5" s="7573"/>
      <c r="C5" s="7574"/>
      <c r="D5" s="7575"/>
      <c r="E5" s="7576"/>
      <c r="F5" s="7577"/>
      <c r="G5" s="8"/>
      <c r="H5" s="7622" t="s">
        <v>1125</v>
      </c>
      <c r="I5" s="7623"/>
      <c r="J5" s="7624"/>
      <c r="K5" s="7625"/>
      <c r="L5" s="7626"/>
      <c r="M5" s="7627"/>
      <c r="O5" s="7672" t="s">
        <v>1125</v>
      </c>
      <c r="P5" s="7673"/>
      <c r="Q5" s="7674"/>
      <c r="R5" s="7675"/>
      <c r="S5" s="7676"/>
      <c r="T5" s="7677"/>
      <c r="U5" s="8"/>
    </row>
    <row r="6" spans="1:21">
      <c r="A6" s="7578" t="s">
        <v>1191</v>
      </c>
      <c r="B6" s="7728">
        <v>99.65433576820287</v>
      </c>
      <c r="C6" s="7729">
        <v>99.223465464983391</v>
      </c>
      <c r="D6" s="7730">
        <v>99.734913398481055</v>
      </c>
      <c r="E6" s="7731">
        <v>99.384178907017301</v>
      </c>
      <c r="F6" s="7579">
        <v>2022</v>
      </c>
      <c r="G6" s="8">
        <f>IFERROR(VLOOKUP(TRIM(A6),Fact1_2!$D$22:$P$41,10,0),"")</f>
        <v>12.388571000000001</v>
      </c>
      <c r="H6" s="7628" t="s">
        <v>1190</v>
      </c>
      <c r="I6" s="7728">
        <v>99.835092145340425</v>
      </c>
      <c r="J6" s="7729">
        <v>99.111099036581933</v>
      </c>
      <c r="K6" s="7730">
        <v>99.165259846509372</v>
      </c>
      <c r="L6" s="7731">
        <v>99.391125263977941</v>
      </c>
      <c r="M6" s="7629">
        <v>2022</v>
      </c>
      <c r="N6" s="8">
        <f>IFERROR(VLOOKUP(TRIM(H6),Fact1_2!$D$22:$P$41,10,0),"")</f>
        <v>45.773884000000002</v>
      </c>
      <c r="O6" s="7678" t="s">
        <v>1190</v>
      </c>
      <c r="P6" s="7728">
        <v>99.213200832743638</v>
      </c>
      <c r="Q6" s="7729">
        <v>99.155084821411236</v>
      </c>
      <c r="R6" s="7730">
        <v>99.652002814146826</v>
      </c>
      <c r="S6" s="7731">
        <v>99.177562946144533</v>
      </c>
      <c r="T6" s="7679">
        <v>2022</v>
      </c>
      <c r="U6" s="8">
        <f>IFERROR(VLOOKUP(TRIM(O6),Fact1_2!$D$22:$P$41,10,0),"")</f>
        <v>45.773884000000002</v>
      </c>
    </row>
    <row r="7" spans="1:21">
      <c r="A7" s="7580" t="s">
        <v>1192</v>
      </c>
      <c r="B7" s="7732">
        <v>96.131675545821835</v>
      </c>
      <c r="C7" s="7733">
        <v>98.739273023890632</v>
      </c>
      <c r="D7" s="7734">
        <v>99.49248061334761</v>
      </c>
      <c r="E7" s="7735">
        <v>97.700724188350421</v>
      </c>
      <c r="F7" s="7581">
        <v>2019</v>
      </c>
      <c r="G7" s="8">
        <f>IFERROR(VLOOKUP(TRIM(A7),Fact1_2!$D$22:$P$41,10,0),"")</f>
        <v>216.42244600000001</v>
      </c>
      <c r="H7" s="7630" t="s">
        <v>1191</v>
      </c>
      <c r="I7" s="7732">
        <v>86.683250174829965</v>
      </c>
      <c r="J7" s="7733">
        <v>94.178991049536677</v>
      </c>
      <c r="K7" s="7734">
        <v>98.81839821308202</v>
      </c>
      <c r="L7" s="7735">
        <v>91.383100249991926</v>
      </c>
      <c r="M7" s="7631">
        <v>2022</v>
      </c>
      <c r="N7" s="8">
        <f>IFERROR(VLOOKUP(TRIM(H7),Fact1_2!$D$22:$P$41,10,0),"")</f>
        <v>12.388571000000001</v>
      </c>
      <c r="O7" s="7680" t="s">
        <v>1191</v>
      </c>
      <c r="P7" s="7732">
        <v>57.282082432000337</v>
      </c>
      <c r="Q7" s="7733">
        <v>71.057712903747927</v>
      </c>
      <c r="R7" s="7734">
        <v>92.829357139047872</v>
      </c>
      <c r="S7" s="7735">
        <v>65.919440498434227</v>
      </c>
      <c r="T7" s="7681">
        <v>2022</v>
      </c>
      <c r="U7" s="8">
        <f>IFERROR(VLOOKUP(TRIM(O7),Fact1_2!$D$22:$P$41,10,0),"")</f>
        <v>12.388571000000001</v>
      </c>
    </row>
    <row r="8" spans="1:21">
      <c r="A8" s="7582" t="s">
        <v>1193</v>
      </c>
      <c r="B8" s="7736">
        <v>92.590605336325055</v>
      </c>
      <c r="C8" s="7737">
        <v>93.490586173683624</v>
      </c>
      <c r="D8" s="7738">
        <v>95.542951425390783</v>
      </c>
      <c r="E8" s="7739">
        <v>93.266805023987914</v>
      </c>
      <c r="F8" s="7583">
        <v>2017</v>
      </c>
      <c r="G8" s="8">
        <f>IFERROR(VLOOKUP(TRIM(A8),Fact1_2!$D$22:$P$41,10,0),"")</f>
        <v>19.62959</v>
      </c>
      <c r="H8" s="7632" t="s">
        <v>1192</v>
      </c>
      <c r="I8" s="7736">
        <v>98.426818587944283</v>
      </c>
      <c r="J8" s="7737">
        <v>99.024358118757064</v>
      </c>
      <c r="K8" s="7738">
        <v>99.377854302557367</v>
      </c>
      <c r="L8" s="7739">
        <v>98.786371240362598</v>
      </c>
      <c r="M8" s="7633">
        <v>2019</v>
      </c>
      <c r="N8" s="8">
        <f>IFERROR(VLOOKUP(TRIM(H8),Fact1_2!$D$22:$P$41,10,0),"")</f>
        <v>216.42244600000001</v>
      </c>
      <c r="O8" s="7682" t="s">
        <v>1192</v>
      </c>
      <c r="P8" s="7736">
        <v>97.215181063453372</v>
      </c>
      <c r="Q8" s="7737">
        <v>99.330249914287208</v>
      </c>
      <c r="R8" s="7738">
        <v>99.804514566058685</v>
      </c>
      <c r="S8" s="7739">
        <v>98.488199716879308</v>
      </c>
      <c r="T8" s="7683">
        <v>2019</v>
      </c>
      <c r="U8" s="8">
        <f>IFERROR(VLOOKUP(TRIM(O8),Fact1_2!$D$22:$P$41,10,0),"")</f>
        <v>216.42244600000001</v>
      </c>
    </row>
    <row r="9" spans="1:21">
      <c r="A9" s="7584" t="s">
        <v>1194</v>
      </c>
      <c r="B9" s="7740">
        <v>76.877663872717477</v>
      </c>
      <c r="C9" s="7741">
        <v>87.296870642298899</v>
      </c>
      <c r="D9" s="7742">
        <v>96.597243104230714</v>
      </c>
      <c r="E9" s="7743">
        <v>82.28963557364446</v>
      </c>
      <c r="F9" s="7585">
        <v>2022</v>
      </c>
      <c r="G9" s="8">
        <f>IFERROR(VLOOKUP(TRIM(A9),Fact1_2!$D$22:$P$41,10,0),"")</f>
        <v>52.085168000000003</v>
      </c>
      <c r="H9" s="7634" t="s">
        <v>1193</v>
      </c>
      <c r="I9" s="7740">
        <v>99.902473911771395</v>
      </c>
      <c r="J9" s="7741">
        <v>99.939880874401283</v>
      </c>
      <c r="K9" s="7742">
        <v>99.945419694350292</v>
      </c>
      <c r="L9" s="7743">
        <v>99.930573623638935</v>
      </c>
      <c r="M9" s="7635">
        <v>2017</v>
      </c>
      <c r="N9" s="8">
        <f>IFERROR(VLOOKUP(TRIM(H9),Fact1_2!$D$22:$P$41,10,0),"")</f>
        <v>19.62959</v>
      </c>
      <c r="O9" s="7684" t="s">
        <v>1193</v>
      </c>
      <c r="P9" s="7740">
        <v>99.611215196179288</v>
      </c>
      <c r="Q9" s="7741">
        <v>99.776180031600219</v>
      </c>
      <c r="R9" s="7742">
        <v>99.846129771021353</v>
      </c>
      <c r="S9" s="7743">
        <v>99.735136453226531</v>
      </c>
      <c r="T9" s="7685">
        <v>2017</v>
      </c>
      <c r="U9" s="8">
        <f>IFERROR(VLOOKUP(TRIM(O9),Fact1_2!$D$22:$P$41,10,0),"")</f>
        <v>19.62959</v>
      </c>
    </row>
    <row r="10" spans="1:21">
      <c r="A10" s="7586" t="s">
        <v>1195</v>
      </c>
      <c r="B10" s="7744">
        <v>98.843376091408857</v>
      </c>
      <c r="C10" s="7745">
        <v>99.549315883402727</v>
      </c>
      <c r="D10" s="7746">
        <v>99.658577719985118</v>
      </c>
      <c r="E10" s="7747">
        <v>99.333102230145769</v>
      </c>
      <c r="F10" s="7587">
        <v>2023</v>
      </c>
      <c r="G10" s="8">
        <f>IFERROR(VLOOKUP(TRIM(A10),Fact1_2!$D$22:$P$41,10,0),"")</f>
        <v>5.2121729999999999</v>
      </c>
      <c r="H10" s="7636" t="s">
        <v>1195</v>
      </c>
      <c r="I10" s="7744">
        <v>99.538643958176138</v>
      </c>
      <c r="J10" s="7745">
        <v>99.703033908387866</v>
      </c>
      <c r="K10" s="7746">
        <v>99.746144399277043</v>
      </c>
      <c r="L10" s="7747">
        <v>99.652684923818484</v>
      </c>
      <c r="M10" s="7637">
        <v>2023</v>
      </c>
      <c r="N10" s="8">
        <f>IFERROR(VLOOKUP(TRIM(H10),Fact1_2!$D$22:$P$41,10,0),"")</f>
        <v>5.2121729999999999</v>
      </c>
      <c r="O10" s="7686" t="s">
        <v>1194</v>
      </c>
      <c r="P10" s="7744">
        <v>82.396635202001079</v>
      </c>
      <c r="Q10" s="7745">
        <v>91.839285325339986</v>
      </c>
      <c r="R10" s="7746">
        <v>98.234612383280222</v>
      </c>
      <c r="S10" s="7747">
        <v>87.301361289063635</v>
      </c>
      <c r="T10" s="7687">
        <v>2022</v>
      </c>
      <c r="U10" s="8">
        <f>IFERROR(VLOOKUP(TRIM(O10),Fact1_2!$D$22:$P$41,10,0),"")</f>
        <v>52.085168000000003</v>
      </c>
    </row>
    <row r="11" spans="1:21">
      <c r="A11" s="7588" t="s">
        <v>1196</v>
      </c>
      <c r="B11" s="7748">
        <v>94.426158200704279</v>
      </c>
      <c r="C11" s="7749">
        <v>97.125838498349822</v>
      </c>
      <c r="D11" s="7750">
        <v>98.450427674335018</v>
      </c>
      <c r="E11" s="7751">
        <v>96.300240386421279</v>
      </c>
      <c r="F11" s="7589">
        <v>2022</v>
      </c>
      <c r="G11" s="8">
        <f>IFERROR(VLOOKUP(TRIM(A11),Fact1_2!$D$22:$P$41,10,0),"")</f>
        <v>11.332973000000001</v>
      </c>
      <c r="H11" s="7638" t="s">
        <v>1196</v>
      </c>
      <c r="I11" s="7748">
        <v>99.158164698759549</v>
      </c>
      <c r="J11" s="7749">
        <v>99.193811472963461</v>
      </c>
      <c r="K11" s="7750">
        <v>99.4003595172274</v>
      </c>
      <c r="L11" s="7751">
        <v>99.182910215690598</v>
      </c>
      <c r="M11" s="7639">
        <v>2022</v>
      </c>
      <c r="N11" s="8">
        <f>IFERROR(VLOOKUP(TRIM(H11),Fact1_2!$D$22:$P$41,10,0),"")</f>
        <v>11.332973000000001</v>
      </c>
      <c r="O11" s="7688" t="s">
        <v>1195</v>
      </c>
      <c r="P11" s="7748">
        <v>95.965290503395494</v>
      </c>
      <c r="Q11" s="7749">
        <v>98.792623438429501</v>
      </c>
      <c r="R11" s="7750">
        <v>99.36650874957887</v>
      </c>
      <c r="S11" s="7751">
        <v>97.926674260057112</v>
      </c>
      <c r="T11" s="7689">
        <v>2023</v>
      </c>
      <c r="U11" s="8">
        <f>IFERROR(VLOOKUP(TRIM(O11),Fact1_2!$D$22:$P$41,10,0),"")</f>
        <v>5.2121729999999999</v>
      </c>
    </row>
    <row r="12" spans="1:21">
      <c r="A12" s="7590" t="s">
        <v>1197</v>
      </c>
      <c r="B12" s="7752">
        <v>94.234618547237588</v>
      </c>
      <c r="C12" s="7753">
        <v>95.069769049320243</v>
      </c>
      <c r="D12" s="7754">
        <v>98.409699876762076</v>
      </c>
      <c r="E12" s="7755">
        <v>94.777928896024434</v>
      </c>
      <c r="F12" s="7591">
        <v>2023</v>
      </c>
      <c r="G12" s="8">
        <f>IFERROR(VLOOKUP(TRIM(A12),Fact1_2!$D$22:$P$41,10,0),"")</f>
        <v>18.190484000000001</v>
      </c>
      <c r="H12" s="7640" t="s">
        <v>1197</v>
      </c>
      <c r="I12" s="7752">
        <v>96.851023723105342</v>
      </c>
      <c r="J12" s="7753">
        <v>98.205971858320027</v>
      </c>
      <c r="K12" s="7754">
        <v>98.249843537938574</v>
      </c>
      <c r="L12" s="7755">
        <v>97.732490407368587</v>
      </c>
      <c r="M12" s="7641">
        <v>2023</v>
      </c>
      <c r="N12" s="8">
        <f>IFERROR(VLOOKUP(TRIM(H12),Fact1_2!$D$22:$P$41,10,0),"")</f>
        <v>18.190484000000001</v>
      </c>
      <c r="O12" s="7690" t="s">
        <v>1196</v>
      </c>
      <c r="P12" s="7752">
        <v>97.614084307863621</v>
      </c>
      <c r="Q12" s="7753">
        <v>98.844467159687667</v>
      </c>
      <c r="R12" s="7754">
        <v>98.155077832376307</v>
      </c>
      <c r="S12" s="7755">
        <v>98.468199732651556</v>
      </c>
      <c r="T12" s="7691">
        <v>2022</v>
      </c>
      <c r="U12" s="8">
        <f>IFERROR(VLOOKUP(TRIM(O12),Fact1_2!$D$22:$P$41,10,0),"")</f>
        <v>11.332973000000001</v>
      </c>
    </row>
    <row r="13" spans="1:21">
      <c r="A13" s="7592" t="s">
        <v>1204</v>
      </c>
      <c r="B13" s="7756">
        <v>97.507887195908751</v>
      </c>
      <c r="C13" s="7757">
        <v>96.675877111586146</v>
      </c>
      <c r="D13" s="7758">
        <v>98.878718862566473</v>
      </c>
      <c r="E13" s="7759">
        <v>97.143430643198556</v>
      </c>
      <c r="F13" s="7593">
        <v>2022</v>
      </c>
      <c r="G13" s="8">
        <f>IFERROR(VLOOKUP(TRIM(A13),Fact1_2!$D$22:$P$41,10,0),"")</f>
        <v>18.092026000000001</v>
      </c>
      <c r="H13" s="7642" t="s">
        <v>1204</v>
      </c>
      <c r="I13" s="7756">
        <v>98.597226600276997</v>
      </c>
      <c r="J13" s="7757">
        <v>98.808599164644718</v>
      </c>
      <c r="K13" s="7758">
        <v>99.434523242295441</v>
      </c>
      <c r="L13" s="7759">
        <v>98.689816963781666</v>
      </c>
      <c r="M13" s="7643">
        <v>2022</v>
      </c>
      <c r="N13" s="8">
        <f>IFERROR(VLOOKUP(TRIM(H13),Fact1_2!$D$22:$P$41,10,0),"")</f>
        <v>18.092026000000001</v>
      </c>
      <c r="O13" s="7692" t="s">
        <v>1197</v>
      </c>
      <c r="P13" s="7756">
        <v>59.212686484836077</v>
      </c>
      <c r="Q13" s="7757">
        <v>82.284952926359452</v>
      </c>
      <c r="R13" s="7758">
        <v>91.25036353636537</v>
      </c>
      <c r="S13" s="7759">
        <v>74.222437537355418</v>
      </c>
      <c r="T13" s="7693">
        <v>2023</v>
      </c>
      <c r="U13" s="8">
        <f>IFERROR(VLOOKUP(TRIM(O13),Fact1_2!$D$22:$P$41,10,0),"")</f>
        <v>18.190484000000001</v>
      </c>
    </row>
    <row r="14" spans="1:21">
      <c r="A14" s="7594" t="s">
        <v>1199</v>
      </c>
      <c r="B14" s="7760">
        <v>96.434118749276493</v>
      </c>
      <c r="C14" s="7761">
        <v>96.679902758705822</v>
      </c>
      <c r="D14" s="7762">
        <v>98.307042177646835</v>
      </c>
      <c r="E14" s="7763">
        <v>96.540965905140666</v>
      </c>
      <c r="F14" s="7595">
        <v>2023</v>
      </c>
      <c r="G14" s="8">
        <f>IFERROR(VLOOKUP(TRIM(A14),Fact1_2!$D$22:$P$41,10,0),"")</f>
        <v>10.593798</v>
      </c>
      <c r="H14" s="7644" t="s">
        <v>1199</v>
      </c>
      <c r="I14" s="7760">
        <v>98.739489808281746</v>
      </c>
      <c r="J14" s="7761">
        <v>99.732220991869852</v>
      </c>
      <c r="K14" s="7762">
        <v>98.608959264390009</v>
      </c>
      <c r="L14" s="7763">
        <v>99.169796791846352</v>
      </c>
      <c r="M14" s="7645">
        <v>2023</v>
      </c>
      <c r="N14" s="8">
        <f>IFERROR(VLOOKUP(TRIM(H14),Fact1_2!$D$22:$P$41,10,0),"")</f>
        <v>10.593798</v>
      </c>
      <c r="O14" s="7694" t="s">
        <v>1204</v>
      </c>
      <c r="P14" s="7760">
        <v>62.853428083864586</v>
      </c>
      <c r="Q14" s="7761">
        <v>76.719798561612606</v>
      </c>
      <c r="R14" s="7762">
        <v>89.690865082239029</v>
      </c>
      <c r="S14" s="7763">
        <v>68.9275005959027</v>
      </c>
      <c r="T14" s="7695">
        <v>2022</v>
      </c>
      <c r="U14" s="8">
        <f>IFERROR(VLOOKUP(TRIM(O14),Fact1_2!$D$22:$P$41,10,0),"")</f>
        <v>18.092026000000001</v>
      </c>
    </row>
    <row r="15" spans="1:21">
      <c r="A15" s="7596" t="s">
        <v>1205</v>
      </c>
      <c r="B15" s="7764">
        <v>97.820326303982156</v>
      </c>
      <c r="C15" s="7765">
        <v>99.213272222520573</v>
      </c>
      <c r="D15" s="7766">
        <v>99.519260752379651</v>
      </c>
      <c r="E15" s="7767">
        <v>98.767046782776021</v>
      </c>
      <c r="F15" s="7597">
        <v>2022</v>
      </c>
      <c r="G15" s="8">
        <f>IFERROR(VLOOKUP(TRIM(A15),Fact1_2!$D$22:$P$41,10,0),"")</f>
        <v>128.455567</v>
      </c>
      <c r="H15" s="7646" t="s">
        <v>1205</v>
      </c>
      <c r="I15" s="7764">
        <v>96.714204288448087</v>
      </c>
      <c r="J15" s="7765">
        <v>98.299674521881059</v>
      </c>
      <c r="K15" s="7766">
        <v>99.236202703675659</v>
      </c>
      <c r="L15" s="7767">
        <v>97.791774579248795</v>
      </c>
      <c r="M15" s="7647">
        <v>2022</v>
      </c>
      <c r="N15" s="8">
        <f>IFERROR(VLOOKUP(TRIM(H15),Fact1_2!$D$22:$P$41,10,0),"")</f>
        <v>128.455567</v>
      </c>
      <c r="O15" s="7696" t="s">
        <v>1199</v>
      </c>
      <c r="P15" s="7764">
        <v>78.027315666285503</v>
      </c>
      <c r="Q15" s="7765">
        <v>88.003370603756707</v>
      </c>
      <c r="R15" s="7766">
        <v>93.415649897784519</v>
      </c>
      <c r="S15" s="7767">
        <v>82.364103479652314</v>
      </c>
      <c r="T15" s="7697">
        <v>2023</v>
      </c>
      <c r="U15" s="8">
        <f>IFERROR(VLOOKUP(TRIM(O15),Fact1_2!$D$22:$P$41,10,0),"")</f>
        <v>10.593798</v>
      </c>
    </row>
    <row r="16" spans="1:21">
      <c r="A16" s="7598" t="s">
        <v>1200</v>
      </c>
      <c r="B16" s="7768">
        <v>92.387596681592939</v>
      </c>
      <c r="C16" s="7769">
        <v>97.524446682948621</v>
      </c>
      <c r="D16" s="7770">
        <v>99.792623978039032</v>
      </c>
      <c r="E16" s="7771">
        <v>95.450733277421406</v>
      </c>
      <c r="F16" s="7599">
        <v>2022</v>
      </c>
      <c r="G16" s="8">
        <f>IFERROR(VLOOKUP(TRIM(A16),Fact1_2!$D$22:$P$41,10,0),"")</f>
        <v>4.4680869999999997</v>
      </c>
      <c r="H16" s="7648" t="s">
        <v>1200</v>
      </c>
      <c r="I16" s="7768">
        <v>93.813781776835725</v>
      </c>
      <c r="J16" s="7769">
        <v>98.127892501116605</v>
      </c>
      <c r="K16" s="7770">
        <v>99.823021722265324</v>
      </c>
      <c r="L16" s="7771">
        <v>96.38631366593377</v>
      </c>
      <c r="M16" s="7649">
        <v>2022</v>
      </c>
      <c r="N16" s="8">
        <f>IFERROR(VLOOKUP(TRIM(H16),Fact1_2!$D$22:$P$41,10,0),"")</f>
        <v>4.4680869999999997</v>
      </c>
      <c r="O16" s="7698" t="s">
        <v>1205</v>
      </c>
      <c r="P16" s="7768">
        <v>88.95468939833971</v>
      </c>
      <c r="Q16" s="7769">
        <v>95.626956896330313</v>
      </c>
      <c r="R16" s="7770">
        <v>98.801414272114727</v>
      </c>
      <c r="S16" s="7771">
        <v>93.48958054384218</v>
      </c>
      <c r="T16" s="7699">
        <v>2022</v>
      </c>
      <c r="U16" s="8">
        <f>IFERROR(VLOOKUP(TRIM(O16),Fact1_2!$D$22:$P$41,10,0),"")</f>
        <v>128.455567</v>
      </c>
    </row>
    <row r="17" spans="1:28">
      <c r="A17" s="7600" t="s">
        <v>1201</v>
      </c>
      <c r="B17" s="7772">
        <v>84.058172908575585</v>
      </c>
      <c r="C17" s="7773">
        <v>85.395392256087774</v>
      </c>
      <c r="D17" s="7774">
        <v>92.030412465120122</v>
      </c>
      <c r="E17" s="7775">
        <v>84.970462778444087</v>
      </c>
      <c r="F17" s="7601">
        <v>2022</v>
      </c>
      <c r="G17" s="8">
        <f>IFERROR(VLOOKUP(TRIM(A17),Fact1_2!$D$22:$P$41,10,0),"")</f>
        <v>34.352719</v>
      </c>
      <c r="H17" s="7650" t="s">
        <v>1201</v>
      </c>
      <c r="I17" s="7772">
        <v>93.83968586434402</v>
      </c>
      <c r="J17" s="7773">
        <v>95.603500008935853</v>
      </c>
      <c r="K17" s="7774">
        <v>95.994067105504229</v>
      </c>
      <c r="L17" s="7775">
        <v>95.040599284820473</v>
      </c>
      <c r="M17" s="7651">
        <v>2022</v>
      </c>
      <c r="N17" s="8">
        <f>IFERROR(VLOOKUP(TRIM(H17),Fact1_2!$D$22:$P$41,10,0),"")</f>
        <v>34.352719</v>
      </c>
      <c r="O17" s="7700" t="s">
        <v>1200</v>
      </c>
      <c r="P17" s="7772">
        <v>71.248894566178635</v>
      </c>
      <c r="Q17" s="7773">
        <v>88.764504081574472</v>
      </c>
      <c r="R17" s="7774">
        <v>98.638348898967593</v>
      </c>
      <c r="S17" s="7775">
        <v>81.693564838950977</v>
      </c>
      <c r="T17" s="7701">
        <v>2022</v>
      </c>
      <c r="U17" s="8">
        <f>IFERROR(VLOOKUP(TRIM(O17),Fact1_2!$D$22:$P$41,10,0),"")</f>
        <v>4.4680869999999997</v>
      </c>
    </row>
    <row r="18" spans="1:28">
      <c r="A18" s="7602" t="s">
        <v>1202</v>
      </c>
      <c r="B18" s="7776">
        <v>99.122513378769824</v>
      </c>
      <c r="C18" s="7777">
        <v>99.396359717744147</v>
      </c>
      <c r="D18" s="7778">
        <v>99.680939319113747</v>
      </c>
      <c r="E18" s="7779">
        <v>99.288928577682057</v>
      </c>
      <c r="F18" s="7603">
        <v>2022</v>
      </c>
      <c r="G18" s="8">
        <f>IFERROR(VLOOKUP(TRIM(A18),Fact1_2!$D$22:$P$41,10,0),"")</f>
        <v>6.8615240000000002</v>
      </c>
      <c r="H18" s="7652" t="s">
        <v>1202</v>
      </c>
      <c r="I18" s="7776">
        <v>98.429807765265636</v>
      </c>
      <c r="J18" s="7777">
        <v>99.187174588905123</v>
      </c>
      <c r="K18" s="7778">
        <v>99.646093339739224</v>
      </c>
      <c r="L18" s="7779">
        <v>98.890056206335032</v>
      </c>
      <c r="M18" s="7653">
        <v>2022</v>
      </c>
      <c r="N18" s="8">
        <f>IFERROR(VLOOKUP(TRIM(H18),Fact1_2!$D$22:$P$41,10,0),"")</f>
        <v>6.8615240000000002</v>
      </c>
      <c r="O18" s="7702" t="s">
        <v>1201</v>
      </c>
      <c r="P18" s="7776">
        <v>49.10817268068994</v>
      </c>
      <c r="Q18" s="7777">
        <v>64.832432818720946</v>
      </c>
      <c r="R18" s="7778">
        <v>84.828600387135751</v>
      </c>
      <c r="S18" s="7779">
        <v>59.81421848757067</v>
      </c>
      <c r="T18" s="7703">
        <v>2022</v>
      </c>
      <c r="U18" s="8">
        <f>IFERROR(VLOOKUP(TRIM(O18),Fact1_2!$D$22:$P$41,10,0),"")</f>
        <v>34.352719</v>
      </c>
      <c r="Z18" s="7529" t="s">
        <v>1323</v>
      </c>
      <c r="AA18" t="s">
        <v>1321</v>
      </c>
      <c r="AB18" t="s">
        <v>1322</v>
      </c>
    </row>
    <row r="19" spans="1:28">
      <c r="A19" s="7604" t="s">
        <v>1206</v>
      </c>
      <c r="B19" s="7780">
        <v>83.186643519718345</v>
      </c>
      <c r="C19" s="7781">
        <v>85.193870921432008</v>
      </c>
      <c r="D19" s="7782">
        <v>91.530744330553432</v>
      </c>
      <c r="E19" s="7783">
        <v>84.346404608144496</v>
      </c>
      <c r="F19" s="7605">
        <v>2023</v>
      </c>
      <c r="G19" s="8">
        <f>IFERROR(VLOOKUP(TRIM(A19),Fact1_2!$D$22:$P$41,10,0),"")</f>
        <v>6.3649430000000002</v>
      </c>
      <c r="H19" s="7654" t="s">
        <v>1206</v>
      </c>
      <c r="I19" s="7780">
        <v>99.895811860513902</v>
      </c>
      <c r="J19" s="7781">
        <v>99.9647994757714</v>
      </c>
      <c r="K19" s="7782">
        <v>99.870206688695376</v>
      </c>
      <c r="L19" s="7783">
        <v>99.935672392355315</v>
      </c>
      <c r="M19" s="7655">
        <v>2023</v>
      </c>
      <c r="N19" s="8">
        <f>IFERROR(VLOOKUP(TRIM(H19),Fact1_2!$D$22:$P$41,10,0),"")</f>
        <v>6.3649430000000002</v>
      </c>
      <c r="O19" s="7704" t="s">
        <v>1202</v>
      </c>
      <c r="P19" s="7780">
        <v>82.800191029640828</v>
      </c>
      <c r="Q19" s="7781">
        <v>91.118564171716216</v>
      </c>
      <c r="R19" s="7782">
        <v>97.46210936190657</v>
      </c>
      <c r="S19" s="7783">
        <v>87.855229290329362</v>
      </c>
      <c r="T19" s="7705">
        <v>2022</v>
      </c>
      <c r="U19" s="8">
        <f>IFERROR(VLOOKUP(TRIM(O19),Fact1_2!$D$22:$P$41,10,0),"")</f>
        <v>6.8615240000000002</v>
      </c>
      <c r="Z19" s="7528" t="s">
        <v>42</v>
      </c>
      <c r="AA19" t="s">
        <v>911</v>
      </c>
    </row>
    <row r="20" spans="1:28">
      <c r="A20" s="7606" t="s">
        <v>1207</v>
      </c>
      <c r="B20" s="7784">
        <v>100</v>
      </c>
      <c r="C20" s="7785">
        <v>99.971989399064881</v>
      </c>
      <c r="D20" s="7786">
        <v>99.987579456244447</v>
      </c>
      <c r="E20" s="7787">
        <v>99.978968655207282</v>
      </c>
      <c r="F20" s="7607">
        <v>2022</v>
      </c>
      <c r="G20" s="8">
        <f>IFERROR(VLOOKUP(TRIM(A20),Fact1_2!$D$22:$P$41,10,0),"")</f>
        <v>3.4231090000000002</v>
      </c>
      <c r="H20" s="7656" t="s">
        <v>1207</v>
      </c>
      <c r="I20" s="7784">
        <v>98.967633022757525</v>
      </c>
      <c r="J20" s="7785">
        <v>99.603542263687487</v>
      </c>
      <c r="K20" s="7786">
        <v>99.814837000183218</v>
      </c>
      <c r="L20" s="7787">
        <v>99.445096056622845</v>
      </c>
      <c r="M20" s="7657">
        <v>2022</v>
      </c>
      <c r="N20" s="8">
        <f>IFERROR(VLOOKUP(TRIM(H20),Fact1_2!$D$22:$P$41,10,0),"")</f>
        <v>3.4231090000000002</v>
      </c>
      <c r="O20" s="7706" t="s">
        <v>1206</v>
      </c>
      <c r="P20" s="7784">
        <v>77.689440124477287</v>
      </c>
      <c r="Q20" s="7785">
        <v>81.865472446622576</v>
      </c>
      <c r="R20" s="7786">
        <v>91.138017536037481</v>
      </c>
      <c r="S20" s="7787">
        <v>80.102320591881792</v>
      </c>
      <c r="T20" s="7707">
        <v>2023</v>
      </c>
      <c r="U20" s="8">
        <f>IFERROR(VLOOKUP(TRIM(O20),Fact1_2!$D$22:$P$41,10,0),"")</f>
        <v>6.3649430000000002</v>
      </c>
      <c r="Z20" s="7528" t="s">
        <v>46</v>
      </c>
      <c r="AB20" t="s">
        <v>911</v>
      </c>
    </row>
    <row r="21" spans="1:28">
      <c r="A21" s="7608" t="s">
        <v>1203</v>
      </c>
      <c r="B21" s="7788">
        <v>94.370405934537089</v>
      </c>
      <c r="C21" s="7789">
        <v>96.088343304079999</v>
      </c>
      <c r="D21" s="7790">
        <v>96.256420145255916</v>
      </c>
      <c r="E21" s="7791">
        <v>94.798206327390318</v>
      </c>
      <c r="F21" s="7609">
        <v>2021</v>
      </c>
      <c r="G21" s="8">
        <f>IFERROR(VLOOKUP(TRIM(A21),Fact1_2!$D$22:$P$41,10,0),"")</f>
        <v>28.838498999999999</v>
      </c>
      <c r="H21" s="7658" t="s">
        <v>1203</v>
      </c>
      <c r="I21" s="7788">
        <v>98.798253262547178</v>
      </c>
      <c r="J21" s="7789">
        <v>98.726707097925797</v>
      </c>
      <c r="K21" s="7790">
        <v>98.931452004224113</v>
      </c>
      <c r="L21" s="7791">
        <v>98.7804368520803</v>
      </c>
      <c r="M21" s="7659">
        <v>2021</v>
      </c>
      <c r="N21" s="8">
        <f>IFERROR(VLOOKUP(TRIM(H21),Fact1_2!$D$22:$P$41,10,0),"")</f>
        <v>28.838498999999999</v>
      </c>
      <c r="O21" s="7708" t="s">
        <v>1207</v>
      </c>
      <c r="P21" s="7788">
        <v>79.573418173554529</v>
      </c>
      <c r="Q21" s="7789">
        <v>88.308806102001682</v>
      </c>
      <c r="R21" s="7790">
        <v>97.661590393370062</v>
      </c>
      <c r="S21" s="7791">
        <v>86.132254802831142</v>
      </c>
      <c r="T21" s="7709">
        <v>2022</v>
      </c>
      <c r="U21" s="8">
        <f>IFERROR(VLOOKUP(TRIM(O21),Fact1_2!$D$22:$P$41,10,0),"")</f>
        <v>3.4231090000000002</v>
      </c>
      <c r="Z21" s="7528" t="s">
        <v>50</v>
      </c>
      <c r="AA21" t="s">
        <v>911</v>
      </c>
    </row>
    <row r="22" spans="1:28">
      <c r="A22" s="7727" t="s">
        <v>1341</v>
      </c>
      <c r="B22" s="8">
        <f>AVERAGE(B6:B21)</f>
        <v>93.602881127173688</v>
      </c>
      <c r="C22" s="8">
        <f t="shared" ref="C22:E22" si="0">AVERAGE(C6:C21)</f>
        <v>95.414660819381197</v>
      </c>
      <c r="D22" s="8">
        <f t="shared" si="0"/>
        <v>97.741877206215776</v>
      </c>
      <c r="E22" s="8">
        <f t="shared" si="0"/>
        <v>94.646110172562274</v>
      </c>
      <c r="G22" s="8"/>
      <c r="I22" s="8">
        <f t="shared" ref="I22:L22" si="1">AVERAGE(I6:I21)</f>
        <v>97.386960090574874</v>
      </c>
      <c r="J22" s="8">
        <f t="shared" si="1"/>
        <v>98.588203558355403</v>
      </c>
      <c r="K22" s="8">
        <f t="shared" si="1"/>
        <v>99.128915161369662</v>
      </c>
      <c r="L22" s="8">
        <f t="shared" si="1"/>
        <v>98.136801169867098</v>
      </c>
      <c r="N22" s="8"/>
      <c r="O22" s="7710" t="s">
        <v>1203</v>
      </c>
      <c r="P22" s="8">
        <v>95.646666050876831</v>
      </c>
      <c r="Q22" s="8">
        <v>96.106910645889926</v>
      </c>
      <c r="R22" s="8">
        <v>96.91940617024251</v>
      </c>
      <c r="S22" s="8">
        <v>95.761276060558131</v>
      </c>
      <c r="T22" s="7711">
        <v>2021</v>
      </c>
      <c r="U22" s="8">
        <f>IFERROR(VLOOKUP(TRIM(O22),Fact1_2!$D$22:$P$41,10,0),"")</f>
        <v>28.838498999999999</v>
      </c>
      <c r="Z22" s="7528" t="s">
        <v>44</v>
      </c>
      <c r="AB22" s="76" t="s">
        <v>911</v>
      </c>
    </row>
    <row r="23" spans="1:28">
      <c r="A23" s="7727" t="s">
        <v>1227</v>
      </c>
      <c r="B23" s="8">
        <f>SUMPRODUCT(B6:B21,$G$6:$G$21)/SUM($G$6:$G$21)</f>
        <v>93.783341991512728</v>
      </c>
      <c r="C23" s="8">
        <f t="shared" ref="C23:E23" si="2">SUMPRODUCT(C6:C21,$G$6:$G$21)/SUM($G$6:$G$21)</f>
        <v>96.329323516758336</v>
      </c>
      <c r="D23" s="8">
        <f t="shared" si="2"/>
        <v>98.326909902942916</v>
      </c>
      <c r="E23" s="8">
        <f t="shared" si="2"/>
        <v>95.252059403366516</v>
      </c>
      <c r="G23" s="8"/>
      <c r="I23" s="8">
        <f>SUMPRODUCT(I6:I21,$G$6:$G$21)/SUM($G$6:$G$21)</f>
        <v>93.516731456270236</v>
      </c>
      <c r="J23" s="8">
        <f t="shared" ref="J23:L23" si="3">SUMPRODUCT(J6:J21,$G$6:$G$21)/SUM($G$6:$G$21)</f>
        <v>96.909212570106277</v>
      </c>
      <c r="K23" s="8">
        <f t="shared" si="3"/>
        <v>98.929678654298527</v>
      </c>
      <c r="L23" s="8">
        <f t="shared" si="3"/>
        <v>95.665150636548304</v>
      </c>
      <c r="P23" s="8">
        <f t="shared" ref="P23:S23" si="4">AVERAGE(P7:P22)</f>
        <v>79.699961935227321</v>
      </c>
      <c r="Q23" s="8">
        <f t="shared" si="4"/>
        <v>88.329518001729824</v>
      </c>
      <c r="R23" s="8">
        <f t="shared" si="4"/>
        <v>95.502660373595447</v>
      </c>
      <c r="S23" s="8">
        <f t="shared" si="4"/>
        <v>84.887593636199185</v>
      </c>
      <c r="U23" s="8"/>
    </row>
    <row r="24" spans="1:28">
      <c r="B24" s="8"/>
      <c r="C24" s="8"/>
      <c r="D24" s="8"/>
      <c r="E24" s="8"/>
      <c r="G24" s="8"/>
      <c r="P24" s="8">
        <f>SUMPRODUCT(P7:P22,$G$6:$G$21)/SUM($G$6:$G$21)</f>
        <v>86.991223525096913</v>
      </c>
      <c r="Q24" s="8">
        <f t="shared" ref="Q24:S24" si="5">SUMPRODUCT(Q7:Q22,$G$6:$G$21)/SUM($G$6:$G$21)</f>
        <v>93.113440951368943</v>
      </c>
      <c r="R24" s="8">
        <f t="shared" si="5"/>
        <v>97.368457681478972</v>
      </c>
      <c r="S24" s="8">
        <f t="shared" si="5"/>
        <v>90.740002215550902</v>
      </c>
    </row>
    <row r="25" spans="1:28">
      <c r="B25" s="8"/>
      <c r="C25" s="8"/>
      <c r="D25" s="8"/>
      <c r="E25" s="8"/>
      <c r="U25" s="7728"/>
      <c r="V25" s="7729"/>
      <c r="W25" s="7730"/>
      <c r="X25" s="7731"/>
    </row>
    <row r="26" spans="1:28">
      <c r="U26" s="7732"/>
      <c r="V26" s="7733"/>
      <c r="W26" s="7734"/>
      <c r="X26" s="7735"/>
    </row>
    <row r="27" spans="1:28">
      <c r="U27" s="7736"/>
      <c r="V27" s="7737"/>
      <c r="W27" s="7738"/>
      <c r="X27" s="7739"/>
    </row>
    <row r="28" spans="1:28">
      <c r="R28" s="76" t="s">
        <v>1324</v>
      </c>
      <c r="U28" s="7740"/>
      <c r="V28" s="7741"/>
      <c r="W28" s="7742"/>
      <c r="X28" s="7743"/>
    </row>
    <row r="29" spans="1:28" ht="203">
      <c r="C29" s="7539" t="s">
        <v>1330</v>
      </c>
      <c r="U29" s="7744"/>
      <c r="V29" s="7745"/>
      <c r="W29" s="7746"/>
      <c r="X29" s="7747"/>
    </row>
    <row r="30" spans="1:28">
      <c r="U30" s="7748"/>
      <c r="V30" s="7749"/>
      <c r="W30" s="7750"/>
      <c r="X30" s="7751"/>
    </row>
    <row r="31" spans="1:28">
      <c r="U31" s="7752"/>
      <c r="V31" s="7753"/>
      <c r="W31" s="7754"/>
      <c r="X31" s="7755"/>
    </row>
    <row r="32" spans="1:28">
      <c r="U32" s="7756"/>
      <c r="V32" s="7757"/>
      <c r="W32" s="7758"/>
      <c r="X32" s="7759"/>
    </row>
    <row r="33" spans="21:24">
      <c r="U33" s="7760"/>
      <c r="V33" s="7761"/>
      <c r="W33" s="7762"/>
      <c r="X33" s="7763"/>
    </row>
    <row r="34" spans="21:24">
      <c r="U34" s="7764"/>
      <c r="V34" s="7765"/>
      <c r="W34" s="7766"/>
      <c r="X34" s="7767"/>
    </row>
    <row r="35" spans="21:24">
      <c r="U35" s="7768"/>
      <c r="V35" s="7769"/>
      <c r="W35" s="7770"/>
      <c r="X35" s="7771"/>
    </row>
    <row r="36" spans="21:24">
      <c r="U36" s="7772"/>
      <c r="V36" s="7773"/>
      <c r="W36" s="7774"/>
      <c r="X36" s="7775"/>
    </row>
    <row r="37" spans="21:24">
      <c r="U37" s="7776"/>
      <c r="V37" s="7777"/>
      <c r="W37" s="7778"/>
      <c r="X37" s="7779"/>
    </row>
    <row r="38" spans="21:24">
      <c r="U38" s="7780"/>
      <c r="V38" s="7781"/>
      <c r="W38" s="7782"/>
      <c r="X38" s="7783"/>
    </row>
    <row r="39" spans="21:24">
      <c r="U39" s="7784"/>
      <c r="V39" s="7785"/>
      <c r="W39" s="7786"/>
      <c r="X39" s="7787"/>
    </row>
    <row r="40" spans="21:24">
      <c r="U40" s="7788"/>
      <c r="V40" s="7789"/>
      <c r="W40" s="7790"/>
      <c r="X40" s="7791"/>
    </row>
    <row r="41" spans="21:24">
      <c r="U41" s="8"/>
      <c r="V41" s="8"/>
      <c r="W41" s="8"/>
      <c r="X41" s="8"/>
    </row>
    <row r="42" spans="21:24">
      <c r="U42" s="8"/>
      <c r="V42" s="8"/>
      <c r="W42" s="8"/>
      <c r="X42" s="8"/>
    </row>
    <row r="43" spans="21:24">
      <c r="U43" s="8"/>
      <c r="V43" s="8"/>
      <c r="W43" s="8"/>
      <c r="X43" s="8"/>
    </row>
    <row r="44" spans="21:24">
      <c r="U44" s="8"/>
      <c r="V44" s="8"/>
      <c r="W44" s="8"/>
      <c r="X44" s="8"/>
    </row>
    <row r="49" spans="1:9">
      <c r="A49" t="s">
        <v>1340</v>
      </c>
      <c r="I49" s="76" t="s">
        <v>46</v>
      </c>
    </row>
    <row r="69" spans="1:9">
      <c r="I69" t="s">
        <v>23</v>
      </c>
    </row>
    <row r="70" spans="1:9">
      <c r="A70" t="s">
        <v>1339</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E650B-C0C9-4367-87EF-5D28683DF051}">
  <sheetPr>
    <tabColor rgb="FFEAEAEA"/>
  </sheetPr>
  <dimension ref="A1:O22"/>
  <sheetViews>
    <sheetView workbookViewId="0">
      <selection activeCell="H14" sqref="H14"/>
    </sheetView>
  </sheetViews>
  <sheetFormatPr defaultRowHeight="14.5"/>
  <cols>
    <col min="2" max="14" width="10.54296875" customWidth="1"/>
  </cols>
  <sheetData>
    <row r="1" spans="1:15">
      <c r="A1" s="278"/>
      <c r="B1" s="2536" t="s">
        <v>1211</v>
      </c>
      <c r="C1" s="2537" t="s">
        <v>1211</v>
      </c>
      <c r="D1" s="2538" t="s">
        <v>1211</v>
      </c>
      <c r="E1" s="279" t="s">
        <v>1186</v>
      </c>
      <c r="F1" s="371"/>
      <c r="G1" s="2540" t="s">
        <v>1212</v>
      </c>
      <c r="H1" s="2541" t="s">
        <v>1212</v>
      </c>
      <c r="I1" s="2542" t="s">
        <v>1212</v>
      </c>
      <c r="J1" s="372" t="s">
        <v>1186</v>
      </c>
      <c r="K1" s="464"/>
      <c r="L1" s="2532" t="s">
        <v>1214</v>
      </c>
      <c r="M1" s="2533" t="s">
        <v>1214</v>
      </c>
      <c r="N1" s="2534" t="s">
        <v>1214</v>
      </c>
      <c r="O1" s="465" t="s">
        <v>1186</v>
      </c>
    </row>
    <row r="2" spans="1:15">
      <c r="A2" s="280"/>
      <c r="B2" s="563" t="s">
        <v>1187</v>
      </c>
      <c r="C2" s="563" t="s">
        <v>1187</v>
      </c>
      <c r="D2" s="563" t="s">
        <v>1187</v>
      </c>
      <c r="F2" s="373"/>
      <c r="G2" s="564" t="s">
        <v>1213</v>
      </c>
      <c r="H2" s="564" t="s">
        <v>1213</v>
      </c>
      <c r="I2" s="564" t="s">
        <v>1213</v>
      </c>
      <c r="K2" s="466"/>
      <c r="L2" s="562" t="s">
        <v>1213</v>
      </c>
      <c r="M2" s="562" t="s">
        <v>1213</v>
      </c>
      <c r="N2" s="562" t="s">
        <v>1213</v>
      </c>
    </row>
    <row r="3" spans="1:15">
      <c r="A3" s="281"/>
      <c r="B3" s="2539" t="s">
        <v>1045</v>
      </c>
      <c r="C3" s="2539" t="s">
        <v>1045</v>
      </c>
      <c r="D3" s="2539" t="s">
        <v>1045</v>
      </c>
      <c r="F3" s="374"/>
      <c r="G3" s="2543" t="s">
        <v>1045</v>
      </c>
      <c r="H3" s="2543" t="s">
        <v>1045</v>
      </c>
      <c r="I3" s="2543" t="s">
        <v>1045</v>
      </c>
      <c r="K3" s="467"/>
      <c r="L3" s="2535" t="s">
        <v>1045</v>
      </c>
      <c r="M3" s="2535" t="s">
        <v>1045</v>
      </c>
      <c r="N3" s="2535" t="s">
        <v>1045</v>
      </c>
    </row>
    <row r="4" spans="1:15">
      <c r="A4" s="282"/>
      <c r="B4" s="283" t="s">
        <v>1187</v>
      </c>
      <c r="C4" s="284" t="s">
        <v>1188</v>
      </c>
      <c r="D4" s="285" t="s">
        <v>1189</v>
      </c>
      <c r="F4" s="375"/>
      <c r="G4" s="376" t="s">
        <v>1187</v>
      </c>
      <c r="H4" s="377" t="s">
        <v>1188</v>
      </c>
      <c r="I4" s="378" t="s">
        <v>1189</v>
      </c>
      <c r="K4" s="468"/>
      <c r="L4" s="469" t="s">
        <v>1187</v>
      </c>
      <c r="M4" s="470" t="s">
        <v>1188</v>
      </c>
      <c r="N4" s="471" t="s">
        <v>1189</v>
      </c>
    </row>
    <row r="5" spans="1:15">
      <c r="A5" s="286" t="s">
        <v>1125</v>
      </c>
      <c r="B5" s="287"/>
      <c r="C5" s="288"/>
      <c r="D5" s="289"/>
      <c r="E5" s="290"/>
      <c r="F5" s="379" t="s">
        <v>1125</v>
      </c>
      <c r="G5" s="380"/>
      <c r="H5" s="381"/>
      <c r="I5" s="382"/>
      <c r="J5" s="383"/>
      <c r="K5" s="472" t="s">
        <v>1125</v>
      </c>
      <c r="L5" s="473"/>
      <c r="M5" s="474"/>
      <c r="N5" s="475"/>
      <c r="O5" s="476"/>
    </row>
    <row r="6" spans="1:15">
      <c r="A6" s="291" t="s">
        <v>1191</v>
      </c>
      <c r="B6" s="292">
        <v>6.8075163926686129</v>
      </c>
      <c r="C6" s="293">
        <v>11.393854976423297</v>
      </c>
      <c r="D6" s="294">
        <v>81.798628630908084</v>
      </c>
      <c r="E6" s="295">
        <v>2022</v>
      </c>
      <c r="F6" s="384" t="s">
        <v>1190</v>
      </c>
      <c r="G6" s="385">
        <v>5.7728476753643871</v>
      </c>
      <c r="H6" s="386">
        <v>9.0861736348133988</v>
      </c>
      <c r="I6" s="387">
        <v>85.140978689822205</v>
      </c>
      <c r="J6" s="388">
        <v>2022</v>
      </c>
      <c r="K6" s="477" t="s">
        <v>1190</v>
      </c>
      <c r="L6" s="478">
        <v>5.7148295235572544</v>
      </c>
      <c r="M6" s="479">
        <v>9.0552547689051952</v>
      </c>
      <c r="N6" s="480">
        <v>85.229915707537558</v>
      </c>
      <c r="O6" s="481">
        <v>2022</v>
      </c>
    </row>
    <row r="7" spans="1:15">
      <c r="A7" s="296" t="s">
        <v>1192</v>
      </c>
      <c r="B7" s="297">
        <v>9.3912577865608906</v>
      </c>
      <c r="C7" s="298">
        <v>14.573258204433101</v>
      </c>
      <c r="D7" s="299">
        <v>76.035484009005998</v>
      </c>
      <c r="E7" s="300">
        <v>2019</v>
      </c>
      <c r="F7" s="389" t="s">
        <v>1191</v>
      </c>
      <c r="G7" s="390">
        <v>6.0557008402307204</v>
      </c>
      <c r="H7" s="391">
        <v>11.059794519408339</v>
      </c>
      <c r="I7" s="392">
        <v>82.884504640360944</v>
      </c>
      <c r="J7" s="393">
        <v>2022</v>
      </c>
      <c r="K7" s="482" t="s">
        <v>1191</v>
      </c>
      <c r="L7" s="483">
        <v>4.4361428599308992</v>
      </c>
      <c r="M7" s="484">
        <v>9.2504263527207176</v>
      </c>
      <c r="N7" s="485">
        <v>86.313430787348395</v>
      </c>
      <c r="O7" s="486">
        <v>2022</v>
      </c>
    </row>
    <row r="8" spans="1:15">
      <c r="A8" s="301" t="s">
        <v>1193</v>
      </c>
      <c r="B8" s="302">
        <v>3.1222095062925574</v>
      </c>
      <c r="C8" s="303">
        <v>9.5260853021600962</v>
      </c>
      <c r="D8" s="304">
        <v>87.351705191547353</v>
      </c>
      <c r="E8" s="305">
        <v>2017</v>
      </c>
      <c r="F8" s="394" t="s">
        <v>1192</v>
      </c>
      <c r="G8" s="395">
        <v>9.5983225999682382</v>
      </c>
      <c r="H8" s="396">
        <v>14.589265071240559</v>
      </c>
      <c r="I8" s="397">
        <v>75.812412328791197</v>
      </c>
      <c r="J8" s="398">
        <v>2019</v>
      </c>
      <c r="K8" s="487" t="s">
        <v>1192</v>
      </c>
      <c r="L8" s="488">
        <v>9.4593414395368214</v>
      </c>
      <c r="M8" s="489">
        <v>14.611847332333214</v>
      </c>
      <c r="N8" s="490">
        <v>75.928811228129973</v>
      </c>
      <c r="O8" s="491">
        <v>2019</v>
      </c>
    </row>
    <row r="9" spans="1:15">
      <c r="A9" s="306" t="s">
        <v>1194</v>
      </c>
      <c r="B9" s="307">
        <v>14.118617113733462</v>
      </c>
      <c r="C9" s="308">
        <v>17.327990272717038</v>
      </c>
      <c r="D9" s="309">
        <v>68.553392613549505</v>
      </c>
      <c r="E9" s="310">
        <v>2022</v>
      </c>
      <c r="F9" s="399" t="s">
        <v>1193</v>
      </c>
      <c r="G9" s="400">
        <v>3.2131275637050032</v>
      </c>
      <c r="H9" s="401">
        <v>9.7044517219680824</v>
      </c>
      <c r="I9" s="402">
        <v>87.082420714326915</v>
      </c>
      <c r="J9" s="403">
        <v>2017</v>
      </c>
      <c r="K9" s="492" t="s">
        <v>1193</v>
      </c>
      <c r="L9" s="493">
        <v>3.2070173640220974</v>
      </c>
      <c r="M9" s="494">
        <v>9.6988566066109261</v>
      </c>
      <c r="N9" s="495">
        <v>87.094126029366976</v>
      </c>
      <c r="O9" s="496">
        <v>2017</v>
      </c>
    </row>
    <row r="10" spans="1:15">
      <c r="A10" s="311" t="s">
        <v>1195</v>
      </c>
      <c r="B10" s="312">
        <v>5.1602864418463961</v>
      </c>
      <c r="C10" s="313">
        <v>11.771578103237243</v>
      </c>
      <c r="D10" s="314">
        <v>83.068135454916359</v>
      </c>
      <c r="E10" s="315">
        <v>2023</v>
      </c>
      <c r="F10" s="404" t="s">
        <v>1195</v>
      </c>
      <c r="G10" s="405">
        <v>5.1899687507025467</v>
      </c>
      <c r="H10" s="406">
        <v>11.774746520986488</v>
      </c>
      <c r="I10" s="407">
        <v>83.03528472831097</v>
      </c>
      <c r="J10" s="408">
        <v>2023</v>
      </c>
      <c r="K10" s="497" t="s">
        <v>1194</v>
      </c>
      <c r="L10" s="498">
        <v>14.680429437885275</v>
      </c>
      <c r="M10" s="499">
        <v>17.685417443601775</v>
      </c>
      <c r="N10" s="500">
        <v>67.634153118512955</v>
      </c>
      <c r="O10" s="501">
        <v>2022</v>
      </c>
    </row>
    <row r="11" spans="1:15">
      <c r="A11" s="316" t="s">
        <v>1196</v>
      </c>
      <c r="B11" s="317">
        <v>7.034510405102461</v>
      </c>
      <c r="C11" s="318">
        <v>16.424655848887131</v>
      </c>
      <c r="D11" s="319">
        <v>76.540833746010406</v>
      </c>
      <c r="E11" s="320">
        <v>2022</v>
      </c>
      <c r="F11" s="409" t="s">
        <v>1196</v>
      </c>
      <c r="G11" s="410">
        <v>7.282115070756376</v>
      </c>
      <c r="H11" s="411">
        <v>16.536118540566289</v>
      </c>
      <c r="I11" s="412">
        <v>76.181766388677346</v>
      </c>
      <c r="J11" s="413">
        <v>2022</v>
      </c>
      <c r="K11" s="502" t="s">
        <v>1195</v>
      </c>
      <c r="L11" s="503">
        <v>5.0343561286572127</v>
      </c>
      <c r="M11" s="504">
        <v>11.738819908967994</v>
      </c>
      <c r="N11" s="505">
        <v>83.226823962374795</v>
      </c>
      <c r="O11" s="506">
        <v>2023</v>
      </c>
    </row>
    <row r="12" spans="1:15">
      <c r="A12" s="321" t="s">
        <v>1197</v>
      </c>
      <c r="B12" s="322">
        <v>10.891935589039749</v>
      </c>
      <c r="C12" s="323">
        <v>20.456906445100596</v>
      </c>
      <c r="D12" s="324">
        <v>68.651157965859653</v>
      </c>
      <c r="E12" s="325">
        <v>2023</v>
      </c>
      <c r="F12" s="414" t="s">
        <v>1197</v>
      </c>
      <c r="G12" s="415">
        <v>11.098266183971253</v>
      </c>
      <c r="H12" s="416">
        <v>20.950372621755069</v>
      </c>
      <c r="I12" s="417">
        <v>67.951361194273673</v>
      </c>
      <c r="J12" s="418">
        <v>2023</v>
      </c>
      <c r="K12" s="507" t="s">
        <v>1196</v>
      </c>
      <c r="L12" s="508">
        <v>7.2503602986287632</v>
      </c>
      <c r="M12" s="509">
        <v>16.665540763929947</v>
      </c>
      <c r="N12" s="510">
        <v>76.084098937441297</v>
      </c>
      <c r="O12" s="511">
        <v>2022</v>
      </c>
    </row>
    <row r="13" spans="1:15">
      <c r="A13" s="326" t="s">
        <v>1204</v>
      </c>
      <c r="B13" s="327">
        <v>27.223237050797078</v>
      </c>
      <c r="C13" s="328">
        <v>21.03936174748079</v>
      </c>
      <c r="D13" s="329">
        <v>51.737401201722136</v>
      </c>
      <c r="E13" s="330">
        <v>2022</v>
      </c>
      <c r="F13" s="419" t="s">
        <v>1204</v>
      </c>
      <c r="G13" s="420">
        <v>27.238884949962479</v>
      </c>
      <c r="H13" s="421">
        <v>21.278146260643119</v>
      </c>
      <c r="I13" s="422">
        <v>51.482968789394398</v>
      </c>
      <c r="J13" s="423">
        <v>2022</v>
      </c>
      <c r="K13" s="512" t="s">
        <v>1197</v>
      </c>
      <c r="L13" s="513">
        <v>7.7590404217604743</v>
      </c>
      <c r="M13" s="514">
        <v>20.073199760022892</v>
      </c>
      <c r="N13" s="515">
        <v>72.167759818216638</v>
      </c>
      <c r="O13" s="516">
        <v>2023</v>
      </c>
    </row>
    <row r="14" spans="1:15">
      <c r="A14" s="331" t="s">
        <v>1199</v>
      </c>
      <c r="B14" s="332">
        <v>30.722509035615854</v>
      </c>
      <c r="C14" s="333">
        <v>23.686869989819826</v>
      </c>
      <c r="D14" s="334">
        <v>45.590620974564324</v>
      </c>
      <c r="E14" s="335">
        <v>2023</v>
      </c>
      <c r="F14" s="424" t="s">
        <v>1199</v>
      </c>
      <c r="G14" s="425">
        <v>31.496358009964769</v>
      </c>
      <c r="H14" s="426">
        <v>24.339931142916374</v>
      </c>
      <c r="I14" s="427">
        <v>44.163710847118857</v>
      </c>
      <c r="J14" s="428">
        <v>2023</v>
      </c>
      <c r="K14" s="517" t="s">
        <v>1204</v>
      </c>
      <c r="L14" s="518">
        <v>21.61773188049261</v>
      </c>
      <c r="M14" s="519">
        <v>20.568519450141679</v>
      </c>
      <c r="N14" s="520">
        <v>57.813748669365715</v>
      </c>
      <c r="O14" s="521">
        <v>2022</v>
      </c>
    </row>
    <row r="15" spans="1:15">
      <c r="A15" s="336" t="s">
        <v>1205</v>
      </c>
      <c r="B15" s="337">
        <v>8.4865686293838625</v>
      </c>
      <c r="C15" s="338">
        <v>18.261659442432403</v>
      </c>
      <c r="D15" s="339">
        <v>73.251771928183729</v>
      </c>
      <c r="E15" s="340">
        <v>2022</v>
      </c>
      <c r="F15" s="429" t="s">
        <v>1205</v>
      </c>
      <c r="G15" s="430">
        <v>8.4304365194448447</v>
      </c>
      <c r="H15" s="431">
        <v>18.179390758571532</v>
      </c>
      <c r="I15" s="432">
        <v>73.390172721983632</v>
      </c>
      <c r="J15" s="433">
        <v>2022</v>
      </c>
      <c r="K15" s="522" t="s">
        <v>1199</v>
      </c>
      <c r="L15" s="523">
        <v>27.699919958043839</v>
      </c>
      <c r="M15" s="524">
        <v>24.025733805201838</v>
      </c>
      <c r="N15" s="525">
        <v>48.274346236754326</v>
      </c>
      <c r="O15" s="526">
        <v>2023</v>
      </c>
    </row>
    <row r="16" spans="1:15">
      <c r="A16" s="341" t="s">
        <v>1200</v>
      </c>
      <c r="B16" s="342">
        <v>5.3134667674203824</v>
      </c>
      <c r="C16" s="343">
        <v>8.2850555114219837</v>
      </c>
      <c r="D16" s="344">
        <v>86.401477721157633</v>
      </c>
      <c r="E16" s="345">
        <v>2022</v>
      </c>
      <c r="F16" s="434" t="s">
        <v>1200</v>
      </c>
      <c r="G16" s="435">
        <v>5.3868927433479952</v>
      </c>
      <c r="H16" s="436">
        <v>8.3230362369130138</v>
      </c>
      <c r="I16" s="437">
        <v>86.290071019738988</v>
      </c>
      <c r="J16" s="438">
        <v>2022</v>
      </c>
      <c r="K16" s="527" t="s">
        <v>1205</v>
      </c>
      <c r="L16" s="528">
        <v>7.8712037100302972</v>
      </c>
      <c r="M16" s="529">
        <v>17.953061017729073</v>
      </c>
      <c r="N16" s="530">
        <v>74.17573527224063</v>
      </c>
      <c r="O16" s="531">
        <v>2022</v>
      </c>
    </row>
    <row r="17" spans="1:15">
      <c r="A17" s="346" t="s">
        <v>1201</v>
      </c>
      <c r="B17" s="347">
        <v>7.181468021447718</v>
      </c>
      <c r="C17" s="348">
        <v>19.020824315009392</v>
      </c>
      <c r="D17" s="349">
        <v>73.797707663542894</v>
      </c>
      <c r="E17" s="350">
        <v>2022</v>
      </c>
      <c r="F17" s="439" t="s">
        <v>1201</v>
      </c>
      <c r="G17" s="440">
        <v>10.636724207200695</v>
      </c>
      <c r="H17" s="441">
        <v>23.119318943654317</v>
      </c>
      <c r="I17" s="442">
        <v>66.243956849144993</v>
      </c>
      <c r="J17" s="443">
        <v>2022</v>
      </c>
      <c r="K17" s="532" t="s">
        <v>1200</v>
      </c>
      <c r="L17" s="533">
        <v>4.2226840420363256</v>
      </c>
      <c r="M17" s="534">
        <v>7.7708301442253296</v>
      </c>
      <c r="N17" s="535">
        <v>88.006485813738351</v>
      </c>
      <c r="O17" s="536">
        <v>2022</v>
      </c>
    </row>
    <row r="18" spans="1:15">
      <c r="A18" s="351" t="s">
        <v>1202</v>
      </c>
      <c r="B18" s="352">
        <v>11.134792950198948</v>
      </c>
      <c r="C18" s="353">
        <v>17.29589831215505</v>
      </c>
      <c r="D18" s="354">
        <v>71.569308737645997</v>
      </c>
      <c r="E18" s="355">
        <v>2022</v>
      </c>
      <c r="F18" s="444" t="s">
        <v>1202</v>
      </c>
      <c r="G18" s="445">
        <v>11.072395252543155</v>
      </c>
      <c r="H18" s="446">
        <v>17.283562590907653</v>
      </c>
      <c r="I18" s="447">
        <v>71.64404215654919</v>
      </c>
      <c r="J18" s="448">
        <v>2022</v>
      </c>
      <c r="K18" s="537" t="s">
        <v>1201</v>
      </c>
      <c r="L18" s="538">
        <v>6.9769047272134355</v>
      </c>
      <c r="M18" s="539">
        <v>19.650844895777556</v>
      </c>
      <c r="N18" s="540">
        <v>73.37225037700901</v>
      </c>
      <c r="O18" s="541">
        <v>2022</v>
      </c>
    </row>
    <row r="19" spans="1:15">
      <c r="A19" s="356" t="s">
        <v>1206</v>
      </c>
      <c r="B19" s="357">
        <v>12.478542705438953</v>
      </c>
      <c r="C19" s="358">
        <v>18.529342590892607</v>
      </c>
      <c r="D19" s="359">
        <v>68.992114703668435</v>
      </c>
      <c r="E19" s="360">
        <v>2023</v>
      </c>
      <c r="F19" s="449" t="s">
        <v>1206</v>
      </c>
      <c r="G19" s="450">
        <v>14.990078384147779</v>
      </c>
      <c r="H19" s="451">
        <v>20.52814996060215</v>
      </c>
      <c r="I19" s="452">
        <v>64.481771655250071</v>
      </c>
      <c r="J19" s="453">
        <v>2023</v>
      </c>
      <c r="K19" s="542" t="s">
        <v>1202</v>
      </c>
      <c r="L19" s="543">
        <v>9.7771029443619053</v>
      </c>
      <c r="M19" s="544">
        <v>16.666657882823177</v>
      </c>
      <c r="N19" s="545">
        <v>73.556239172814912</v>
      </c>
      <c r="O19" s="546">
        <v>2022</v>
      </c>
    </row>
    <row r="20" spans="1:15">
      <c r="A20" s="361" t="s">
        <v>1207</v>
      </c>
      <c r="B20" s="362">
        <v>2.4472579873740146</v>
      </c>
      <c r="C20" s="363">
        <v>7.3725206050176615</v>
      </c>
      <c r="D20" s="364">
        <v>90.180221407608329</v>
      </c>
      <c r="E20" s="365">
        <v>2022</v>
      </c>
      <c r="F20" s="454" t="s">
        <v>1207</v>
      </c>
      <c r="G20" s="455">
        <v>2.4270472663175839</v>
      </c>
      <c r="H20" s="456">
        <v>7.3606766593447892</v>
      </c>
      <c r="I20" s="457">
        <v>90.212276074337623</v>
      </c>
      <c r="J20" s="458">
        <v>2022</v>
      </c>
      <c r="K20" s="547" t="s">
        <v>1206</v>
      </c>
      <c r="L20" s="548">
        <v>13.351793072206094</v>
      </c>
      <c r="M20" s="549">
        <v>19.25415498022933</v>
      </c>
      <c r="N20" s="550">
        <v>67.394051947564577</v>
      </c>
      <c r="O20" s="551">
        <v>2023</v>
      </c>
    </row>
    <row r="21" spans="1:15">
      <c r="A21" s="366" t="s">
        <v>1203</v>
      </c>
      <c r="B21" s="367">
        <v>49.78408698416191</v>
      </c>
      <c r="C21" s="368">
        <v>16.808570712272665</v>
      </c>
      <c r="D21" s="369">
        <v>33.407342303565422</v>
      </c>
      <c r="E21" s="370">
        <v>2021</v>
      </c>
      <c r="F21" s="459" t="s">
        <v>1203</v>
      </c>
      <c r="G21" s="460">
        <v>50.247816602815931</v>
      </c>
      <c r="H21" s="461">
        <v>16.649758444177742</v>
      </c>
      <c r="I21" s="462">
        <v>33.10242495300632</v>
      </c>
      <c r="J21" s="463">
        <v>2021</v>
      </c>
      <c r="K21" s="552" t="s">
        <v>1207</v>
      </c>
      <c r="L21" s="553">
        <v>2.0171155683532334</v>
      </c>
      <c r="M21" s="554">
        <v>6.7456637076379806</v>
      </c>
      <c r="N21" s="555">
        <v>91.237220724008779</v>
      </c>
      <c r="O21" s="556">
        <v>2022</v>
      </c>
    </row>
    <row r="22" spans="1:15">
      <c r="K22" s="557" t="s">
        <v>1203</v>
      </c>
      <c r="L22" s="558">
        <v>50.004015221054146</v>
      </c>
      <c r="M22" s="559">
        <v>16.660767951400331</v>
      </c>
      <c r="N22" s="560">
        <v>33.33521682754553</v>
      </c>
      <c r="O22" s="561">
        <v>2021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87B41-360E-4231-9A82-D0A34D4C4C93}">
  <sheetPr>
    <tabColor rgb="FF023E80"/>
  </sheetPr>
  <dimension ref="A1:X254"/>
  <sheetViews>
    <sheetView zoomScale="50" zoomScaleNormal="50" workbookViewId="0">
      <selection activeCell="A89" sqref="A89"/>
    </sheetView>
  </sheetViews>
  <sheetFormatPr defaultRowHeight="14.5"/>
  <cols>
    <col min="2" max="6" width="8.7265625" style="8"/>
    <col min="7" max="7" width="11.54296875" style="8" customWidth="1"/>
    <col min="8" max="8" width="11.54296875" customWidth="1"/>
    <col min="11" max="15" width="8.7265625" style="8"/>
    <col min="18" max="18" width="22" customWidth="1"/>
    <col min="19" max="19" width="41.81640625" bestFit="1" customWidth="1"/>
    <col min="21" max="21" width="11.453125" customWidth="1"/>
    <col min="23" max="23" width="11.36328125" customWidth="1"/>
    <col min="24" max="24" width="12.26953125" customWidth="1"/>
  </cols>
  <sheetData>
    <row r="1" spans="1:23">
      <c r="A1" s="7826"/>
      <c r="B1" s="9307" t="s">
        <v>1215</v>
      </c>
      <c r="C1" s="9308" t="s">
        <v>1215</v>
      </c>
      <c r="D1" s="9309" t="s">
        <v>1215</v>
      </c>
      <c r="E1" s="7827" t="s">
        <v>1003</v>
      </c>
      <c r="F1" s="7828" t="s">
        <v>1186</v>
      </c>
      <c r="G1" s="7829" t="s">
        <v>1257</v>
      </c>
      <c r="H1" s="2660"/>
    </row>
    <row r="2" spans="1:23">
      <c r="A2" s="7830"/>
      <c r="B2" s="9310" t="s">
        <v>1187</v>
      </c>
      <c r="C2" s="9310" t="s">
        <v>1187</v>
      </c>
      <c r="D2" s="9310" t="s">
        <v>1187</v>
      </c>
      <c r="E2" s="7831" t="s">
        <v>1187</v>
      </c>
      <c r="G2" s="7832" t="s">
        <v>1187</v>
      </c>
      <c r="H2" s="2661"/>
    </row>
    <row r="3" spans="1:23">
      <c r="A3" s="7833"/>
      <c r="B3" s="9311" t="s">
        <v>1045</v>
      </c>
      <c r="C3" s="9311" t="s">
        <v>1045</v>
      </c>
      <c r="D3" s="9311" t="s">
        <v>1045</v>
      </c>
      <c r="E3" s="7834" t="s">
        <v>1215</v>
      </c>
    </row>
    <row r="4" spans="1:23" ht="15" thickBot="1">
      <c r="A4" s="7835"/>
      <c r="B4" s="7836" t="s">
        <v>1187</v>
      </c>
      <c r="C4" s="7837" t="s">
        <v>1188</v>
      </c>
      <c r="D4" s="7838" t="s">
        <v>1189</v>
      </c>
      <c r="E4" s="7839" t="s">
        <v>1187</v>
      </c>
      <c r="J4" s="972" t="str">
        <f>E3</f>
        <v>El hogar posee refrigerador o heladera</v>
      </c>
      <c r="K4" s="2649"/>
      <c r="L4" s="85"/>
      <c r="M4" s="85"/>
      <c r="N4" s="85"/>
      <c r="O4" s="85"/>
    </row>
    <row r="5" spans="1:23" ht="15" thickTop="1">
      <c r="A5" s="7840" t="s">
        <v>1125</v>
      </c>
      <c r="B5" s="7841"/>
      <c r="C5" s="7842"/>
      <c r="D5" s="7843"/>
      <c r="E5" s="7844"/>
      <c r="F5" s="7845"/>
      <c r="G5" s="7846"/>
      <c r="H5" s="2662"/>
      <c r="J5" s="213" t="s">
        <v>904</v>
      </c>
      <c r="K5" s="216" t="s">
        <v>938</v>
      </c>
      <c r="L5" s="2650" t="s">
        <v>1141</v>
      </c>
      <c r="M5" s="2650" t="s">
        <v>1142</v>
      </c>
      <c r="N5" s="2650" t="s">
        <v>1102</v>
      </c>
      <c r="O5" s="2651" t="s">
        <v>1152</v>
      </c>
      <c r="R5" s="2652"/>
      <c r="S5" s="2652"/>
      <c r="T5" s="2653" t="s">
        <v>1141</v>
      </c>
      <c r="U5" s="2653" t="s">
        <v>1142</v>
      </c>
      <c r="V5" s="2653" t="s">
        <v>1102</v>
      </c>
      <c r="W5" s="2653" t="s">
        <v>1152</v>
      </c>
    </row>
    <row r="6" spans="1:23">
      <c r="A6" s="7847" t="s">
        <v>1191</v>
      </c>
      <c r="B6" s="7848">
        <v>30.858042213911201</v>
      </c>
      <c r="C6" s="7849">
        <v>42.884801196731821</v>
      </c>
      <c r="D6" s="7850">
        <v>71.89428660504899</v>
      </c>
      <c r="E6" s="7851">
        <v>38.398853062922285</v>
      </c>
      <c r="F6" s="7852">
        <v>2022</v>
      </c>
      <c r="G6" s="7853">
        <v>12388571</v>
      </c>
      <c r="H6" s="2663"/>
      <c r="J6" s="8" t="str">
        <f>A6</f>
        <v xml:space="preserve">  BOL</v>
      </c>
      <c r="K6" s="8">
        <f>F6*1</f>
        <v>2022</v>
      </c>
      <c r="L6" s="8">
        <f>B6</f>
        <v>30.858042213911201</v>
      </c>
      <c r="M6" s="8">
        <f t="shared" ref="M6:O20" si="0">C6</f>
        <v>42.884801196731821</v>
      </c>
      <c r="N6" s="8">
        <f t="shared" si="0"/>
        <v>71.89428660504899</v>
      </c>
      <c r="O6" s="8">
        <f t="shared" si="0"/>
        <v>38.398853062922285</v>
      </c>
      <c r="P6" s="8">
        <f>L6-N6</f>
        <v>-41.036244391137785</v>
      </c>
      <c r="R6" s="2656" t="s">
        <v>1269</v>
      </c>
      <c r="S6" s="2655" t="s">
        <v>1221</v>
      </c>
      <c r="T6" s="2653">
        <f>L162</f>
        <v>43.50245517589353</v>
      </c>
      <c r="U6" s="2653">
        <f>M162</f>
        <v>55.917269601287025</v>
      </c>
      <c r="V6" s="2653">
        <f>N162</f>
        <v>72.636658415541888</v>
      </c>
      <c r="W6" s="2653">
        <f>O162</f>
        <v>51.434694068611641</v>
      </c>
    </row>
    <row r="7" spans="1:23">
      <c r="A7" s="7854" t="s">
        <v>1192</v>
      </c>
      <c r="B7" s="7855">
        <v>93.410463047536069</v>
      </c>
      <c r="C7" s="7856">
        <v>97.864726441930145</v>
      </c>
      <c r="D7" s="7857">
        <v>98.897593565686208</v>
      </c>
      <c r="E7" s="7858">
        <v>96.090691108507656</v>
      </c>
      <c r="F7" s="7859">
        <v>2019</v>
      </c>
      <c r="G7" s="7860">
        <v>216422446</v>
      </c>
      <c r="H7" s="2664"/>
      <c r="J7" s="8" t="str">
        <f t="shared" ref="J7:J20" si="1">A7</f>
        <v xml:space="preserve">  BRA</v>
      </c>
      <c r="K7" s="8">
        <f t="shared" ref="K7:K20" si="2">F7*1</f>
        <v>2019</v>
      </c>
      <c r="L7" s="8">
        <f t="shared" ref="L7:L20" si="3">B7</f>
        <v>93.410463047536069</v>
      </c>
      <c r="M7" s="8">
        <f t="shared" si="0"/>
        <v>97.864726441930145</v>
      </c>
      <c r="N7" s="8">
        <f t="shared" si="0"/>
        <v>98.897593565686208</v>
      </c>
      <c r="O7" s="8">
        <f t="shared" si="0"/>
        <v>96.090691108507656</v>
      </c>
      <c r="P7" s="8">
        <f t="shared" ref="P7:P70" si="4">L7-N7</f>
        <v>-5.4871305181501384</v>
      </c>
      <c r="R7" s="2656" t="s">
        <v>1268</v>
      </c>
      <c r="S7" s="2655" t="s">
        <v>1220</v>
      </c>
      <c r="T7" s="2653">
        <f>L138</f>
        <v>96.00994519011725</v>
      </c>
      <c r="U7" s="2653">
        <f>M138</f>
        <v>98.151461059153661</v>
      </c>
      <c r="V7" s="2653">
        <f>N138</f>
        <v>99.312219699347779</v>
      </c>
      <c r="W7" s="2653">
        <f>O138</f>
        <v>97.286089228227311</v>
      </c>
    </row>
    <row r="8" spans="1:23">
      <c r="A8" s="7861" t="s">
        <v>1193</v>
      </c>
      <c r="B8" s="7862">
        <v>87.625625079201058</v>
      </c>
      <c r="C8" s="7863">
        <v>92.030470560753088</v>
      </c>
      <c r="D8" s="7864">
        <v>96.149758799130666</v>
      </c>
      <c r="E8" s="7865">
        <v>90.913025039164268</v>
      </c>
      <c r="F8" s="7866">
        <v>2013</v>
      </c>
      <c r="G8" s="7867">
        <v>19629590</v>
      </c>
      <c r="H8" s="2665"/>
      <c r="J8" s="8" t="str">
        <f t="shared" si="1"/>
        <v xml:space="preserve">  CHL</v>
      </c>
      <c r="K8" s="8">
        <f t="shared" si="2"/>
        <v>2013</v>
      </c>
      <c r="L8" s="8">
        <f t="shared" si="3"/>
        <v>87.625625079201058</v>
      </c>
      <c r="M8" s="8">
        <f t="shared" si="0"/>
        <v>92.030470560753088</v>
      </c>
      <c r="N8" s="8">
        <f t="shared" si="0"/>
        <v>96.149758799130666</v>
      </c>
      <c r="O8" s="8">
        <f t="shared" si="0"/>
        <v>90.913025039164268</v>
      </c>
      <c r="P8" s="8">
        <f t="shared" si="4"/>
        <v>-8.5241337199296083</v>
      </c>
      <c r="R8" s="2656" t="s">
        <v>1270</v>
      </c>
      <c r="S8" s="2655" t="s">
        <v>1222</v>
      </c>
      <c r="T8" s="2653">
        <f>L185</f>
        <v>77.412781664237997</v>
      </c>
      <c r="U8" s="2653">
        <f>M185</f>
        <v>83.625363095829897</v>
      </c>
      <c r="V8" s="2653">
        <f>N185</f>
        <v>90.591947001924851</v>
      </c>
      <c r="W8" s="2653">
        <f>O185</f>
        <v>81.304156865242902</v>
      </c>
    </row>
    <row r="9" spans="1:23">
      <c r="A9" s="7868" t="s">
        <v>1194</v>
      </c>
      <c r="B9" s="7869">
        <v>65.833504585071211</v>
      </c>
      <c r="C9" s="7870">
        <v>80.140758405531557</v>
      </c>
      <c r="D9" s="7871">
        <v>89.486705996858504</v>
      </c>
      <c r="E9" s="7872">
        <v>73.710394329673079</v>
      </c>
      <c r="F9" s="7873">
        <v>2021</v>
      </c>
      <c r="G9" s="7874">
        <v>52085168</v>
      </c>
      <c r="H9" s="2666"/>
      <c r="J9" s="8" t="str">
        <f t="shared" si="1"/>
        <v xml:space="preserve">  COL</v>
      </c>
      <c r="K9" s="8">
        <f t="shared" si="2"/>
        <v>2021</v>
      </c>
      <c r="L9" s="8">
        <f t="shared" si="3"/>
        <v>65.833504585071211</v>
      </c>
      <c r="M9" s="8">
        <f t="shared" si="0"/>
        <v>80.140758405531557</v>
      </c>
      <c r="N9" s="8">
        <f t="shared" si="0"/>
        <v>89.486705996858504</v>
      </c>
      <c r="O9" s="8">
        <f t="shared" si="0"/>
        <v>73.710394329673079</v>
      </c>
      <c r="P9" s="8">
        <f t="shared" si="4"/>
        <v>-23.653201411787293</v>
      </c>
      <c r="R9" s="2656" t="s">
        <v>1267</v>
      </c>
      <c r="S9" s="2655" t="s">
        <v>1219</v>
      </c>
      <c r="T9" s="2653">
        <f>L115</f>
        <v>39.390530488349249</v>
      </c>
      <c r="U9" s="2653">
        <f>M115</f>
        <v>53.173459667196177</v>
      </c>
      <c r="V9" s="2653">
        <f>N115</f>
        <v>70.475257582719962</v>
      </c>
      <c r="W9" s="2653">
        <f>O115</f>
        <v>47.984527792494902</v>
      </c>
    </row>
    <row r="10" spans="1:23">
      <c r="A10" s="7875" t="s">
        <v>1195</v>
      </c>
      <c r="B10" s="7876">
        <v>86.981782903956017</v>
      </c>
      <c r="C10" s="7877">
        <v>93.726115407495541</v>
      </c>
      <c r="D10" s="7878">
        <v>96.149699187864627</v>
      </c>
      <c r="E10" s="7879">
        <v>91.660476402713812</v>
      </c>
      <c r="F10" s="7880">
        <v>2023</v>
      </c>
      <c r="G10" s="7881">
        <v>5212173</v>
      </c>
      <c r="H10" s="2667"/>
      <c r="J10" s="8" t="str">
        <f t="shared" si="1"/>
        <v xml:space="preserve">  CRI</v>
      </c>
      <c r="K10" s="8">
        <f t="shared" si="2"/>
        <v>2023</v>
      </c>
      <c r="L10" s="8">
        <f t="shared" si="3"/>
        <v>86.981782903956017</v>
      </c>
      <c r="M10" s="8">
        <f t="shared" si="0"/>
        <v>93.726115407495541</v>
      </c>
      <c r="N10" s="8">
        <f t="shared" si="0"/>
        <v>96.149699187864627</v>
      </c>
      <c r="O10" s="8">
        <f t="shared" si="0"/>
        <v>91.660476402713812</v>
      </c>
      <c r="P10" s="8">
        <f>L10-N10</f>
        <v>-9.1679162839086104</v>
      </c>
      <c r="R10" s="2656" t="s">
        <v>1266</v>
      </c>
      <c r="S10" s="2655" t="s">
        <v>1256</v>
      </c>
      <c r="T10" s="2653">
        <f>L253</f>
        <v>84.531553577532279</v>
      </c>
      <c r="U10" s="2653">
        <f>M253</f>
        <v>91.681032014416829</v>
      </c>
      <c r="V10" s="2653">
        <f>N253</f>
        <v>94.310674567057092</v>
      </c>
      <c r="W10" s="2653">
        <f>O253</f>
        <v>94.310674567057092</v>
      </c>
    </row>
    <row r="11" spans="1:23">
      <c r="A11" s="7882" t="s">
        <v>1196</v>
      </c>
      <c r="B11" s="7883">
        <v>82.29473702285668</v>
      </c>
      <c r="C11" s="7884">
        <v>90.370256111557097</v>
      </c>
      <c r="D11" s="7885">
        <v>90.760027917669191</v>
      </c>
      <c r="E11" s="7886">
        <v>87.900655056095601</v>
      </c>
      <c r="F11" s="7887">
        <v>2022</v>
      </c>
      <c r="G11" s="7888">
        <v>11332973</v>
      </c>
      <c r="H11" s="2668"/>
      <c r="J11" s="8" t="str">
        <f t="shared" si="1"/>
        <v xml:space="preserve">  DOM</v>
      </c>
      <c r="K11" s="8">
        <f t="shared" si="2"/>
        <v>2022</v>
      </c>
      <c r="L11" s="8">
        <f t="shared" si="3"/>
        <v>82.29473702285668</v>
      </c>
      <c r="M11" s="8">
        <f t="shared" si="0"/>
        <v>90.370256111557097</v>
      </c>
      <c r="N11" s="8">
        <f t="shared" si="0"/>
        <v>90.760027917669191</v>
      </c>
      <c r="O11" s="8">
        <f t="shared" si="0"/>
        <v>87.900655056095601</v>
      </c>
      <c r="P11" s="8">
        <f t="shared" si="4"/>
        <v>-8.4652908948125116</v>
      </c>
      <c r="R11" s="2656" t="s">
        <v>1264</v>
      </c>
      <c r="S11" s="2655" t="s">
        <v>1217</v>
      </c>
      <c r="T11" s="2653">
        <f>L69</f>
        <v>8.1690778521089964</v>
      </c>
      <c r="U11" s="2653">
        <f>M69</f>
        <v>13.983665108709257</v>
      </c>
      <c r="V11" s="2653">
        <f>N69</f>
        <v>31.832375915375142</v>
      </c>
      <c r="W11" s="2653">
        <f>O69</f>
        <v>11.62991649014312</v>
      </c>
    </row>
    <row r="12" spans="1:23">
      <c r="A12" s="7889" t="s">
        <v>1197</v>
      </c>
      <c r="B12" s="7890">
        <v>57.602066753801637</v>
      </c>
      <c r="C12" s="7891">
        <v>75.317732295297958</v>
      </c>
      <c r="D12" s="7892">
        <v>88.26759591772128</v>
      </c>
      <c r="E12" s="7893">
        <v>69.011470009914689</v>
      </c>
      <c r="F12" s="7894">
        <v>2017</v>
      </c>
      <c r="G12" s="7895">
        <v>18190484</v>
      </c>
      <c r="H12" s="2669"/>
      <c r="J12" s="8" t="str">
        <f t="shared" si="1"/>
        <v xml:space="preserve">  ECU</v>
      </c>
      <c r="K12" s="8">
        <f t="shared" si="2"/>
        <v>2017</v>
      </c>
      <c r="L12" s="8">
        <f t="shared" si="3"/>
        <v>57.602066753801637</v>
      </c>
      <c r="M12" s="8">
        <f t="shared" si="0"/>
        <v>75.317732295297958</v>
      </c>
      <c r="N12" s="8">
        <f t="shared" si="0"/>
        <v>88.26759591772128</v>
      </c>
      <c r="O12" s="8">
        <f t="shared" si="0"/>
        <v>69.011470009914689</v>
      </c>
      <c r="P12" s="8">
        <f t="shared" si="4"/>
        <v>-30.665529163919643</v>
      </c>
      <c r="R12" s="2656" t="s">
        <v>1265</v>
      </c>
      <c r="S12" s="2655" t="s">
        <v>1218</v>
      </c>
      <c r="T12" s="2653">
        <f>L92</f>
        <v>10.297206355528902</v>
      </c>
      <c r="U12" s="2653">
        <f>M92</f>
        <v>18.381523288760288</v>
      </c>
      <c r="V12" s="2653">
        <f>N92</f>
        <v>42.521164147850783</v>
      </c>
      <c r="W12" s="2653">
        <f>O92</f>
        <v>15.255471220761345</v>
      </c>
    </row>
    <row r="13" spans="1:23">
      <c r="A13" s="7896" t="s">
        <v>1204</v>
      </c>
      <c r="B13" s="7897">
        <v>7.5304072487392428</v>
      </c>
      <c r="C13" s="7898">
        <v>22.539345133664103</v>
      </c>
      <c r="D13" s="7899">
        <v>58.03112435270905</v>
      </c>
      <c r="E13" s="7900">
        <v>14.379431350977386</v>
      </c>
      <c r="F13" s="7901">
        <v>2006</v>
      </c>
      <c r="G13" s="7902">
        <v>18092026</v>
      </c>
      <c r="H13" s="2670"/>
      <c r="J13" s="8" t="str">
        <f t="shared" si="1"/>
        <v xml:space="preserve">  GTM</v>
      </c>
      <c r="K13" s="8">
        <f t="shared" si="2"/>
        <v>2006</v>
      </c>
      <c r="L13" s="8">
        <f t="shared" si="3"/>
        <v>7.5304072487392428</v>
      </c>
      <c r="M13" s="8">
        <f t="shared" si="0"/>
        <v>22.539345133664103</v>
      </c>
      <c r="N13" s="8">
        <f t="shared" si="0"/>
        <v>58.03112435270905</v>
      </c>
      <c r="O13" s="8">
        <f t="shared" si="0"/>
        <v>14.379431350977386</v>
      </c>
      <c r="P13" s="8">
        <f t="shared" si="4"/>
        <v>-50.500717103969805</v>
      </c>
      <c r="R13" s="2654" t="s">
        <v>1262</v>
      </c>
      <c r="S13" s="2655" t="s">
        <v>1215</v>
      </c>
      <c r="T13" s="2653">
        <f>L22</f>
        <v>73.890638657938609</v>
      </c>
      <c r="U13" s="2653">
        <f>M22</f>
        <v>83.52925679015452</v>
      </c>
      <c r="V13" s="2653">
        <f>N22</f>
        <v>91.327175850132804</v>
      </c>
      <c r="W13" s="2653">
        <f>O22</f>
        <v>79.882452190912659</v>
      </c>
    </row>
    <row r="14" spans="1:23">
      <c r="A14" s="7903" t="s">
        <v>1199</v>
      </c>
      <c r="B14" s="7904">
        <v>56.451705355836637</v>
      </c>
      <c r="C14" s="7905">
        <v>72.833447609536165</v>
      </c>
      <c r="D14" s="7906">
        <v>87.024235513409238</v>
      </c>
      <c r="E14" s="7907">
        <v>63.551194679116385</v>
      </c>
      <c r="F14" s="7908">
        <v>2023</v>
      </c>
      <c r="G14" s="7909">
        <v>10593798</v>
      </c>
      <c r="H14" s="2671"/>
      <c r="J14" s="8" t="str">
        <f t="shared" si="1"/>
        <v xml:space="preserve">  HND</v>
      </c>
      <c r="K14" s="8">
        <f t="shared" si="2"/>
        <v>2023</v>
      </c>
      <c r="L14" s="8">
        <f t="shared" si="3"/>
        <v>56.451705355836637</v>
      </c>
      <c r="M14" s="8">
        <f t="shared" si="0"/>
        <v>72.833447609536165</v>
      </c>
      <c r="N14" s="8">
        <f t="shared" si="0"/>
        <v>87.024235513409238</v>
      </c>
      <c r="O14" s="8">
        <f t="shared" si="0"/>
        <v>63.551194679116385</v>
      </c>
      <c r="P14" s="8">
        <f t="shared" si="4"/>
        <v>-30.572530157572601</v>
      </c>
      <c r="R14" s="2656" t="s">
        <v>1263</v>
      </c>
      <c r="S14" s="2655" t="s">
        <v>1216</v>
      </c>
      <c r="T14" s="2653">
        <f>L45</f>
        <v>21.493073178792699</v>
      </c>
      <c r="U14" s="2653">
        <f>M45</f>
        <v>28.799190179295401</v>
      </c>
      <c r="V14" s="2653">
        <f>N45</f>
        <v>46.843745621777252</v>
      </c>
      <c r="W14" s="2653">
        <f>O45</f>
        <v>26.011085881819955</v>
      </c>
    </row>
    <row r="15" spans="1:23">
      <c r="A15" s="7910" t="s">
        <v>1205</v>
      </c>
      <c r="B15" s="7911">
        <v>68.323243856761124</v>
      </c>
      <c r="C15" s="7912">
        <v>84.128520078544369</v>
      </c>
      <c r="D15" s="7913">
        <v>93.304595340699649</v>
      </c>
      <c r="E15" s="7914">
        <v>79.065354137579902</v>
      </c>
      <c r="F15" s="7915">
        <v>2022</v>
      </c>
      <c r="G15" s="7916">
        <v>128455567</v>
      </c>
      <c r="H15" s="2672"/>
      <c r="J15" s="8" t="str">
        <f t="shared" si="1"/>
        <v xml:space="preserve">  MEX</v>
      </c>
      <c r="K15" s="8">
        <f t="shared" si="2"/>
        <v>2022</v>
      </c>
      <c r="L15" s="8">
        <f t="shared" si="3"/>
        <v>68.323243856761124</v>
      </c>
      <c r="M15" s="8">
        <f t="shared" si="0"/>
        <v>84.128520078544369</v>
      </c>
      <c r="N15" s="8">
        <f t="shared" si="0"/>
        <v>93.304595340699649</v>
      </c>
      <c r="O15" s="8">
        <f t="shared" si="0"/>
        <v>79.065354137579902</v>
      </c>
      <c r="P15" s="8">
        <f t="shared" si="4"/>
        <v>-24.981351483938525</v>
      </c>
    </row>
    <row r="16" spans="1:23">
      <c r="A16" s="7917" t="s">
        <v>1201</v>
      </c>
      <c r="B16" s="7918">
        <v>23.345637686009709</v>
      </c>
      <c r="C16" s="7919">
        <v>37.7676955481028</v>
      </c>
      <c r="D16" s="7920">
        <v>62.374930844316822</v>
      </c>
      <c r="E16" s="7921">
        <v>33.184784356092592</v>
      </c>
      <c r="F16" s="7922">
        <v>2022</v>
      </c>
      <c r="G16" s="7923">
        <v>34352719</v>
      </c>
      <c r="H16" s="2673"/>
      <c r="J16" s="8" t="str">
        <f t="shared" si="1"/>
        <v xml:space="preserve">  PER</v>
      </c>
      <c r="K16" s="8">
        <f t="shared" si="2"/>
        <v>2022</v>
      </c>
      <c r="L16" s="8">
        <f t="shared" si="3"/>
        <v>23.345637686009709</v>
      </c>
      <c r="M16" s="8">
        <f t="shared" si="0"/>
        <v>37.7676955481028</v>
      </c>
      <c r="N16" s="8">
        <f t="shared" si="0"/>
        <v>62.374930844316822</v>
      </c>
      <c r="O16" s="8">
        <f t="shared" si="0"/>
        <v>33.184784356092592</v>
      </c>
      <c r="P16" s="8">
        <f t="shared" si="4"/>
        <v>-39.029293158307112</v>
      </c>
    </row>
    <row r="17" spans="1:23">
      <c r="A17" s="7924" t="s">
        <v>1202</v>
      </c>
      <c r="B17" s="7925">
        <v>81.90752915656843</v>
      </c>
      <c r="C17" s="7926">
        <v>89.151762946571353</v>
      </c>
      <c r="D17" s="7927">
        <v>95.783217505949665</v>
      </c>
      <c r="E17" s="7928">
        <v>86.309817723380789</v>
      </c>
      <c r="F17" s="7929">
        <v>2022</v>
      </c>
      <c r="G17" s="7930">
        <v>6861524</v>
      </c>
      <c r="H17" s="2674"/>
      <c r="J17" s="8" t="str">
        <f t="shared" si="1"/>
        <v xml:space="preserve">  PRY</v>
      </c>
      <c r="K17" s="8">
        <f t="shared" si="2"/>
        <v>2022</v>
      </c>
      <c r="L17" s="8">
        <f t="shared" si="3"/>
        <v>81.90752915656843</v>
      </c>
      <c r="M17" s="8">
        <f t="shared" si="0"/>
        <v>89.151762946571353</v>
      </c>
      <c r="N17" s="8">
        <f t="shared" si="0"/>
        <v>95.783217505949665</v>
      </c>
      <c r="O17" s="8">
        <f t="shared" si="0"/>
        <v>86.309817723380789</v>
      </c>
      <c r="P17" s="8">
        <f t="shared" si="4"/>
        <v>-13.875688349381235</v>
      </c>
    </row>
    <row r="18" spans="1:23">
      <c r="A18" s="7931" t="s">
        <v>1206</v>
      </c>
      <c r="B18" s="7932">
        <v>73.830005613306156</v>
      </c>
      <c r="C18" s="7933">
        <v>75.471163153113423</v>
      </c>
      <c r="D18" s="7934">
        <v>84.318244281366688</v>
      </c>
      <c r="E18" s="7935">
        <v>74.778254253704688</v>
      </c>
      <c r="F18" s="7936">
        <v>2023</v>
      </c>
      <c r="G18" s="7937">
        <v>6364943</v>
      </c>
      <c r="H18" s="2675"/>
      <c r="J18" s="8" t="str">
        <f t="shared" si="1"/>
        <v xml:space="preserve">  SLV</v>
      </c>
      <c r="K18" s="8">
        <f t="shared" si="2"/>
        <v>2023</v>
      </c>
      <c r="L18" s="8">
        <f t="shared" si="3"/>
        <v>73.830005613306156</v>
      </c>
      <c r="M18" s="8">
        <f t="shared" si="0"/>
        <v>75.471163153113423</v>
      </c>
      <c r="N18" s="8">
        <f t="shared" si="0"/>
        <v>84.318244281366688</v>
      </c>
      <c r="O18" s="8">
        <f t="shared" si="0"/>
        <v>74.778254253704688</v>
      </c>
      <c r="P18" s="8">
        <f t="shared" si="4"/>
        <v>-10.488238668060532</v>
      </c>
    </row>
    <row r="19" spans="1:23">
      <c r="A19" s="7938" t="s">
        <v>1207</v>
      </c>
      <c r="B19" s="7939">
        <v>91.491088530337947</v>
      </c>
      <c r="C19" s="7940">
        <v>96.788476869707608</v>
      </c>
      <c r="D19" s="7941">
        <v>99.176015841919067</v>
      </c>
      <c r="E19" s="7942">
        <v>95.468554095045505</v>
      </c>
      <c r="F19" s="7943">
        <v>2022</v>
      </c>
      <c r="G19" s="7944">
        <v>3423109</v>
      </c>
      <c r="H19" s="2676"/>
      <c r="J19" s="8" t="str">
        <f t="shared" si="1"/>
        <v xml:space="preserve">  URY</v>
      </c>
      <c r="K19" s="8">
        <f t="shared" si="2"/>
        <v>2022</v>
      </c>
      <c r="L19" s="8">
        <f t="shared" si="3"/>
        <v>91.491088530337947</v>
      </c>
      <c r="M19" s="8">
        <f t="shared" si="0"/>
        <v>96.788476869707608</v>
      </c>
      <c r="N19" s="8">
        <f t="shared" si="0"/>
        <v>99.176015841919067</v>
      </c>
      <c r="O19" s="8">
        <f t="shared" si="0"/>
        <v>95.468554095045505</v>
      </c>
      <c r="P19" s="8">
        <f t="shared" si="4"/>
        <v>-7.6849273115811201</v>
      </c>
      <c r="R19" s="2657" t="s">
        <v>1272</v>
      </c>
      <c r="S19" s="2658" t="s">
        <v>1255</v>
      </c>
      <c r="T19" s="2659">
        <f>L231</f>
        <v>84.262167683837049</v>
      </c>
      <c r="U19" s="2659">
        <f>M231</f>
        <v>89.720951663676374</v>
      </c>
      <c r="V19" s="2659">
        <f>N231</f>
        <v>94.72096960245598</v>
      </c>
      <c r="W19" s="2659">
        <f>O231</f>
        <v>87.700029426785093</v>
      </c>
    </row>
    <row r="20" spans="1:23">
      <c r="A20" s="7945" t="s">
        <v>1203</v>
      </c>
      <c r="B20" s="7946">
        <v>84.759296044390652</v>
      </c>
      <c r="C20" s="7947">
        <v>87.289427720565115</v>
      </c>
      <c r="D20" s="7948">
        <v>91.889071744079246</v>
      </c>
      <c r="E20" s="7949">
        <v>85.389348888124886</v>
      </c>
      <c r="F20" s="7950">
        <v>2021</v>
      </c>
      <c r="G20" s="7951">
        <v>28838499</v>
      </c>
      <c r="H20" s="2677"/>
      <c r="J20" s="2648" t="str">
        <f t="shared" si="1"/>
        <v xml:space="preserve">  VEN</v>
      </c>
      <c r="K20" s="2648">
        <f t="shared" si="2"/>
        <v>2021</v>
      </c>
      <c r="L20" s="2648">
        <f t="shared" si="3"/>
        <v>84.759296044390652</v>
      </c>
      <c r="M20" s="2648">
        <f t="shared" si="0"/>
        <v>87.289427720565115</v>
      </c>
      <c r="N20" s="2648">
        <f t="shared" si="0"/>
        <v>91.889071744079246</v>
      </c>
      <c r="O20" s="2648">
        <f t="shared" si="0"/>
        <v>85.389348888124886</v>
      </c>
      <c r="P20" s="8">
        <f t="shared" si="4"/>
        <v>-7.1297756996885937</v>
      </c>
      <c r="R20" s="2656" t="s">
        <v>1271</v>
      </c>
      <c r="S20" s="2655" t="s">
        <v>1223</v>
      </c>
      <c r="T20" s="2653">
        <f>L202</f>
        <v>81.550805665499183</v>
      </c>
      <c r="U20" s="2653">
        <f>M202</f>
        <v>84.300846778861711</v>
      </c>
      <c r="V20" s="2653">
        <f>N202</f>
        <v>89.878724851072718</v>
      </c>
      <c r="W20" s="2653">
        <f>O202</f>
        <v>83.24171924302199</v>
      </c>
    </row>
    <row r="21" spans="1:23">
      <c r="J21" s="3" t="s">
        <v>1261</v>
      </c>
      <c r="L21" s="8">
        <f>AVERAGE(L6:L20)</f>
        <v>66.149675673218923</v>
      </c>
      <c r="M21" s="8">
        <f t="shared" ref="M21:N21" si="5">AVERAGE(M6:M20)</f>
        <v>75.886979965273483</v>
      </c>
      <c r="N21" s="8">
        <f t="shared" si="5"/>
        <v>86.900473560961927</v>
      </c>
      <c r="O21" s="8">
        <f>AVERAGE(O6:O20)</f>
        <v>71.987486966200905</v>
      </c>
      <c r="P21" s="8">
        <f>L21-N21</f>
        <v>-20.750797887743005</v>
      </c>
    </row>
    <row r="22" spans="1:23" ht="15" thickBot="1">
      <c r="J22" s="212" t="s">
        <v>1145</v>
      </c>
      <c r="K22" s="85"/>
      <c r="L22" s="85">
        <f>SUMPRODUCT(B6:B20,$G6:$G20)/SUM($G6:$G20)</f>
        <v>73.890638657938609</v>
      </c>
      <c r="M22" s="85">
        <f>SUMPRODUCT(C6:C20,$G6:$G20)/SUM($G6:$G20)</f>
        <v>83.52925679015452</v>
      </c>
      <c r="N22" s="85">
        <f>SUMPRODUCT(D6:D20,$G6:$G20)/SUM($G6:$G20)</f>
        <v>91.327175850132804</v>
      </c>
      <c r="O22" s="85">
        <f>SUMPRODUCT(E6:E20,$G6:$G20)/SUM($G6:$G20)</f>
        <v>79.882452190912659</v>
      </c>
      <c r="P22" s="8">
        <f t="shared" si="4"/>
        <v>-17.436537192194194</v>
      </c>
    </row>
    <row r="23" spans="1:23" ht="15" thickTop="1">
      <c r="P23" s="8">
        <f t="shared" si="4"/>
        <v>0</v>
      </c>
    </row>
    <row r="24" spans="1:23">
      <c r="A24" s="7952"/>
      <c r="B24" s="9312" t="s">
        <v>1216</v>
      </c>
      <c r="C24" s="9313" t="s">
        <v>1216</v>
      </c>
      <c r="D24" s="9314" t="s">
        <v>1216</v>
      </c>
      <c r="E24" s="7953" t="s">
        <v>1003</v>
      </c>
      <c r="F24" s="7954" t="s">
        <v>1186</v>
      </c>
      <c r="G24" s="7955" t="s">
        <v>1257</v>
      </c>
      <c r="H24" s="2678"/>
      <c r="P24" s="8">
        <f t="shared" si="4"/>
        <v>0</v>
      </c>
    </row>
    <row r="25" spans="1:23">
      <c r="A25" s="7956"/>
      <c r="B25" s="9315" t="s">
        <v>1187</v>
      </c>
      <c r="C25" s="9315" t="s">
        <v>1187</v>
      </c>
      <c r="D25" s="9315" t="s">
        <v>1187</v>
      </c>
      <c r="E25" s="7957" t="s">
        <v>1187</v>
      </c>
      <c r="G25" s="7958" t="s">
        <v>1187</v>
      </c>
      <c r="H25" s="2679"/>
      <c r="P25" s="8">
        <f t="shared" si="4"/>
        <v>0</v>
      </c>
    </row>
    <row r="26" spans="1:23">
      <c r="A26" s="7959"/>
      <c r="B26" s="9298" t="s">
        <v>1045</v>
      </c>
      <c r="C26" s="9298" t="s">
        <v>1045</v>
      </c>
      <c r="D26" s="9298" t="s">
        <v>1045</v>
      </c>
      <c r="E26" s="7960" t="s">
        <v>1216</v>
      </c>
      <c r="P26" s="8">
        <f t="shared" si="4"/>
        <v>0</v>
      </c>
    </row>
    <row r="27" spans="1:23" ht="15" thickBot="1">
      <c r="A27" s="7961"/>
      <c r="B27" s="7962" t="s">
        <v>1187</v>
      </c>
      <c r="C27" s="7963" t="s">
        <v>1188</v>
      </c>
      <c r="D27" s="7964" t="s">
        <v>1189</v>
      </c>
      <c r="E27" s="7965" t="s">
        <v>1187</v>
      </c>
      <c r="J27" s="972" t="str">
        <f>E26</f>
        <v>El hogar posee automovil particular</v>
      </c>
      <c r="K27" s="2649"/>
      <c r="L27" s="85"/>
      <c r="M27" s="85"/>
      <c r="N27" s="85"/>
      <c r="O27" s="85"/>
      <c r="P27" s="8">
        <f t="shared" si="4"/>
        <v>0</v>
      </c>
    </row>
    <row r="28" spans="1:23" ht="15" thickTop="1">
      <c r="A28" s="7966" t="s">
        <v>1125</v>
      </c>
      <c r="B28" s="7967"/>
      <c r="C28" s="7968"/>
      <c r="D28" s="7969"/>
      <c r="E28" s="7970"/>
      <c r="F28" s="7971"/>
      <c r="G28" s="7972"/>
      <c r="H28" s="2680"/>
      <c r="J28" s="213" t="s">
        <v>904</v>
      </c>
      <c r="K28" s="216" t="s">
        <v>938</v>
      </c>
      <c r="L28" s="2650" t="s">
        <v>1141</v>
      </c>
      <c r="M28" s="2650" t="s">
        <v>1142</v>
      </c>
      <c r="N28" s="2650" t="s">
        <v>1102</v>
      </c>
      <c r="O28" s="2651" t="s">
        <v>1152</v>
      </c>
      <c r="P28" s="8" t="e">
        <f t="shared" si="4"/>
        <v>#VALUE!</v>
      </c>
    </row>
    <row r="29" spans="1:23">
      <c r="A29" s="7973" t="s">
        <v>1191</v>
      </c>
      <c r="B29" s="7974">
        <v>9.7131991943830709</v>
      </c>
      <c r="C29" s="7975">
        <v>10.428573036108329</v>
      </c>
      <c r="D29" s="7976">
        <v>19.908150363241159</v>
      </c>
      <c r="E29" s="7977">
        <v>10.161740554069935</v>
      </c>
      <c r="F29" s="7978">
        <v>2022</v>
      </c>
      <c r="G29" s="7979">
        <v>12388571</v>
      </c>
      <c r="H29" s="2681"/>
      <c r="J29" s="8" t="str">
        <f>A29</f>
        <v xml:space="preserve">  BOL</v>
      </c>
      <c r="K29" s="8">
        <f>F29*1</f>
        <v>2022</v>
      </c>
      <c r="L29" s="8">
        <f>B29</f>
        <v>9.7131991943830709</v>
      </c>
      <c r="M29" s="8">
        <f t="shared" ref="M29:O43" si="6">C29</f>
        <v>10.428573036108329</v>
      </c>
      <c r="N29" s="8">
        <f t="shared" si="6"/>
        <v>19.908150363241159</v>
      </c>
      <c r="O29" s="8">
        <f t="shared" si="6"/>
        <v>10.161740554069935</v>
      </c>
      <c r="P29" s="8">
        <f t="shared" si="4"/>
        <v>-10.194951168858088</v>
      </c>
    </row>
    <row r="30" spans="1:23">
      <c r="A30" s="7980" t="s">
        <v>1192</v>
      </c>
      <c r="B30" s="7981">
        <v>38.063754527796704</v>
      </c>
      <c r="C30" s="7982">
        <v>48.165109844403148</v>
      </c>
      <c r="D30" s="7983">
        <v>66.376572302412498</v>
      </c>
      <c r="E30" s="7984">
        <v>44.141961758982696</v>
      </c>
      <c r="F30" s="7985">
        <v>2019</v>
      </c>
      <c r="G30" s="7986">
        <v>216422446</v>
      </c>
      <c r="H30" s="2682"/>
      <c r="J30" s="8" t="str">
        <f t="shared" ref="J30:J31" si="7">A30</f>
        <v xml:space="preserve">  BRA</v>
      </c>
      <c r="K30" s="8">
        <f t="shared" ref="K30:K31" si="8">F30*1</f>
        <v>2019</v>
      </c>
      <c r="L30" s="8">
        <f t="shared" ref="L30:L31" si="9">B30</f>
        <v>38.063754527796704</v>
      </c>
      <c r="M30" s="8">
        <f t="shared" si="6"/>
        <v>48.165109844403148</v>
      </c>
      <c r="N30" s="8">
        <f t="shared" si="6"/>
        <v>66.376572302412498</v>
      </c>
      <c r="O30" s="8">
        <f t="shared" si="6"/>
        <v>44.141961758982696</v>
      </c>
      <c r="P30" s="8">
        <f t="shared" si="4"/>
        <v>-28.312817774615795</v>
      </c>
    </row>
    <row r="31" spans="1:23">
      <c r="A31" s="7987" t="s">
        <v>1193</v>
      </c>
      <c r="B31" s="7988">
        <v>19.18295907750997</v>
      </c>
      <c r="C31" s="7989">
        <v>24.86764219933049</v>
      </c>
      <c r="D31" s="7990">
        <v>36.979596949056301</v>
      </c>
      <c r="E31" s="7991">
        <v>23.452590346494588</v>
      </c>
      <c r="F31" s="7992">
        <v>2017</v>
      </c>
      <c r="G31" s="7993">
        <v>19629590</v>
      </c>
      <c r="H31" s="2683"/>
      <c r="J31" s="8" t="str">
        <f t="shared" si="7"/>
        <v xml:space="preserve">  CHL</v>
      </c>
      <c r="K31" s="8">
        <f t="shared" si="8"/>
        <v>2017</v>
      </c>
      <c r="L31" s="8">
        <f t="shared" si="9"/>
        <v>19.18295907750997</v>
      </c>
      <c r="M31" s="8">
        <f t="shared" si="6"/>
        <v>24.86764219933049</v>
      </c>
      <c r="N31" s="8">
        <f t="shared" si="6"/>
        <v>36.979596949056301</v>
      </c>
      <c r="O31" s="8">
        <f t="shared" si="6"/>
        <v>23.452590346494588</v>
      </c>
      <c r="P31" s="8">
        <f t="shared" si="4"/>
        <v>-17.796637871546331</v>
      </c>
    </row>
    <row r="32" spans="1:23">
      <c r="A32" s="7994" t="s">
        <v>1194</v>
      </c>
      <c r="B32" s="7995">
        <v>2.1724430598375011</v>
      </c>
      <c r="C32" s="7996">
        <v>3.6241728550272994</v>
      </c>
      <c r="D32" s="7997">
        <v>18.838431758922752</v>
      </c>
      <c r="E32" s="7998">
        <v>2.9716960596906605</v>
      </c>
      <c r="F32" s="7999">
        <v>2021</v>
      </c>
      <c r="G32" s="8000">
        <v>52085168</v>
      </c>
      <c r="H32" s="2684"/>
      <c r="J32" s="8" t="str">
        <f t="shared" ref="J32:J43" si="10">A32</f>
        <v xml:space="preserve">  COL</v>
      </c>
      <c r="K32" s="8">
        <f t="shared" ref="K32:K43" si="11">F32*1</f>
        <v>2021</v>
      </c>
      <c r="L32" s="8">
        <f t="shared" ref="L32:L43" si="12">B32</f>
        <v>2.1724430598375011</v>
      </c>
      <c r="M32" s="8">
        <f t="shared" si="6"/>
        <v>3.6241728550272994</v>
      </c>
      <c r="N32" s="8">
        <f t="shared" si="6"/>
        <v>18.838431758922752</v>
      </c>
      <c r="O32" s="8">
        <f t="shared" si="6"/>
        <v>2.9716960596906605</v>
      </c>
      <c r="P32" s="8">
        <f t="shared" si="4"/>
        <v>-16.665988699085251</v>
      </c>
    </row>
    <row r="33" spans="1:16">
      <c r="A33" s="8001" t="s">
        <v>1195</v>
      </c>
      <c r="B33" s="8002">
        <v>13.950630591786137</v>
      </c>
      <c r="C33" s="8003">
        <v>19.529327781082689</v>
      </c>
      <c r="D33" s="8004">
        <v>46.192739864848896</v>
      </c>
      <c r="E33" s="8005">
        <v>17.820696941184238</v>
      </c>
      <c r="F33" s="8006">
        <v>2023</v>
      </c>
      <c r="G33" s="8007">
        <v>5212173</v>
      </c>
      <c r="H33" s="2685"/>
      <c r="J33" s="8" t="str">
        <f t="shared" si="10"/>
        <v xml:space="preserve">  CRI</v>
      </c>
      <c r="K33" s="8">
        <f t="shared" si="11"/>
        <v>2023</v>
      </c>
      <c r="L33" s="8">
        <f t="shared" si="12"/>
        <v>13.950630591786137</v>
      </c>
      <c r="M33" s="8">
        <f t="shared" si="6"/>
        <v>19.529327781082689</v>
      </c>
      <c r="N33" s="8">
        <f t="shared" si="6"/>
        <v>46.192739864848896</v>
      </c>
      <c r="O33" s="8">
        <f t="shared" si="6"/>
        <v>17.820696941184238</v>
      </c>
      <c r="P33" s="8">
        <f t="shared" si="4"/>
        <v>-32.242109273062759</v>
      </c>
    </row>
    <row r="34" spans="1:16">
      <c r="A34" s="8008" t="s">
        <v>1196</v>
      </c>
      <c r="B34" s="8009">
        <v>6.9633399377142844</v>
      </c>
      <c r="C34" s="8010">
        <v>10.046251798392259</v>
      </c>
      <c r="D34" s="8011">
        <v>24.442694750998339</v>
      </c>
      <c r="E34" s="8012">
        <v>9.1034563816024878</v>
      </c>
      <c r="F34" s="8013">
        <v>2022</v>
      </c>
      <c r="G34" s="8014">
        <v>11332973</v>
      </c>
      <c r="H34" s="2686"/>
      <c r="J34" s="8" t="str">
        <f t="shared" si="10"/>
        <v xml:space="preserve">  DOM</v>
      </c>
      <c r="K34" s="8">
        <f t="shared" si="11"/>
        <v>2022</v>
      </c>
      <c r="L34" s="8">
        <f t="shared" si="12"/>
        <v>6.9633399377142844</v>
      </c>
      <c r="M34" s="8">
        <f t="shared" si="6"/>
        <v>10.046251798392259</v>
      </c>
      <c r="N34" s="8">
        <f t="shared" si="6"/>
        <v>24.442694750998339</v>
      </c>
      <c r="O34" s="8">
        <f t="shared" si="6"/>
        <v>9.1034563816024878</v>
      </c>
      <c r="P34" s="8">
        <f t="shared" si="4"/>
        <v>-17.479354813284054</v>
      </c>
    </row>
    <row r="35" spans="1:16">
      <c r="A35" s="8015" t="s">
        <v>1197</v>
      </c>
      <c r="B35" s="8016">
        <v>6.8450999638989805</v>
      </c>
      <c r="C35" s="8017">
        <v>9.2474242258718107</v>
      </c>
      <c r="D35" s="8018">
        <v>28.168687626830319</v>
      </c>
      <c r="E35" s="8019">
        <v>8.3922665771199441</v>
      </c>
      <c r="F35" s="8020">
        <v>2017</v>
      </c>
      <c r="G35" s="8021">
        <v>18190484</v>
      </c>
      <c r="H35" s="2687"/>
      <c r="J35" s="8" t="str">
        <f t="shared" si="10"/>
        <v xml:space="preserve">  ECU</v>
      </c>
      <c r="K35" s="8">
        <f t="shared" si="11"/>
        <v>2017</v>
      </c>
      <c r="L35" s="8">
        <f t="shared" si="12"/>
        <v>6.8450999638989805</v>
      </c>
      <c r="M35" s="8">
        <f t="shared" si="6"/>
        <v>9.2474242258718107</v>
      </c>
      <c r="N35" s="8">
        <f t="shared" si="6"/>
        <v>28.168687626830319</v>
      </c>
      <c r="O35" s="8">
        <f t="shared" si="6"/>
        <v>8.3922665771199441</v>
      </c>
      <c r="P35" s="8">
        <f t="shared" si="4"/>
        <v>-21.323587662931338</v>
      </c>
    </row>
    <row r="36" spans="1:16">
      <c r="A36" s="8022" t="s">
        <v>1204</v>
      </c>
      <c r="B36" s="8023">
        <v>0.24660343529590334</v>
      </c>
      <c r="C36" s="8024">
        <v>1.3554385515057856</v>
      </c>
      <c r="D36" s="8025">
        <v>17.806021339285298</v>
      </c>
      <c r="E36" s="8026">
        <v>0.75259782973986011</v>
      </c>
      <c r="F36" s="8027">
        <v>2006</v>
      </c>
      <c r="G36" s="8028">
        <v>18092026</v>
      </c>
      <c r="H36" s="2688"/>
    </row>
    <row r="37" spans="1:16">
      <c r="A37" s="8029" t="s">
        <v>1199</v>
      </c>
      <c r="B37" s="8030">
        <v>8.8899196062230992</v>
      </c>
      <c r="C37" s="8031">
        <v>17.183348629374095</v>
      </c>
      <c r="D37" s="8032">
        <v>35.708716781382499</v>
      </c>
      <c r="E37" s="8033">
        <v>12.484110620304163</v>
      </c>
      <c r="F37" s="8034">
        <v>2023</v>
      </c>
      <c r="G37" s="8035">
        <v>10593798</v>
      </c>
      <c r="H37" s="2689"/>
      <c r="J37" s="8" t="str">
        <f t="shared" si="10"/>
        <v xml:space="preserve">  HND</v>
      </c>
      <c r="K37" s="8">
        <f t="shared" si="11"/>
        <v>2023</v>
      </c>
      <c r="L37" s="8">
        <f t="shared" si="12"/>
        <v>8.8899196062230992</v>
      </c>
      <c r="M37" s="8">
        <f t="shared" si="6"/>
        <v>17.183348629374095</v>
      </c>
      <c r="N37" s="8">
        <f t="shared" si="6"/>
        <v>35.708716781382499</v>
      </c>
      <c r="O37" s="8">
        <f t="shared" si="6"/>
        <v>12.484110620304163</v>
      </c>
      <c r="P37" s="8">
        <f t="shared" si="4"/>
        <v>-26.8187971751594</v>
      </c>
    </row>
    <row r="38" spans="1:16">
      <c r="A38" s="8036" t="s">
        <v>1205</v>
      </c>
      <c r="B38" s="8037">
        <v>19.535761268112992</v>
      </c>
      <c r="C38" s="8038">
        <v>29.715959635109613</v>
      </c>
      <c r="D38" s="8039">
        <v>53.61314748018782</v>
      </c>
      <c r="E38" s="8040">
        <v>26.454768060804824</v>
      </c>
      <c r="F38" s="8041">
        <v>2022</v>
      </c>
      <c r="G38" s="8042">
        <v>128455567</v>
      </c>
      <c r="H38" s="2690"/>
      <c r="J38" s="8" t="str">
        <f t="shared" si="10"/>
        <v xml:space="preserve">  MEX</v>
      </c>
      <c r="K38" s="8">
        <f t="shared" si="11"/>
        <v>2022</v>
      </c>
      <c r="L38" s="8">
        <f t="shared" si="12"/>
        <v>19.535761268112992</v>
      </c>
      <c r="M38" s="8">
        <f t="shared" si="6"/>
        <v>29.715959635109613</v>
      </c>
      <c r="N38" s="8">
        <f t="shared" si="6"/>
        <v>53.61314748018782</v>
      </c>
      <c r="O38" s="8">
        <f t="shared" si="6"/>
        <v>26.454768060804824</v>
      </c>
      <c r="P38" s="8">
        <f t="shared" si="4"/>
        <v>-34.077386212074828</v>
      </c>
    </row>
    <row r="39" spans="1:16">
      <c r="A39" s="8043" t="s">
        <v>1201</v>
      </c>
      <c r="B39" s="8044">
        <v>3.4628413402086062</v>
      </c>
      <c r="C39" s="8045">
        <v>5.0222932163024261</v>
      </c>
      <c r="D39" s="8046">
        <v>15.031335081675465</v>
      </c>
      <c r="E39" s="8047">
        <v>4.5267446943999872</v>
      </c>
      <c r="F39" s="8048">
        <v>2022</v>
      </c>
      <c r="G39" s="8049">
        <v>34352719</v>
      </c>
      <c r="H39" s="2691"/>
      <c r="J39" s="8" t="str">
        <f t="shared" si="10"/>
        <v xml:space="preserve">  PER</v>
      </c>
      <c r="K39" s="8">
        <f t="shared" si="11"/>
        <v>2022</v>
      </c>
      <c r="L39" s="8">
        <f t="shared" si="12"/>
        <v>3.4628413402086062</v>
      </c>
      <c r="M39" s="8">
        <f t="shared" si="6"/>
        <v>5.0222932163024261</v>
      </c>
      <c r="N39" s="8">
        <f t="shared" si="6"/>
        <v>15.031335081675465</v>
      </c>
      <c r="O39" s="8">
        <f t="shared" si="6"/>
        <v>4.5267446943999872</v>
      </c>
      <c r="P39" s="8">
        <f t="shared" si="4"/>
        <v>-11.56849374146686</v>
      </c>
    </row>
    <row r="40" spans="1:16">
      <c r="A40" s="8050" t="s">
        <v>1202</v>
      </c>
      <c r="B40" s="8051">
        <v>12.133952840673246</v>
      </c>
      <c r="C40" s="8052">
        <v>17.250281650776088</v>
      </c>
      <c r="D40" s="8053">
        <v>52.138663255159159</v>
      </c>
      <c r="E40" s="8054">
        <v>15.24312304109541</v>
      </c>
      <c r="F40" s="8055">
        <v>2022</v>
      </c>
      <c r="G40" s="8056">
        <v>6861524</v>
      </c>
      <c r="H40" s="2692"/>
      <c r="J40" s="8" t="str">
        <f t="shared" si="10"/>
        <v xml:space="preserve">  PRY</v>
      </c>
      <c r="K40" s="8">
        <f t="shared" si="11"/>
        <v>2022</v>
      </c>
      <c r="L40" s="8">
        <f t="shared" si="12"/>
        <v>12.133952840673246</v>
      </c>
      <c r="M40" s="8">
        <f t="shared" si="6"/>
        <v>17.250281650776088</v>
      </c>
      <c r="N40" s="8">
        <f t="shared" si="6"/>
        <v>52.138663255159159</v>
      </c>
      <c r="O40" s="8">
        <f t="shared" si="6"/>
        <v>15.24312304109541</v>
      </c>
      <c r="P40" s="8">
        <f t="shared" si="4"/>
        <v>-40.004710414485913</v>
      </c>
    </row>
    <row r="41" spans="1:16">
      <c r="A41" s="8057" t="s">
        <v>1206</v>
      </c>
      <c r="B41" s="8058">
        <v>12.02518239830396</v>
      </c>
      <c r="C41" s="8059">
        <v>13.302843920608559</v>
      </c>
      <c r="D41" s="8060">
        <v>29.514493912643864</v>
      </c>
      <c r="E41" s="8061">
        <v>12.763405738859756</v>
      </c>
      <c r="F41" s="8062">
        <v>2023</v>
      </c>
      <c r="G41" s="8063">
        <v>6364943</v>
      </c>
      <c r="H41" s="2693"/>
      <c r="J41" s="8" t="str">
        <f t="shared" si="10"/>
        <v xml:space="preserve">  SLV</v>
      </c>
      <c r="K41" s="8">
        <f t="shared" si="11"/>
        <v>2023</v>
      </c>
      <c r="L41" s="8">
        <f t="shared" si="12"/>
        <v>12.02518239830396</v>
      </c>
      <c r="M41" s="8">
        <f t="shared" si="6"/>
        <v>13.302843920608559</v>
      </c>
      <c r="N41" s="8">
        <f t="shared" si="6"/>
        <v>29.514493912643864</v>
      </c>
      <c r="O41" s="8">
        <f t="shared" si="6"/>
        <v>12.763405738859756</v>
      </c>
      <c r="P41" s="8">
        <f t="shared" si="4"/>
        <v>-17.489311514339903</v>
      </c>
    </row>
    <row r="42" spans="1:16">
      <c r="A42" s="8064" t="s">
        <v>1207</v>
      </c>
      <c r="B42" s="8065">
        <v>9.0965165730610664</v>
      </c>
      <c r="C42" s="8066">
        <v>22.677813449397771</v>
      </c>
      <c r="D42" s="8067">
        <v>53.824558498118421</v>
      </c>
      <c r="E42" s="8068">
        <v>19.293832153690595</v>
      </c>
      <c r="F42" s="8069">
        <v>2022</v>
      </c>
      <c r="G42" s="8070">
        <v>3423109</v>
      </c>
      <c r="H42" s="2694"/>
      <c r="J42" s="8" t="str">
        <f t="shared" si="10"/>
        <v xml:space="preserve">  URY</v>
      </c>
      <c r="K42" s="8">
        <f t="shared" si="11"/>
        <v>2022</v>
      </c>
      <c r="L42" s="8">
        <f t="shared" si="12"/>
        <v>9.0965165730610664</v>
      </c>
      <c r="M42" s="8">
        <f t="shared" si="6"/>
        <v>22.677813449397771</v>
      </c>
      <c r="N42" s="8">
        <f t="shared" si="6"/>
        <v>53.824558498118421</v>
      </c>
      <c r="O42" s="8">
        <f t="shared" si="6"/>
        <v>19.293832153690595</v>
      </c>
      <c r="P42" s="8">
        <f t="shared" si="4"/>
        <v>-44.728041925057354</v>
      </c>
    </row>
    <row r="43" spans="1:16">
      <c r="A43" s="8071" t="s">
        <v>1203</v>
      </c>
      <c r="B43" s="8072">
        <v>8.9196660223930149</v>
      </c>
      <c r="C43" s="8073">
        <v>13.49745447910605</v>
      </c>
      <c r="D43" s="8074">
        <v>21.609264724218754</v>
      </c>
      <c r="E43" s="8075">
        <v>10.059625915518717</v>
      </c>
      <c r="F43" s="8076">
        <v>2021</v>
      </c>
      <c r="G43" s="8077">
        <v>28838499</v>
      </c>
      <c r="H43" s="2695"/>
      <c r="J43" s="2648" t="str">
        <f t="shared" si="10"/>
        <v xml:space="preserve">  VEN</v>
      </c>
      <c r="K43" s="2648">
        <f t="shared" si="11"/>
        <v>2021</v>
      </c>
      <c r="L43" s="2648">
        <f t="shared" si="12"/>
        <v>8.9196660223930149</v>
      </c>
      <c r="M43" s="2648">
        <f t="shared" si="6"/>
        <v>13.49745447910605</v>
      </c>
      <c r="N43" s="2648">
        <f t="shared" si="6"/>
        <v>21.609264724218754</v>
      </c>
      <c r="O43" s="2648">
        <f t="shared" si="6"/>
        <v>10.059625915518717</v>
      </c>
      <c r="P43" s="8">
        <f t="shared" si="4"/>
        <v>-12.689598701825739</v>
      </c>
    </row>
    <row r="44" spans="1:16">
      <c r="A44" s="2646" t="s">
        <v>1204</v>
      </c>
      <c r="B44" s="7802">
        <v>0.24660343529590334</v>
      </c>
      <c r="C44" s="7803">
        <v>1.3554385515057856</v>
      </c>
      <c r="D44" s="7804">
        <v>17.806021339285298</v>
      </c>
      <c r="E44" s="7805">
        <v>0.75259782973986011</v>
      </c>
      <c r="F44" s="7806">
        <v>2006</v>
      </c>
      <c r="G44" s="7807">
        <v>18092026</v>
      </c>
      <c r="J44" s="3" t="s">
        <v>1261</v>
      </c>
      <c r="L44" s="8">
        <f>AVERAGE(L29:L43)</f>
        <v>12.211090457278759</v>
      </c>
      <c r="M44" s="8">
        <f t="shared" ref="M44:O44" si="13">AVERAGE(M29:M43)</f>
        <v>17.468464051492187</v>
      </c>
      <c r="N44" s="8">
        <f t="shared" si="13"/>
        <v>35.881932382121157</v>
      </c>
      <c r="O44" s="8">
        <f t="shared" si="13"/>
        <v>15.490715631701287</v>
      </c>
      <c r="P44" s="8">
        <f t="shared" si="4"/>
        <v>-23.670841924842399</v>
      </c>
    </row>
    <row r="45" spans="1:16" ht="15" thickBot="1">
      <c r="J45" s="212" t="s">
        <v>1145</v>
      </c>
      <c r="K45" s="85"/>
      <c r="L45" s="85">
        <f>SUMPRODUCT(B29:B43,$G29:$G43)/SUM($G29:$G43)</f>
        <v>21.493073178792699</v>
      </c>
      <c r="M45" s="85">
        <f>SUMPRODUCT(C29:C43,$G29:$G43)/SUM($G29:$G43)</f>
        <v>28.799190179295401</v>
      </c>
      <c r="N45" s="85">
        <f>SUMPRODUCT(D29:D43,$G29:$G43)/SUM($G29:$G43)</f>
        <v>46.843745621777252</v>
      </c>
      <c r="O45" s="85">
        <f>SUMPRODUCT(E29:E43,$G29:$G43)/SUM($G29:$G43)</f>
        <v>26.011085881819955</v>
      </c>
      <c r="P45" s="8">
        <f t="shared" si="4"/>
        <v>-25.350672442984553</v>
      </c>
    </row>
    <row r="46" spans="1:16" ht="15" thickTop="1">
      <c r="J46" s="8" t="str">
        <f>A44</f>
        <v xml:space="preserve">  GTM</v>
      </c>
      <c r="K46" s="8">
        <f>F44*1</f>
        <v>2006</v>
      </c>
      <c r="L46" s="8">
        <f>B44</f>
        <v>0.24660343529590334</v>
      </c>
      <c r="M46" s="8">
        <f>C44</f>
        <v>1.3554385515057856</v>
      </c>
      <c r="N46" s="8">
        <f>D44</f>
        <v>17.806021339285298</v>
      </c>
      <c r="O46" s="8">
        <f>E44</f>
        <v>0.75259782973986011</v>
      </c>
      <c r="P46" s="8">
        <f>L46-N46</f>
        <v>-17.559417903989395</v>
      </c>
    </row>
    <row r="47" spans="1:16">
      <c r="A47" s="8078"/>
      <c r="B47" s="9299" t="s">
        <v>1217</v>
      </c>
      <c r="C47" s="9300" t="s">
        <v>1217</v>
      </c>
      <c r="D47" s="9301" t="s">
        <v>1217</v>
      </c>
      <c r="E47" s="8079" t="s">
        <v>1003</v>
      </c>
      <c r="F47" s="8080" t="s">
        <v>1186</v>
      </c>
      <c r="G47" s="8081" t="s">
        <v>1257</v>
      </c>
      <c r="H47" s="2696"/>
      <c r="P47" s="8">
        <f t="shared" si="4"/>
        <v>0</v>
      </c>
    </row>
    <row r="48" spans="1:16">
      <c r="A48" s="8082"/>
      <c r="B48" s="9302" t="s">
        <v>1187</v>
      </c>
      <c r="C48" s="9302" t="s">
        <v>1187</v>
      </c>
      <c r="D48" s="9302" t="s">
        <v>1187</v>
      </c>
      <c r="E48" s="8083" t="s">
        <v>1187</v>
      </c>
      <c r="G48" s="8084" t="s">
        <v>1187</v>
      </c>
      <c r="H48" s="2697"/>
      <c r="P48" s="8">
        <f t="shared" si="4"/>
        <v>0</v>
      </c>
    </row>
    <row r="49" spans="1:24">
      <c r="A49" s="8085"/>
      <c r="B49" s="9303" t="s">
        <v>1045</v>
      </c>
      <c r="C49" s="9303" t="s">
        <v>1045</v>
      </c>
      <c r="D49" s="9303" t="s">
        <v>1045</v>
      </c>
      <c r="E49" s="8086" t="s">
        <v>1217</v>
      </c>
      <c r="P49" s="8">
        <f t="shared" si="4"/>
        <v>0</v>
      </c>
    </row>
    <row r="50" spans="1:24" ht="15" thickBot="1">
      <c r="A50" s="8087"/>
      <c r="B50" s="8088" t="s">
        <v>1187</v>
      </c>
      <c r="C50" s="8089" t="s">
        <v>1188</v>
      </c>
      <c r="D50" s="8090" t="s">
        <v>1189</v>
      </c>
      <c r="E50" s="8091" t="s">
        <v>1187</v>
      </c>
      <c r="J50" s="972" t="str">
        <f>E49</f>
        <v>El hogar tiene servicio telefónico fijo</v>
      </c>
      <c r="K50" s="2649"/>
      <c r="L50" s="85"/>
      <c r="M50" s="85"/>
      <c r="N50" s="85"/>
      <c r="O50" s="85"/>
      <c r="P50" s="8">
        <f t="shared" si="4"/>
        <v>0</v>
      </c>
    </row>
    <row r="51" spans="1:24" ht="15" thickTop="1">
      <c r="A51" s="8092" t="s">
        <v>1125</v>
      </c>
      <c r="B51" s="8093"/>
      <c r="C51" s="8094"/>
      <c r="D51" s="8095"/>
      <c r="E51" s="8096"/>
      <c r="F51" s="8097"/>
      <c r="G51" s="8098"/>
      <c r="H51" s="2698"/>
      <c r="J51" s="213" t="s">
        <v>904</v>
      </c>
      <c r="K51" s="216" t="s">
        <v>938</v>
      </c>
      <c r="L51" s="2650" t="s">
        <v>1141</v>
      </c>
      <c r="M51" s="2650" t="s">
        <v>1142</v>
      </c>
      <c r="N51" s="2650" t="s">
        <v>1102</v>
      </c>
      <c r="O51" s="2651" t="s">
        <v>1152</v>
      </c>
      <c r="P51" s="8" t="e">
        <f t="shared" si="4"/>
        <v>#VALUE!</v>
      </c>
    </row>
    <row r="52" spans="1:24">
      <c r="A52" s="8099" t="s">
        <v>1191</v>
      </c>
      <c r="B52" s="8100">
        <v>1.8058719106789256</v>
      </c>
      <c r="C52" s="8101">
        <v>2.8270675610697573</v>
      </c>
      <c r="D52" s="8102">
        <v>10.41780635941198</v>
      </c>
      <c r="E52" s="8103">
        <v>2.4461643826932016</v>
      </c>
      <c r="F52" s="8104">
        <v>2022</v>
      </c>
      <c r="G52" s="8105">
        <v>12388571</v>
      </c>
      <c r="H52" s="2699"/>
      <c r="J52" s="8" t="str">
        <f>A52</f>
        <v xml:space="preserve">  BOL</v>
      </c>
      <c r="K52" s="8">
        <f>F52*1</f>
        <v>2022</v>
      </c>
      <c r="L52" s="8">
        <f>B52</f>
        <v>1.8058719106789256</v>
      </c>
      <c r="M52" s="8">
        <f t="shared" ref="M52:O67" si="14">C52</f>
        <v>2.8270675610697573</v>
      </c>
      <c r="N52" s="8">
        <f t="shared" si="14"/>
        <v>10.41780635941198</v>
      </c>
      <c r="O52" s="8">
        <f t="shared" si="14"/>
        <v>2.4461643826932016</v>
      </c>
      <c r="P52" s="8">
        <f t="shared" si="4"/>
        <v>-8.611934448733054</v>
      </c>
    </row>
    <row r="53" spans="1:24">
      <c r="A53" s="8106" t="s">
        <v>1192</v>
      </c>
      <c r="B53" s="8107">
        <v>4.7205121115705211</v>
      </c>
      <c r="C53" s="8108">
        <v>11.211562489078101</v>
      </c>
      <c r="D53" s="8109">
        <v>31.211945143911269</v>
      </c>
      <c r="E53" s="8110">
        <v>8.6263196102630548</v>
      </c>
      <c r="F53" s="8111">
        <v>2019</v>
      </c>
      <c r="G53" s="8112">
        <v>216422446</v>
      </c>
      <c r="H53" s="2700"/>
      <c r="J53" s="8" t="str">
        <f t="shared" ref="J53:J54" si="15">A53</f>
        <v xml:space="preserve">  BRA</v>
      </c>
      <c r="K53" s="8">
        <f t="shared" ref="K53:K54" si="16">F53*1</f>
        <v>2019</v>
      </c>
      <c r="L53" s="8">
        <f t="shared" ref="L53:L54" si="17">B53</f>
        <v>4.7205121115705211</v>
      </c>
      <c r="M53" s="8">
        <f t="shared" si="14"/>
        <v>11.211562489078101</v>
      </c>
      <c r="N53" s="8">
        <f t="shared" si="14"/>
        <v>31.211945143911269</v>
      </c>
      <c r="O53" s="8">
        <f t="shared" si="14"/>
        <v>8.6263196102630548</v>
      </c>
      <c r="P53" s="8">
        <f t="shared" si="4"/>
        <v>-26.491433032340748</v>
      </c>
    </row>
    <row r="54" spans="1:24">
      <c r="A54" s="8113" t="s">
        <v>1193</v>
      </c>
      <c r="B54" s="8114">
        <v>19.946707682975703</v>
      </c>
      <c r="C54" s="8115">
        <v>23.129002679069703</v>
      </c>
      <c r="D54" s="8116">
        <v>37.308209722766897</v>
      </c>
      <c r="E54" s="8117">
        <v>22.337028675405197</v>
      </c>
      <c r="F54" s="8118">
        <v>2017</v>
      </c>
      <c r="G54" s="8119">
        <v>19629590</v>
      </c>
      <c r="H54" s="2701"/>
      <c r="J54" s="8" t="str">
        <f t="shared" si="15"/>
        <v xml:space="preserve">  CHL</v>
      </c>
      <c r="K54" s="8">
        <f t="shared" si="16"/>
        <v>2017</v>
      </c>
      <c r="L54" s="8">
        <f t="shared" si="17"/>
        <v>19.946707682975703</v>
      </c>
      <c r="M54" s="8">
        <f t="shared" si="14"/>
        <v>23.129002679069703</v>
      </c>
      <c r="N54" s="8">
        <f t="shared" si="14"/>
        <v>37.308209722766897</v>
      </c>
      <c r="O54" s="8">
        <f t="shared" si="14"/>
        <v>22.337028675405197</v>
      </c>
      <c r="P54" s="8">
        <f t="shared" si="4"/>
        <v>-17.361502039791194</v>
      </c>
    </row>
    <row r="55" spans="1:24">
      <c r="A55" s="8120" t="s">
        <v>1194</v>
      </c>
      <c r="B55" s="8121">
        <v>5.4150309917544774</v>
      </c>
      <c r="C55" s="8122">
        <v>10.169190616715161</v>
      </c>
      <c r="D55" s="8123">
        <v>29.574595345910275</v>
      </c>
      <c r="E55" s="8124">
        <v>8.0324439253602229</v>
      </c>
      <c r="F55" s="8125">
        <v>2021</v>
      </c>
      <c r="G55" s="8126">
        <v>52085168</v>
      </c>
      <c r="H55" s="2702"/>
      <c r="J55" s="8" t="str">
        <f t="shared" ref="J55:J67" si="18">A55</f>
        <v xml:space="preserve">  COL</v>
      </c>
      <c r="K55" s="8">
        <f t="shared" ref="K55:K67" si="19">F55*1</f>
        <v>2021</v>
      </c>
      <c r="L55" s="8">
        <f t="shared" ref="L55:L67" si="20">B55</f>
        <v>5.4150309917544774</v>
      </c>
      <c r="M55" s="8">
        <f t="shared" si="14"/>
        <v>10.169190616715161</v>
      </c>
      <c r="N55" s="8">
        <f t="shared" si="14"/>
        <v>29.574595345910275</v>
      </c>
      <c r="O55" s="8">
        <f t="shared" si="14"/>
        <v>8.0324439253602229</v>
      </c>
      <c r="P55" s="8">
        <f t="shared" si="4"/>
        <v>-24.159564354155798</v>
      </c>
    </row>
    <row r="56" spans="1:24">
      <c r="A56" s="8127" t="s">
        <v>1195</v>
      </c>
      <c r="B56" s="8128">
        <v>5.3002048075886599</v>
      </c>
      <c r="C56" s="8129">
        <v>7.986674598453301</v>
      </c>
      <c r="D56" s="8130">
        <v>21.27566490250527</v>
      </c>
      <c r="E56" s="8131">
        <v>7.163868667359977</v>
      </c>
      <c r="F56" s="8132">
        <v>2023</v>
      </c>
      <c r="G56" s="8133">
        <v>5212173</v>
      </c>
      <c r="H56" s="2703"/>
      <c r="J56" s="8" t="str">
        <f t="shared" si="18"/>
        <v xml:space="preserve">  CRI</v>
      </c>
      <c r="K56" s="8">
        <f t="shared" si="19"/>
        <v>2023</v>
      </c>
      <c r="L56" s="8">
        <f t="shared" si="20"/>
        <v>5.3002048075886599</v>
      </c>
      <c r="M56" s="8">
        <f t="shared" si="14"/>
        <v>7.986674598453301</v>
      </c>
      <c r="N56" s="8">
        <f t="shared" si="14"/>
        <v>21.27566490250527</v>
      </c>
      <c r="O56" s="8">
        <f t="shared" si="14"/>
        <v>7.163868667359977</v>
      </c>
      <c r="P56" s="8">
        <f t="shared" si="4"/>
        <v>-15.97546009491661</v>
      </c>
    </row>
    <row r="57" spans="1:24">
      <c r="A57" s="8134" t="s">
        <v>1196</v>
      </c>
      <c r="B57" s="8135">
        <v>5.8956865230063471</v>
      </c>
      <c r="C57" s="8136">
        <v>6.5012052294507363</v>
      </c>
      <c r="D57" s="8137">
        <v>16.662276308889062</v>
      </c>
      <c r="E57" s="8138">
        <v>6.3160295620897182</v>
      </c>
      <c r="F57" s="8139">
        <v>2022</v>
      </c>
      <c r="G57" s="8140">
        <v>11332973</v>
      </c>
      <c r="H57" s="2704"/>
      <c r="J57" s="8" t="str">
        <f t="shared" si="18"/>
        <v xml:space="preserve">  DOM</v>
      </c>
      <c r="K57" s="8">
        <f t="shared" si="19"/>
        <v>2022</v>
      </c>
      <c r="L57" s="8">
        <f t="shared" si="20"/>
        <v>5.8956865230063471</v>
      </c>
      <c r="M57" s="8">
        <f t="shared" si="14"/>
        <v>6.5012052294507363</v>
      </c>
      <c r="N57" s="8">
        <f t="shared" si="14"/>
        <v>16.662276308889062</v>
      </c>
      <c r="O57" s="8">
        <f t="shared" si="14"/>
        <v>6.3160295620897182</v>
      </c>
      <c r="P57" s="8">
        <f t="shared" si="4"/>
        <v>-10.766589785882715</v>
      </c>
      <c r="T57">
        <v>0</v>
      </c>
      <c r="U57" s="7499">
        <v>140335.6</v>
      </c>
      <c r="V57" s="7499">
        <v>170511.6</v>
      </c>
      <c r="W57" s="7499">
        <v>583865.5</v>
      </c>
      <c r="X57" s="7499">
        <v>894712.6</v>
      </c>
    </row>
    <row r="58" spans="1:24">
      <c r="A58" s="8141" t="s">
        <v>1197</v>
      </c>
      <c r="B58" s="8142">
        <v>12.66489795367508</v>
      </c>
      <c r="C58" s="8143">
        <v>18.435946087942291</v>
      </c>
      <c r="D58" s="8144">
        <v>45.712545793492275</v>
      </c>
      <c r="E58" s="8145">
        <v>16.381620603471283</v>
      </c>
      <c r="F58" s="8146">
        <v>2017</v>
      </c>
      <c r="G58" s="8147">
        <v>18190484</v>
      </c>
      <c r="H58" s="2705"/>
      <c r="J58" s="8" t="str">
        <f t="shared" si="18"/>
        <v xml:space="preserve">  ECU</v>
      </c>
      <c r="K58" s="8">
        <f t="shared" si="19"/>
        <v>2017</v>
      </c>
      <c r="L58" s="8">
        <f t="shared" si="20"/>
        <v>12.66489795367508</v>
      </c>
      <c r="M58" s="8">
        <f t="shared" si="14"/>
        <v>18.435946087942291</v>
      </c>
      <c r="N58" s="8">
        <f t="shared" si="14"/>
        <v>45.712545793492275</v>
      </c>
      <c r="O58" s="8">
        <f t="shared" si="14"/>
        <v>16.381620603471283</v>
      </c>
      <c r="P58" s="8">
        <f t="shared" si="4"/>
        <v>-33.047647839817195</v>
      </c>
      <c r="T58">
        <v>1</v>
      </c>
      <c r="U58" s="7499">
        <v>139600.4</v>
      </c>
      <c r="V58" s="7499">
        <v>212581.9</v>
      </c>
      <c r="W58" s="7499">
        <v>620624.1</v>
      </c>
      <c r="X58" s="7499">
        <v>972806.4</v>
      </c>
    </row>
    <row r="59" spans="1:24">
      <c r="A59" s="8148" t="s">
        <v>1204</v>
      </c>
      <c r="B59" s="8149">
        <v>6.1517002678030064</v>
      </c>
      <c r="C59" s="8150">
        <v>9.8346702225399287</v>
      </c>
      <c r="D59" s="8151">
        <v>22.800987249614057</v>
      </c>
      <c r="E59" s="8152">
        <v>7.7650010663521982</v>
      </c>
      <c r="F59" s="8153">
        <v>2022</v>
      </c>
      <c r="G59" s="8154">
        <v>18092026</v>
      </c>
      <c r="H59" s="2706"/>
      <c r="J59" s="8" t="str">
        <f t="shared" si="18"/>
        <v xml:space="preserve">  GTM</v>
      </c>
      <c r="K59" s="8">
        <f t="shared" si="19"/>
        <v>2022</v>
      </c>
      <c r="L59" s="8">
        <f t="shared" si="20"/>
        <v>6.1517002678030064</v>
      </c>
      <c r="M59" s="8">
        <f t="shared" si="14"/>
        <v>9.8346702225399287</v>
      </c>
      <c r="N59" s="8">
        <f t="shared" si="14"/>
        <v>22.800987249614057</v>
      </c>
      <c r="O59" s="8">
        <f t="shared" si="14"/>
        <v>7.7650010663521982</v>
      </c>
      <c r="P59" s="8">
        <f t="shared" si="4"/>
        <v>-16.649286981811052</v>
      </c>
    </row>
    <row r="60" spans="1:24">
      <c r="A60" s="8155" t="s">
        <v>1199</v>
      </c>
      <c r="B60" s="8156">
        <v>3.0981902340497922</v>
      </c>
      <c r="C60" s="8157">
        <v>6.1561110467089915</v>
      </c>
      <c r="D60" s="8158">
        <v>11.12325217280765</v>
      </c>
      <c r="E60" s="8159">
        <v>4.1898803338530959</v>
      </c>
      <c r="F60" s="8160">
        <v>2022</v>
      </c>
      <c r="G60" s="8161">
        <v>10593798</v>
      </c>
      <c r="H60" s="2707"/>
      <c r="J60" s="8" t="str">
        <f t="shared" si="18"/>
        <v xml:space="preserve">  HND</v>
      </c>
      <c r="K60" s="8">
        <f t="shared" si="19"/>
        <v>2022</v>
      </c>
      <c r="L60" s="8">
        <f t="shared" si="20"/>
        <v>3.0981902340497922</v>
      </c>
      <c r="M60" s="8">
        <f t="shared" si="14"/>
        <v>6.1561110467089915</v>
      </c>
      <c r="N60" s="8">
        <f t="shared" si="14"/>
        <v>11.12325217280765</v>
      </c>
      <c r="O60" s="8">
        <f t="shared" si="14"/>
        <v>4.1898803338530959</v>
      </c>
      <c r="P60" s="8">
        <f t="shared" si="4"/>
        <v>-8.0250619387578581</v>
      </c>
      <c r="T60" t="s">
        <v>901</v>
      </c>
      <c r="U60" s="7499">
        <v>279935.90000000002</v>
      </c>
      <c r="V60" s="5">
        <v>383093.5</v>
      </c>
      <c r="W60" s="5">
        <v>1204489.6000000001</v>
      </c>
      <c r="X60">
        <v>1867519.1</v>
      </c>
    </row>
    <row r="61" spans="1:24">
      <c r="A61" s="8162" t="s">
        <v>1205</v>
      </c>
      <c r="B61" s="8163">
        <v>12.826272247752508</v>
      </c>
      <c r="C61" s="8164">
        <v>20.770302106268375</v>
      </c>
      <c r="D61" s="8165">
        <v>40.599202728526762</v>
      </c>
      <c r="E61" s="8166">
        <v>18.225459431629933</v>
      </c>
      <c r="F61" s="8167">
        <v>2022</v>
      </c>
      <c r="G61" s="8168">
        <v>128455567</v>
      </c>
      <c r="H61" s="2708"/>
      <c r="J61" s="8" t="str">
        <f t="shared" si="18"/>
        <v xml:space="preserve">  MEX</v>
      </c>
      <c r="K61" s="8">
        <f t="shared" si="19"/>
        <v>2022</v>
      </c>
      <c r="L61" s="8">
        <f t="shared" si="20"/>
        <v>12.826272247752508</v>
      </c>
      <c r="M61" s="8">
        <f t="shared" si="14"/>
        <v>20.770302106268375</v>
      </c>
      <c r="N61" s="8">
        <f t="shared" si="14"/>
        <v>40.599202728526762</v>
      </c>
      <c r="O61" s="8">
        <f t="shared" si="14"/>
        <v>18.225459431629933</v>
      </c>
      <c r="P61" s="8">
        <f t="shared" si="4"/>
        <v>-27.772930480774257</v>
      </c>
    </row>
    <row r="62" spans="1:24">
      <c r="A62" s="8169" t="s">
        <v>1200</v>
      </c>
      <c r="B62" s="8170">
        <v>4.2983790079917172</v>
      </c>
      <c r="C62" s="8171">
        <v>4.8644705090072398</v>
      </c>
      <c r="D62" s="8172">
        <v>30.648670506651364</v>
      </c>
      <c r="E62" s="8173">
        <v>4.6325931521645503</v>
      </c>
      <c r="F62" s="8174">
        <v>2017</v>
      </c>
      <c r="G62" s="8175">
        <v>4468087</v>
      </c>
      <c r="H62" s="2709"/>
      <c r="J62" s="8" t="str">
        <f t="shared" si="18"/>
        <v xml:space="preserve">  PAN</v>
      </c>
      <c r="K62" s="8">
        <f t="shared" si="19"/>
        <v>2017</v>
      </c>
      <c r="L62" s="8">
        <f t="shared" si="20"/>
        <v>4.2983790079917172</v>
      </c>
      <c r="M62" s="8">
        <f t="shared" si="14"/>
        <v>4.8644705090072398</v>
      </c>
      <c r="N62" s="8">
        <f t="shared" si="14"/>
        <v>30.648670506651364</v>
      </c>
      <c r="O62" s="8">
        <f t="shared" si="14"/>
        <v>4.6325931521645503</v>
      </c>
      <c r="P62" s="8">
        <f t="shared" si="4"/>
        <v>-26.350291498659647</v>
      </c>
      <c r="U62">
        <f>U58/U60</f>
        <v>0.49868702085013028</v>
      </c>
      <c r="V62">
        <f t="shared" ref="V62:X62" si="21">V58/V60</f>
        <v>0.55490865806911371</v>
      </c>
      <c r="W62">
        <f t="shared" si="21"/>
        <v>0.51525899434914169</v>
      </c>
      <c r="X62">
        <f t="shared" si="21"/>
        <v>0.52090840730892662</v>
      </c>
    </row>
    <row r="63" spans="1:24">
      <c r="A63" s="8176" t="s">
        <v>1201</v>
      </c>
      <c r="B63" s="8177">
        <v>1.7281688834144742</v>
      </c>
      <c r="C63" s="8178">
        <v>3.7453040468054368</v>
      </c>
      <c r="D63" s="8179">
        <v>13.569700923361271</v>
      </c>
      <c r="E63" s="8180">
        <v>3.1043170666880147</v>
      </c>
      <c r="F63" s="8181">
        <v>2022</v>
      </c>
      <c r="G63" s="8182">
        <v>34352719</v>
      </c>
      <c r="H63" s="2710"/>
      <c r="J63" s="8" t="str">
        <f t="shared" si="18"/>
        <v xml:space="preserve">  PER</v>
      </c>
      <c r="K63" s="8">
        <f t="shared" si="19"/>
        <v>2022</v>
      </c>
      <c r="L63" s="8">
        <f t="shared" si="20"/>
        <v>1.7281688834144742</v>
      </c>
      <c r="M63" s="8">
        <f t="shared" si="14"/>
        <v>3.7453040468054368</v>
      </c>
      <c r="N63" s="8">
        <f t="shared" si="14"/>
        <v>13.569700923361271</v>
      </c>
      <c r="O63" s="8">
        <f t="shared" si="14"/>
        <v>3.1043170666880147</v>
      </c>
      <c r="P63" s="8">
        <f t="shared" si="4"/>
        <v>-11.841532039946797</v>
      </c>
    </row>
    <row r="64" spans="1:24">
      <c r="A64" s="8183" t="s">
        <v>1202</v>
      </c>
      <c r="B64" s="8184">
        <v>0.51417323888970712</v>
      </c>
      <c r="C64" s="8185">
        <v>0.6506060894194392</v>
      </c>
      <c r="D64" s="8186">
        <v>4.2704131797410083</v>
      </c>
      <c r="E64" s="8187">
        <v>0.5970828737020889</v>
      </c>
      <c r="F64" s="8188">
        <v>2022</v>
      </c>
      <c r="G64" s="8189">
        <v>6861524</v>
      </c>
      <c r="H64" s="2711"/>
      <c r="J64" s="8" t="str">
        <f t="shared" si="18"/>
        <v xml:space="preserve">  PRY</v>
      </c>
      <c r="K64" s="8">
        <f t="shared" si="19"/>
        <v>2022</v>
      </c>
      <c r="L64" s="8">
        <f t="shared" si="20"/>
        <v>0.51417323888970712</v>
      </c>
      <c r="M64" s="8">
        <f t="shared" si="14"/>
        <v>0.6506060894194392</v>
      </c>
      <c r="N64" s="8">
        <f t="shared" si="14"/>
        <v>4.2704131797410083</v>
      </c>
      <c r="O64" s="8">
        <f t="shared" si="14"/>
        <v>0.5970828737020889</v>
      </c>
      <c r="P64" s="8">
        <f t="shared" si="4"/>
        <v>-3.7562399408513012</v>
      </c>
    </row>
    <row r="65" spans="1:16">
      <c r="A65" s="8190" t="s">
        <v>1206</v>
      </c>
      <c r="B65" s="8191">
        <v>5.4703709876101598</v>
      </c>
      <c r="C65" s="8192">
        <v>5.0907346083766623</v>
      </c>
      <c r="D65" s="8193">
        <v>14.974079347494692</v>
      </c>
      <c r="E65" s="8194">
        <v>5.251019906606528</v>
      </c>
      <c r="F65" s="8195">
        <v>2023</v>
      </c>
      <c r="G65" s="8196">
        <v>6364943</v>
      </c>
      <c r="H65" s="2712"/>
      <c r="J65" s="8" t="str">
        <f t="shared" si="18"/>
        <v xml:space="preserve">  SLV</v>
      </c>
      <c r="K65" s="8">
        <f t="shared" si="19"/>
        <v>2023</v>
      </c>
      <c r="L65" s="8">
        <f t="shared" si="20"/>
        <v>5.4703709876101598</v>
      </c>
      <c r="M65" s="8">
        <f t="shared" si="14"/>
        <v>5.0907346083766623</v>
      </c>
      <c r="N65" s="8">
        <f t="shared" si="14"/>
        <v>14.974079347494692</v>
      </c>
      <c r="O65" s="8">
        <f t="shared" si="14"/>
        <v>5.251019906606528</v>
      </c>
      <c r="P65" s="8">
        <f t="shared" si="4"/>
        <v>-9.5037083598845324</v>
      </c>
    </row>
    <row r="66" spans="1:16">
      <c r="A66" s="8197" t="s">
        <v>1207</v>
      </c>
      <c r="B66" s="8198">
        <v>12.46956465279356</v>
      </c>
      <c r="C66" s="8199">
        <v>22.865269009502057</v>
      </c>
      <c r="D66" s="8200">
        <v>59.253393186847262</v>
      </c>
      <c r="E66" s="8201">
        <v>20.275025278058646</v>
      </c>
      <c r="F66" s="8202">
        <v>2022</v>
      </c>
      <c r="G66" s="8203">
        <v>3423109</v>
      </c>
      <c r="H66" s="2713"/>
      <c r="J66" s="8" t="str">
        <f t="shared" si="18"/>
        <v xml:space="preserve">  URY</v>
      </c>
      <c r="K66" s="8">
        <f t="shared" si="19"/>
        <v>2022</v>
      </c>
      <c r="L66" s="8">
        <f t="shared" si="20"/>
        <v>12.46956465279356</v>
      </c>
      <c r="M66" s="8">
        <f t="shared" si="14"/>
        <v>22.865269009502057</v>
      </c>
      <c r="N66" s="8">
        <f t="shared" si="14"/>
        <v>59.253393186847262</v>
      </c>
      <c r="O66" s="8">
        <f t="shared" si="14"/>
        <v>20.275025278058646</v>
      </c>
      <c r="P66" s="8">
        <f t="shared" si="4"/>
        <v>-46.783828534053704</v>
      </c>
    </row>
    <row r="67" spans="1:16">
      <c r="A67" s="8204" t="s">
        <v>1203</v>
      </c>
      <c r="B67" s="8205">
        <v>24.878783123241188</v>
      </c>
      <c r="C67" s="8206">
        <v>34.398625464344931</v>
      </c>
      <c r="D67" s="8207">
        <v>48.337758256172499</v>
      </c>
      <c r="E67" s="8208">
        <v>27.249412207646355</v>
      </c>
      <c r="F67" s="8209">
        <v>2021</v>
      </c>
      <c r="G67" s="8210">
        <v>28838499</v>
      </c>
      <c r="H67" s="2714"/>
      <c r="J67" s="2648" t="str">
        <f t="shared" si="18"/>
        <v xml:space="preserve">  VEN</v>
      </c>
      <c r="K67" s="2648">
        <f t="shared" si="19"/>
        <v>2021</v>
      </c>
      <c r="L67" s="2648">
        <f t="shared" si="20"/>
        <v>24.878783123241188</v>
      </c>
      <c r="M67" s="2648">
        <f t="shared" si="14"/>
        <v>34.398625464344931</v>
      </c>
      <c r="N67" s="2648">
        <f t="shared" si="14"/>
        <v>48.337758256172499</v>
      </c>
      <c r="O67" s="2648">
        <f t="shared" si="14"/>
        <v>27.249412207646355</v>
      </c>
      <c r="P67" s="8">
        <f t="shared" si="4"/>
        <v>-23.458975132931311</v>
      </c>
    </row>
    <row r="68" spans="1:16">
      <c r="J68" s="3" t="s">
        <v>1261</v>
      </c>
      <c r="L68" s="8">
        <f>AVERAGE(L52:L67)</f>
        <v>7.9490321640497399</v>
      </c>
      <c r="M68" s="8">
        <f t="shared" ref="M68:O68" si="22">AVERAGE(M52:M67)</f>
        <v>11.789796397797005</v>
      </c>
      <c r="N68" s="8">
        <f t="shared" si="22"/>
        <v>27.358781320506473</v>
      </c>
      <c r="O68" s="8">
        <f t="shared" si="22"/>
        <v>10.162079171459002</v>
      </c>
      <c r="P68" s="8">
        <f t="shared" si="4"/>
        <v>-19.409749156456733</v>
      </c>
    </row>
    <row r="69" spans="1:16" ht="15" thickBot="1">
      <c r="J69" s="212" t="s">
        <v>1145</v>
      </c>
      <c r="K69" s="85"/>
      <c r="L69" s="85">
        <f>SUMPRODUCT(B52:B67,$G52:$G67)/SUM($G52:$G67)</f>
        <v>8.1690778521089964</v>
      </c>
      <c r="M69" s="85">
        <f>SUMPRODUCT(C52:C67,$G52:$G67)/SUM($G52:$G67)</f>
        <v>13.983665108709257</v>
      </c>
      <c r="N69" s="85">
        <f>SUMPRODUCT(D52:D67,$G52:$G67)/SUM($G52:$G67)</f>
        <v>31.832375915375142</v>
      </c>
      <c r="O69" s="85">
        <f>SUMPRODUCT(E52:E67,$G52:$G67)/SUM($G52:$G67)</f>
        <v>11.62991649014312</v>
      </c>
      <c r="P69" s="8">
        <f t="shared" si="4"/>
        <v>-23.663298063266147</v>
      </c>
    </row>
    <row r="70" spans="1:16" ht="15" thickTop="1">
      <c r="A70" s="8211"/>
      <c r="B70" s="9304" t="s">
        <v>1218</v>
      </c>
      <c r="C70" s="9305" t="s">
        <v>1218</v>
      </c>
      <c r="D70" s="9306" t="s">
        <v>1218</v>
      </c>
      <c r="E70" s="8212" t="s">
        <v>1003</v>
      </c>
      <c r="F70" s="8213" t="s">
        <v>1186</v>
      </c>
      <c r="G70" s="8214" t="s">
        <v>1257</v>
      </c>
      <c r="H70" s="2715"/>
      <c r="P70" s="8">
        <f t="shared" si="4"/>
        <v>0</v>
      </c>
    </row>
    <row r="71" spans="1:16">
      <c r="A71" s="8215"/>
      <c r="B71" s="9291" t="s">
        <v>1187</v>
      </c>
      <c r="C71" s="9291" t="s">
        <v>1187</v>
      </c>
      <c r="D71" s="9291" t="s">
        <v>1187</v>
      </c>
      <c r="E71" s="8216" t="s">
        <v>1187</v>
      </c>
      <c r="G71" s="8217" t="s">
        <v>1187</v>
      </c>
      <c r="H71" s="2716"/>
      <c r="P71" s="8">
        <f t="shared" ref="P71:P134" si="23">L71-N71</f>
        <v>0</v>
      </c>
    </row>
    <row r="72" spans="1:16">
      <c r="A72" s="8218"/>
      <c r="B72" s="9292" t="s">
        <v>1045</v>
      </c>
      <c r="C72" s="9292" t="s">
        <v>1045</v>
      </c>
      <c r="D72" s="9292" t="s">
        <v>1045</v>
      </c>
      <c r="E72" s="8219" t="s">
        <v>1218</v>
      </c>
      <c r="P72" s="8">
        <f t="shared" si="23"/>
        <v>0</v>
      </c>
    </row>
    <row r="73" spans="1:16" ht="15" thickBot="1">
      <c r="A73" s="8220"/>
      <c r="B73" s="8221" t="s">
        <v>1187</v>
      </c>
      <c r="C73" s="8222" t="s">
        <v>1188</v>
      </c>
      <c r="D73" s="8223" t="s">
        <v>1189</v>
      </c>
      <c r="E73" s="8224" t="s">
        <v>1187</v>
      </c>
      <c r="J73" s="972" t="str">
        <f>E72</f>
        <v>El hogar posee computador</v>
      </c>
      <c r="K73" s="2649"/>
      <c r="L73" s="85"/>
      <c r="M73" s="85"/>
      <c r="N73" s="85"/>
      <c r="O73" s="85"/>
      <c r="P73" s="8">
        <f t="shared" si="23"/>
        <v>0</v>
      </c>
    </row>
    <row r="74" spans="1:16" ht="15" thickTop="1">
      <c r="A74" s="8225" t="s">
        <v>1125</v>
      </c>
      <c r="B74" s="8226"/>
      <c r="C74" s="8227"/>
      <c r="D74" s="8228"/>
      <c r="E74" s="8229"/>
      <c r="F74" s="8230"/>
      <c r="G74" s="8231"/>
      <c r="H74" s="2717"/>
      <c r="J74" s="213" t="s">
        <v>904</v>
      </c>
      <c r="K74" s="216" t="s">
        <v>938</v>
      </c>
      <c r="L74" s="2650" t="s">
        <v>1141</v>
      </c>
      <c r="M74" s="2650" t="s">
        <v>1142</v>
      </c>
      <c r="N74" s="2650" t="s">
        <v>1102</v>
      </c>
      <c r="O74" s="2651" t="s">
        <v>1152</v>
      </c>
      <c r="P74" s="8" t="e">
        <f t="shared" si="23"/>
        <v>#VALUE!</v>
      </c>
    </row>
    <row r="75" spans="1:16">
      <c r="A75" s="8232" t="s">
        <v>1191</v>
      </c>
      <c r="B75" s="8233">
        <v>7.6091663313030882</v>
      </c>
      <c r="C75" s="8234">
        <v>10.530614006443962</v>
      </c>
      <c r="D75" s="8235">
        <v>36.464822440973812</v>
      </c>
      <c r="E75" s="8236">
        <v>9.4409220316533613</v>
      </c>
      <c r="F75" s="8237">
        <v>2022</v>
      </c>
      <c r="G75" s="8238">
        <v>12388571</v>
      </c>
      <c r="H75" s="2718"/>
      <c r="J75" s="8" t="str">
        <f>A75</f>
        <v xml:space="preserve">  BOL</v>
      </c>
      <c r="K75" s="8">
        <f>F75*1</f>
        <v>2022</v>
      </c>
      <c r="L75" s="8">
        <f>B75</f>
        <v>7.6091663313030882</v>
      </c>
      <c r="M75" s="8">
        <f t="shared" ref="M75:O87" si="24">C75</f>
        <v>10.530614006443962</v>
      </c>
      <c r="N75" s="8">
        <f t="shared" si="24"/>
        <v>36.464822440973812</v>
      </c>
      <c r="O75" s="8">
        <f t="shared" si="24"/>
        <v>9.4409220316533613</v>
      </c>
      <c r="P75" s="8">
        <f t="shared" si="23"/>
        <v>-28.855656109670726</v>
      </c>
    </row>
    <row r="76" spans="1:16">
      <c r="A76" s="8239" t="s">
        <v>1192</v>
      </c>
      <c r="B76" s="8240">
        <v>10.670205000328838</v>
      </c>
      <c r="C76" s="8241">
        <v>22.064133993404045</v>
      </c>
      <c r="D76" s="8242">
        <v>49.296491881430256</v>
      </c>
      <c r="E76" s="8243">
        <v>17.526182186229434</v>
      </c>
      <c r="F76" s="8244">
        <v>2019</v>
      </c>
      <c r="G76" s="8245">
        <v>216422446</v>
      </c>
      <c r="H76" s="2719"/>
      <c r="J76" s="8" t="str">
        <f t="shared" ref="J76:J77" si="25">A76</f>
        <v xml:space="preserve">  BRA</v>
      </c>
      <c r="K76" s="8">
        <f t="shared" ref="K76:K77" si="26">F76*1</f>
        <v>2019</v>
      </c>
      <c r="L76" s="8">
        <f t="shared" ref="L76:L77" si="27">B76</f>
        <v>10.670205000328838</v>
      </c>
      <c r="M76" s="8">
        <f t="shared" si="24"/>
        <v>22.064133993404045</v>
      </c>
      <c r="N76" s="8">
        <f t="shared" si="24"/>
        <v>49.296491881430256</v>
      </c>
      <c r="O76" s="8">
        <f t="shared" si="24"/>
        <v>17.526182186229434</v>
      </c>
      <c r="P76" s="8">
        <f t="shared" si="23"/>
        <v>-38.626286881101421</v>
      </c>
    </row>
    <row r="77" spans="1:16">
      <c r="A77" s="8246" t="s">
        <v>1193</v>
      </c>
      <c r="B77" s="8247">
        <v>39.060418674666174</v>
      </c>
      <c r="C77" s="8248">
        <v>44.438348599838278</v>
      </c>
      <c r="D77" s="8249">
        <v>59.074586267325977</v>
      </c>
      <c r="E77" s="8250">
        <v>43.100608134045402</v>
      </c>
      <c r="F77" s="8251">
        <v>2017</v>
      </c>
      <c r="G77" s="8252">
        <v>19629590</v>
      </c>
      <c r="H77" s="2720"/>
      <c r="J77" s="8" t="str">
        <f t="shared" si="25"/>
        <v xml:space="preserve">  CHL</v>
      </c>
      <c r="K77" s="8">
        <f t="shared" si="26"/>
        <v>2017</v>
      </c>
      <c r="L77" s="8">
        <f t="shared" si="27"/>
        <v>39.060418674666174</v>
      </c>
      <c r="M77" s="8">
        <f t="shared" si="24"/>
        <v>44.438348599838278</v>
      </c>
      <c r="N77" s="8">
        <f t="shared" si="24"/>
        <v>59.074586267325977</v>
      </c>
      <c r="O77" s="8">
        <f t="shared" si="24"/>
        <v>43.100608134045402</v>
      </c>
      <c r="P77" s="8">
        <f t="shared" si="23"/>
        <v>-20.014167592659803</v>
      </c>
    </row>
    <row r="78" spans="1:16">
      <c r="A78" s="8253" t="s">
        <v>1194</v>
      </c>
      <c r="B78" s="8254">
        <v>8.437112337700329</v>
      </c>
      <c r="C78" s="8255">
        <v>15.399308972038723</v>
      </c>
      <c r="D78" s="8256">
        <v>42.202133159971552</v>
      </c>
      <c r="E78" s="8257">
        <v>12.270164854773606</v>
      </c>
      <c r="F78" s="8258">
        <v>2021</v>
      </c>
      <c r="G78" s="8259">
        <v>52085168</v>
      </c>
      <c r="H78" s="2721"/>
      <c r="J78" s="8" t="str">
        <f t="shared" ref="J78:J87" si="28">A78</f>
        <v xml:space="preserve">  COL</v>
      </c>
      <c r="K78" s="8">
        <f t="shared" ref="K78:K87" si="29">F78*1</f>
        <v>2021</v>
      </c>
      <c r="L78" s="8">
        <f t="shared" ref="L78:L87" si="30">B78</f>
        <v>8.437112337700329</v>
      </c>
      <c r="M78" s="8">
        <f t="shared" si="24"/>
        <v>15.399308972038723</v>
      </c>
      <c r="N78" s="8">
        <f t="shared" si="24"/>
        <v>42.202133159971552</v>
      </c>
      <c r="O78" s="8">
        <f t="shared" si="24"/>
        <v>12.270164854773606</v>
      </c>
      <c r="P78" s="8">
        <f t="shared" si="23"/>
        <v>-33.765020822271225</v>
      </c>
    </row>
    <row r="79" spans="1:16">
      <c r="A79" s="8260" t="s">
        <v>1195</v>
      </c>
      <c r="B79" s="8261">
        <v>15.48776544141425</v>
      </c>
      <c r="C79" s="8262">
        <v>22.127781082688873</v>
      </c>
      <c r="D79" s="8263">
        <v>49.528240422858616</v>
      </c>
      <c r="E79" s="8264">
        <v>20.094092012083394</v>
      </c>
      <c r="F79" s="8265">
        <v>2023</v>
      </c>
      <c r="G79" s="8266">
        <v>5212173</v>
      </c>
      <c r="H79" s="2722"/>
      <c r="J79" s="8" t="str">
        <f t="shared" si="28"/>
        <v xml:space="preserve">  CRI</v>
      </c>
      <c r="K79" s="8">
        <f t="shared" si="29"/>
        <v>2023</v>
      </c>
      <c r="L79" s="8">
        <f t="shared" si="30"/>
        <v>15.48776544141425</v>
      </c>
      <c r="M79" s="8">
        <f t="shared" si="24"/>
        <v>22.127781082688873</v>
      </c>
      <c r="N79" s="8">
        <f t="shared" si="24"/>
        <v>49.528240422858616</v>
      </c>
      <c r="O79" s="8">
        <f t="shared" si="24"/>
        <v>20.094092012083394</v>
      </c>
      <c r="P79" s="8">
        <f t="shared" si="23"/>
        <v>-34.040474981444362</v>
      </c>
    </row>
    <row r="80" spans="1:16">
      <c r="A80" s="8267" t="s">
        <v>1196</v>
      </c>
      <c r="B80" s="8268">
        <v>11.635018879591403</v>
      </c>
      <c r="C80" s="8269">
        <v>10.829250790871177</v>
      </c>
      <c r="D80" s="8270">
        <v>17.220840530656375</v>
      </c>
      <c r="E80" s="8271">
        <v>11.07566538050976</v>
      </c>
      <c r="F80" s="8272">
        <v>2022</v>
      </c>
      <c r="G80" s="8273">
        <v>11332973</v>
      </c>
      <c r="H80" s="2723"/>
      <c r="J80" s="8" t="str">
        <f t="shared" si="28"/>
        <v xml:space="preserve">  DOM</v>
      </c>
      <c r="K80" s="8">
        <f t="shared" si="29"/>
        <v>2022</v>
      </c>
      <c r="L80" s="8">
        <f t="shared" si="30"/>
        <v>11.635018879591403</v>
      </c>
      <c r="M80" s="8">
        <f t="shared" si="24"/>
        <v>10.829250790871177</v>
      </c>
      <c r="N80" s="8">
        <f t="shared" si="24"/>
        <v>17.220840530656375</v>
      </c>
      <c r="O80" s="8">
        <f t="shared" si="24"/>
        <v>11.07566538050976</v>
      </c>
      <c r="P80" s="8">
        <f t="shared" si="23"/>
        <v>-5.5858216510649719</v>
      </c>
    </row>
    <row r="81" spans="1:16">
      <c r="A81" s="8274" t="s">
        <v>1197</v>
      </c>
      <c r="B81" s="8275">
        <v>12.756009715054162</v>
      </c>
      <c r="C81" s="8276">
        <v>21.095441910370212</v>
      </c>
      <c r="D81" s="8277">
        <v>50.403352219916265</v>
      </c>
      <c r="E81" s="8278">
        <v>18.126846312781915</v>
      </c>
      <c r="F81" s="8279">
        <v>2017</v>
      </c>
      <c r="G81" s="8280">
        <v>18190484</v>
      </c>
      <c r="H81" s="2724"/>
      <c r="J81" s="8" t="str">
        <f t="shared" si="28"/>
        <v xml:space="preserve">  ECU</v>
      </c>
      <c r="K81" s="8">
        <f t="shared" si="29"/>
        <v>2017</v>
      </c>
      <c r="L81" s="8">
        <f t="shared" si="30"/>
        <v>12.756009715054162</v>
      </c>
      <c r="M81" s="8">
        <f t="shared" si="24"/>
        <v>21.095441910370212</v>
      </c>
      <c r="N81" s="8">
        <f t="shared" si="24"/>
        <v>50.403352219916265</v>
      </c>
      <c r="O81" s="8">
        <f t="shared" si="24"/>
        <v>18.126846312781915</v>
      </c>
      <c r="P81" s="8">
        <f t="shared" si="23"/>
        <v>-37.647342504862102</v>
      </c>
    </row>
    <row r="82" spans="1:16">
      <c r="A82" s="8281" t="s">
        <v>1204</v>
      </c>
      <c r="B82" s="8282">
        <v>0.5677987832236836</v>
      </c>
      <c r="C82" s="8283">
        <v>2.0173568267642277</v>
      </c>
      <c r="D82" s="8284">
        <v>18.140225514271169</v>
      </c>
      <c r="E82" s="8285">
        <v>1.2292751684230789</v>
      </c>
      <c r="F82" s="8286">
        <v>2006</v>
      </c>
      <c r="G82" s="8287">
        <v>18092026</v>
      </c>
      <c r="H82" s="2725"/>
      <c r="J82" s="8" t="str">
        <f t="shared" si="28"/>
        <v xml:space="preserve">  GTM</v>
      </c>
      <c r="K82" s="8">
        <f t="shared" si="29"/>
        <v>2006</v>
      </c>
      <c r="L82" s="8">
        <f t="shared" si="30"/>
        <v>0.5677987832236836</v>
      </c>
      <c r="M82" s="8">
        <f t="shared" si="24"/>
        <v>2.0173568267642277</v>
      </c>
      <c r="N82" s="8">
        <f t="shared" si="24"/>
        <v>18.140225514271169</v>
      </c>
      <c r="O82" s="8">
        <f t="shared" si="24"/>
        <v>1.2292751684230789</v>
      </c>
      <c r="P82" s="8">
        <f t="shared" si="23"/>
        <v>-17.572426731047486</v>
      </c>
    </row>
    <row r="83" spans="1:16">
      <c r="A83" s="8288" t="s">
        <v>1199</v>
      </c>
      <c r="B83" s="8289">
        <v>5.0265322318546728</v>
      </c>
      <c r="C83" s="8290">
        <v>8.5572317543526957</v>
      </c>
      <c r="D83" s="8291">
        <v>24.994159669780334</v>
      </c>
      <c r="E83" s="8292">
        <v>6.556660296103936</v>
      </c>
      <c r="F83" s="8293">
        <v>2023</v>
      </c>
      <c r="G83" s="8294">
        <v>10593798</v>
      </c>
      <c r="H83" s="2726"/>
      <c r="J83" s="8" t="str">
        <f t="shared" si="28"/>
        <v xml:space="preserve">  HND</v>
      </c>
      <c r="K83" s="8">
        <f t="shared" si="29"/>
        <v>2023</v>
      </c>
      <c r="L83" s="8">
        <f t="shared" si="30"/>
        <v>5.0265322318546728</v>
      </c>
      <c r="M83" s="8">
        <f t="shared" si="24"/>
        <v>8.5572317543526957</v>
      </c>
      <c r="N83" s="8">
        <f t="shared" si="24"/>
        <v>24.994159669780334</v>
      </c>
      <c r="O83" s="8">
        <f t="shared" si="24"/>
        <v>6.556660296103936</v>
      </c>
      <c r="P83" s="8">
        <f t="shared" si="23"/>
        <v>-19.96762743792566</v>
      </c>
    </row>
    <row r="84" spans="1:16">
      <c r="A84" s="8295" t="s">
        <v>1205</v>
      </c>
      <c r="B84" s="8296">
        <v>5.9215469794574682</v>
      </c>
      <c r="C84" s="8297">
        <v>13.265451454961907</v>
      </c>
      <c r="D84" s="8298">
        <v>37.187953106082858</v>
      </c>
      <c r="E84" s="8299">
        <v>10.912856885129372</v>
      </c>
      <c r="F84" s="8300">
        <v>2022</v>
      </c>
      <c r="G84" s="8301">
        <v>128455567</v>
      </c>
      <c r="H84" s="2727"/>
      <c r="J84" s="8" t="str">
        <f t="shared" si="28"/>
        <v xml:space="preserve">  MEX</v>
      </c>
      <c r="K84" s="8">
        <f t="shared" si="29"/>
        <v>2022</v>
      </c>
      <c r="L84" s="8">
        <f t="shared" si="30"/>
        <v>5.9215469794574682</v>
      </c>
      <c r="M84" s="8">
        <f t="shared" si="24"/>
        <v>13.265451454961907</v>
      </c>
      <c r="N84" s="8">
        <f t="shared" si="24"/>
        <v>37.187953106082858</v>
      </c>
      <c r="O84" s="8">
        <f t="shared" si="24"/>
        <v>10.912856885129372</v>
      </c>
      <c r="P84" s="8">
        <f t="shared" si="23"/>
        <v>-31.266406126625391</v>
      </c>
    </row>
    <row r="85" spans="1:16">
      <c r="A85" s="8302" t="s">
        <v>1200</v>
      </c>
      <c r="B85" s="8303">
        <v>7.1666612741450155</v>
      </c>
      <c r="C85" s="8304">
        <v>12.253212862674673</v>
      </c>
      <c r="D85" s="8305">
        <v>41.934316926598498</v>
      </c>
      <c r="E85" s="8306">
        <v>10.169704921508989</v>
      </c>
      <c r="F85" s="8307">
        <v>2017</v>
      </c>
      <c r="G85" s="8308">
        <v>4468087</v>
      </c>
      <c r="H85" s="2728"/>
      <c r="J85" s="8" t="str">
        <f t="shared" si="28"/>
        <v xml:space="preserve">  PAN</v>
      </c>
      <c r="K85" s="8">
        <f t="shared" si="29"/>
        <v>2017</v>
      </c>
      <c r="L85" s="8">
        <f t="shared" si="30"/>
        <v>7.1666612741450155</v>
      </c>
      <c r="M85" s="8">
        <f t="shared" si="24"/>
        <v>12.253212862674673</v>
      </c>
      <c r="N85" s="8">
        <f t="shared" si="24"/>
        <v>41.934316926598498</v>
      </c>
      <c r="O85" s="8">
        <f t="shared" si="24"/>
        <v>10.169704921508989</v>
      </c>
      <c r="P85" s="8">
        <f t="shared" si="23"/>
        <v>-34.767655652453485</v>
      </c>
    </row>
    <row r="86" spans="1:16">
      <c r="A86" s="8309" t="s">
        <v>1201</v>
      </c>
      <c r="B86" s="8310">
        <v>10.470563599313186</v>
      </c>
      <c r="C86" s="8311">
        <v>18.364037640684092</v>
      </c>
      <c r="D86" s="8312">
        <v>41.591080821383983</v>
      </c>
      <c r="E86" s="8313">
        <v>15.855720805877645</v>
      </c>
      <c r="F86" s="8314">
        <v>2022</v>
      </c>
      <c r="G86" s="8315">
        <v>34352719</v>
      </c>
      <c r="H86" s="2729"/>
      <c r="J86" s="8" t="str">
        <f t="shared" si="28"/>
        <v xml:space="preserve">  PER</v>
      </c>
      <c r="K86" s="8">
        <f t="shared" si="29"/>
        <v>2022</v>
      </c>
      <c r="L86" s="8">
        <f t="shared" si="30"/>
        <v>10.470563599313186</v>
      </c>
      <c r="M86" s="8">
        <f t="shared" si="24"/>
        <v>18.364037640684092</v>
      </c>
      <c r="N86" s="8">
        <f t="shared" si="24"/>
        <v>41.591080821383983</v>
      </c>
      <c r="O86" s="8">
        <f t="shared" si="24"/>
        <v>15.855720805877645</v>
      </c>
      <c r="P86" s="8">
        <f t="shared" si="23"/>
        <v>-31.120517222070795</v>
      </c>
    </row>
    <row r="87" spans="1:16">
      <c r="A87" s="8316" t="s">
        <v>1202</v>
      </c>
      <c r="B87" s="8317">
        <v>3.7746207302866783</v>
      </c>
      <c r="C87" s="8318">
        <v>7.3612419718723805</v>
      </c>
      <c r="D87" s="8319">
        <v>38.44866258477559</v>
      </c>
      <c r="E87" s="8320">
        <v>5.9541944634133532</v>
      </c>
      <c r="F87" s="8321">
        <v>2022</v>
      </c>
      <c r="G87" s="8322">
        <v>6861524</v>
      </c>
      <c r="H87" s="2730"/>
      <c r="J87" s="8" t="str">
        <f t="shared" si="28"/>
        <v xml:space="preserve">  PRY</v>
      </c>
      <c r="K87" s="8">
        <f t="shared" si="29"/>
        <v>2022</v>
      </c>
      <c r="L87" s="8">
        <f t="shared" si="30"/>
        <v>3.7746207302866783</v>
      </c>
      <c r="M87" s="8">
        <f t="shared" si="24"/>
        <v>7.3612419718723805</v>
      </c>
      <c r="N87" s="8">
        <f t="shared" si="24"/>
        <v>38.44866258477559</v>
      </c>
      <c r="O87" s="8">
        <f t="shared" si="24"/>
        <v>5.9541944634133532</v>
      </c>
      <c r="P87" s="8">
        <f t="shared" si="23"/>
        <v>-34.674041854488912</v>
      </c>
    </row>
    <row r="88" spans="1:16">
      <c r="A88" s="8323"/>
      <c r="B88" s="8324"/>
      <c r="C88" s="8325"/>
      <c r="D88" s="8326"/>
      <c r="E88" s="8327"/>
      <c r="F88" s="8328"/>
      <c r="G88" s="8329"/>
      <c r="H88" s="2731"/>
      <c r="J88" s="7411"/>
      <c r="K88" s="7412"/>
      <c r="L88" s="7412"/>
      <c r="M88" s="7412"/>
      <c r="N88" s="7412"/>
      <c r="O88" s="7412"/>
      <c r="P88" s="8"/>
    </row>
    <row r="89" spans="1:16">
      <c r="A89" s="8330"/>
      <c r="B89" s="8331"/>
      <c r="C89" s="8332"/>
      <c r="D89" s="8333"/>
      <c r="E89" s="8334"/>
      <c r="F89" s="8335"/>
      <c r="G89" s="8336"/>
      <c r="H89" s="2732"/>
      <c r="J89" s="7411"/>
      <c r="K89" s="7412"/>
      <c r="L89" s="7412"/>
      <c r="M89" s="7412"/>
      <c r="N89" s="7412"/>
      <c r="O89" s="7412"/>
      <c r="P89" s="8"/>
    </row>
    <row r="90" spans="1:16">
      <c r="A90" s="8337" t="s">
        <v>1203</v>
      </c>
      <c r="B90" s="8338">
        <v>18.780058484604996</v>
      </c>
      <c r="C90" s="8339">
        <v>22.602483329988456</v>
      </c>
      <c r="D90" s="8340">
        <v>34.947142989990503</v>
      </c>
      <c r="E90" s="8341">
        <v>19.731917894323786</v>
      </c>
      <c r="F90" s="8342">
        <v>2021</v>
      </c>
      <c r="G90" s="8343">
        <v>28838499</v>
      </c>
      <c r="H90" s="2733"/>
      <c r="J90" s="2648" t="str">
        <f>A90</f>
        <v xml:space="preserve">  VEN</v>
      </c>
      <c r="K90" s="2648">
        <f>F90*1</f>
        <v>2021</v>
      </c>
      <c r="L90" s="2648">
        <f>B90</f>
        <v>18.780058484604996</v>
      </c>
      <c r="M90" s="2648">
        <f>C90</f>
        <v>22.602483329988456</v>
      </c>
      <c r="N90" s="2648">
        <f>D90</f>
        <v>34.947142989990503</v>
      </c>
      <c r="O90" s="2648">
        <f>E90</f>
        <v>19.731917894323786</v>
      </c>
      <c r="P90" s="8">
        <f>L90-N90</f>
        <v>-16.167084505385507</v>
      </c>
    </row>
    <row r="91" spans="1:16">
      <c r="A91" s="7500" t="s">
        <v>1206</v>
      </c>
      <c r="B91" s="7808">
        <v>49.868692588614358</v>
      </c>
      <c r="C91" s="7809">
        <v>55.490876551299564</v>
      </c>
      <c r="D91" s="7810">
        <v>51.525896545000784</v>
      </c>
      <c r="E91" s="7811">
        <v>53.117148735799816</v>
      </c>
      <c r="F91" s="7812">
        <v>2023</v>
      </c>
      <c r="G91" s="7813">
        <v>6364943</v>
      </c>
      <c r="J91" s="3" t="s">
        <v>1261</v>
      </c>
      <c r="L91" s="8">
        <f>AVERAGE(L75:L90)</f>
        <v>11.240248461638854</v>
      </c>
      <c r="M91" s="8">
        <f>AVERAGE(M75:M90)</f>
        <v>16.493278228353837</v>
      </c>
      <c r="N91" s="8">
        <f>AVERAGE(N75:N90)</f>
        <v>38.673857752572566</v>
      </c>
      <c r="O91" s="8">
        <f>AVERAGE(O75:O90)</f>
        <v>14.431772239061214</v>
      </c>
      <c r="P91" s="8">
        <f t="shared" si="23"/>
        <v>-27.43360929093371</v>
      </c>
    </row>
    <row r="92" spans="1:16" ht="15" thickBot="1">
      <c r="A92" s="7501" t="s">
        <v>1207</v>
      </c>
      <c r="B92" s="7814">
        <v>68.827711586533781</v>
      </c>
      <c r="C92" s="7815">
        <v>61.058800715347651</v>
      </c>
      <c r="D92" s="7816">
        <v>64.832860001973188</v>
      </c>
      <c r="E92" s="7817">
        <v>62.994539939332661</v>
      </c>
      <c r="F92" s="7818">
        <v>2022</v>
      </c>
      <c r="G92" s="7819">
        <v>3423109</v>
      </c>
      <c r="J92" s="212" t="s">
        <v>1145</v>
      </c>
      <c r="K92" s="85"/>
      <c r="L92" s="85">
        <f>SUMPRODUCT(B75:B90,$G75:$G90)/SUM($G75:$G90)</f>
        <v>10.297206355528902</v>
      </c>
      <c r="M92" s="85">
        <f>SUMPRODUCT(C75:C90,$G75:$G90)/SUM($G75:$G90)</f>
        <v>18.381523288760288</v>
      </c>
      <c r="N92" s="85">
        <f>SUMPRODUCT(D75:D90,$G75:$G90)/SUM($G75:$G90)</f>
        <v>42.521164147850783</v>
      </c>
      <c r="O92" s="85">
        <f>SUMPRODUCT(E75:E90,$G75:$G90)/SUM($G75:$G90)</f>
        <v>15.255471220761345</v>
      </c>
      <c r="P92" s="8">
        <f t="shared" si="23"/>
        <v>-32.223957792321883</v>
      </c>
    </row>
    <row r="93" spans="1:16" ht="15" thickTop="1">
      <c r="A93" s="8344"/>
      <c r="B93" s="9293" t="s">
        <v>1219</v>
      </c>
      <c r="C93" s="9294" t="s">
        <v>1219</v>
      </c>
      <c r="D93" s="9295" t="s">
        <v>1219</v>
      </c>
      <c r="E93" s="8345" t="s">
        <v>1003</v>
      </c>
      <c r="F93" s="8346" t="s">
        <v>1186</v>
      </c>
      <c r="G93" s="8347" t="s">
        <v>1257</v>
      </c>
      <c r="H93" s="2734"/>
      <c r="J93" s="7412" t="str">
        <f>A91</f>
        <v xml:space="preserve">  SLV</v>
      </c>
      <c r="K93" s="7412">
        <f>F91*1</f>
        <v>2023</v>
      </c>
      <c r="L93" s="7412">
        <f>B91</f>
        <v>49.868692588614358</v>
      </c>
      <c r="M93" s="7412">
        <f t="shared" ref="L93:O94" si="31">C91</f>
        <v>55.490876551299564</v>
      </c>
      <c r="N93" s="7412">
        <f t="shared" si="31"/>
        <v>51.525896545000784</v>
      </c>
      <c r="O93" s="7412">
        <f t="shared" si="31"/>
        <v>53.117148735799816</v>
      </c>
      <c r="P93" s="8" t="e">
        <f>#REF!-#REF!</f>
        <v>#REF!</v>
      </c>
    </row>
    <row r="94" spans="1:16">
      <c r="A94" s="8348"/>
      <c r="B94" s="9296" t="s">
        <v>1187</v>
      </c>
      <c r="C94" s="9296" t="s">
        <v>1187</v>
      </c>
      <c r="D94" s="9296" t="s">
        <v>1187</v>
      </c>
      <c r="E94" s="8349" t="s">
        <v>1187</v>
      </c>
      <c r="G94" s="8350" t="s">
        <v>1187</v>
      </c>
      <c r="H94" s="2735"/>
      <c r="J94" s="7412" t="str">
        <f>A92</f>
        <v xml:space="preserve">  URY</v>
      </c>
      <c r="K94" s="7412">
        <f>F92*1</f>
        <v>2022</v>
      </c>
      <c r="L94" s="7412">
        <f t="shared" si="31"/>
        <v>68.827711586533781</v>
      </c>
      <c r="M94" s="7412">
        <f t="shared" si="31"/>
        <v>61.058800715347651</v>
      </c>
      <c r="N94" s="7412">
        <f t="shared" si="31"/>
        <v>64.832860001973188</v>
      </c>
      <c r="O94" s="7412">
        <f t="shared" si="31"/>
        <v>62.994539939332661</v>
      </c>
      <c r="P94" s="8" t="e">
        <f>#REF!-#REF!</f>
        <v>#REF!</v>
      </c>
    </row>
    <row r="95" spans="1:16">
      <c r="A95" s="8351"/>
      <c r="B95" s="9297" t="s">
        <v>1045</v>
      </c>
      <c r="C95" s="9297" t="s">
        <v>1045</v>
      </c>
      <c r="D95" s="9297" t="s">
        <v>1045</v>
      </c>
      <c r="E95" s="8352" t="s">
        <v>1219</v>
      </c>
      <c r="P95" s="8">
        <f t="shared" si="23"/>
        <v>0</v>
      </c>
    </row>
    <row r="96" spans="1:16" ht="15" thickBot="1">
      <c r="A96" s="8353"/>
      <c r="B96" s="8354" t="s">
        <v>1187</v>
      </c>
      <c r="C96" s="8355" t="s">
        <v>1188</v>
      </c>
      <c r="D96" s="8356" t="s">
        <v>1189</v>
      </c>
      <c r="E96" s="8357" t="s">
        <v>1187</v>
      </c>
      <c r="J96" s="972" t="str">
        <f>E95</f>
        <v>El hogar posee conexión a internet</v>
      </c>
      <c r="K96" s="2649"/>
      <c r="L96" s="85"/>
      <c r="M96" s="85"/>
      <c r="N96" s="85"/>
      <c r="O96" s="85"/>
      <c r="P96" s="8">
        <f t="shared" si="23"/>
        <v>0</v>
      </c>
    </row>
    <row r="97" spans="1:16" ht="15" thickTop="1">
      <c r="A97" s="8358" t="s">
        <v>1125</v>
      </c>
      <c r="B97" s="8359"/>
      <c r="C97" s="8360"/>
      <c r="D97" s="8361"/>
      <c r="E97" s="8362"/>
      <c r="F97" s="8363"/>
      <c r="G97" s="8364"/>
      <c r="H97" s="2736"/>
      <c r="J97" s="213" t="s">
        <v>904</v>
      </c>
      <c r="K97" s="216" t="s">
        <v>938</v>
      </c>
      <c r="L97" s="2650" t="s">
        <v>1141</v>
      </c>
      <c r="M97" s="2650" t="s">
        <v>1142</v>
      </c>
      <c r="N97" s="2650" t="s">
        <v>1102</v>
      </c>
      <c r="O97" s="2651" t="s">
        <v>1152</v>
      </c>
      <c r="P97" s="8" t="e">
        <f t="shared" si="23"/>
        <v>#VALUE!</v>
      </c>
    </row>
    <row r="98" spans="1:16">
      <c r="A98" s="8365" t="s">
        <v>1191</v>
      </c>
      <c r="B98" s="8366">
        <v>47.073982278237899</v>
      </c>
      <c r="C98" s="8367">
        <v>48.608035829009552</v>
      </c>
      <c r="D98" s="8368">
        <v>76.093405723611014</v>
      </c>
      <c r="E98" s="8369">
        <v>48.035838059595697</v>
      </c>
      <c r="F98" s="8370">
        <v>2022</v>
      </c>
      <c r="G98" s="8371">
        <v>12388571</v>
      </c>
      <c r="H98" s="2737"/>
      <c r="J98" s="8" t="str">
        <f>A98</f>
        <v xml:space="preserve">  BOL</v>
      </c>
      <c r="K98" s="8">
        <f>F98*1</f>
        <v>2022</v>
      </c>
      <c r="L98" s="8">
        <f>B98</f>
        <v>47.073982278237899</v>
      </c>
      <c r="M98" s="8">
        <f t="shared" ref="M98:O113" si="32">C98</f>
        <v>48.608035829009552</v>
      </c>
      <c r="N98" s="8">
        <f t="shared" si="32"/>
        <v>76.093405723611014</v>
      </c>
      <c r="O98" s="8">
        <f t="shared" si="32"/>
        <v>48.035838059595697</v>
      </c>
      <c r="P98" s="8">
        <f t="shared" si="23"/>
        <v>-29.019423445373114</v>
      </c>
    </row>
    <row r="99" spans="1:16">
      <c r="A99" s="8372" t="s">
        <v>1192</v>
      </c>
      <c r="B99" s="8373">
        <v>63.277956293960457</v>
      </c>
      <c r="C99" s="8374">
        <v>77.295747536875041</v>
      </c>
      <c r="D99" s="8375">
        <v>82.918728624110798</v>
      </c>
      <c r="E99" s="8376">
        <v>71.712768992595741</v>
      </c>
      <c r="F99" s="8377">
        <v>2019</v>
      </c>
      <c r="G99" s="8378">
        <v>216422446</v>
      </c>
      <c r="H99" s="2738"/>
      <c r="J99" s="8" t="str">
        <f t="shared" ref="J99:J100" si="33">A99</f>
        <v xml:space="preserve">  BRA</v>
      </c>
      <c r="K99" s="8">
        <f t="shared" ref="K99:K100" si="34">F99*1</f>
        <v>2019</v>
      </c>
      <c r="L99" s="8">
        <f t="shared" ref="L99:L100" si="35">B99</f>
        <v>63.277956293960457</v>
      </c>
      <c r="M99" s="8">
        <f t="shared" si="32"/>
        <v>77.295747536875041</v>
      </c>
      <c r="N99" s="8">
        <f t="shared" si="32"/>
        <v>82.918728624110798</v>
      </c>
      <c r="O99" s="8">
        <f t="shared" si="32"/>
        <v>71.712768992595741</v>
      </c>
      <c r="P99" s="8">
        <f t="shared" si="23"/>
        <v>-19.640772330150341</v>
      </c>
    </row>
    <row r="100" spans="1:16">
      <c r="A100" s="8379" t="s">
        <v>1193</v>
      </c>
      <c r="B100" s="8380">
        <v>57.020327272333468</v>
      </c>
      <c r="C100" s="8381">
        <v>64.779285602870061</v>
      </c>
      <c r="D100" s="8382">
        <v>76.768112898685175</v>
      </c>
      <c r="E100" s="8383">
        <v>62.849273000329994</v>
      </c>
      <c r="F100" s="8384">
        <v>2017</v>
      </c>
      <c r="G100" s="8385">
        <v>19629590</v>
      </c>
      <c r="H100" s="2739"/>
      <c r="J100" s="8" t="str">
        <f t="shared" si="33"/>
        <v xml:space="preserve">  CHL</v>
      </c>
      <c r="K100" s="8">
        <f t="shared" si="34"/>
        <v>2017</v>
      </c>
      <c r="L100" s="8">
        <f t="shared" si="35"/>
        <v>57.020327272333468</v>
      </c>
      <c r="M100" s="8">
        <f t="shared" si="32"/>
        <v>64.779285602870061</v>
      </c>
      <c r="N100" s="8">
        <f t="shared" si="32"/>
        <v>76.768112898685175</v>
      </c>
      <c r="O100" s="8">
        <f t="shared" si="32"/>
        <v>62.849273000329994</v>
      </c>
      <c r="P100" s="8">
        <f t="shared" si="23"/>
        <v>-19.747785626351707</v>
      </c>
    </row>
    <row r="101" spans="1:16">
      <c r="A101" s="8386" t="s">
        <v>1194</v>
      </c>
      <c r="B101" s="8387">
        <v>21.450692988972705</v>
      </c>
      <c r="C101" s="8388">
        <v>38.230898984989544</v>
      </c>
      <c r="D101" s="8389">
        <v>64.337254089556666</v>
      </c>
      <c r="E101" s="8390">
        <v>30.689071938629102</v>
      </c>
      <c r="F101" s="8391">
        <v>2021</v>
      </c>
      <c r="G101" s="8392">
        <v>52085168</v>
      </c>
      <c r="H101" s="2740"/>
      <c r="J101" s="8" t="str">
        <f t="shared" ref="J101:J113" si="36">A101</f>
        <v xml:space="preserve">  COL</v>
      </c>
      <c r="K101" s="8">
        <f t="shared" ref="K101:K113" si="37">F101*1</f>
        <v>2021</v>
      </c>
      <c r="L101" s="8">
        <f t="shared" ref="L101:L113" si="38">B101</f>
        <v>21.450692988972705</v>
      </c>
      <c r="M101" s="8">
        <f t="shared" si="32"/>
        <v>38.230898984989544</v>
      </c>
      <c r="N101" s="8">
        <f t="shared" si="32"/>
        <v>64.337254089556666</v>
      </c>
      <c r="O101" s="8">
        <f t="shared" si="32"/>
        <v>30.689071938629102</v>
      </c>
      <c r="P101" s="8">
        <f t="shared" si="23"/>
        <v>-42.886561100583961</v>
      </c>
    </row>
    <row r="102" spans="1:16">
      <c r="A102" s="8393" t="s">
        <v>1195</v>
      </c>
      <c r="B102" s="8394">
        <v>69.23358844454026</v>
      </c>
      <c r="C102" s="8395">
        <v>74.119214753123146</v>
      </c>
      <c r="D102" s="8396">
        <v>83.711652444676702</v>
      </c>
      <c r="E102" s="8397">
        <v>72.622856105251003</v>
      </c>
      <c r="F102" s="8398">
        <v>2023</v>
      </c>
      <c r="G102" s="8399">
        <v>5212173</v>
      </c>
      <c r="H102" s="2741"/>
      <c r="J102" s="8" t="str">
        <f t="shared" si="36"/>
        <v xml:space="preserve">  CRI</v>
      </c>
      <c r="K102" s="8">
        <f t="shared" si="37"/>
        <v>2023</v>
      </c>
      <c r="L102" s="8">
        <f t="shared" si="38"/>
        <v>69.23358844454026</v>
      </c>
      <c r="M102" s="8">
        <f t="shared" si="32"/>
        <v>74.119214753123146</v>
      </c>
      <c r="N102" s="8">
        <f t="shared" si="32"/>
        <v>83.711652444676702</v>
      </c>
      <c r="O102" s="8">
        <f t="shared" si="32"/>
        <v>72.622856105251003</v>
      </c>
      <c r="P102" s="8">
        <f t="shared" si="23"/>
        <v>-14.478064000136442</v>
      </c>
    </row>
    <row r="103" spans="1:16">
      <c r="A103" s="8400" t="s">
        <v>1196</v>
      </c>
      <c r="B103" s="8401">
        <v>21.187027842404166</v>
      </c>
      <c r="C103" s="8402">
        <v>26.830870295472121</v>
      </c>
      <c r="D103" s="8403">
        <v>45.309152837374768</v>
      </c>
      <c r="E103" s="8404">
        <v>25.104908270509835</v>
      </c>
      <c r="F103" s="8405">
        <v>2022</v>
      </c>
      <c r="G103" s="8406">
        <v>11332973</v>
      </c>
      <c r="H103" s="2742"/>
      <c r="J103" s="8" t="str">
        <f t="shared" si="36"/>
        <v xml:space="preserve">  DOM</v>
      </c>
      <c r="K103" s="8">
        <f t="shared" si="37"/>
        <v>2022</v>
      </c>
      <c r="L103" s="8">
        <f t="shared" si="38"/>
        <v>21.187027842404166</v>
      </c>
      <c r="M103" s="8">
        <f t="shared" si="32"/>
        <v>26.830870295472121</v>
      </c>
      <c r="N103" s="8">
        <f t="shared" si="32"/>
        <v>45.309152837374768</v>
      </c>
      <c r="O103" s="8">
        <f t="shared" si="32"/>
        <v>25.104908270509835</v>
      </c>
      <c r="P103" s="8">
        <f t="shared" si="23"/>
        <v>-24.122124994970601</v>
      </c>
    </row>
    <row r="104" spans="1:16">
      <c r="A104" s="8407" t="s">
        <v>1197</v>
      </c>
      <c r="B104" s="8408">
        <v>10.192203097631989</v>
      </c>
      <c r="C104" s="8409">
        <v>17.547667573562951</v>
      </c>
      <c r="D104" s="8410">
        <v>46.736669952332065</v>
      </c>
      <c r="E104" s="8411">
        <v>14.929335899407739</v>
      </c>
      <c r="F104" s="8412">
        <v>2017</v>
      </c>
      <c r="G104" s="8413">
        <v>18190484</v>
      </c>
      <c r="H104" s="2743"/>
      <c r="J104" s="8" t="str">
        <f t="shared" si="36"/>
        <v xml:space="preserve">  ECU</v>
      </c>
      <c r="K104" s="8">
        <f t="shared" si="37"/>
        <v>2017</v>
      </c>
      <c r="L104" s="8">
        <f t="shared" si="38"/>
        <v>10.192203097631989</v>
      </c>
      <c r="M104" s="8">
        <f t="shared" si="32"/>
        <v>17.547667573562951</v>
      </c>
      <c r="N104" s="8">
        <f t="shared" si="32"/>
        <v>46.736669952332065</v>
      </c>
      <c r="O104" s="8">
        <f t="shared" si="32"/>
        <v>14.929335899407739</v>
      </c>
      <c r="P104" s="8">
        <f t="shared" si="23"/>
        <v>-36.544466854700076</v>
      </c>
    </row>
    <row r="105" spans="1:16">
      <c r="A105" s="8414" t="s">
        <v>1204</v>
      </c>
      <c r="B105" s="8415">
        <v>15.551684015669915</v>
      </c>
      <c r="C105" s="8416">
        <v>25.279807359649549</v>
      </c>
      <c r="D105" s="8417">
        <v>48.574110427109339</v>
      </c>
      <c r="E105" s="8418">
        <v>19.813024551191177</v>
      </c>
      <c r="F105" s="8419">
        <v>2022</v>
      </c>
      <c r="G105" s="8420">
        <v>18092026</v>
      </c>
      <c r="H105" s="2744"/>
      <c r="J105" s="8" t="str">
        <f t="shared" si="36"/>
        <v xml:space="preserve">  GTM</v>
      </c>
      <c r="K105" s="8">
        <f t="shared" si="37"/>
        <v>2022</v>
      </c>
      <c r="L105" s="8">
        <f t="shared" si="38"/>
        <v>15.551684015669915</v>
      </c>
      <c r="M105" s="8">
        <f t="shared" si="32"/>
        <v>25.279807359649549</v>
      </c>
      <c r="N105" s="8">
        <f t="shared" si="32"/>
        <v>48.574110427109339</v>
      </c>
      <c r="O105" s="8">
        <f t="shared" si="32"/>
        <v>19.813024551191177</v>
      </c>
      <c r="P105" s="8">
        <f t="shared" si="23"/>
        <v>-33.022426411439426</v>
      </c>
    </row>
    <row r="106" spans="1:16">
      <c r="A106" s="8421" t="s">
        <v>1199</v>
      </c>
      <c r="B106" s="8422">
        <v>37.304450156274633</v>
      </c>
      <c r="C106" s="8423">
        <v>50.255209027202433</v>
      </c>
      <c r="D106" s="8424">
        <v>71.254297487024459</v>
      </c>
      <c r="E106" s="8425">
        <v>42.914741106358434</v>
      </c>
      <c r="F106" s="8426">
        <v>2023</v>
      </c>
      <c r="G106" s="8427">
        <v>10593798</v>
      </c>
      <c r="H106" s="2745"/>
      <c r="J106" s="8" t="str">
        <f t="shared" si="36"/>
        <v xml:space="preserve">  HND</v>
      </c>
      <c r="K106" s="8">
        <f t="shared" si="37"/>
        <v>2023</v>
      </c>
      <c r="L106" s="8">
        <f t="shared" si="38"/>
        <v>37.304450156274633</v>
      </c>
      <c r="M106" s="8">
        <f t="shared" si="32"/>
        <v>50.255209027202433</v>
      </c>
      <c r="N106" s="8">
        <f t="shared" si="32"/>
        <v>71.254297487024459</v>
      </c>
      <c r="O106" s="8">
        <f t="shared" si="32"/>
        <v>42.914741106358434</v>
      </c>
      <c r="P106" s="8">
        <f t="shared" si="23"/>
        <v>-33.949847330749826</v>
      </c>
    </row>
    <row r="107" spans="1:16">
      <c r="A107" s="8428" t="s">
        <v>1205</v>
      </c>
      <c r="B107" s="8429">
        <v>23.343177706782154</v>
      </c>
      <c r="C107" s="8430">
        <v>43.76288545458366</v>
      </c>
      <c r="D107" s="8431">
        <v>69.342080434144719</v>
      </c>
      <c r="E107" s="8432">
        <v>37.221502226454803</v>
      </c>
      <c r="F107" s="8433">
        <v>2022</v>
      </c>
      <c r="G107" s="8434">
        <v>128455567</v>
      </c>
      <c r="H107" s="2746"/>
      <c r="J107" s="8" t="str">
        <f t="shared" si="36"/>
        <v xml:space="preserve">  MEX</v>
      </c>
      <c r="K107" s="8">
        <f t="shared" si="37"/>
        <v>2022</v>
      </c>
      <c r="L107" s="8">
        <f t="shared" si="38"/>
        <v>23.343177706782154</v>
      </c>
      <c r="M107" s="8">
        <f t="shared" si="32"/>
        <v>43.76288545458366</v>
      </c>
      <c r="N107" s="8">
        <f t="shared" si="32"/>
        <v>69.342080434144719</v>
      </c>
      <c r="O107" s="8">
        <f t="shared" si="32"/>
        <v>37.221502226454803</v>
      </c>
      <c r="P107" s="8">
        <f t="shared" si="23"/>
        <v>-45.998902727362562</v>
      </c>
    </row>
    <row r="108" spans="1:16">
      <c r="A108" s="8435" t="s">
        <v>1200</v>
      </c>
      <c r="B108" s="8436">
        <v>54.898300088434702</v>
      </c>
      <c r="C108" s="8437">
        <v>69.606287240209454</v>
      </c>
      <c r="D108" s="8438">
        <v>89.109029062481355</v>
      </c>
      <c r="E108" s="8439">
        <v>63.668767141918082</v>
      </c>
      <c r="F108" s="8440">
        <v>2022</v>
      </c>
      <c r="G108" s="8441">
        <v>4468087</v>
      </c>
      <c r="H108" s="2747"/>
      <c r="J108" s="8" t="str">
        <f t="shared" si="36"/>
        <v xml:space="preserve">  PAN</v>
      </c>
      <c r="K108" s="8">
        <f t="shared" si="37"/>
        <v>2022</v>
      </c>
      <c r="L108" s="8">
        <f t="shared" si="38"/>
        <v>54.898300088434702</v>
      </c>
      <c r="M108" s="8">
        <f t="shared" si="32"/>
        <v>69.606287240209454</v>
      </c>
      <c r="N108" s="8">
        <f t="shared" si="32"/>
        <v>89.109029062481355</v>
      </c>
      <c r="O108" s="8">
        <f t="shared" si="32"/>
        <v>63.668767141918082</v>
      </c>
      <c r="P108" s="8">
        <f t="shared" si="23"/>
        <v>-34.210728974046653</v>
      </c>
    </row>
    <row r="109" spans="1:16">
      <c r="A109" s="8442" t="s">
        <v>1201</v>
      </c>
      <c r="B109" s="8443">
        <v>23.458841336354897</v>
      </c>
      <c r="C109" s="8444">
        <v>36.386909055164011</v>
      </c>
      <c r="D109" s="8445">
        <v>66.981637253078404</v>
      </c>
      <c r="E109" s="8446">
        <v>32.278744547287232</v>
      </c>
      <c r="F109" s="8447">
        <v>2022</v>
      </c>
      <c r="G109" s="8448">
        <v>34352719</v>
      </c>
      <c r="H109" s="2748"/>
      <c r="J109" s="8" t="str">
        <f t="shared" si="36"/>
        <v xml:space="preserve">  PER</v>
      </c>
      <c r="K109" s="8">
        <f t="shared" si="37"/>
        <v>2022</v>
      </c>
      <c r="L109" s="8">
        <f t="shared" si="38"/>
        <v>23.458841336354897</v>
      </c>
      <c r="M109" s="8">
        <f t="shared" si="32"/>
        <v>36.386909055164011</v>
      </c>
      <c r="N109" s="8">
        <f t="shared" si="32"/>
        <v>66.981637253078404</v>
      </c>
      <c r="O109" s="8">
        <f t="shared" si="32"/>
        <v>32.278744547287232</v>
      </c>
      <c r="P109" s="8">
        <f t="shared" si="23"/>
        <v>-43.52279591672351</v>
      </c>
    </row>
    <row r="110" spans="1:16">
      <c r="A110" s="8449" t="s">
        <v>1202</v>
      </c>
      <c r="B110" s="8450">
        <v>11.575146508129917</v>
      </c>
      <c r="C110" s="8451">
        <v>23.072024802556324</v>
      </c>
      <c r="D110" s="8452">
        <v>63.984969441682217</v>
      </c>
      <c r="E110" s="8453">
        <v>18.561748174607342</v>
      </c>
      <c r="F110" s="8454">
        <v>2022</v>
      </c>
      <c r="G110" s="8455">
        <v>6861524</v>
      </c>
      <c r="H110" s="2749"/>
      <c r="J110" s="8" t="str">
        <f t="shared" si="36"/>
        <v xml:space="preserve">  PRY</v>
      </c>
      <c r="K110" s="8">
        <f t="shared" si="37"/>
        <v>2022</v>
      </c>
      <c r="L110" s="8">
        <f t="shared" si="38"/>
        <v>11.575146508129917</v>
      </c>
      <c r="M110" s="8">
        <f t="shared" si="32"/>
        <v>23.072024802556324</v>
      </c>
      <c r="N110" s="8">
        <f t="shared" si="32"/>
        <v>63.984969441682217</v>
      </c>
      <c r="O110" s="8">
        <f t="shared" si="32"/>
        <v>18.561748174607342</v>
      </c>
      <c r="P110" s="8">
        <f t="shared" si="23"/>
        <v>-52.409822933552299</v>
      </c>
    </row>
    <row r="111" spans="1:16">
      <c r="A111" s="8456" t="s">
        <v>1206</v>
      </c>
      <c r="B111" s="8457">
        <v>18.915070079405403</v>
      </c>
      <c r="C111" s="8458">
        <v>26.668954517684057</v>
      </c>
      <c r="D111" s="8459">
        <v>45.691692504752368</v>
      </c>
      <c r="E111" s="8460">
        <v>23.3952069328537</v>
      </c>
      <c r="F111" s="8461">
        <v>2023</v>
      </c>
      <c r="G111" s="8462">
        <v>6364943</v>
      </c>
      <c r="H111" s="2750"/>
      <c r="J111" s="8" t="str">
        <f t="shared" si="36"/>
        <v xml:space="preserve">  SLV</v>
      </c>
      <c r="K111" s="8">
        <f t="shared" si="37"/>
        <v>2023</v>
      </c>
      <c r="L111" s="8">
        <f t="shared" si="38"/>
        <v>18.915070079405403</v>
      </c>
      <c r="M111" s="8">
        <f t="shared" si="32"/>
        <v>26.668954517684057</v>
      </c>
      <c r="N111" s="8">
        <f t="shared" si="32"/>
        <v>45.691692504752368</v>
      </c>
      <c r="O111" s="8">
        <f t="shared" si="32"/>
        <v>23.3952069328537</v>
      </c>
      <c r="P111" s="8">
        <f t="shared" si="23"/>
        <v>-26.776622425346964</v>
      </c>
    </row>
    <row r="112" spans="1:16">
      <c r="A112" s="8463" t="s">
        <v>1207</v>
      </c>
      <c r="B112" s="8464">
        <v>38.473525305976693</v>
      </c>
      <c r="C112" s="8465">
        <v>49.614315571739461</v>
      </c>
      <c r="D112" s="8466">
        <v>79.04918535327198</v>
      </c>
      <c r="E112" s="8467">
        <v>46.838422649140547</v>
      </c>
      <c r="F112" s="8468">
        <v>2022</v>
      </c>
      <c r="G112" s="8469">
        <v>3423109</v>
      </c>
      <c r="H112" s="2751"/>
      <c r="J112" s="8" t="str">
        <f t="shared" si="36"/>
        <v xml:space="preserve">  URY</v>
      </c>
      <c r="K112" s="8">
        <f t="shared" si="37"/>
        <v>2022</v>
      </c>
      <c r="L112" s="8">
        <f t="shared" si="38"/>
        <v>38.473525305976693</v>
      </c>
      <c r="M112" s="8">
        <f t="shared" si="32"/>
        <v>49.614315571739461</v>
      </c>
      <c r="N112" s="8">
        <f t="shared" si="32"/>
        <v>79.04918535327198</v>
      </c>
      <c r="O112" s="8">
        <f t="shared" si="32"/>
        <v>46.838422649140547</v>
      </c>
      <c r="P112" s="8">
        <f t="shared" si="23"/>
        <v>-40.575660047295287</v>
      </c>
    </row>
    <row r="113" spans="1:16">
      <c r="A113" s="8470" t="s">
        <v>1203</v>
      </c>
      <c r="B113" s="8471">
        <v>12.424743578185096</v>
      </c>
      <c r="C113" s="8472">
        <v>13.605305600251921</v>
      </c>
      <c r="D113" s="8473">
        <v>29.723905001251154</v>
      </c>
      <c r="E113" s="8474">
        <v>12.718726878031564</v>
      </c>
      <c r="F113" s="8475">
        <v>2021</v>
      </c>
      <c r="G113" s="8476">
        <v>28838499</v>
      </c>
      <c r="H113" s="2752"/>
      <c r="J113" s="2648" t="str">
        <f t="shared" si="36"/>
        <v xml:space="preserve">  VEN</v>
      </c>
      <c r="K113" s="2648">
        <f t="shared" si="37"/>
        <v>2021</v>
      </c>
      <c r="L113" s="2648">
        <f t="shared" si="38"/>
        <v>12.424743578185096</v>
      </c>
      <c r="M113" s="2648">
        <f t="shared" si="32"/>
        <v>13.605305600251921</v>
      </c>
      <c r="N113" s="2648">
        <f t="shared" si="32"/>
        <v>29.723905001251154</v>
      </c>
      <c r="O113" s="2648">
        <f t="shared" si="32"/>
        <v>12.718726878031564</v>
      </c>
      <c r="P113" s="8">
        <f t="shared" si="23"/>
        <v>-17.29916142306606</v>
      </c>
    </row>
    <row r="114" spans="1:16">
      <c r="J114" s="3" t="s">
        <v>1261</v>
      </c>
      <c r="L114" s="8">
        <f>AVERAGE(L98:L113)</f>
        <v>32.836294812080908</v>
      </c>
      <c r="M114" s="8">
        <f t="shared" ref="M114:O114" si="39">AVERAGE(M98:M113)</f>
        <v>42.853963700308952</v>
      </c>
      <c r="N114" s="8">
        <f t="shared" si="39"/>
        <v>64.974117720946438</v>
      </c>
      <c r="O114" s="8">
        <f t="shared" si="39"/>
        <v>38.959683529635129</v>
      </c>
      <c r="P114" s="8">
        <f t="shared" si="23"/>
        <v>-32.13782290886553</v>
      </c>
    </row>
    <row r="115" spans="1:16" ht="15" thickBot="1">
      <c r="J115" s="212" t="s">
        <v>1145</v>
      </c>
      <c r="K115" s="85"/>
      <c r="L115" s="85">
        <f>SUMPRODUCT(B98:B113,$G98:$G113)/SUM($G98:$G113)</f>
        <v>39.390530488349249</v>
      </c>
      <c r="M115" s="85">
        <f>SUMPRODUCT(C98:C113,$G98:$G113)/SUM($G98:$G113)</f>
        <v>53.173459667196177</v>
      </c>
      <c r="N115" s="85">
        <f>SUMPRODUCT(D98:D113,$G98:$G113)/SUM($G98:$G113)</f>
        <v>70.475257582719962</v>
      </c>
      <c r="O115" s="85">
        <f>SUMPRODUCT(E98:E113,$G98:$G113)/SUM($G98:$G113)</f>
        <v>47.984527792494902</v>
      </c>
      <c r="P115" s="8">
        <f t="shared" si="23"/>
        <v>-31.084727094370713</v>
      </c>
    </row>
    <row r="116" spans="1:16" ht="15" thickTop="1">
      <c r="A116" s="8477"/>
      <c r="B116" s="9282" t="s">
        <v>1220</v>
      </c>
      <c r="C116" s="9283" t="s">
        <v>1220</v>
      </c>
      <c r="D116" s="9284" t="s">
        <v>1220</v>
      </c>
      <c r="E116" s="8478" t="s">
        <v>1003</v>
      </c>
      <c r="F116" s="8479" t="s">
        <v>1186</v>
      </c>
      <c r="G116" s="8480" t="s">
        <v>1257</v>
      </c>
      <c r="H116" s="2753"/>
      <c r="P116" s="8">
        <f t="shared" si="23"/>
        <v>0</v>
      </c>
    </row>
    <row r="117" spans="1:16">
      <c r="A117" s="8481"/>
      <c r="B117" s="9285" t="s">
        <v>1187</v>
      </c>
      <c r="C117" s="9285" t="s">
        <v>1187</v>
      </c>
      <c r="D117" s="9285" t="s">
        <v>1187</v>
      </c>
      <c r="E117" s="8482" t="s">
        <v>1187</v>
      </c>
      <c r="G117" s="8483" t="s">
        <v>1187</v>
      </c>
      <c r="H117" s="2754"/>
      <c r="P117" s="8">
        <f t="shared" si="23"/>
        <v>0</v>
      </c>
    </row>
    <row r="118" spans="1:16">
      <c r="A118" s="8484"/>
      <c r="B118" s="9286" t="s">
        <v>1045</v>
      </c>
      <c r="C118" s="9286" t="s">
        <v>1045</v>
      </c>
      <c r="D118" s="9286" t="s">
        <v>1045</v>
      </c>
      <c r="E118" s="8485" t="s">
        <v>1220</v>
      </c>
      <c r="P118" s="8">
        <f t="shared" si="23"/>
        <v>0</v>
      </c>
    </row>
    <row r="119" spans="1:16" ht="15" thickBot="1">
      <c r="A119" s="8486"/>
      <c r="B119" s="8487" t="s">
        <v>1187</v>
      </c>
      <c r="C119" s="8488" t="s">
        <v>1188</v>
      </c>
      <c r="D119" s="8489" t="s">
        <v>1189</v>
      </c>
      <c r="E119" s="8490" t="s">
        <v>1187</v>
      </c>
      <c r="J119" s="972" t="str">
        <f>E118</f>
        <v>La principal fuente de iluminación es electricidad</v>
      </c>
      <c r="K119" s="2649"/>
      <c r="L119" s="85"/>
      <c r="M119" s="85"/>
      <c r="N119" s="85"/>
      <c r="O119" s="85"/>
      <c r="P119" s="8">
        <f t="shared" si="23"/>
        <v>0</v>
      </c>
    </row>
    <row r="120" spans="1:16" ht="15" thickTop="1">
      <c r="A120" s="8491" t="s">
        <v>1125</v>
      </c>
      <c r="B120" s="8492"/>
      <c r="C120" s="8493"/>
      <c r="D120" s="8494"/>
      <c r="E120" s="8495"/>
      <c r="F120" s="8496"/>
      <c r="G120" s="8497"/>
      <c r="H120" s="2755"/>
      <c r="J120" s="213" t="s">
        <v>904</v>
      </c>
      <c r="K120" s="216" t="s">
        <v>938</v>
      </c>
      <c r="L120" s="2650" t="s">
        <v>1141</v>
      </c>
      <c r="M120" s="2650" t="s">
        <v>1142</v>
      </c>
      <c r="N120" s="2650" t="s">
        <v>1102</v>
      </c>
      <c r="O120" s="2651" t="s">
        <v>1152</v>
      </c>
      <c r="P120" s="8" t="e">
        <f t="shared" si="23"/>
        <v>#VALUE!</v>
      </c>
    </row>
    <row r="121" spans="1:16">
      <c r="A121" s="8498" t="s">
        <v>1191</v>
      </c>
      <c r="B121" s="8499">
        <v>87.474531468671529</v>
      </c>
      <c r="C121" s="8500">
        <v>92.427552932996335</v>
      </c>
      <c r="D121" s="8501">
        <v>98.434933305615488</v>
      </c>
      <c r="E121" s="8502">
        <v>90.580089503626482</v>
      </c>
      <c r="F121" s="8503">
        <v>2022</v>
      </c>
      <c r="G121" s="8504">
        <v>12388571</v>
      </c>
      <c r="H121" s="2756"/>
      <c r="J121" s="8" t="str">
        <f>A121</f>
        <v xml:space="preserve">  BOL</v>
      </c>
      <c r="K121" s="8">
        <f>F121*1</f>
        <v>2022</v>
      </c>
      <c r="L121" s="8">
        <f>B121</f>
        <v>87.474531468671529</v>
      </c>
      <c r="M121" s="8">
        <f t="shared" ref="M121:O136" si="40">C121</f>
        <v>92.427552932996335</v>
      </c>
      <c r="N121" s="8">
        <f t="shared" si="40"/>
        <v>98.434933305615488</v>
      </c>
      <c r="O121" s="8">
        <f t="shared" si="40"/>
        <v>90.580089503626482</v>
      </c>
      <c r="P121" s="8">
        <f t="shared" si="23"/>
        <v>-10.960401836943959</v>
      </c>
    </row>
    <row r="122" spans="1:16">
      <c r="A122" s="8505" t="s">
        <v>1192</v>
      </c>
      <c r="B122" s="8506">
        <v>98.955533356965859</v>
      </c>
      <c r="C122" s="8507">
        <v>99.66145300382064</v>
      </c>
      <c r="D122" s="8508">
        <v>99.905600484406634</v>
      </c>
      <c r="E122" s="8509">
        <v>99.380300704283613</v>
      </c>
      <c r="F122" s="8510">
        <v>2019</v>
      </c>
      <c r="G122" s="8511">
        <v>216422446</v>
      </c>
      <c r="H122" s="2757"/>
      <c r="J122" s="8" t="str">
        <f t="shared" ref="J122:J123" si="41">A122</f>
        <v xml:space="preserve">  BRA</v>
      </c>
      <c r="K122" s="8">
        <f t="shared" ref="K122:K123" si="42">F122*1</f>
        <v>2019</v>
      </c>
      <c r="L122" s="8">
        <f t="shared" ref="L122:L123" si="43">B122</f>
        <v>98.955533356965859</v>
      </c>
      <c r="M122" s="8">
        <f t="shared" si="40"/>
        <v>99.66145300382064</v>
      </c>
      <c r="N122" s="8">
        <f t="shared" si="40"/>
        <v>99.905600484406634</v>
      </c>
      <c r="O122" s="8">
        <f t="shared" si="40"/>
        <v>99.380300704283613</v>
      </c>
      <c r="P122" s="8">
        <f t="shared" si="23"/>
        <v>-0.95006712744077504</v>
      </c>
    </row>
    <row r="123" spans="1:16">
      <c r="A123" s="8512" t="s">
        <v>1193</v>
      </c>
      <c r="B123" s="8513">
        <v>98.804946988812958</v>
      </c>
      <c r="C123" s="8514">
        <v>99.296109237535347</v>
      </c>
      <c r="D123" s="8515">
        <v>99.70409489902363</v>
      </c>
      <c r="E123" s="8516">
        <v>99.17393441850129</v>
      </c>
      <c r="F123" s="8517">
        <v>2017</v>
      </c>
      <c r="G123" s="8518">
        <v>19629590</v>
      </c>
      <c r="H123" s="2758"/>
      <c r="J123" s="8" t="str">
        <f t="shared" si="41"/>
        <v xml:space="preserve">  CHL</v>
      </c>
      <c r="K123" s="8">
        <f t="shared" si="42"/>
        <v>2017</v>
      </c>
      <c r="L123" s="8">
        <f t="shared" si="43"/>
        <v>98.804946988812958</v>
      </c>
      <c r="M123" s="8">
        <f t="shared" si="40"/>
        <v>99.296109237535347</v>
      </c>
      <c r="N123" s="8">
        <f t="shared" si="40"/>
        <v>99.70409489902363</v>
      </c>
      <c r="O123" s="8">
        <f t="shared" si="40"/>
        <v>99.17393441850129</v>
      </c>
      <c r="P123" s="8">
        <f t="shared" si="23"/>
        <v>-0.89914791021067231</v>
      </c>
    </row>
    <row r="124" spans="1:16">
      <c r="A124" s="8519" t="s">
        <v>1194</v>
      </c>
      <c r="B124" s="8520">
        <v>95.767357464505764</v>
      </c>
      <c r="C124" s="8521">
        <v>98.490452402559242</v>
      </c>
      <c r="D124" s="8522">
        <v>99.501057449044453</v>
      </c>
      <c r="E124" s="8523">
        <v>97.181794577579296</v>
      </c>
      <c r="F124" s="8524">
        <v>2022</v>
      </c>
      <c r="G124" s="8525">
        <v>52085168</v>
      </c>
      <c r="H124" s="2759"/>
      <c r="J124" s="8" t="str">
        <f t="shared" ref="J124:J136" si="44">A124</f>
        <v xml:space="preserve">  COL</v>
      </c>
      <c r="K124" s="8">
        <f t="shared" ref="K124:K136" si="45">F124*1</f>
        <v>2022</v>
      </c>
      <c r="L124" s="8">
        <f t="shared" ref="L124:L136" si="46">B124</f>
        <v>95.767357464505764</v>
      </c>
      <c r="M124" s="8">
        <f t="shared" si="40"/>
        <v>98.490452402559242</v>
      </c>
      <c r="N124" s="8">
        <f t="shared" si="40"/>
        <v>99.501057449044453</v>
      </c>
      <c r="O124" s="8">
        <f t="shared" si="40"/>
        <v>97.181794577579296</v>
      </c>
      <c r="P124" s="8">
        <f t="shared" si="23"/>
        <v>-3.7336999845386885</v>
      </c>
    </row>
    <row r="125" spans="1:16">
      <c r="A125" s="8526" t="s">
        <v>1195</v>
      </c>
      <c r="B125" s="8527">
        <v>99.092379001832484</v>
      </c>
      <c r="C125" s="8528">
        <v>99.528375966686497</v>
      </c>
      <c r="D125" s="8529">
        <v>99.865713087809056</v>
      </c>
      <c r="E125" s="8530">
        <v>99.394839795968906</v>
      </c>
      <c r="F125" s="8531">
        <v>2023</v>
      </c>
      <c r="G125" s="8532">
        <v>5212173</v>
      </c>
      <c r="H125" s="2760"/>
      <c r="J125" s="8" t="str">
        <f t="shared" si="44"/>
        <v xml:space="preserve">  CRI</v>
      </c>
      <c r="K125" s="8">
        <f t="shared" si="45"/>
        <v>2023</v>
      </c>
      <c r="L125" s="8">
        <f t="shared" si="46"/>
        <v>99.092379001832484</v>
      </c>
      <c r="M125" s="8">
        <f t="shared" si="40"/>
        <v>99.528375966686497</v>
      </c>
      <c r="N125" s="8">
        <f t="shared" si="40"/>
        <v>99.865713087809056</v>
      </c>
      <c r="O125" s="8">
        <f t="shared" si="40"/>
        <v>99.394839795968906</v>
      </c>
      <c r="P125" s="8">
        <f t="shared" si="23"/>
        <v>-0.77333408597657183</v>
      </c>
    </row>
    <row r="126" spans="1:16">
      <c r="A126" s="8533" t="s">
        <v>1196</v>
      </c>
      <c r="B126" s="8534">
        <v>98.619715741397457</v>
      </c>
      <c r="C126" s="8535">
        <v>99.624780495614104</v>
      </c>
      <c r="D126" s="8536">
        <v>99.60779740051197</v>
      </c>
      <c r="E126" s="8537">
        <v>99.317418337150059</v>
      </c>
      <c r="F126" s="8538">
        <v>2022</v>
      </c>
      <c r="G126" s="8539">
        <v>11332973</v>
      </c>
      <c r="H126" s="2761"/>
      <c r="J126" s="8" t="str">
        <f t="shared" si="44"/>
        <v xml:space="preserve">  DOM</v>
      </c>
      <c r="K126" s="8">
        <f t="shared" si="45"/>
        <v>2022</v>
      </c>
      <c r="L126" s="8">
        <f t="shared" si="46"/>
        <v>98.619715741397457</v>
      </c>
      <c r="M126" s="8">
        <f t="shared" si="40"/>
        <v>99.624780495614104</v>
      </c>
      <c r="N126" s="8">
        <f t="shared" si="40"/>
        <v>99.60779740051197</v>
      </c>
      <c r="O126" s="8">
        <f t="shared" si="40"/>
        <v>99.317418337150059</v>
      </c>
      <c r="P126" s="8">
        <f t="shared" si="23"/>
        <v>-0.9880816591145134</v>
      </c>
    </row>
    <row r="127" spans="1:16">
      <c r="A127" s="8540" t="s">
        <v>1197</v>
      </c>
      <c r="B127" s="8541">
        <v>93.526358099733969</v>
      </c>
      <c r="C127" s="8542">
        <v>98.577259106373077</v>
      </c>
      <c r="D127" s="8543">
        <v>99.482827456475505</v>
      </c>
      <c r="E127" s="8544">
        <v>96.812241040307654</v>
      </c>
      <c r="F127" s="8545">
        <v>2023</v>
      </c>
      <c r="G127" s="8546">
        <v>18190484</v>
      </c>
      <c r="H127" s="2762"/>
      <c r="J127" s="8" t="str">
        <f t="shared" si="44"/>
        <v xml:space="preserve">  ECU</v>
      </c>
      <c r="K127" s="8">
        <f t="shared" si="45"/>
        <v>2023</v>
      </c>
      <c r="L127" s="8">
        <f t="shared" si="46"/>
        <v>93.526358099733969</v>
      </c>
      <c r="M127" s="8">
        <f t="shared" si="40"/>
        <v>98.577259106373077</v>
      </c>
      <c r="N127" s="8">
        <f t="shared" si="40"/>
        <v>99.482827456475505</v>
      </c>
      <c r="O127" s="8">
        <f t="shared" si="40"/>
        <v>96.812241040307654</v>
      </c>
      <c r="P127" s="8">
        <f t="shared" si="23"/>
        <v>-5.9564693567415361</v>
      </c>
    </row>
    <row r="128" spans="1:16">
      <c r="A128" s="8547" t="s">
        <v>1204</v>
      </c>
      <c r="B128" s="8548">
        <v>83.070635163722386</v>
      </c>
      <c r="C128" s="8549">
        <v>88.581224897528074</v>
      </c>
      <c r="D128" s="8550">
        <v>95.692408850940552</v>
      </c>
      <c r="E128" s="8551">
        <v>85.484512802499026</v>
      </c>
      <c r="F128" s="8552">
        <v>2022</v>
      </c>
      <c r="G128" s="8553">
        <v>18092026</v>
      </c>
      <c r="H128" s="2763"/>
      <c r="J128" s="8" t="str">
        <f t="shared" si="44"/>
        <v xml:space="preserve">  GTM</v>
      </c>
      <c r="K128" s="8">
        <f t="shared" si="45"/>
        <v>2022</v>
      </c>
      <c r="L128" s="8">
        <f t="shared" si="46"/>
        <v>83.070635163722386</v>
      </c>
      <c r="M128" s="8">
        <f t="shared" si="40"/>
        <v>88.581224897528074</v>
      </c>
      <c r="N128" s="8">
        <f t="shared" si="40"/>
        <v>95.692408850940552</v>
      </c>
      <c r="O128" s="8">
        <f t="shared" si="40"/>
        <v>85.484512802499026</v>
      </c>
      <c r="P128" s="8">
        <f t="shared" si="23"/>
        <v>-12.621773687218166</v>
      </c>
    </row>
    <row r="129" spans="1:16">
      <c r="A129" s="8554" t="s">
        <v>1199</v>
      </c>
      <c r="B129" s="8555">
        <v>82.609063692590311</v>
      </c>
      <c r="C129" s="8556">
        <v>92.355532712749294</v>
      </c>
      <c r="D129" s="8557">
        <v>96.663814737977816</v>
      </c>
      <c r="E129" s="8558">
        <v>86.846045980169535</v>
      </c>
      <c r="F129" s="8559">
        <v>2023</v>
      </c>
      <c r="G129" s="8560">
        <v>10593798</v>
      </c>
      <c r="H129" s="2764"/>
      <c r="J129" s="8" t="str">
        <f t="shared" si="44"/>
        <v xml:space="preserve">  HND</v>
      </c>
      <c r="K129" s="8">
        <f t="shared" si="45"/>
        <v>2023</v>
      </c>
      <c r="L129" s="8">
        <f t="shared" si="46"/>
        <v>82.609063692590311</v>
      </c>
      <c r="M129" s="8">
        <f t="shared" si="40"/>
        <v>92.355532712749294</v>
      </c>
      <c r="N129" s="8">
        <f t="shared" si="40"/>
        <v>96.663814737977816</v>
      </c>
      <c r="O129" s="8">
        <f t="shared" si="40"/>
        <v>86.846045980169535</v>
      </c>
      <c r="P129" s="8">
        <f t="shared" si="23"/>
        <v>-14.054751045387505</v>
      </c>
    </row>
    <row r="130" spans="1:16">
      <c r="A130" s="8561" t="s">
        <v>1205</v>
      </c>
      <c r="B130" s="8562">
        <v>96.574356186335748</v>
      </c>
      <c r="C130" s="8563">
        <v>98.634915233263214</v>
      </c>
      <c r="D130" s="8564">
        <v>99.300071126695983</v>
      </c>
      <c r="E130" s="8565">
        <v>97.974822221325184</v>
      </c>
      <c r="F130" s="8566">
        <v>2022</v>
      </c>
      <c r="G130" s="8567">
        <v>128455567</v>
      </c>
      <c r="H130" s="2765"/>
      <c r="J130" s="8" t="str">
        <f t="shared" si="44"/>
        <v xml:space="preserve">  MEX</v>
      </c>
      <c r="K130" s="8">
        <f t="shared" si="45"/>
        <v>2022</v>
      </c>
      <c r="L130" s="8">
        <f t="shared" si="46"/>
        <v>96.574356186335748</v>
      </c>
      <c r="M130" s="8">
        <f t="shared" si="40"/>
        <v>98.634915233263214</v>
      </c>
      <c r="N130" s="8">
        <f t="shared" si="40"/>
        <v>99.300071126695983</v>
      </c>
      <c r="O130" s="8">
        <f t="shared" si="40"/>
        <v>97.974822221325184</v>
      </c>
      <c r="P130" s="8">
        <f t="shared" si="23"/>
        <v>-2.7257149403602341</v>
      </c>
    </row>
    <row r="131" spans="1:16">
      <c r="A131" s="8568" t="s">
        <v>1200</v>
      </c>
      <c r="B131" s="8569">
        <v>55.57629949887</v>
      </c>
      <c r="C131" s="8570">
        <v>81.888072679584525</v>
      </c>
      <c r="D131" s="8571">
        <v>97.3979157963836</v>
      </c>
      <c r="E131" s="8572">
        <v>71.266178570619033</v>
      </c>
      <c r="F131" s="8573">
        <v>2022</v>
      </c>
      <c r="G131" s="8574">
        <v>4468087</v>
      </c>
      <c r="H131" s="2766"/>
      <c r="J131" s="8" t="str">
        <f t="shared" si="44"/>
        <v xml:space="preserve">  PAN</v>
      </c>
      <c r="K131" s="8">
        <f t="shared" si="45"/>
        <v>2022</v>
      </c>
      <c r="L131" s="8">
        <f t="shared" si="46"/>
        <v>55.57629949887</v>
      </c>
      <c r="M131" s="8">
        <f t="shared" si="40"/>
        <v>81.888072679584525</v>
      </c>
      <c r="N131" s="8">
        <f t="shared" si="40"/>
        <v>97.3979157963836</v>
      </c>
      <c r="O131" s="8">
        <f t="shared" si="40"/>
        <v>71.266178570619033</v>
      </c>
      <c r="P131" s="8">
        <f t="shared" si="23"/>
        <v>-41.8216162975136</v>
      </c>
    </row>
    <row r="132" spans="1:16">
      <c r="A132" s="8575" t="s">
        <v>1201</v>
      </c>
      <c r="B132" s="8576">
        <v>89.228781720483966</v>
      </c>
      <c r="C132" s="8577">
        <v>93.806379780771309</v>
      </c>
      <c r="D132" s="8578">
        <v>97.583248724067232</v>
      </c>
      <c r="E132" s="8579">
        <v>92.351752044312462</v>
      </c>
      <c r="F132" s="8580">
        <v>2022</v>
      </c>
      <c r="G132" s="8581">
        <v>34352719</v>
      </c>
      <c r="H132" s="2767"/>
      <c r="J132" s="8" t="str">
        <f t="shared" si="44"/>
        <v xml:space="preserve">  PER</v>
      </c>
      <c r="K132" s="8">
        <f t="shared" si="45"/>
        <v>2022</v>
      </c>
      <c r="L132" s="8">
        <f t="shared" si="46"/>
        <v>89.228781720483966</v>
      </c>
      <c r="M132" s="8">
        <f t="shared" si="40"/>
        <v>93.806379780771309</v>
      </c>
      <c r="N132" s="8">
        <f t="shared" si="40"/>
        <v>97.583248724067232</v>
      </c>
      <c r="O132" s="8">
        <f t="shared" si="40"/>
        <v>92.351752044312462</v>
      </c>
      <c r="P132" s="8">
        <f t="shared" si="23"/>
        <v>-8.3544670035832667</v>
      </c>
    </row>
    <row r="133" spans="1:16">
      <c r="A133" s="8582" t="s">
        <v>1202</v>
      </c>
      <c r="B133" s="8583">
        <v>98.5070230172864</v>
      </c>
      <c r="C133" s="8584">
        <v>99.620815937255998</v>
      </c>
      <c r="D133" s="8585">
        <v>99.918087507402149</v>
      </c>
      <c r="E133" s="8586">
        <v>99.183870007529194</v>
      </c>
      <c r="F133" s="8587">
        <v>2022</v>
      </c>
      <c r="G133" s="8588">
        <v>6861524</v>
      </c>
      <c r="H133" s="2768"/>
      <c r="J133" s="8" t="str">
        <f t="shared" si="44"/>
        <v xml:space="preserve">  PRY</v>
      </c>
      <c r="K133" s="8">
        <f t="shared" si="45"/>
        <v>2022</v>
      </c>
      <c r="L133" s="8">
        <f t="shared" si="46"/>
        <v>98.5070230172864</v>
      </c>
      <c r="M133" s="8">
        <f t="shared" si="40"/>
        <v>99.620815937255998</v>
      </c>
      <c r="N133" s="8">
        <f t="shared" si="40"/>
        <v>99.918087507402149</v>
      </c>
      <c r="O133" s="8">
        <f t="shared" si="40"/>
        <v>99.183870007529194</v>
      </c>
      <c r="P133" s="8">
        <f t="shared" si="23"/>
        <v>-1.4110644901157485</v>
      </c>
    </row>
    <row r="134" spans="1:16">
      <c r="A134" s="8589" t="s">
        <v>1206</v>
      </c>
      <c r="B134" s="8590">
        <v>97.011499818689984</v>
      </c>
      <c r="C134" s="8591">
        <v>97.882242092380054</v>
      </c>
      <c r="D134" s="8592">
        <v>98.899051843535617</v>
      </c>
      <c r="E134" s="8593">
        <v>97.514608238897523</v>
      </c>
      <c r="F134" s="8594">
        <v>2023</v>
      </c>
      <c r="G134" s="8595">
        <v>6364943</v>
      </c>
      <c r="H134" s="2769"/>
      <c r="J134" s="8" t="str">
        <f t="shared" si="44"/>
        <v xml:space="preserve">  SLV</v>
      </c>
      <c r="K134" s="8">
        <f t="shared" si="45"/>
        <v>2023</v>
      </c>
      <c r="L134" s="8">
        <f t="shared" si="46"/>
        <v>97.011499818689984</v>
      </c>
      <c r="M134" s="8">
        <f t="shared" si="40"/>
        <v>97.882242092380054</v>
      </c>
      <c r="N134" s="8">
        <f t="shared" si="40"/>
        <v>98.899051843535617</v>
      </c>
      <c r="O134" s="8">
        <f t="shared" si="40"/>
        <v>97.514608238897523</v>
      </c>
      <c r="P134" s="8">
        <f t="shared" si="23"/>
        <v>-1.8875520248456326</v>
      </c>
    </row>
    <row r="135" spans="1:16">
      <c r="A135" s="8596" t="s">
        <v>1207</v>
      </c>
      <c r="B135" s="8597">
        <v>99.967535629646463</v>
      </c>
      <c r="C135" s="8598">
        <v>99.766219215272244</v>
      </c>
      <c r="D135" s="8599">
        <v>99.788057955490402</v>
      </c>
      <c r="E135" s="8600">
        <v>99.816380182002021</v>
      </c>
      <c r="F135" s="8601">
        <v>2022</v>
      </c>
      <c r="G135" s="8602">
        <v>3423109</v>
      </c>
      <c r="H135" s="2770"/>
      <c r="J135" s="8" t="str">
        <f t="shared" si="44"/>
        <v xml:space="preserve">  URY</v>
      </c>
      <c r="K135" s="8">
        <f t="shared" si="45"/>
        <v>2022</v>
      </c>
      <c r="L135" s="8">
        <f t="shared" si="46"/>
        <v>99.967535629646463</v>
      </c>
      <c r="M135" s="8">
        <f t="shared" si="40"/>
        <v>99.766219215272244</v>
      </c>
      <c r="N135" s="8">
        <f t="shared" si="40"/>
        <v>99.788057955490402</v>
      </c>
      <c r="O135" s="8">
        <f t="shared" si="40"/>
        <v>99.816380182002021</v>
      </c>
      <c r="P135" s="8">
        <f t="shared" ref="P135:P198" si="47">L135-N135</f>
        <v>0.17947767415606108</v>
      </c>
    </row>
    <row r="136" spans="1:16">
      <c r="A136" s="8603" t="s">
        <v>1203</v>
      </c>
      <c r="B136" s="8604">
        <v>99.674321032656238</v>
      </c>
      <c r="C136" s="8605">
        <v>99.984057766026737</v>
      </c>
      <c r="D136" s="8606">
        <v>99.84900637149552</v>
      </c>
      <c r="E136" s="8607">
        <v>99.751451607126612</v>
      </c>
      <c r="F136" s="8608">
        <v>2021</v>
      </c>
      <c r="G136" s="8609">
        <v>28838499</v>
      </c>
      <c r="H136" s="2771"/>
      <c r="J136" s="2648" t="str">
        <f t="shared" si="44"/>
        <v xml:space="preserve">  VEN</v>
      </c>
      <c r="K136" s="2648">
        <f t="shared" si="45"/>
        <v>2021</v>
      </c>
      <c r="L136" s="2648">
        <f t="shared" si="46"/>
        <v>99.674321032656238</v>
      </c>
      <c r="M136" s="2648">
        <f t="shared" si="40"/>
        <v>99.984057766026737</v>
      </c>
      <c r="N136" s="2648">
        <f t="shared" si="40"/>
        <v>99.84900637149552</v>
      </c>
      <c r="O136" s="2648">
        <f>E136</f>
        <v>99.751451607126612</v>
      </c>
      <c r="P136" s="8">
        <f t="shared" si="47"/>
        <v>-0.17468533883928217</v>
      </c>
    </row>
    <row r="137" spans="1:16">
      <c r="J137" s="3" t="s">
        <v>1261</v>
      </c>
      <c r="L137" s="8">
        <f>AVERAGE(L121:L136)</f>
        <v>92.153771117637604</v>
      </c>
      <c r="M137" s="8">
        <f t="shared" ref="M137:O137" si="48">AVERAGE(M121:M136)</f>
        <v>96.257840216276051</v>
      </c>
      <c r="N137" s="8">
        <f t="shared" si="48"/>
        <v>98.849605437304731</v>
      </c>
      <c r="O137" s="8">
        <f t="shared" si="48"/>
        <v>94.501890001993615</v>
      </c>
      <c r="P137" s="8">
        <f t="shared" si="47"/>
        <v>-6.6958343196671279</v>
      </c>
    </row>
    <row r="138" spans="1:16" ht="15" thickBot="1">
      <c r="J138" s="212" t="s">
        <v>1145</v>
      </c>
      <c r="K138" s="85"/>
      <c r="L138" s="85">
        <f>SUMPRODUCT(B121:B136,$G121:$G136)/SUM($G121:$G136)</f>
        <v>96.00994519011725</v>
      </c>
      <c r="M138" s="85">
        <f>SUMPRODUCT(C121:C136,$G121:$G136)/SUM($G121:$G136)</f>
        <v>98.151461059153661</v>
      </c>
      <c r="N138" s="85">
        <f>SUMPRODUCT(D121:D136,$G121:$G136)/SUM($G121:$G136)</f>
        <v>99.312219699347779</v>
      </c>
      <c r="O138" s="85">
        <f>SUMPRODUCT(E121:E136,$G121:$G136)/SUM($G121:$G136)</f>
        <v>97.286089228227311</v>
      </c>
      <c r="P138" s="8">
        <f t="shared" si="47"/>
        <v>-3.3022745092305286</v>
      </c>
    </row>
    <row r="139" spans="1:16" ht="15" thickTop="1">
      <c r="A139" s="8610"/>
      <c r="B139" s="9287" t="s">
        <v>1221</v>
      </c>
      <c r="C139" s="9288" t="s">
        <v>1221</v>
      </c>
      <c r="D139" s="9289" t="s">
        <v>1221</v>
      </c>
      <c r="E139" s="8611" t="s">
        <v>1003</v>
      </c>
      <c r="F139" s="8612" t="s">
        <v>1186</v>
      </c>
      <c r="G139" s="8613" t="s">
        <v>1257</v>
      </c>
      <c r="H139" s="2772"/>
      <c r="P139" s="8">
        <f t="shared" si="47"/>
        <v>0</v>
      </c>
    </row>
    <row r="140" spans="1:16">
      <c r="A140" s="8614"/>
      <c r="B140" s="9290" t="s">
        <v>1187</v>
      </c>
      <c r="C140" s="9290" t="s">
        <v>1187</v>
      </c>
      <c r="D140" s="9290" t="s">
        <v>1187</v>
      </c>
      <c r="E140" s="8615" t="s">
        <v>1187</v>
      </c>
      <c r="G140" s="8616" t="s">
        <v>1187</v>
      </c>
      <c r="H140" s="2773"/>
      <c r="P140" s="8">
        <f t="shared" si="47"/>
        <v>0</v>
      </c>
    </row>
    <row r="141" spans="1:16">
      <c r="A141" s="8617"/>
      <c r="B141" s="9273" t="s">
        <v>1045</v>
      </c>
      <c r="C141" s="9273" t="s">
        <v>1045</v>
      </c>
      <c r="D141" s="9273" t="s">
        <v>1045</v>
      </c>
      <c r="E141" s="8618" t="s">
        <v>1221</v>
      </c>
      <c r="P141" s="8">
        <f t="shared" si="47"/>
        <v>0</v>
      </c>
    </row>
    <row r="142" spans="1:16" ht="15" thickBot="1">
      <c r="A142" s="8619"/>
      <c r="B142" s="8620" t="s">
        <v>1187</v>
      </c>
      <c r="C142" s="8621" t="s">
        <v>1188</v>
      </c>
      <c r="D142" s="8622" t="s">
        <v>1189</v>
      </c>
      <c r="E142" s="8623" t="s">
        <v>1187</v>
      </c>
      <c r="J142" s="972" t="str">
        <f>E141</f>
        <v>sanred_ch</v>
      </c>
      <c r="K142" s="2649"/>
      <c r="L142" s="85"/>
      <c r="M142" s="85"/>
      <c r="N142" s="85"/>
      <c r="O142" s="85"/>
      <c r="P142" s="8">
        <f t="shared" si="47"/>
        <v>0</v>
      </c>
    </row>
    <row r="143" spans="1:16" ht="15" thickTop="1">
      <c r="A143" s="8624" t="s">
        <v>1125</v>
      </c>
      <c r="B143" s="8625"/>
      <c r="C143" s="8626"/>
      <c r="D143" s="8627"/>
      <c r="E143" s="8628"/>
      <c r="F143" s="8629"/>
      <c r="G143" s="8630"/>
      <c r="H143" s="2774"/>
      <c r="J143" s="213" t="s">
        <v>904</v>
      </c>
      <c r="K143" s="216" t="s">
        <v>938</v>
      </c>
      <c r="L143" s="2650" t="s">
        <v>1141</v>
      </c>
      <c r="M143" s="2650" t="s">
        <v>1142</v>
      </c>
      <c r="N143" s="2650" t="s">
        <v>1102</v>
      </c>
      <c r="O143" s="2651" t="s">
        <v>1152</v>
      </c>
      <c r="P143" s="8" t="e">
        <f t="shared" si="47"/>
        <v>#VALUE!</v>
      </c>
    </row>
    <row r="144" spans="1:16">
      <c r="A144" s="8631" t="s">
        <v>1190</v>
      </c>
      <c r="B144" s="8632">
        <v>58.457373165553946</v>
      </c>
      <c r="C144" s="8633">
        <v>59.451445515196447</v>
      </c>
      <c r="D144" s="8634">
        <v>74.77350552323972</v>
      </c>
      <c r="E144" s="8635">
        <v>59.066957974553404</v>
      </c>
      <c r="F144" s="8636">
        <v>2022</v>
      </c>
      <c r="G144" s="8637">
        <v>45773884</v>
      </c>
      <c r="H144" s="2775"/>
      <c r="J144" s="8" t="str">
        <f>A144</f>
        <v xml:space="preserve">  ARG</v>
      </c>
      <c r="K144" s="8">
        <f>F144*1</f>
        <v>2022</v>
      </c>
      <c r="L144" s="8">
        <f>B144</f>
        <v>58.457373165553946</v>
      </c>
      <c r="M144" s="8">
        <f t="shared" ref="M144:O159" si="49">C144</f>
        <v>59.451445515196447</v>
      </c>
      <c r="N144" s="8">
        <f t="shared" si="49"/>
        <v>74.77350552323972</v>
      </c>
      <c r="O144" s="8">
        <f t="shared" si="49"/>
        <v>59.066957974553404</v>
      </c>
      <c r="P144" s="8">
        <f t="shared" si="47"/>
        <v>-16.316132357685774</v>
      </c>
    </row>
    <row r="145" spans="1:16">
      <c r="A145" s="8638" t="s">
        <v>1191</v>
      </c>
      <c r="B145" s="8639">
        <v>19.13582885058338</v>
      </c>
      <c r="C145" s="8640">
        <v>31.966275780477854</v>
      </c>
      <c r="D145" s="8641">
        <v>59.789294123454809</v>
      </c>
      <c r="E145" s="8642">
        <v>27.180554245414406</v>
      </c>
      <c r="F145" s="8643">
        <v>2022</v>
      </c>
      <c r="G145" s="8644">
        <v>12388571</v>
      </c>
      <c r="H145" s="2776"/>
      <c r="J145" s="8" t="str">
        <f t="shared" ref="J145:J146" si="50">A145</f>
        <v xml:space="preserve">  BOL</v>
      </c>
      <c r="K145" s="8">
        <f t="shared" ref="K145:K146" si="51">F145*1</f>
        <v>2022</v>
      </c>
      <c r="L145" s="8">
        <f t="shared" ref="L145:L146" si="52">B145</f>
        <v>19.13582885058338</v>
      </c>
      <c r="M145" s="8">
        <f t="shared" si="49"/>
        <v>31.966275780477854</v>
      </c>
      <c r="N145" s="8">
        <f t="shared" si="49"/>
        <v>59.789294123454809</v>
      </c>
      <c r="O145" s="8">
        <f t="shared" si="49"/>
        <v>27.180554245414406</v>
      </c>
      <c r="P145" s="8">
        <f t="shared" si="47"/>
        <v>-40.653465272871429</v>
      </c>
    </row>
    <row r="146" spans="1:16">
      <c r="A146" s="8645" t="s">
        <v>1192</v>
      </c>
      <c r="B146" s="8646">
        <v>37.409476453878341</v>
      </c>
      <c r="C146" s="8647">
        <v>51.574366476949784</v>
      </c>
      <c r="D146" s="8648">
        <v>67.807393526569783</v>
      </c>
      <c r="E146" s="8649">
        <v>46.762960217742773</v>
      </c>
      <c r="F146" s="8650">
        <v>2022</v>
      </c>
      <c r="G146" s="8651">
        <v>216422446</v>
      </c>
      <c r="H146" s="2777"/>
      <c r="J146" s="8" t="str">
        <f t="shared" si="50"/>
        <v xml:space="preserve">  BRA</v>
      </c>
      <c r="K146" s="8">
        <f t="shared" si="51"/>
        <v>2022</v>
      </c>
      <c r="L146" s="8">
        <f t="shared" si="52"/>
        <v>37.409476453878341</v>
      </c>
      <c r="M146" s="8">
        <f t="shared" si="49"/>
        <v>51.574366476949784</v>
      </c>
      <c r="N146" s="8">
        <f t="shared" si="49"/>
        <v>67.807393526569783</v>
      </c>
      <c r="O146" s="8">
        <f t="shared" si="49"/>
        <v>46.762960217742773</v>
      </c>
      <c r="P146" s="8">
        <f t="shared" si="47"/>
        <v>-30.397917072691442</v>
      </c>
    </row>
    <row r="147" spans="1:16">
      <c r="A147" s="8652" t="s">
        <v>1193</v>
      </c>
      <c r="B147" s="8653">
        <v>77.749537664289875</v>
      </c>
      <c r="C147" s="8654">
        <v>78.983909799205307</v>
      </c>
      <c r="D147" s="8655">
        <v>87.53110996514404</v>
      </c>
      <c r="E147" s="8656">
        <v>78.597137071347007</v>
      </c>
      <c r="F147" s="8657">
        <v>2022</v>
      </c>
      <c r="G147" s="8658">
        <v>19629590</v>
      </c>
      <c r="H147" s="2778"/>
      <c r="J147" s="8" t="str">
        <f t="shared" ref="J147:J160" si="53">A147</f>
        <v xml:space="preserve">  CHL</v>
      </c>
      <c r="K147" s="8">
        <f t="shared" ref="K147:K160" si="54">F147*1</f>
        <v>2022</v>
      </c>
      <c r="L147" s="8">
        <f t="shared" ref="L147:L160" si="55">B147</f>
        <v>77.749537664289875</v>
      </c>
      <c r="M147" s="8">
        <f t="shared" si="49"/>
        <v>78.983909799205307</v>
      </c>
      <c r="N147" s="8">
        <f t="shared" si="49"/>
        <v>87.53110996514404</v>
      </c>
      <c r="O147" s="8">
        <f t="shared" si="49"/>
        <v>78.597137071347007</v>
      </c>
      <c r="P147" s="8">
        <f t="shared" si="47"/>
        <v>-9.7815723008541653</v>
      </c>
    </row>
    <row r="148" spans="1:16">
      <c r="A148" s="8659" t="s">
        <v>1194</v>
      </c>
      <c r="B148" s="8660">
        <v>46.581783845891444</v>
      </c>
      <c r="C148" s="8661">
        <v>63.713385421004055</v>
      </c>
      <c r="D148" s="8662">
        <v>86.895248761780152</v>
      </c>
      <c r="E148" s="8663">
        <v>55.480325257579956</v>
      </c>
      <c r="F148" s="8664">
        <v>2022</v>
      </c>
      <c r="G148" s="8665">
        <v>52085168</v>
      </c>
      <c r="H148" s="2779"/>
      <c r="J148" s="8" t="str">
        <f t="shared" si="53"/>
        <v xml:space="preserve">  COL</v>
      </c>
      <c r="K148" s="8">
        <f t="shared" si="54"/>
        <v>2022</v>
      </c>
      <c r="L148" s="8">
        <f t="shared" si="55"/>
        <v>46.581783845891444</v>
      </c>
      <c r="M148" s="8">
        <f t="shared" si="49"/>
        <v>63.713385421004055</v>
      </c>
      <c r="N148" s="8">
        <f t="shared" si="49"/>
        <v>86.895248761780152</v>
      </c>
      <c r="O148" s="8">
        <f t="shared" si="49"/>
        <v>55.480325257579956</v>
      </c>
      <c r="P148" s="8">
        <f t="shared" si="47"/>
        <v>-40.313464915888709</v>
      </c>
    </row>
    <row r="149" spans="1:16">
      <c r="A149" s="8666" t="s">
        <v>1195</v>
      </c>
      <c r="B149" s="8667">
        <v>18.733426754338687</v>
      </c>
      <c r="C149" s="8668">
        <v>20.097560975609756</v>
      </c>
      <c r="D149" s="8669">
        <v>29.907025386235219</v>
      </c>
      <c r="E149" s="8670">
        <v>19.679757011505639</v>
      </c>
      <c r="F149" s="8671">
        <v>2023</v>
      </c>
      <c r="G149" s="8672">
        <v>5212173</v>
      </c>
      <c r="H149" s="2780"/>
      <c r="J149" s="8" t="str">
        <f t="shared" si="53"/>
        <v xml:space="preserve">  CRI</v>
      </c>
      <c r="K149" s="8">
        <f t="shared" si="54"/>
        <v>2023</v>
      </c>
      <c r="L149" s="8">
        <f t="shared" si="55"/>
        <v>18.733426754338687</v>
      </c>
      <c r="M149" s="8">
        <f t="shared" si="49"/>
        <v>20.097560975609756</v>
      </c>
      <c r="N149" s="8">
        <f t="shared" si="49"/>
        <v>29.907025386235219</v>
      </c>
      <c r="O149" s="8">
        <f t="shared" si="49"/>
        <v>19.679757011505639</v>
      </c>
      <c r="P149" s="8">
        <f t="shared" si="47"/>
        <v>-11.173598631896532</v>
      </c>
    </row>
    <row r="150" spans="1:16">
      <c r="A150" s="8673" t="s">
        <v>1196</v>
      </c>
      <c r="B150" s="8674">
        <v>16.743499279389784</v>
      </c>
      <c r="C150" s="8675">
        <v>17.372467470102208</v>
      </c>
      <c r="D150" s="8676">
        <v>27.31458307511496</v>
      </c>
      <c r="E150" s="8677">
        <v>17.180120638824388</v>
      </c>
      <c r="F150" s="8678">
        <v>2022</v>
      </c>
      <c r="G150" s="8679">
        <v>11332973</v>
      </c>
      <c r="H150" s="2781"/>
      <c r="J150" s="8" t="str">
        <f t="shared" si="53"/>
        <v xml:space="preserve">  DOM</v>
      </c>
      <c r="K150" s="8">
        <f t="shared" si="54"/>
        <v>2022</v>
      </c>
      <c r="L150" s="8">
        <f t="shared" si="55"/>
        <v>16.743499279389784</v>
      </c>
      <c r="M150" s="8">
        <f t="shared" si="49"/>
        <v>17.372467470102208</v>
      </c>
      <c r="N150" s="8">
        <f t="shared" si="49"/>
        <v>27.31458307511496</v>
      </c>
      <c r="O150" s="8">
        <f t="shared" si="49"/>
        <v>17.180120638824388</v>
      </c>
      <c r="P150" s="8">
        <f t="shared" si="47"/>
        <v>-10.571083795725176</v>
      </c>
    </row>
    <row r="151" spans="1:16">
      <c r="A151" s="8680" t="s">
        <v>1197</v>
      </c>
      <c r="B151" s="8681">
        <v>32.228263997773652</v>
      </c>
      <c r="C151" s="8682">
        <v>47.380992408980084</v>
      </c>
      <c r="D151" s="8683">
        <v>71.92602925487995</v>
      </c>
      <c r="E151" s="8684">
        <v>42.085929337894811</v>
      </c>
      <c r="F151" s="8685">
        <v>2023</v>
      </c>
      <c r="G151" s="8686">
        <v>18190484</v>
      </c>
      <c r="H151" s="2782"/>
      <c r="J151" s="8" t="str">
        <f t="shared" si="53"/>
        <v xml:space="preserve">  ECU</v>
      </c>
      <c r="K151" s="8">
        <f t="shared" si="54"/>
        <v>2023</v>
      </c>
      <c r="L151" s="8">
        <f t="shared" si="55"/>
        <v>32.228263997773652</v>
      </c>
      <c r="M151" s="8">
        <f t="shared" si="49"/>
        <v>47.380992408980084</v>
      </c>
      <c r="N151" s="8">
        <f t="shared" si="49"/>
        <v>71.92602925487995</v>
      </c>
      <c r="O151" s="8">
        <f t="shared" si="49"/>
        <v>42.085929337894811</v>
      </c>
      <c r="P151" s="8">
        <f t="shared" si="47"/>
        <v>-39.697765257106298</v>
      </c>
    </row>
    <row r="152" spans="1:16">
      <c r="A152" s="8687" t="s">
        <v>1204</v>
      </c>
      <c r="B152" s="8688">
        <v>31.344024617516762</v>
      </c>
      <c r="C152" s="8689">
        <v>40.404984637802684</v>
      </c>
      <c r="D152" s="8690">
        <v>59.985324667899143</v>
      </c>
      <c r="E152" s="8691">
        <v>35.313118641090938</v>
      </c>
      <c r="F152" s="8692">
        <v>2022</v>
      </c>
      <c r="G152" s="8693">
        <v>18092026</v>
      </c>
      <c r="H152" s="2783"/>
      <c r="J152" s="8" t="str">
        <f t="shared" si="53"/>
        <v xml:space="preserve">  GTM</v>
      </c>
      <c r="K152" s="8">
        <f t="shared" si="54"/>
        <v>2022</v>
      </c>
      <c r="L152" s="8">
        <f t="shared" si="55"/>
        <v>31.344024617516762</v>
      </c>
      <c r="M152" s="8">
        <f t="shared" si="49"/>
        <v>40.404984637802684</v>
      </c>
      <c r="N152" s="8">
        <f t="shared" si="49"/>
        <v>59.985324667899143</v>
      </c>
      <c r="O152" s="8">
        <f t="shared" si="49"/>
        <v>35.313118641090938</v>
      </c>
      <c r="P152" s="8">
        <f t="shared" si="47"/>
        <v>-28.64130005038238</v>
      </c>
    </row>
    <row r="153" spans="1:16">
      <c r="A153" s="8694" t="s">
        <v>1199</v>
      </c>
      <c r="B153" s="8695">
        <v>21.987673216003884</v>
      </c>
      <c r="C153" s="8696">
        <v>33.835913656240308</v>
      </c>
      <c r="D153" s="8697">
        <v>51.503083242501944</v>
      </c>
      <c r="E153" s="8698">
        <v>27.122441862856061</v>
      </c>
      <c r="F153" s="8699">
        <v>2023</v>
      </c>
      <c r="G153" s="8700">
        <v>10593798</v>
      </c>
      <c r="H153" s="2784"/>
      <c r="J153" s="8" t="str">
        <f t="shared" si="53"/>
        <v xml:space="preserve">  HND</v>
      </c>
      <c r="K153" s="8">
        <f t="shared" si="54"/>
        <v>2023</v>
      </c>
      <c r="L153" s="8">
        <f t="shared" si="55"/>
        <v>21.987673216003884</v>
      </c>
      <c r="M153" s="8">
        <f t="shared" si="49"/>
        <v>33.835913656240308</v>
      </c>
      <c r="N153" s="8">
        <f t="shared" si="49"/>
        <v>51.503083242501944</v>
      </c>
      <c r="O153" s="8">
        <f t="shared" si="49"/>
        <v>27.122441862856061</v>
      </c>
      <c r="P153" s="8">
        <f t="shared" si="47"/>
        <v>-29.51541002649806</v>
      </c>
    </row>
    <row r="154" spans="1:16">
      <c r="A154" s="8701" t="s">
        <v>1205</v>
      </c>
      <c r="B154" s="8702">
        <v>49.472698040485668</v>
      </c>
      <c r="C154" s="8703">
        <v>67.527603766580356</v>
      </c>
      <c r="D154" s="8704">
        <v>84.027318256439486</v>
      </c>
      <c r="E154" s="8705">
        <v>61.743776742178447</v>
      </c>
      <c r="F154" s="8706">
        <v>2022</v>
      </c>
      <c r="G154" s="8707">
        <v>128455567</v>
      </c>
      <c r="H154" s="2785"/>
      <c r="J154" s="8" t="str">
        <f t="shared" si="53"/>
        <v xml:space="preserve">  MEX</v>
      </c>
      <c r="K154" s="8">
        <f t="shared" si="54"/>
        <v>2022</v>
      </c>
      <c r="L154" s="8">
        <f t="shared" si="55"/>
        <v>49.472698040485668</v>
      </c>
      <c r="M154" s="8">
        <f t="shared" si="49"/>
        <v>67.527603766580356</v>
      </c>
      <c r="N154" s="8">
        <f t="shared" si="49"/>
        <v>84.027318256439486</v>
      </c>
      <c r="O154" s="8">
        <f t="shared" si="49"/>
        <v>61.743776742178447</v>
      </c>
      <c r="P154" s="8">
        <f t="shared" si="47"/>
        <v>-34.554620215953818</v>
      </c>
    </row>
    <row r="155" spans="1:16">
      <c r="A155" s="8708" t="s">
        <v>1200</v>
      </c>
      <c r="B155" s="8709">
        <v>11.203133115287974</v>
      </c>
      <c r="C155" s="8710">
        <v>14.004694523372835</v>
      </c>
      <c r="D155" s="8711">
        <v>40.499306260070419</v>
      </c>
      <c r="E155" s="8712">
        <v>12.873722147924838</v>
      </c>
      <c r="F155" s="8713">
        <v>2022</v>
      </c>
      <c r="G155" s="8714">
        <v>4468087</v>
      </c>
      <c r="H155" s="2786"/>
      <c r="J155" s="8" t="str">
        <f t="shared" si="53"/>
        <v xml:space="preserve">  PAN</v>
      </c>
      <c r="K155" s="8">
        <f t="shared" si="54"/>
        <v>2022</v>
      </c>
      <c r="L155" s="8">
        <f t="shared" si="55"/>
        <v>11.203133115287974</v>
      </c>
      <c r="M155" s="8">
        <f t="shared" si="49"/>
        <v>14.004694523372835</v>
      </c>
      <c r="N155" s="8">
        <f t="shared" si="49"/>
        <v>40.499306260070419</v>
      </c>
      <c r="O155" s="8">
        <f t="shared" si="49"/>
        <v>12.873722147924838</v>
      </c>
      <c r="P155" s="8">
        <f t="shared" si="47"/>
        <v>-29.296173144782443</v>
      </c>
    </row>
    <row r="156" spans="1:16">
      <c r="A156" s="8715" t="s">
        <v>1201</v>
      </c>
      <c r="B156" s="8716">
        <v>45.657287335300978</v>
      </c>
      <c r="C156" s="8717">
        <v>60.340696367739923</v>
      </c>
      <c r="D156" s="8718">
        <v>79.378295146547643</v>
      </c>
      <c r="E156" s="8719">
        <v>55.674735363069402</v>
      </c>
      <c r="F156" s="8720">
        <v>2022</v>
      </c>
      <c r="G156" s="8721">
        <v>34352719</v>
      </c>
      <c r="H156" s="2787"/>
      <c r="J156" s="8" t="str">
        <f t="shared" si="53"/>
        <v xml:space="preserve">  PER</v>
      </c>
      <c r="K156" s="8">
        <f t="shared" si="54"/>
        <v>2022</v>
      </c>
      <c r="L156" s="8">
        <f t="shared" si="55"/>
        <v>45.657287335300978</v>
      </c>
      <c r="M156" s="8">
        <f t="shared" si="49"/>
        <v>60.340696367739923</v>
      </c>
      <c r="N156" s="8">
        <f t="shared" si="49"/>
        <v>79.378295146547643</v>
      </c>
      <c r="O156" s="8">
        <f t="shared" si="49"/>
        <v>55.674735363069402</v>
      </c>
      <c r="P156" s="8">
        <f t="shared" si="47"/>
        <v>-33.721007811246665</v>
      </c>
    </row>
    <row r="157" spans="1:16">
      <c r="A157" s="8722" t="s">
        <v>1202</v>
      </c>
      <c r="B157" s="8723">
        <v>1.3528290686412348</v>
      </c>
      <c r="C157" s="8724">
        <v>3.6353839814902851</v>
      </c>
      <c r="D157" s="8725">
        <v>12.351258645154802</v>
      </c>
      <c r="E157" s="8726">
        <v>2.7399275095865945</v>
      </c>
      <c r="F157" s="8727">
        <v>2022</v>
      </c>
      <c r="G157" s="8728">
        <v>6861524</v>
      </c>
      <c r="H157" s="2788"/>
    </row>
    <row r="158" spans="1:16">
      <c r="A158" s="8729" t="s">
        <v>1206</v>
      </c>
      <c r="B158" s="8730">
        <v>17.058869341144231</v>
      </c>
      <c r="C158" s="8731">
        <v>22.757778408986677</v>
      </c>
      <c r="D158" s="8732">
        <v>45.067377941272994</v>
      </c>
      <c r="E158" s="8733">
        <v>20.351656684381915</v>
      </c>
      <c r="F158" s="8734">
        <v>2023</v>
      </c>
      <c r="G158" s="8735">
        <v>6364943</v>
      </c>
      <c r="H158" s="2789"/>
      <c r="J158" s="8" t="str">
        <f t="shared" si="53"/>
        <v xml:space="preserve">  SLV</v>
      </c>
      <c r="K158" s="8">
        <f t="shared" si="54"/>
        <v>2023</v>
      </c>
      <c r="L158" s="8">
        <f t="shared" si="55"/>
        <v>17.058869341144231</v>
      </c>
      <c r="M158" s="8">
        <f t="shared" si="49"/>
        <v>22.757778408986677</v>
      </c>
      <c r="N158" s="8">
        <f t="shared" si="49"/>
        <v>45.067377941272994</v>
      </c>
      <c r="O158" s="8">
        <f t="shared" si="49"/>
        <v>20.351656684381915</v>
      </c>
      <c r="P158" s="8">
        <f t="shared" si="47"/>
        <v>-28.008508600128764</v>
      </c>
    </row>
    <row r="159" spans="1:16">
      <c r="A159" s="8736" t="s">
        <v>1207</v>
      </c>
      <c r="B159" s="8737">
        <v>42.554296659416288</v>
      </c>
      <c r="C159" s="8738">
        <v>50.428777660468427</v>
      </c>
      <c r="D159" s="8739">
        <v>68.180504855463624</v>
      </c>
      <c r="E159" s="8740">
        <v>48.466734074823052</v>
      </c>
      <c r="F159" s="8741">
        <v>2022</v>
      </c>
      <c r="G159" s="8742">
        <v>3423109</v>
      </c>
      <c r="H159" s="2790"/>
      <c r="J159" s="8" t="str">
        <f t="shared" si="53"/>
        <v xml:space="preserve">  URY</v>
      </c>
      <c r="K159" s="8">
        <f t="shared" si="54"/>
        <v>2022</v>
      </c>
      <c r="L159" s="8">
        <f t="shared" si="55"/>
        <v>42.554296659416288</v>
      </c>
      <c r="M159" s="8">
        <f t="shared" si="49"/>
        <v>50.428777660468427</v>
      </c>
      <c r="N159" s="8">
        <f t="shared" si="49"/>
        <v>68.180504855463624</v>
      </c>
      <c r="O159" s="8">
        <f t="shared" si="49"/>
        <v>48.466734074823052</v>
      </c>
      <c r="P159" s="8">
        <f t="shared" si="47"/>
        <v>-25.626208196047337</v>
      </c>
    </row>
    <row r="160" spans="1:16">
      <c r="A160" s="8743" t="s">
        <v>1203</v>
      </c>
      <c r="B160" s="8744">
        <v>76.542379931381703</v>
      </c>
      <c r="C160" s="8745">
        <v>78.174152749429496</v>
      </c>
      <c r="D160" s="8746">
        <v>83.965632637671945</v>
      </c>
      <c r="E160" s="8747">
        <v>76.948723646224934</v>
      </c>
      <c r="F160" s="8748">
        <v>2021</v>
      </c>
      <c r="G160" s="8749">
        <v>28838499</v>
      </c>
      <c r="H160" s="2791"/>
      <c r="J160" s="2648" t="str">
        <f t="shared" si="53"/>
        <v xml:space="preserve">  VEN</v>
      </c>
      <c r="K160" s="2648">
        <f t="shared" si="54"/>
        <v>2021</v>
      </c>
      <c r="L160" s="2648">
        <f t="shared" si="55"/>
        <v>76.542379931381703</v>
      </c>
      <c r="M160" s="2648">
        <f t="shared" ref="M160" si="56">C160</f>
        <v>78.174152749429496</v>
      </c>
      <c r="N160" s="2648">
        <f t="shared" ref="N160" si="57">D160</f>
        <v>83.965632637671945</v>
      </c>
      <c r="O160" s="2648">
        <f t="shared" ref="O160" si="58">E160</f>
        <v>76.948723646224934</v>
      </c>
      <c r="P160" s="8">
        <f t="shared" si="47"/>
        <v>-7.423252706290242</v>
      </c>
    </row>
    <row r="161" spans="1:16">
      <c r="A161" s="7502"/>
      <c r="B161" s="7820"/>
      <c r="C161" s="7821"/>
      <c r="D161" s="7822"/>
      <c r="E161" s="7823"/>
      <c r="F161" s="7824"/>
      <c r="G161" s="7825"/>
      <c r="J161" s="3" t="s">
        <v>1261</v>
      </c>
      <c r="L161" s="8">
        <f>AVERAGE(L144:L160)</f>
        <v>37.678722016764787</v>
      </c>
      <c r="M161" s="8">
        <f t="shared" ref="M161:N161" si="59">AVERAGE(M144:M160)</f>
        <v>46.12593785113414</v>
      </c>
      <c r="N161" s="8">
        <f t="shared" si="59"/>
        <v>63.659439539017868</v>
      </c>
      <c r="O161" s="8">
        <f>AVERAGE(O144:O160)</f>
        <v>42.783040682338253</v>
      </c>
      <c r="P161" s="8">
        <f t="shared" si="47"/>
        <v>-25.98071752225308</v>
      </c>
    </row>
    <row r="162" spans="1:16" ht="15" thickBot="1">
      <c r="A162" s="8750"/>
      <c r="B162" s="9274" t="s">
        <v>1222</v>
      </c>
      <c r="C162" s="9275" t="s">
        <v>1222</v>
      </c>
      <c r="D162" s="9276" t="s">
        <v>1222</v>
      </c>
      <c r="E162" s="8751" t="s">
        <v>1003</v>
      </c>
      <c r="F162" s="8752" t="s">
        <v>1186</v>
      </c>
      <c r="G162" s="8753" t="s">
        <v>1257</v>
      </c>
      <c r="H162" s="2792"/>
      <c r="J162" s="212" t="s">
        <v>1145</v>
      </c>
      <c r="K162" s="85"/>
      <c r="L162" s="85">
        <f>SUMPRODUCT(B144:B160,$G144:$G160)/SUM($G144:$G160)</f>
        <v>43.50245517589353</v>
      </c>
      <c r="M162" s="85">
        <f>SUMPRODUCT(C144:C160,$G144:$G160)/SUM($G144:$G160)</f>
        <v>55.917269601287025</v>
      </c>
      <c r="N162" s="85">
        <f>SUMPRODUCT(D144:D160,$G144:$G160)/SUM($G144:$G160)</f>
        <v>72.636658415541888</v>
      </c>
      <c r="O162" s="85">
        <f>SUMPRODUCT(E144:E160,$G144:$G160)/SUM($G144:$G160)</f>
        <v>51.434694068611641</v>
      </c>
      <c r="P162" s="8">
        <f t="shared" si="47"/>
        <v>-29.134203239648357</v>
      </c>
    </row>
    <row r="163" spans="1:16" ht="15" thickTop="1">
      <c r="A163" s="8754"/>
      <c r="B163" s="9277" t="s">
        <v>1187</v>
      </c>
      <c r="C163" s="9277" t="s">
        <v>1187</v>
      </c>
      <c r="D163" s="9277" t="s">
        <v>1187</v>
      </c>
      <c r="E163" s="8755" t="s">
        <v>1187</v>
      </c>
      <c r="G163" s="8756" t="s">
        <v>1187</v>
      </c>
      <c r="H163" s="2793"/>
      <c r="J163" s="7412" t="s">
        <v>1202</v>
      </c>
      <c r="K163" s="7412">
        <v>2022</v>
      </c>
      <c r="L163" s="7412">
        <v>1.3528290686412348</v>
      </c>
      <c r="M163" s="7412">
        <v>3.6353839814902851</v>
      </c>
      <c r="N163" s="7412">
        <v>12.351258645154802</v>
      </c>
      <c r="O163" s="7412">
        <v>2.7399275095865945</v>
      </c>
      <c r="P163" s="7412">
        <v>-10.998429576513567</v>
      </c>
    </row>
    <row r="164" spans="1:16">
      <c r="A164" s="8757"/>
      <c r="B164" s="9278" t="s">
        <v>1045</v>
      </c>
      <c r="C164" s="9278" t="s">
        <v>1045</v>
      </c>
      <c r="D164" s="9278" t="s">
        <v>1045</v>
      </c>
      <c r="E164" s="8758" t="s">
        <v>1222</v>
      </c>
      <c r="P164" s="8">
        <f t="shared" si="47"/>
        <v>0</v>
      </c>
    </row>
    <row r="165" spans="1:16" ht="15" thickBot="1">
      <c r="A165" s="8759"/>
      <c r="B165" s="8760" t="s">
        <v>1187</v>
      </c>
      <c r="C165" s="8761" t="s">
        <v>1188</v>
      </c>
      <c r="D165" s="8762" t="s">
        <v>1189</v>
      </c>
      <c r="E165" s="8763" t="s">
        <v>1187</v>
      </c>
      <c r="J165" s="972" t="str">
        <f>E164</f>
        <v>Acceso a fuente de agua por red</v>
      </c>
      <c r="K165" s="2649"/>
      <c r="L165" s="85"/>
      <c r="M165" s="85"/>
      <c r="N165" s="85"/>
      <c r="O165" s="85"/>
      <c r="P165" s="8">
        <f t="shared" si="47"/>
        <v>0</v>
      </c>
    </row>
    <row r="166" spans="1:16" ht="15" thickTop="1">
      <c r="A166" s="8764" t="s">
        <v>1125</v>
      </c>
      <c r="B166" s="8765"/>
      <c r="C166" s="8766"/>
      <c r="D166" s="8767"/>
      <c r="E166" s="8768"/>
      <c r="F166" s="8769"/>
      <c r="G166" s="8770"/>
      <c r="H166" s="2794"/>
      <c r="J166" s="213" t="s">
        <v>904</v>
      </c>
      <c r="K166" s="216" t="s">
        <v>938</v>
      </c>
      <c r="L166" s="2650" t="s">
        <v>1141</v>
      </c>
      <c r="M166" s="2650" t="s">
        <v>1142</v>
      </c>
      <c r="N166" s="2650" t="s">
        <v>1102</v>
      </c>
      <c r="O166" s="2651" t="s">
        <v>1152</v>
      </c>
      <c r="P166" s="8" t="e">
        <f t="shared" si="47"/>
        <v>#VALUE!</v>
      </c>
    </row>
    <row r="167" spans="1:16">
      <c r="A167" s="8771" t="s">
        <v>1190</v>
      </c>
      <c r="B167" s="8772">
        <v>83.324000861458941</v>
      </c>
      <c r="C167" s="8773">
        <v>84.720890789764766</v>
      </c>
      <c r="D167" s="8774">
        <v>91.235559919487656</v>
      </c>
      <c r="E167" s="8775">
        <v>84.180601369908658</v>
      </c>
      <c r="F167" s="8776">
        <v>2022</v>
      </c>
      <c r="G167" s="8777">
        <v>45773884</v>
      </c>
      <c r="H167" s="2795"/>
      <c r="J167" s="8" t="str">
        <f>A167</f>
        <v xml:space="preserve">  ARG</v>
      </c>
      <c r="K167" s="8">
        <f>F167*1</f>
        <v>2022</v>
      </c>
      <c r="L167" s="8">
        <f>B167</f>
        <v>83.324000861458941</v>
      </c>
      <c r="M167" s="8">
        <f>C167</f>
        <v>84.720890789764766</v>
      </c>
      <c r="N167" s="8">
        <f>D167</f>
        <v>91.235559919487656</v>
      </c>
      <c r="O167" s="8">
        <f>E167</f>
        <v>84.180601369908658</v>
      </c>
      <c r="P167" s="8">
        <f t="shared" si="47"/>
        <v>-7.9115590580287147</v>
      </c>
    </row>
    <row r="168" spans="1:16">
      <c r="A168" s="8778" t="s">
        <v>1191</v>
      </c>
      <c r="B168" s="8779">
        <v>31.450168806547111</v>
      </c>
      <c r="C168" s="8780">
        <v>46.093756649521822</v>
      </c>
      <c r="D168" s="8781">
        <v>75.337450260466582</v>
      </c>
      <c r="E168" s="8782">
        <v>40.63173852391521</v>
      </c>
      <c r="F168" s="8783">
        <v>2022</v>
      </c>
      <c r="G168" s="8784">
        <v>12388571</v>
      </c>
      <c r="H168" s="2796"/>
      <c r="J168" s="8" t="str">
        <f t="shared" ref="J168:J169" si="60">A168</f>
        <v xml:space="preserve">  BOL</v>
      </c>
      <c r="K168" s="8">
        <f t="shared" ref="K168:K169" si="61">F168*1</f>
        <v>2022</v>
      </c>
      <c r="L168" s="8">
        <f t="shared" ref="L168:L169" si="62">B168</f>
        <v>31.450168806547111</v>
      </c>
      <c r="M168" s="8">
        <f t="shared" ref="M168:M169" si="63">C168</f>
        <v>46.093756649521822</v>
      </c>
      <c r="N168" s="8">
        <f t="shared" ref="N168:O182" si="64">D168</f>
        <v>75.337450260466582</v>
      </c>
      <c r="O168" s="8">
        <f t="shared" si="64"/>
        <v>40.63173852391521</v>
      </c>
      <c r="P168" s="8">
        <f t="shared" si="47"/>
        <v>-43.887281453919471</v>
      </c>
    </row>
    <row r="169" spans="1:16">
      <c r="A169" s="8785" t="s">
        <v>1192</v>
      </c>
      <c r="B169" s="8786">
        <v>71.781796772518746</v>
      </c>
      <c r="C169" s="8787">
        <v>80.137010257427193</v>
      </c>
      <c r="D169" s="8788">
        <v>88.07555230813044</v>
      </c>
      <c r="E169" s="8789">
        <v>77.298984237258878</v>
      </c>
      <c r="F169" s="8790">
        <v>2022</v>
      </c>
      <c r="G169" s="8791">
        <v>216422446</v>
      </c>
      <c r="H169" s="2797"/>
      <c r="J169" s="8" t="str">
        <f t="shared" si="60"/>
        <v xml:space="preserve">  BRA</v>
      </c>
      <c r="K169" s="8">
        <f t="shared" si="61"/>
        <v>2022</v>
      </c>
      <c r="L169" s="8">
        <f t="shared" si="62"/>
        <v>71.781796772518746</v>
      </c>
      <c r="M169" s="8">
        <f t="shared" si="63"/>
        <v>80.137010257427193</v>
      </c>
      <c r="N169" s="8">
        <f t="shared" si="64"/>
        <v>88.07555230813044</v>
      </c>
      <c r="O169" s="8">
        <f t="shared" si="64"/>
        <v>77.298984237258878</v>
      </c>
      <c r="P169" s="8">
        <f t="shared" si="47"/>
        <v>-16.293755535611695</v>
      </c>
    </row>
    <row r="170" spans="1:16">
      <c r="A170" s="8792" t="s">
        <v>1193</v>
      </c>
      <c r="B170" s="8793">
        <v>88.456441547909847</v>
      </c>
      <c r="C170" s="8794">
        <v>89.588414874917916</v>
      </c>
      <c r="D170" s="8795">
        <v>94.394076310523786</v>
      </c>
      <c r="E170" s="8796">
        <v>89.233727338505133</v>
      </c>
      <c r="F170" s="8797">
        <v>2022</v>
      </c>
      <c r="G170" s="8798">
        <v>19629590</v>
      </c>
      <c r="H170" s="2798"/>
      <c r="J170" s="8" t="str">
        <f t="shared" ref="J170:J183" si="65">A170</f>
        <v xml:space="preserve">  CHL</v>
      </c>
      <c r="K170" s="8">
        <f t="shared" ref="K170:K183" si="66">F170*1</f>
        <v>2022</v>
      </c>
      <c r="L170" s="8">
        <f t="shared" ref="L170:L183" si="67">B170</f>
        <v>88.456441547909847</v>
      </c>
      <c r="M170" s="8">
        <f t="shared" ref="M170:M183" si="68">C170</f>
        <v>89.588414874917916</v>
      </c>
      <c r="N170" s="8">
        <f t="shared" si="64"/>
        <v>94.394076310523786</v>
      </c>
      <c r="O170" s="8">
        <f t="shared" si="64"/>
        <v>89.233727338505133</v>
      </c>
      <c r="P170" s="8">
        <f t="shared" si="47"/>
        <v>-5.9376347626139392</v>
      </c>
    </row>
    <row r="171" spans="1:16">
      <c r="A171" s="8799" t="s">
        <v>1194</v>
      </c>
      <c r="B171" s="8800">
        <v>72.59886988494037</v>
      </c>
      <c r="C171" s="8801">
        <v>83.357950812297602</v>
      </c>
      <c r="D171" s="8802">
        <v>94.684405280079019</v>
      </c>
      <c r="E171" s="8803">
        <v>78.187379912098592</v>
      </c>
      <c r="F171" s="8804">
        <v>2022</v>
      </c>
      <c r="G171" s="8805">
        <v>52085168</v>
      </c>
      <c r="H171" s="2799"/>
      <c r="J171" s="8" t="str">
        <f t="shared" si="65"/>
        <v xml:space="preserve">  COL</v>
      </c>
      <c r="K171" s="8">
        <f t="shared" si="66"/>
        <v>2022</v>
      </c>
      <c r="L171" s="8">
        <f t="shared" si="67"/>
        <v>72.59886988494037</v>
      </c>
      <c r="M171" s="8">
        <f t="shared" si="68"/>
        <v>83.357950812297602</v>
      </c>
      <c r="N171" s="8">
        <f t="shared" si="64"/>
        <v>94.684405280079019</v>
      </c>
      <c r="O171" s="8">
        <f t="shared" si="64"/>
        <v>78.187379912098592</v>
      </c>
      <c r="P171" s="8">
        <f t="shared" si="47"/>
        <v>-22.085535395138649</v>
      </c>
    </row>
    <row r="172" spans="1:16">
      <c r="A172" s="8806" t="s">
        <v>1195</v>
      </c>
      <c r="B172" s="8807">
        <v>91.052064244906759</v>
      </c>
      <c r="C172" s="8808">
        <v>93.860321237358718</v>
      </c>
      <c r="D172" s="8809">
        <v>96.991743616645635</v>
      </c>
      <c r="E172" s="8810">
        <v>93.000214595817027</v>
      </c>
      <c r="F172" s="8811">
        <v>2023</v>
      </c>
      <c r="G172" s="8812">
        <v>5212173</v>
      </c>
      <c r="H172" s="2800"/>
      <c r="J172" s="8" t="str">
        <f t="shared" si="65"/>
        <v xml:space="preserve">  CRI</v>
      </c>
      <c r="K172" s="8">
        <f t="shared" si="66"/>
        <v>2023</v>
      </c>
      <c r="L172" s="8">
        <f t="shared" si="67"/>
        <v>91.052064244906759</v>
      </c>
      <c r="M172" s="8">
        <f t="shared" si="68"/>
        <v>93.860321237358718</v>
      </c>
      <c r="N172" s="8">
        <f t="shared" si="64"/>
        <v>96.991743616645635</v>
      </c>
      <c r="O172" s="8">
        <f t="shared" si="64"/>
        <v>93.000214595817027</v>
      </c>
      <c r="P172" s="8">
        <f t="shared" si="47"/>
        <v>-5.9396793717388761</v>
      </c>
    </row>
    <row r="173" spans="1:16">
      <c r="A173" s="8813" t="s">
        <v>1196</v>
      </c>
      <c r="B173" s="8814">
        <v>81.973318586673514</v>
      </c>
      <c r="C173" s="8815">
        <v>85.256855709412548</v>
      </c>
      <c r="D173" s="8816">
        <v>89.648414124355853</v>
      </c>
      <c r="E173" s="8817">
        <v>84.2527064213117</v>
      </c>
      <c r="F173" s="8818">
        <v>2022</v>
      </c>
      <c r="G173" s="8819">
        <v>11332973</v>
      </c>
      <c r="H173" s="2801"/>
      <c r="J173" s="8" t="str">
        <f t="shared" si="65"/>
        <v xml:space="preserve">  DOM</v>
      </c>
      <c r="K173" s="8">
        <f t="shared" si="66"/>
        <v>2022</v>
      </c>
      <c r="L173" s="8">
        <f t="shared" si="67"/>
        <v>81.973318586673514</v>
      </c>
      <c r="M173" s="8">
        <f t="shared" si="68"/>
        <v>85.256855709412548</v>
      </c>
      <c r="N173" s="8">
        <f t="shared" si="64"/>
        <v>89.648414124355853</v>
      </c>
      <c r="O173" s="8">
        <f t="shared" si="64"/>
        <v>84.2527064213117</v>
      </c>
      <c r="P173" s="8">
        <f t="shared" si="47"/>
        <v>-7.6750955376823384</v>
      </c>
    </row>
    <row r="174" spans="1:16">
      <c r="A174" s="8820" t="s">
        <v>1197</v>
      </c>
      <c r="B174" s="8821">
        <v>53.218187912991041</v>
      </c>
      <c r="C174" s="8822">
        <v>74.247282215088973</v>
      </c>
      <c r="D174" s="8823">
        <v>87.303025174075827</v>
      </c>
      <c r="E174" s="8824">
        <v>66.898745526801363</v>
      </c>
      <c r="F174" s="8825">
        <v>2023</v>
      </c>
      <c r="G174" s="8826">
        <v>18190484</v>
      </c>
      <c r="H174" s="2802"/>
      <c r="J174" s="8" t="str">
        <f t="shared" si="65"/>
        <v xml:space="preserve">  ECU</v>
      </c>
      <c r="K174" s="8">
        <f t="shared" si="66"/>
        <v>2023</v>
      </c>
      <c r="L174" s="8">
        <f t="shared" si="67"/>
        <v>53.218187912991041</v>
      </c>
      <c r="M174" s="8">
        <f t="shared" si="68"/>
        <v>74.247282215088973</v>
      </c>
      <c r="N174" s="8">
        <f t="shared" si="64"/>
        <v>87.303025174075827</v>
      </c>
      <c r="O174" s="8">
        <f t="shared" si="64"/>
        <v>66.898745526801363</v>
      </c>
      <c r="P174" s="8">
        <f t="shared" si="47"/>
        <v>-34.084837261084786</v>
      </c>
    </row>
    <row r="175" spans="1:16">
      <c r="A175" s="8827" t="s">
        <v>1204</v>
      </c>
      <c r="B175" s="8828">
        <v>67.914985270388158</v>
      </c>
      <c r="C175" s="8829">
        <v>75.2172588157934</v>
      </c>
      <c r="D175" s="8830">
        <v>85.531170786559684</v>
      </c>
      <c r="E175" s="8831">
        <v>71.113698234873482</v>
      </c>
      <c r="F175" s="8832">
        <v>2022</v>
      </c>
      <c r="G175" s="8833">
        <v>18092026</v>
      </c>
      <c r="H175" s="2803"/>
      <c r="J175" s="8" t="str">
        <f t="shared" si="65"/>
        <v xml:space="preserve">  GTM</v>
      </c>
      <c r="K175" s="8">
        <f t="shared" si="66"/>
        <v>2022</v>
      </c>
      <c r="L175" s="8">
        <f t="shared" si="67"/>
        <v>67.914985270388158</v>
      </c>
      <c r="M175" s="8">
        <f t="shared" si="68"/>
        <v>75.2172588157934</v>
      </c>
      <c r="N175" s="8">
        <f t="shared" si="64"/>
        <v>85.531170786559684</v>
      </c>
      <c r="O175" s="8">
        <f t="shared" si="64"/>
        <v>71.113698234873482</v>
      </c>
      <c r="P175" s="8">
        <f t="shared" si="47"/>
        <v>-17.616185516171527</v>
      </c>
    </row>
    <row r="176" spans="1:16">
      <c r="A176" s="8834" t="s">
        <v>1199</v>
      </c>
      <c r="B176" s="8835">
        <v>79.300925664015651</v>
      </c>
      <c r="C176" s="8836">
        <v>84.215427322609784</v>
      </c>
      <c r="D176" s="8837">
        <v>89.819951807534608</v>
      </c>
      <c r="E176" s="8838">
        <v>81.437356451070301</v>
      </c>
      <c r="F176" s="8839">
        <v>2023</v>
      </c>
      <c r="G176" s="8840">
        <v>10593798</v>
      </c>
      <c r="H176" s="2804"/>
      <c r="J176" s="8" t="str">
        <f t="shared" si="65"/>
        <v xml:space="preserve">  HND</v>
      </c>
      <c r="K176" s="8">
        <f t="shared" si="66"/>
        <v>2023</v>
      </c>
      <c r="L176" s="8">
        <f t="shared" si="67"/>
        <v>79.300925664015651</v>
      </c>
      <c r="M176" s="8">
        <f t="shared" si="68"/>
        <v>84.215427322609784</v>
      </c>
      <c r="N176" s="8">
        <f t="shared" si="64"/>
        <v>89.819951807534608</v>
      </c>
      <c r="O176" s="8">
        <f t="shared" si="64"/>
        <v>81.437356451070301</v>
      </c>
      <c r="P176" s="8">
        <f t="shared" si="47"/>
        <v>-10.519026143518957</v>
      </c>
    </row>
    <row r="177" spans="1:16">
      <c r="A177" s="8841" t="s">
        <v>1205</v>
      </c>
      <c r="B177" s="8842">
        <v>93.587191965792726</v>
      </c>
      <c r="C177" s="8843">
        <v>95.546755446199413</v>
      </c>
      <c r="D177" s="8844">
        <v>97.851446943627536</v>
      </c>
      <c r="E177" s="8845">
        <v>94.944291354394863</v>
      </c>
      <c r="F177" s="8846">
        <v>2022</v>
      </c>
      <c r="G177" s="8847">
        <v>128455567</v>
      </c>
      <c r="H177" s="2805"/>
      <c r="J177" s="8" t="str">
        <f t="shared" si="65"/>
        <v xml:space="preserve">  MEX</v>
      </c>
      <c r="K177" s="8">
        <f t="shared" si="66"/>
        <v>2022</v>
      </c>
      <c r="L177" s="8">
        <f t="shared" si="67"/>
        <v>93.587191965792726</v>
      </c>
      <c r="M177" s="8">
        <f t="shared" si="68"/>
        <v>95.546755446199413</v>
      </c>
      <c r="N177" s="8">
        <f t="shared" si="64"/>
        <v>97.851446943627536</v>
      </c>
      <c r="O177" s="8">
        <f t="shared" si="64"/>
        <v>94.944291354394863</v>
      </c>
      <c r="P177" s="8">
        <f t="shared" si="47"/>
        <v>-4.2642549778348098</v>
      </c>
    </row>
    <row r="178" spans="1:16">
      <c r="A178" s="8848" t="s">
        <v>1200</v>
      </c>
      <c r="B178" s="8849">
        <v>67.239854574039498</v>
      </c>
      <c r="C178" s="8850">
        <v>86.498018607037992</v>
      </c>
      <c r="D178" s="8851">
        <v>96.135570209464703</v>
      </c>
      <c r="E178" s="8852">
        <v>78.723621279778769</v>
      </c>
      <c r="F178" s="8853">
        <v>2022</v>
      </c>
      <c r="G178" s="8854">
        <v>4468087</v>
      </c>
      <c r="H178" s="2806"/>
      <c r="J178" s="8" t="str">
        <f t="shared" si="65"/>
        <v xml:space="preserve">  PAN</v>
      </c>
      <c r="K178" s="8">
        <f t="shared" si="66"/>
        <v>2022</v>
      </c>
      <c r="L178" s="8">
        <f t="shared" si="67"/>
        <v>67.239854574039498</v>
      </c>
      <c r="M178" s="8">
        <f t="shared" si="68"/>
        <v>86.498018607037992</v>
      </c>
      <c r="N178" s="8">
        <f t="shared" si="64"/>
        <v>96.135570209464703</v>
      </c>
      <c r="O178" s="8">
        <f t="shared" si="64"/>
        <v>78.723621279778769</v>
      </c>
      <c r="P178" s="8">
        <f t="shared" si="47"/>
        <v>-28.895715635425205</v>
      </c>
    </row>
    <row r="179" spans="1:16">
      <c r="A179" s="8855" t="s">
        <v>1201</v>
      </c>
      <c r="B179" s="8856">
        <v>77.229445648096558</v>
      </c>
      <c r="C179" s="8857">
        <v>83.668220641765714</v>
      </c>
      <c r="D179" s="8858">
        <v>89.247871997126978</v>
      </c>
      <c r="E179" s="8859">
        <v>81.622164921875594</v>
      </c>
      <c r="F179" s="8860">
        <v>2022</v>
      </c>
      <c r="G179" s="8861">
        <v>34352719</v>
      </c>
      <c r="H179" s="2807"/>
      <c r="J179" s="8" t="str">
        <f t="shared" si="65"/>
        <v xml:space="preserve">  PER</v>
      </c>
      <c r="K179" s="8">
        <f t="shared" si="66"/>
        <v>2022</v>
      </c>
      <c r="L179" s="8">
        <f t="shared" si="67"/>
        <v>77.229445648096558</v>
      </c>
      <c r="M179" s="8">
        <f t="shared" si="68"/>
        <v>83.668220641765714</v>
      </c>
      <c r="N179" s="8">
        <f t="shared" si="64"/>
        <v>89.247871997126978</v>
      </c>
      <c r="O179" s="8">
        <f t="shared" si="64"/>
        <v>81.622164921875594</v>
      </c>
      <c r="P179" s="8">
        <f t="shared" si="47"/>
        <v>-12.01842634903042</v>
      </c>
    </row>
    <row r="180" spans="1:16">
      <c r="A180" s="8862" t="s">
        <v>1202</v>
      </c>
      <c r="B180" s="8863">
        <v>77.440202812777557</v>
      </c>
      <c r="C180" s="8864">
        <v>82.999530341928363</v>
      </c>
      <c r="D180" s="8865">
        <v>84.413442307907175</v>
      </c>
      <c r="E180" s="8866">
        <v>80.818581359107696</v>
      </c>
      <c r="F180" s="8867">
        <v>2022</v>
      </c>
      <c r="G180" s="8868">
        <v>6861524</v>
      </c>
      <c r="H180" s="2808"/>
      <c r="J180" s="8" t="str">
        <f t="shared" si="65"/>
        <v xml:space="preserve">  PRY</v>
      </c>
      <c r="K180" s="8">
        <f t="shared" si="66"/>
        <v>2022</v>
      </c>
      <c r="L180" s="8">
        <f t="shared" si="67"/>
        <v>77.440202812777557</v>
      </c>
      <c r="M180" s="8">
        <f t="shared" si="68"/>
        <v>82.999530341928363</v>
      </c>
      <c r="N180" s="8">
        <f t="shared" si="64"/>
        <v>84.413442307907175</v>
      </c>
      <c r="O180" s="8">
        <f t="shared" si="64"/>
        <v>80.818581359107696</v>
      </c>
      <c r="P180" s="8">
        <f t="shared" si="47"/>
        <v>-6.9732394951296186</v>
      </c>
    </row>
    <row r="181" spans="1:16">
      <c r="A181" s="8869" t="s">
        <v>1206</v>
      </c>
      <c r="B181" s="8870">
        <v>70.597765266941664</v>
      </c>
      <c r="C181" s="8871">
        <v>72.044751564004343</v>
      </c>
      <c r="D181" s="8872">
        <v>81.325029625265728</v>
      </c>
      <c r="E181" s="8873">
        <v>71.433823205063888</v>
      </c>
      <c r="F181" s="8874">
        <v>2023</v>
      </c>
      <c r="G181" s="8875">
        <v>6364943</v>
      </c>
      <c r="H181" s="2809"/>
      <c r="J181" s="8" t="str">
        <f t="shared" si="65"/>
        <v xml:space="preserve">  SLV</v>
      </c>
      <c r="K181" s="8">
        <f t="shared" si="66"/>
        <v>2023</v>
      </c>
      <c r="L181" s="8">
        <f t="shared" si="67"/>
        <v>70.597765266941664</v>
      </c>
      <c r="M181" s="8">
        <f t="shared" si="68"/>
        <v>72.044751564004343</v>
      </c>
      <c r="N181" s="8">
        <f t="shared" si="64"/>
        <v>81.325029625265728</v>
      </c>
      <c r="O181" s="8">
        <f t="shared" si="64"/>
        <v>71.433823205063888</v>
      </c>
      <c r="P181" s="8">
        <f t="shared" si="47"/>
        <v>-10.727264358324064</v>
      </c>
    </row>
    <row r="182" spans="1:16">
      <c r="A182" s="8876" t="s">
        <v>1207</v>
      </c>
      <c r="B182" s="8877">
        <v>97.548940038307947</v>
      </c>
      <c r="C182" s="8878">
        <v>95.841503091939401</v>
      </c>
      <c r="D182" s="8879">
        <v>95.347933785288447</v>
      </c>
      <c r="E182" s="8880">
        <v>96.266936299292212</v>
      </c>
      <c r="F182" s="8881">
        <v>2022</v>
      </c>
      <c r="G182" s="8882">
        <v>3423109</v>
      </c>
      <c r="H182" s="2810"/>
      <c r="J182" s="8" t="str">
        <f t="shared" si="65"/>
        <v xml:space="preserve">  URY</v>
      </c>
      <c r="K182" s="8">
        <f t="shared" si="66"/>
        <v>2022</v>
      </c>
      <c r="L182" s="8">
        <f t="shared" si="67"/>
        <v>97.548940038307947</v>
      </c>
      <c r="M182" s="8">
        <f t="shared" si="68"/>
        <v>95.841503091939401</v>
      </c>
      <c r="N182" s="8">
        <f t="shared" si="64"/>
        <v>95.347933785288447</v>
      </c>
      <c r="O182" s="8">
        <f t="shared" si="64"/>
        <v>96.266936299292212</v>
      </c>
      <c r="P182" s="8">
        <f t="shared" si="47"/>
        <v>2.2010062530195</v>
      </c>
    </row>
    <row r="183" spans="1:16">
      <c r="A183" s="8883" t="s">
        <v>1203</v>
      </c>
      <c r="B183" s="8884">
        <v>76.335810807274186</v>
      </c>
      <c r="C183" s="8885">
        <v>76.752078664452242</v>
      </c>
      <c r="D183" s="8886">
        <v>81.132817719363942</v>
      </c>
      <c r="E183" s="8887">
        <v>76.439469739194564</v>
      </c>
      <c r="F183" s="8888">
        <v>2021</v>
      </c>
      <c r="G183" s="8889">
        <v>28838499</v>
      </c>
      <c r="H183" s="2811"/>
      <c r="J183" s="2648" t="str">
        <f t="shared" si="65"/>
        <v xml:space="preserve">  VEN</v>
      </c>
      <c r="K183" s="2648">
        <f t="shared" si="66"/>
        <v>2021</v>
      </c>
      <c r="L183" s="2648">
        <f t="shared" si="67"/>
        <v>76.335810807274186</v>
      </c>
      <c r="M183" s="2648">
        <f t="shared" si="68"/>
        <v>76.752078664452242</v>
      </c>
      <c r="N183" s="2648">
        <f t="shared" ref="N183:O183" si="69">D183</f>
        <v>81.132817719363942</v>
      </c>
      <c r="O183" s="2648">
        <f t="shared" si="69"/>
        <v>76.439469739194564</v>
      </c>
      <c r="P183" s="8">
        <f t="shared" si="47"/>
        <v>-4.7970069120897563</v>
      </c>
    </row>
    <row r="184" spans="1:16">
      <c r="J184" s="3" t="s">
        <v>1261</v>
      </c>
      <c r="L184" s="8">
        <f t="shared" ref="L184:N184" si="70">AVERAGE(L167:L183)</f>
        <v>75.35588062738708</v>
      </c>
      <c r="M184" s="8">
        <f t="shared" si="70"/>
        <v>81.767413355383553</v>
      </c>
      <c r="N184" s="8">
        <f t="shared" si="70"/>
        <v>89.322086010347263</v>
      </c>
      <c r="O184" s="8">
        <f>AVERAGE(O167:O183)</f>
        <v>79.204943574721625</v>
      </c>
      <c r="P184" s="8">
        <f t="shared" si="47"/>
        <v>-13.966205382960183</v>
      </c>
    </row>
    <row r="185" spans="1:16" ht="15" thickBot="1">
      <c r="A185" s="8890"/>
      <c r="B185" s="9279" t="s">
        <v>1223</v>
      </c>
      <c r="C185" s="9280" t="s">
        <v>1223</v>
      </c>
      <c r="D185" s="9281" t="s">
        <v>1223</v>
      </c>
      <c r="E185" s="8891" t="s">
        <v>1003</v>
      </c>
      <c r="F185" s="8892" t="s">
        <v>1186</v>
      </c>
      <c r="G185" s="8893" t="s">
        <v>1257</v>
      </c>
      <c r="H185" s="2812"/>
      <c r="J185" s="212" t="s">
        <v>1145</v>
      </c>
      <c r="K185" s="85"/>
      <c r="L185" s="85">
        <f>SUMPRODUCT(B167:B183,$G167:$G183)/SUM($G167:$G183)</f>
        <v>77.412781664237997</v>
      </c>
      <c r="M185" s="85">
        <f>SUMPRODUCT(C167:C183,$G167:$G183)/SUM($G167:$G183)</f>
        <v>83.625363095829897</v>
      </c>
      <c r="N185" s="85">
        <f>SUMPRODUCT(D167:D183,$G167:$G183)/SUM($G167:$G183)</f>
        <v>90.591947001924851</v>
      </c>
      <c r="O185" s="85">
        <f>SUMPRODUCT(E167:E183,$G167:$G183)/SUM($G167:$G183)</f>
        <v>81.304156865242902</v>
      </c>
      <c r="P185" s="8">
        <f t="shared" si="47"/>
        <v>-13.179165337686854</v>
      </c>
    </row>
    <row r="186" spans="1:16" ht="15" thickTop="1">
      <c r="A186" s="8894"/>
      <c r="B186" s="9266" t="s">
        <v>1187</v>
      </c>
      <c r="C186" s="9266" t="s">
        <v>1187</v>
      </c>
      <c r="D186" s="9266" t="s">
        <v>1187</v>
      </c>
      <c r="E186" s="8895" t="s">
        <v>1187</v>
      </c>
      <c r="G186" s="8896" t="s">
        <v>1187</v>
      </c>
      <c r="H186" s="2813"/>
      <c r="P186" s="8">
        <f t="shared" si="47"/>
        <v>0</v>
      </c>
    </row>
    <row r="187" spans="1:16">
      <c r="A187" s="8897"/>
      <c r="B187" s="9267" t="s">
        <v>1045</v>
      </c>
      <c r="C187" s="9267" t="s">
        <v>1045</v>
      </c>
      <c r="D187" s="9267" t="s">
        <v>1045</v>
      </c>
      <c r="E187" s="8898" t="s">
        <v>1223</v>
      </c>
      <c r="P187" s="8">
        <f t="shared" si="47"/>
        <v>0</v>
      </c>
    </row>
    <row r="188" spans="1:16" ht="15" thickBot="1">
      <c r="A188" s="8899"/>
      <c r="B188" s="8900" t="s">
        <v>1187</v>
      </c>
      <c r="C188" s="8901" t="s">
        <v>1188</v>
      </c>
      <c r="D188" s="8902" t="s">
        <v>1189</v>
      </c>
      <c r="E188" s="8903" t="s">
        <v>1187</v>
      </c>
      <c r="J188" s="972" t="str">
        <f>E187</f>
        <v>Cuarto separado y exclusivo para cocinar</v>
      </c>
      <c r="K188" s="2649"/>
      <c r="L188" s="85"/>
      <c r="M188" s="85"/>
      <c r="N188" s="85"/>
      <c r="O188" s="85"/>
      <c r="P188" s="8">
        <f t="shared" si="47"/>
        <v>0</v>
      </c>
    </row>
    <row r="189" spans="1:16" ht="15" thickTop="1">
      <c r="A189" s="8904" t="s">
        <v>1125</v>
      </c>
      <c r="B189" s="8905"/>
      <c r="C189" s="8906"/>
      <c r="D189" s="8907"/>
      <c r="E189" s="8908"/>
      <c r="F189" s="8909"/>
      <c r="G189" s="8910"/>
      <c r="H189" s="2814"/>
      <c r="J189" s="213" t="s">
        <v>904</v>
      </c>
      <c r="K189" s="216" t="s">
        <v>938</v>
      </c>
      <c r="L189" s="2650" t="s">
        <v>1141</v>
      </c>
      <c r="M189" s="2650" t="s">
        <v>1142</v>
      </c>
      <c r="N189" s="2650" t="s">
        <v>1102</v>
      </c>
      <c r="O189" s="2651" t="s">
        <v>1152</v>
      </c>
      <c r="P189" s="8" t="e">
        <f t="shared" si="47"/>
        <v>#VALUE!</v>
      </c>
    </row>
    <row r="190" spans="1:16">
      <c r="A190" s="8911" t="s">
        <v>1190</v>
      </c>
      <c r="B190" s="8912">
        <v>90.477391830497695</v>
      </c>
      <c r="C190" s="8913">
        <v>87.162748697567977</v>
      </c>
      <c r="D190" s="8914">
        <v>91.423169733136049</v>
      </c>
      <c r="E190" s="8915">
        <v>88.444787159605312</v>
      </c>
      <c r="F190" s="8916">
        <v>2022</v>
      </c>
      <c r="G190" s="8917">
        <v>45773884</v>
      </c>
      <c r="H190" s="2815"/>
      <c r="J190" s="8" t="str">
        <f>A190</f>
        <v xml:space="preserve">  ARG</v>
      </c>
      <c r="K190" s="8">
        <f>F190*1</f>
        <v>2022</v>
      </c>
      <c r="L190" s="8">
        <f>B190</f>
        <v>90.477391830497695</v>
      </c>
      <c r="M190" s="8">
        <f>C190</f>
        <v>87.162748697567977</v>
      </c>
      <c r="N190" s="8">
        <f t="shared" ref="N190:O200" si="71">D190</f>
        <v>91.423169733136049</v>
      </c>
      <c r="O190" s="8">
        <f t="shared" si="71"/>
        <v>88.444787159605312</v>
      </c>
      <c r="P190" s="8">
        <f t="shared" si="47"/>
        <v>-0.94577790263835482</v>
      </c>
    </row>
    <row r="191" spans="1:16">
      <c r="A191" s="8918" t="s">
        <v>1191</v>
      </c>
      <c r="B191" s="8919">
        <v>77.292556523344004</v>
      </c>
      <c r="C191" s="8920">
        <v>74.501536787999839</v>
      </c>
      <c r="D191" s="8921">
        <v>80.645109758170676</v>
      </c>
      <c r="E191" s="8922">
        <v>75.495984025709149</v>
      </c>
      <c r="F191" s="8923">
        <v>2019</v>
      </c>
      <c r="G191" s="8924">
        <v>12388571</v>
      </c>
      <c r="H191" s="2816"/>
      <c r="J191" s="8" t="str">
        <f t="shared" ref="J191:J192" si="72">A191</f>
        <v xml:space="preserve">  BOL</v>
      </c>
      <c r="K191" s="8">
        <f t="shared" ref="K191:K192" si="73">F191*1</f>
        <v>2019</v>
      </c>
      <c r="L191" s="8">
        <f t="shared" ref="L191:L192" si="74">B191</f>
        <v>77.292556523344004</v>
      </c>
      <c r="M191" s="8">
        <f t="shared" ref="M191:M192" si="75">C191</f>
        <v>74.501536787999839</v>
      </c>
      <c r="N191" s="8">
        <f t="shared" si="71"/>
        <v>80.645109758170676</v>
      </c>
      <c r="O191" s="8">
        <f t="shared" si="71"/>
        <v>75.495984025709149</v>
      </c>
      <c r="P191" s="8">
        <f t="shared" si="47"/>
        <v>-3.3525532348266722</v>
      </c>
    </row>
    <row r="192" spans="1:16">
      <c r="A192" s="8925" t="s">
        <v>1193</v>
      </c>
      <c r="B192" s="8926">
        <v>88.839725159592604</v>
      </c>
      <c r="C192" s="8927">
        <v>92.413035663702004</v>
      </c>
      <c r="D192" s="8928">
        <v>95.218497354382563</v>
      </c>
      <c r="E192" s="8929">
        <v>91.506496043279768</v>
      </c>
      <c r="F192" s="8930">
        <v>2013</v>
      </c>
      <c r="G192" s="8931">
        <v>19629590</v>
      </c>
      <c r="H192" s="2817"/>
      <c r="J192" s="8" t="str">
        <f t="shared" si="72"/>
        <v xml:space="preserve">  CHL</v>
      </c>
      <c r="K192" s="8">
        <f t="shared" si="73"/>
        <v>2013</v>
      </c>
      <c r="L192" s="8">
        <f t="shared" si="74"/>
        <v>88.839725159592604</v>
      </c>
      <c r="M192" s="8">
        <f t="shared" si="75"/>
        <v>92.413035663702004</v>
      </c>
      <c r="N192" s="8">
        <f t="shared" si="71"/>
        <v>95.218497354382563</v>
      </c>
      <c r="O192" s="8">
        <f t="shared" si="71"/>
        <v>91.506496043279768</v>
      </c>
      <c r="P192" s="8">
        <f t="shared" si="47"/>
        <v>-6.3787721947899598</v>
      </c>
    </row>
    <row r="193" spans="1:16">
      <c r="A193" s="8932" t="s">
        <v>1194</v>
      </c>
      <c r="B193" s="8933">
        <v>70.220726983070222</v>
      </c>
      <c r="C193" s="8934">
        <v>81.198032933355009</v>
      </c>
      <c r="D193" s="8935">
        <v>89.946095922841124</v>
      </c>
      <c r="E193" s="8936">
        <v>75.922588023855127</v>
      </c>
      <c r="F193" s="8937">
        <v>2022</v>
      </c>
      <c r="G193" s="8938">
        <v>52085168</v>
      </c>
      <c r="H193" s="2818"/>
      <c r="J193" s="8" t="str">
        <f t="shared" ref="J193:J200" si="76">A193</f>
        <v xml:space="preserve">  COL</v>
      </c>
      <c r="K193" s="8">
        <f t="shared" ref="K193:K200" si="77">F193*1</f>
        <v>2022</v>
      </c>
      <c r="L193" s="8">
        <f t="shared" ref="L193:L200" si="78">B193</f>
        <v>70.220726983070222</v>
      </c>
      <c r="M193" s="8">
        <f t="shared" ref="M193:M200" si="79">C193</f>
        <v>81.198032933355009</v>
      </c>
      <c r="N193" s="8">
        <f t="shared" si="71"/>
        <v>89.946095922841124</v>
      </c>
      <c r="O193" s="8">
        <f t="shared" si="71"/>
        <v>75.922588023855127</v>
      </c>
      <c r="P193" s="8">
        <f t="shared" si="47"/>
        <v>-19.725368939770902</v>
      </c>
    </row>
    <row r="194" spans="1:16">
      <c r="A194" s="8939" t="s">
        <v>1197</v>
      </c>
      <c r="B194" s="8940">
        <v>93.287652075208825</v>
      </c>
      <c r="C194" s="8941">
        <v>93.722307551098041</v>
      </c>
      <c r="D194" s="8942">
        <v>95.150180097539248</v>
      </c>
      <c r="E194" s="8943">
        <v>93.570418855110859</v>
      </c>
      <c r="F194" s="8944">
        <v>2023</v>
      </c>
      <c r="G194" s="8945">
        <v>18190484</v>
      </c>
      <c r="H194" s="2819"/>
      <c r="J194" s="8" t="str">
        <f t="shared" si="76"/>
        <v xml:space="preserve">  ECU</v>
      </c>
      <c r="K194" s="8">
        <f t="shared" si="77"/>
        <v>2023</v>
      </c>
      <c r="L194" s="8">
        <f t="shared" si="78"/>
        <v>93.287652075208825</v>
      </c>
      <c r="M194" s="8">
        <f t="shared" si="79"/>
        <v>93.722307551098041</v>
      </c>
      <c r="N194" s="8">
        <f t="shared" si="71"/>
        <v>95.150180097539248</v>
      </c>
      <c r="O194" s="8">
        <f t="shared" si="71"/>
        <v>93.570418855110859</v>
      </c>
      <c r="P194" s="8">
        <f t="shared" si="47"/>
        <v>-1.862528022330423</v>
      </c>
    </row>
    <row r="195" spans="1:16">
      <c r="A195" s="8946" t="s">
        <v>1204</v>
      </c>
      <c r="B195" s="8947">
        <v>52.014733238735289</v>
      </c>
      <c r="C195" s="8948">
        <v>50.503792468729223</v>
      </c>
      <c r="D195" s="8949">
        <v>61.771101191690313</v>
      </c>
      <c r="E195" s="8950">
        <v>51.325246092464937</v>
      </c>
      <c r="F195" s="8951">
        <v>2006</v>
      </c>
      <c r="G195" s="8952">
        <v>18092026</v>
      </c>
      <c r="H195" s="2820"/>
      <c r="J195" s="8" t="str">
        <f t="shared" si="76"/>
        <v xml:space="preserve">  GTM</v>
      </c>
      <c r="K195" s="8">
        <f t="shared" si="77"/>
        <v>2006</v>
      </c>
      <c r="L195" s="8">
        <f t="shared" si="78"/>
        <v>52.014733238735289</v>
      </c>
      <c r="M195" s="8">
        <f t="shared" si="79"/>
        <v>50.503792468729223</v>
      </c>
      <c r="N195" s="8">
        <f t="shared" si="71"/>
        <v>61.771101191690313</v>
      </c>
      <c r="O195" s="8">
        <f t="shared" si="71"/>
        <v>51.325246092464937</v>
      </c>
      <c r="P195" s="8">
        <f t="shared" si="47"/>
        <v>-9.7563679529550242</v>
      </c>
    </row>
    <row r="196" spans="1:16">
      <c r="A196" s="8953" t="s">
        <v>1199</v>
      </c>
      <c r="B196" s="8954">
        <v>75.691775398612947</v>
      </c>
      <c r="C196" s="8955">
        <v>72.666211818162139</v>
      </c>
      <c r="D196" s="8956">
        <v>75.730988832725259</v>
      </c>
      <c r="E196" s="8957">
        <v>74.380562219717788</v>
      </c>
      <c r="F196" s="8958">
        <v>2023</v>
      </c>
      <c r="G196" s="8959">
        <v>10593798</v>
      </c>
      <c r="H196" s="2821"/>
      <c r="J196" s="8" t="str">
        <f t="shared" si="76"/>
        <v xml:space="preserve">  HND</v>
      </c>
      <c r="K196" s="8">
        <f t="shared" si="77"/>
        <v>2023</v>
      </c>
      <c r="L196" s="8">
        <f t="shared" si="78"/>
        <v>75.691775398612947</v>
      </c>
      <c r="M196" s="8">
        <f t="shared" si="79"/>
        <v>72.666211818162139</v>
      </c>
      <c r="N196" s="8">
        <f t="shared" si="71"/>
        <v>75.730988832725259</v>
      </c>
      <c r="O196" s="8">
        <f t="shared" si="71"/>
        <v>74.380562219717788</v>
      </c>
      <c r="P196" s="8">
        <f t="shared" si="47"/>
        <v>-3.9213434112312484E-2</v>
      </c>
    </row>
    <row r="197" spans="1:16">
      <c r="A197" s="8960" t="s">
        <v>1205</v>
      </c>
      <c r="B197" s="8961">
        <v>86.895053241042461</v>
      </c>
      <c r="C197" s="8962">
        <v>90.678796408066447</v>
      </c>
      <c r="D197" s="8963">
        <v>95.670507688277283</v>
      </c>
      <c r="E197" s="8964">
        <v>89.466687282999132</v>
      </c>
      <c r="F197" s="8965">
        <v>2022</v>
      </c>
      <c r="G197" s="8966">
        <v>128455567</v>
      </c>
      <c r="H197" s="2822"/>
      <c r="J197" s="8" t="str">
        <f t="shared" si="76"/>
        <v xml:space="preserve">  MEX</v>
      </c>
      <c r="K197" s="8">
        <f t="shared" si="77"/>
        <v>2022</v>
      </c>
      <c r="L197" s="8">
        <f t="shared" si="78"/>
        <v>86.895053241042461</v>
      </c>
      <c r="M197" s="8">
        <f t="shared" si="79"/>
        <v>90.678796408066447</v>
      </c>
      <c r="N197" s="8">
        <f t="shared" si="71"/>
        <v>95.670507688277283</v>
      </c>
      <c r="O197" s="8">
        <f t="shared" si="71"/>
        <v>89.466687282999132</v>
      </c>
      <c r="P197" s="8">
        <f t="shared" si="47"/>
        <v>-8.7754544472348215</v>
      </c>
    </row>
    <row r="198" spans="1:16">
      <c r="A198" s="8967" t="s">
        <v>1202</v>
      </c>
      <c r="B198" s="8968">
        <v>83.480845707858549</v>
      </c>
      <c r="C198" s="8969">
        <v>87.568467790964704</v>
      </c>
      <c r="D198" s="8970">
        <v>91.546253673143312</v>
      </c>
      <c r="E198" s="8971">
        <v>85.964875418045565</v>
      </c>
      <c r="F198" s="8972">
        <v>2022</v>
      </c>
      <c r="G198" s="8973">
        <v>6861524</v>
      </c>
      <c r="H198" s="2823"/>
      <c r="J198" s="8" t="str">
        <f t="shared" si="76"/>
        <v xml:space="preserve">  PRY</v>
      </c>
      <c r="K198" s="8">
        <f t="shared" si="77"/>
        <v>2022</v>
      </c>
      <c r="L198" s="8">
        <f t="shared" si="78"/>
        <v>83.480845707858549</v>
      </c>
      <c r="M198" s="8">
        <f t="shared" si="79"/>
        <v>87.568467790964704</v>
      </c>
      <c r="N198" s="8">
        <f t="shared" si="71"/>
        <v>91.546253673143312</v>
      </c>
      <c r="O198" s="8">
        <f t="shared" si="71"/>
        <v>85.964875418045565</v>
      </c>
      <c r="P198" s="8">
        <f t="shared" si="47"/>
        <v>-8.0654079652847628</v>
      </c>
    </row>
    <row r="199" spans="1:16">
      <c r="A199" s="8974" t="s">
        <v>1206</v>
      </c>
      <c r="B199" s="8975">
        <v>42.053850796800312</v>
      </c>
      <c r="C199" s="8976">
        <v>33.388802870910325</v>
      </c>
      <c r="D199" s="8977">
        <v>44.503954750561903</v>
      </c>
      <c r="E199" s="8978">
        <v>36.9424685597223</v>
      </c>
      <c r="F199" s="8979">
        <v>2007</v>
      </c>
      <c r="G199" s="8980">
        <v>6364943</v>
      </c>
      <c r="H199" s="2824"/>
      <c r="J199" s="8" t="str">
        <f t="shared" si="76"/>
        <v xml:space="preserve">  SLV</v>
      </c>
      <c r="K199" s="8">
        <f t="shared" si="77"/>
        <v>2007</v>
      </c>
      <c r="L199" s="8">
        <f t="shared" si="78"/>
        <v>42.053850796800312</v>
      </c>
      <c r="M199" s="8">
        <f t="shared" si="79"/>
        <v>33.388802870910325</v>
      </c>
      <c r="N199" s="8">
        <f t="shared" si="71"/>
        <v>44.503954750561903</v>
      </c>
      <c r="O199" s="8">
        <f t="shared" si="71"/>
        <v>36.9424685597223</v>
      </c>
      <c r="P199" s="8">
        <f t="shared" ref="P199:P253" si="80">L199-N199</f>
        <v>-2.450103953761591</v>
      </c>
    </row>
    <row r="200" spans="1:16">
      <c r="A200" s="8981" t="s">
        <v>1207</v>
      </c>
      <c r="B200" s="8982">
        <v>89.085478687140863</v>
      </c>
      <c r="C200" s="8983">
        <v>95.533386481653054</v>
      </c>
      <c r="D200" s="8984">
        <v>99.010937125621908</v>
      </c>
      <c r="E200" s="8985">
        <v>93.926794742163793</v>
      </c>
      <c r="F200" s="8986">
        <v>2022</v>
      </c>
      <c r="G200" s="8987">
        <v>3423109</v>
      </c>
      <c r="H200" s="2825"/>
      <c r="J200" s="2648" t="str">
        <f t="shared" si="76"/>
        <v xml:space="preserve">  URY</v>
      </c>
      <c r="K200" s="2648">
        <f t="shared" si="77"/>
        <v>2022</v>
      </c>
      <c r="L200" s="2648">
        <f t="shared" si="78"/>
        <v>89.085478687140863</v>
      </c>
      <c r="M200" s="2648">
        <f t="shared" si="79"/>
        <v>95.533386481653054</v>
      </c>
      <c r="N200" s="2648">
        <f t="shared" si="71"/>
        <v>99.010937125621908</v>
      </c>
      <c r="O200" s="2648">
        <f>E200</f>
        <v>93.926794742163793</v>
      </c>
      <c r="P200" s="8">
        <f t="shared" si="80"/>
        <v>-9.9254584384810443</v>
      </c>
    </row>
    <row r="201" spans="1:16">
      <c r="J201" s="3" t="s">
        <v>1261</v>
      </c>
      <c r="L201" s="8">
        <f t="shared" ref="L201:N201" si="81">AVERAGE(L190:L200)</f>
        <v>77.212708149263975</v>
      </c>
      <c r="M201" s="8">
        <f t="shared" si="81"/>
        <v>78.12155631565534</v>
      </c>
      <c r="N201" s="8">
        <f t="shared" si="81"/>
        <v>83.692436011644517</v>
      </c>
      <c r="O201" s="8">
        <f>AVERAGE(O190:O200)</f>
        <v>77.904264402061258</v>
      </c>
      <c r="P201" s="8">
        <f t="shared" si="80"/>
        <v>-6.4797278623805425</v>
      </c>
    </row>
    <row r="202" spans="1:16" ht="15" thickBot="1">
      <c r="J202" s="212" t="s">
        <v>1145</v>
      </c>
      <c r="K202" s="85"/>
      <c r="L202" s="85">
        <f>SUMPRODUCT(B190:B200,$G190:$G200)/SUM($G190:$G200)</f>
        <v>81.550805665499183</v>
      </c>
      <c r="M202" s="85">
        <f>SUMPRODUCT(C190:C200,$G190:$G200)/SUM($G190:$G200)</f>
        <v>84.300846778861711</v>
      </c>
      <c r="N202" s="85">
        <f>SUMPRODUCT(D190:D200,$G190:$G200)/SUM($G190:$G200)</f>
        <v>89.878724851072718</v>
      </c>
      <c r="O202" s="85">
        <f>SUMPRODUCT(E190:E200,$G190:$G200)/SUM($G190:$G200)</f>
        <v>83.24171924302199</v>
      </c>
      <c r="P202" s="8">
        <f t="shared" si="80"/>
        <v>-8.3279191855735348</v>
      </c>
    </row>
    <row r="203" spans="1:16" ht="15" thickTop="1">
      <c r="P203" s="8">
        <f t="shared" si="80"/>
        <v>0</v>
      </c>
    </row>
    <row r="204" spans="1:16">
      <c r="P204" s="8">
        <f t="shared" si="80"/>
        <v>0</v>
      </c>
    </row>
    <row r="205" spans="1:16">
      <c r="P205" s="8">
        <f t="shared" si="80"/>
        <v>0</v>
      </c>
    </row>
    <row r="206" spans="1:16">
      <c r="P206" s="8">
        <f t="shared" si="80"/>
        <v>0</v>
      </c>
    </row>
    <row r="207" spans="1:16">
      <c r="P207" s="8">
        <f t="shared" si="80"/>
        <v>0</v>
      </c>
    </row>
    <row r="208" spans="1:16">
      <c r="A208" s="8988"/>
      <c r="B208" s="9268" t="s">
        <v>1255</v>
      </c>
      <c r="C208" s="9269" t="s">
        <v>1255</v>
      </c>
      <c r="D208" s="9270" t="s">
        <v>1255</v>
      </c>
      <c r="E208" s="8989" t="s">
        <v>1003</v>
      </c>
      <c r="F208" s="8990" t="s">
        <v>1186</v>
      </c>
      <c r="G208" s="8991" t="s">
        <v>1257</v>
      </c>
      <c r="H208" s="2826"/>
      <c r="P208" s="8">
        <f t="shared" si="80"/>
        <v>0</v>
      </c>
    </row>
    <row r="209" spans="1:16">
      <c r="A209" s="8992"/>
      <c r="B209" s="9271" t="s">
        <v>1187</v>
      </c>
      <c r="C209" s="9271" t="s">
        <v>1187</v>
      </c>
      <c r="D209" s="9271" t="s">
        <v>1187</v>
      </c>
      <c r="E209" s="8993" t="s">
        <v>1187</v>
      </c>
      <c r="G209" s="8994" t="s">
        <v>1187</v>
      </c>
      <c r="H209" s="2827"/>
      <c r="P209" s="8">
        <f t="shared" si="80"/>
        <v>0</v>
      </c>
    </row>
    <row r="210" spans="1:16">
      <c r="A210" s="8995"/>
      <c r="B210" s="9272" t="s">
        <v>1045</v>
      </c>
      <c r="C210" s="9272" t="s">
        <v>1045</v>
      </c>
      <c r="D210" s="9272" t="s">
        <v>1045</v>
      </c>
      <c r="E210" s="8996" t="s">
        <v>1255</v>
      </c>
      <c r="P210" s="8">
        <f t="shared" si="80"/>
        <v>0</v>
      </c>
    </row>
    <row r="211" spans="1:16" ht="15" thickBot="1">
      <c r="A211" s="8997"/>
      <c r="B211" s="8998" t="s">
        <v>1187</v>
      </c>
      <c r="C211" s="8999" t="s">
        <v>1188</v>
      </c>
      <c r="D211" s="9000" t="s">
        <v>1189</v>
      </c>
      <c r="E211" s="9001" t="s">
        <v>1187</v>
      </c>
      <c r="J211" s="972" t="str">
        <f>E210</f>
        <v>aguamejorada_chh</v>
      </c>
      <c r="K211" s="2649"/>
      <c r="L211" s="85"/>
      <c r="M211" s="85"/>
      <c r="N211" s="85"/>
      <c r="O211" s="85"/>
      <c r="P211" s="8">
        <f t="shared" si="80"/>
        <v>0</v>
      </c>
    </row>
    <row r="212" spans="1:16" ht="15" thickTop="1">
      <c r="A212" s="9002" t="s">
        <v>1125</v>
      </c>
      <c r="B212" s="9003"/>
      <c r="C212" s="9004"/>
      <c r="D212" s="9005"/>
      <c r="E212" s="9006"/>
      <c r="F212" s="9007"/>
      <c r="G212" s="9008"/>
      <c r="H212" s="2828"/>
      <c r="J212" s="213" t="s">
        <v>904</v>
      </c>
      <c r="K212" s="216" t="s">
        <v>938</v>
      </c>
      <c r="L212" s="2650" t="s">
        <v>1141</v>
      </c>
      <c r="M212" s="2650" t="s">
        <v>1142</v>
      </c>
      <c r="N212" s="2650" t="s">
        <v>1102</v>
      </c>
      <c r="O212" s="2651" t="s">
        <v>1152</v>
      </c>
      <c r="P212" s="8" t="e">
        <f t="shared" si="80"/>
        <v>#VALUE!</v>
      </c>
    </row>
    <row r="213" spans="1:16">
      <c r="A213" s="9009" t="s">
        <v>1190</v>
      </c>
      <c r="B213" s="9010">
        <v>83.324000861458941</v>
      </c>
      <c r="C213" s="9011">
        <v>84.720890789764766</v>
      </c>
      <c r="D213" s="9012">
        <v>91.235559919487656</v>
      </c>
      <c r="E213" s="9013">
        <v>84.180601369908658</v>
      </c>
      <c r="F213" s="9014">
        <v>2022</v>
      </c>
      <c r="G213" s="9015">
        <v>45773884</v>
      </c>
      <c r="H213" s="2829"/>
      <c r="J213" s="8" t="str">
        <f>A213</f>
        <v xml:space="preserve">  ARG</v>
      </c>
      <c r="K213" s="8">
        <f>F213*1</f>
        <v>2022</v>
      </c>
      <c r="L213" s="8">
        <f>B213</f>
        <v>83.324000861458941</v>
      </c>
      <c r="M213" s="8">
        <f>C213</f>
        <v>84.720890789764766</v>
      </c>
      <c r="N213" s="8">
        <f t="shared" ref="N213:O228" si="82">D213</f>
        <v>91.235559919487656</v>
      </c>
      <c r="O213" s="8">
        <f t="shared" si="82"/>
        <v>84.180601369908658</v>
      </c>
      <c r="P213" s="8">
        <f t="shared" si="80"/>
        <v>-7.9115590580287147</v>
      </c>
    </row>
    <row r="214" spans="1:16">
      <c r="A214" s="9016" t="s">
        <v>1191</v>
      </c>
      <c r="B214" s="9017">
        <v>78.582786442303316</v>
      </c>
      <c r="C214" s="9018">
        <v>85.877689998100905</v>
      </c>
      <c r="D214" s="9019">
        <v>94.64223122503337</v>
      </c>
      <c r="E214" s="9020">
        <v>83.156710967990179</v>
      </c>
      <c r="F214" s="9021">
        <v>2022</v>
      </c>
      <c r="G214" s="9022">
        <v>12388571</v>
      </c>
      <c r="H214" s="2830"/>
      <c r="J214" s="8" t="str">
        <f t="shared" ref="J214:J215" si="83">A214</f>
        <v xml:space="preserve">  BOL</v>
      </c>
      <c r="K214" s="8">
        <f t="shared" ref="K214:K215" si="84">F214*1</f>
        <v>2022</v>
      </c>
      <c r="L214" s="8">
        <f t="shared" ref="L214:L215" si="85">B214</f>
        <v>78.582786442303316</v>
      </c>
      <c r="M214" s="8">
        <f t="shared" ref="M214:M215" si="86">C214</f>
        <v>85.877689998100905</v>
      </c>
      <c r="N214" s="8">
        <f t="shared" si="82"/>
        <v>94.64223122503337</v>
      </c>
      <c r="O214" s="8">
        <f t="shared" si="82"/>
        <v>83.156710967990179</v>
      </c>
      <c r="P214" s="8">
        <f t="shared" si="80"/>
        <v>-16.059444782730054</v>
      </c>
    </row>
    <row r="215" spans="1:16">
      <c r="A215" s="9023" t="s">
        <v>1192</v>
      </c>
      <c r="B215" s="9024">
        <v>85.986334475718365</v>
      </c>
      <c r="C215" s="9025">
        <v>91.182301694766579</v>
      </c>
      <c r="D215" s="9026">
        <v>95.351472495331194</v>
      </c>
      <c r="E215" s="9027">
        <v>89.41738088284049</v>
      </c>
      <c r="F215" s="9028">
        <v>2022</v>
      </c>
      <c r="G215" s="9029">
        <v>216422446</v>
      </c>
      <c r="H215" s="2831"/>
      <c r="J215" s="8" t="str">
        <f t="shared" si="83"/>
        <v xml:space="preserve">  BRA</v>
      </c>
      <c r="K215" s="8">
        <f t="shared" si="84"/>
        <v>2022</v>
      </c>
      <c r="L215" s="8">
        <f t="shared" si="85"/>
        <v>85.986334475718365</v>
      </c>
      <c r="M215" s="8">
        <f t="shared" si="86"/>
        <v>91.182301694766579</v>
      </c>
      <c r="N215" s="8">
        <f t="shared" si="82"/>
        <v>95.351472495331194</v>
      </c>
      <c r="O215" s="8">
        <f t="shared" si="82"/>
        <v>89.41738088284049</v>
      </c>
      <c r="P215" s="8">
        <f t="shared" si="80"/>
        <v>-9.3651380196128287</v>
      </c>
    </row>
    <row r="216" spans="1:16">
      <c r="A216" s="9030" t="s">
        <v>1193</v>
      </c>
      <c r="B216" s="9031">
        <v>91.331329054461662</v>
      </c>
      <c r="C216" s="9032">
        <v>92.278463590025922</v>
      </c>
      <c r="D216" s="9033">
        <v>95.76641989962225</v>
      </c>
      <c r="E216" s="9034">
        <v>91.981692626386106</v>
      </c>
      <c r="F216" s="9035">
        <v>2022</v>
      </c>
      <c r="G216" s="9036">
        <v>19629590</v>
      </c>
      <c r="H216" s="2832"/>
      <c r="J216" s="8" t="str">
        <f t="shared" ref="J216:J229" si="87">A216</f>
        <v xml:space="preserve">  CHL</v>
      </c>
      <c r="K216" s="8">
        <f t="shared" ref="K216:K229" si="88">F216*1</f>
        <v>2022</v>
      </c>
      <c r="L216" s="8">
        <f t="shared" ref="L216:L229" si="89">B216</f>
        <v>91.331329054461662</v>
      </c>
      <c r="M216" s="8">
        <f t="shared" ref="M216:M229" si="90">C216</f>
        <v>92.278463590025922</v>
      </c>
      <c r="N216" s="8">
        <f t="shared" si="82"/>
        <v>95.76641989962225</v>
      </c>
      <c r="O216" s="8">
        <f t="shared" si="82"/>
        <v>91.981692626386106</v>
      </c>
      <c r="P216" s="8">
        <f t="shared" si="80"/>
        <v>-4.4350908451605875</v>
      </c>
    </row>
    <row r="217" spans="1:16">
      <c r="A217" s="9037" t="s">
        <v>1194</v>
      </c>
      <c r="B217" s="9038">
        <v>74.470623670420039</v>
      </c>
      <c r="C217" s="9039">
        <v>83.493304894650223</v>
      </c>
      <c r="D217" s="9040">
        <v>94.462050924122352</v>
      </c>
      <c r="E217" s="9041">
        <v>79.157208410688199</v>
      </c>
      <c r="F217" s="9042">
        <v>2022</v>
      </c>
      <c r="G217" s="9043">
        <v>52085168</v>
      </c>
      <c r="H217" s="2833"/>
      <c r="J217" s="8" t="str">
        <f t="shared" si="87"/>
        <v xml:space="preserve">  COL</v>
      </c>
      <c r="K217" s="8">
        <f t="shared" si="88"/>
        <v>2022</v>
      </c>
      <c r="L217" s="8">
        <f t="shared" si="89"/>
        <v>74.470623670420039</v>
      </c>
      <c r="M217" s="8">
        <f t="shared" si="90"/>
        <v>83.493304894650223</v>
      </c>
      <c r="N217" s="8">
        <f t="shared" si="82"/>
        <v>94.462050924122352</v>
      </c>
      <c r="O217" s="8">
        <f t="shared" si="82"/>
        <v>79.157208410688199</v>
      </c>
      <c r="P217" s="8">
        <f t="shared" si="80"/>
        <v>-19.991427253702312</v>
      </c>
    </row>
    <row r="218" spans="1:16">
      <c r="A218" s="9044" t="s">
        <v>1195</v>
      </c>
      <c r="B218" s="9045">
        <v>92.064244906758645</v>
      </c>
      <c r="C218" s="9046">
        <v>94.409994051160027</v>
      </c>
      <c r="D218" s="9047">
        <v>97.127650883734802</v>
      </c>
      <c r="E218" s="9048">
        <v>93.691543274071876</v>
      </c>
      <c r="F218" s="9049">
        <v>2023</v>
      </c>
      <c r="G218" s="9050">
        <v>5212173</v>
      </c>
      <c r="H218" s="2834"/>
      <c r="J218" s="8" t="str">
        <f t="shared" si="87"/>
        <v xml:space="preserve">  CRI</v>
      </c>
      <c r="K218" s="8">
        <f t="shared" si="88"/>
        <v>2023</v>
      </c>
      <c r="L218" s="8">
        <f t="shared" si="89"/>
        <v>92.064244906758645</v>
      </c>
      <c r="M218" s="8">
        <f t="shared" si="90"/>
        <v>94.409994051160027</v>
      </c>
      <c r="N218" s="8">
        <f t="shared" si="82"/>
        <v>97.127650883734802</v>
      </c>
      <c r="O218" s="8">
        <f t="shared" si="82"/>
        <v>93.691543274071876</v>
      </c>
      <c r="P218" s="8">
        <f t="shared" si="80"/>
        <v>-5.0634059769761564</v>
      </c>
    </row>
    <row r="219" spans="1:16">
      <c r="A219" s="9051" t="s">
        <v>1196</v>
      </c>
      <c r="B219" s="9052">
        <v>88.919122647353149</v>
      </c>
      <c r="C219" s="9053">
        <v>91.230539253964665</v>
      </c>
      <c r="D219" s="9054">
        <v>93.176900527006381</v>
      </c>
      <c r="E219" s="9055">
        <v>90.523677338513764</v>
      </c>
      <c r="F219" s="9056">
        <v>2022</v>
      </c>
      <c r="G219" s="9057">
        <v>11332973</v>
      </c>
      <c r="H219" s="2835"/>
      <c r="J219" s="8" t="str">
        <f t="shared" si="87"/>
        <v xml:space="preserve">  DOM</v>
      </c>
      <c r="K219" s="8">
        <f t="shared" si="88"/>
        <v>2022</v>
      </c>
      <c r="L219" s="8">
        <f t="shared" si="89"/>
        <v>88.919122647353149</v>
      </c>
      <c r="M219" s="8">
        <f t="shared" si="90"/>
        <v>91.230539253964665</v>
      </c>
      <c r="N219" s="8">
        <f t="shared" si="82"/>
        <v>93.176900527006381</v>
      </c>
      <c r="O219" s="8">
        <f t="shared" si="82"/>
        <v>90.523677338513764</v>
      </c>
      <c r="P219" s="8">
        <f t="shared" si="80"/>
        <v>-4.2577778796532328</v>
      </c>
    </row>
    <row r="220" spans="1:16">
      <c r="A220" s="9058" t="s">
        <v>1197</v>
      </c>
      <c r="B220" s="9059">
        <v>56.746868254629746</v>
      </c>
      <c r="C220" s="9060">
        <v>78.700714522540764</v>
      </c>
      <c r="D220" s="9061">
        <v>89.104315332154968</v>
      </c>
      <c r="E220" s="9062">
        <v>71.029026791668031</v>
      </c>
      <c r="F220" s="9063">
        <v>2023</v>
      </c>
      <c r="G220" s="9064">
        <v>18190484</v>
      </c>
      <c r="H220" s="2836"/>
      <c r="J220" s="8" t="str">
        <f t="shared" si="87"/>
        <v xml:space="preserve">  ECU</v>
      </c>
      <c r="K220" s="8">
        <f t="shared" si="88"/>
        <v>2023</v>
      </c>
      <c r="L220" s="8">
        <f t="shared" si="89"/>
        <v>56.746868254629746</v>
      </c>
      <c r="M220" s="8">
        <f t="shared" si="90"/>
        <v>78.700714522540764</v>
      </c>
      <c r="N220" s="8">
        <f t="shared" si="82"/>
        <v>89.104315332154968</v>
      </c>
      <c r="O220" s="8">
        <f t="shared" si="82"/>
        <v>71.029026791668031</v>
      </c>
      <c r="P220" s="8">
        <f t="shared" si="80"/>
        <v>-32.357447077525222</v>
      </c>
    </row>
    <row r="221" spans="1:16">
      <c r="A221" s="9065" t="s">
        <v>1204</v>
      </c>
      <c r="B221" s="9066">
        <v>74.216794525710071</v>
      </c>
      <c r="C221" s="9067">
        <v>81.16257809976149</v>
      </c>
      <c r="D221" s="9068">
        <v>86.375192971087685</v>
      </c>
      <c r="E221" s="9069">
        <v>77.259349399706437</v>
      </c>
      <c r="F221" s="9070">
        <v>2022</v>
      </c>
      <c r="G221" s="9071">
        <v>18092026</v>
      </c>
      <c r="H221" s="2837"/>
      <c r="J221" s="8" t="str">
        <f t="shared" si="87"/>
        <v xml:space="preserve">  GTM</v>
      </c>
      <c r="K221" s="8">
        <f t="shared" si="88"/>
        <v>2022</v>
      </c>
      <c r="L221" s="8">
        <f t="shared" si="89"/>
        <v>74.216794525710071</v>
      </c>
      <c r="M221" s="8">
        <f t="shared" si="90"/>
        <v>81.16257809976149</v>
      </c>
      <c r="N221" s="8">
        <f t="shared" si="82"/>
        <v>86.375192971087685</v>
      </c>
      <c r="O221" s="8">
        <f t="shared" si="82"/>
        <v>77.259349399706437</v>
      </c>
      <c r="P221" s="8">
        <f t="shared" si="80"/>
        <v>-12.158398445377614</v>
      </c>
    </row>
    <row r="222" spans="1:16">
      <c r="A222" s="9072" t="s">
        <v>1199</v>
      </c>
      <c r="B222" s="9073">
        <v>80.916407854443207</v>
      </c>
      <c r="C222" s="9074">
        <v>85.924108365084621</v>
      </c>
      <c r="D222" s="9075">
        <v>91.735495790594527</v>
      </c>
      <c r="E222" s="9076">
        <v>83.086635889953428</v>
      </c>
      <c r="F222" s="9077">
        <v>2023</v>
      </c>
      <c r="G222" s="9078">
        <v>10593798</v>
      </c>
      <c r="H222" s="2838"/>
      <c r="J222" s="8" t="str">
        <f t="shared" si="87"/>
        <v xml:space="preserve">  HND</v>
      </c>
      <c r="K222" s="8">
        <f t="shared" si="88"/>
        <v>2023</v>
      </c>
      <c r="L222" s="8">
        <f>B222</f>
        <v>80.916407854443207</v>
      </c>
      <c r="M222" s="8">
        <f t="shared" si="90"/>
        <v>85.924108365084621</v>
      </c>
      <c r="N222" s="8">
        <f t="shared" si="82"/>
        <v>91.735495790594527</v>
      </c>
      <c r="O222" s="8">
        <f t="shared" si="82"/>
        <v>83.086635889953428</v>
      </c>
      <c r="P222" s="8">
        <f t="shared" si="80"/>
        <v>-10.81908793615132</v>
      </c>
    </row>
    <row r="223" spans="1:16">
      <c r="A223" s="9079" t="s">
        <v>1205</v>
      </c>
      <c r="B223" s="9080">
        <v>88.046408392991438</v>
      </c>
      <c r="C223" s="9081">
        <v>93.481287926723056</v>
      </c>
      <c r="D223" s="9082">
        <v>97.433716987858318</v>
      </c>
      <c r="E223" s="9083">
        <v>91.740242938815214</v>
      </c>
      <c r="F223" s="9084">
        <v>2022</v>
      </c>
      <c r="G223" s="9085">
        <v>128455567</v>
      </c>
      <c r="H223" s="2839"/>
      <c r="J223" s="8" t="str">
        <f t="shared" si="87"/>
        <v xml:space="preserve">  MEX</v>
      </c>
      <c r="K223" s="8">
        <f t="shared" si="88"/>
        <v>2022</v>
      </c>
      <c r="L223" s="8">
        <f t="shared" si="89"/>
        <v>88.046408392991438</v>
      </c>
      <c r="M223" s="8">
        <f t="shared" si="90"/>
        <v>93.481287926723056</v>
      </c>
      <c r="N223" s="8">
        <f t="shared" si="82"/>
        <v>97.433716987858318</v>
      </c>
      <c r="O223" s="8">
        <f t="shared" si="82"/>
        <v>91.740242938815214</v>
      </c>
      <c r="P223" s="8">
        <f t="shared" si="80"/>
        <v>-9.3873085948668802</v>
      </c>
    </row>
    <row r="224" spans="1:16">
      <c r="A224" s="9086" t="s">
        <v>1200</v>
      </c>
      <c r="B224" s="9087">
        <v>75.176518480046042</v>
      </c>
      <c r="C224" s="9088">
        <v>91.559361012648594</v>
      </c>
      <c r="D224" s="9089">
        <v>98.753972220564549</v>
      </c>
      <c r="E224" s="9090">
        <v>84.945712537117217</v>
      </c>
      <c r="F224" s="9091">
        <v>2022</v>
      </c>
      <c r="G224" s="9092">
        <v>4468087</v>
      </c>
      <c r="H224" s="2840"/>
      <c r="J224" s="8" t="str">
        <f t="shared" si="87"/>
        <v xml:space="preserve">  PAN</v>
      </c>
      <c r="K224" s="8">
        <f t="shared" si="88"/>
        <v>2022</v>
      </c>
      <c r="L224" s="8">
        <f t="shared" si="89"/>
        <v>75.176518480046042</v>
      </c>
      <c r="M224" s="8">
        <f t="shared" si="90"/>
        <v>91.559361012648594</v>
      </c>
      <c r="N224" s="8">
        <f t="shared" si="82"/>
        <v>98.753972220564549</v>
      </c>
      <c r="O224" s="8">
        <f t="shared" si="82"/>
        <v>84.945712537117217</v>
      </c>
      <c r="P224" s="8">
        <f t="shared" si="80"/>
        <v>-23.577453740518507</v>
      </c>
    </row>
    <row r="225" spans="1:16">
      <c r="A225" s="9093" t="s">
        <v>1201</v>
      </c>
      <c r="B225" s="9094">
        <v>83.787563244284442</v>
      </c>
      <c r="C225" s="9095">
        <v>89.985573827656353</v>
      </c>
      <c r="D225" s="9096">
        <v>95.12875199085795</v>
      </c>
      <c r="E225" s="9097">
        <v>88.016026045894051</v>
      </c>
      <c r="F225" s="9098">
        <v>2022</v>
      </c>
      <c r="G225" s="9099">
        <v>34352719</v>
      </c>
      <c r="H225" s="2841"/>
      <c r="J225" s="8" t="str">
        <f t="shared" si="87"/>
        <v xml:space="preserve">  PER</v>
      </c>
      <c r="K225" s="8">
        <f t="shared" si="88"/>
        <v>2022</v>
      </c>
      <c r="L225" s="8">
        <f t="shared" si="89"/>
        <v>83.787563244284442</v>
      </c>
      <c r="M225" s="8">
        <f t="shared" si="90"/>
        <v>89.985573827656353</v>
      </c>
      <c r="N225" s="8">
        <f t="shared" si="82"/>
        <v>95.12875199085795</v>
      </c>
      <c r="O225" s="8">
        <f t="shared" si="82"/>
        <v>88.016026045894051</v>
      </c>
      <c r="P225" s="8">
        <f t="shared" si="80"/>
        <v>-11.341188746573508</v>
      </c>
    </row>
    <row r="226" spans="1:16">
      <c r="A226" s="9100" t="s">
        <v>1202</v>
      </c>
      <c r="B226" s="9101">
        <v>91.820985587974064</v>
      </c>
      <c r="C226" s="9102">
        <v>94.659728405093063</v>
      </c>
      <c r="D226" s="9103">
        <v>98.400925687981143</v>
      </c>
      <c r="E226" s="9104">
        <v>93.546076937892877</v>
      </c>
      <c r="F226" s="9105">
        <v>2022</v>
      </c>
      <c r="G226" s="9106">
        <v>6861524</v>
      </c>
      <c r="H226" s="2842"/>
      <c r="J226" s="8" t="str">
        <f t="shared" si="87"/>
        <v xml:space="preserve">  PRY</v>
      </c>
      <c r="K226" s="8">
        <f t="shared" si="88"/>
        <v>2022</v>
      </c>
      <c r="L226" s="8">
        <f t="shared" si="89"/>
        <v>91.820985587974064</v>
      </c>
      <c r="M226" s="8">
        <f t="shared" si="90"/>
        <v>94.659728405093063</v>
      </c>
      <c r="N226" s="8">
        <f t="shared" si="82"/>
        <v>98.400925687981143</v>
      </c>
      <c r="O226" s="8">
        <f t="shared" si="82"/>
        <v>93.546076937892877</v>
      </c>
      <c r="P226" s="8">
        <f t="shared" si="80"/>
        <v>-6.5799401000070787</v>
      </c>
    </row>
    <row r="227" spans="1:16">
      <c r="A227" s="9107" t="s">
        <v>1206</v>
      </c>
      <c r="B227" s="9108">
        <v>92.18829737857736</v>
      </c>
      <c r="C227" s="9109">
        <v>93.310222146913972</v>
      </c>
      <c r="D227" s="9110">
        <v>96.100142061660904</v>
      </c>
      <c r="E227" s="9111">
        <v>92.836537179084004</v>
      </c>
      <c r="F227" s="9112">
        <v>2023</v>
      </c>
      <c r="G227" s="9113">
        <v>6364943</v>
      </c>
      <c r="H227" s="2843"/>
      <c r="J227" s="8" t="str">
        <f t="shared" si="87"/>
        <v xml:space="preserve">  SLV</v>
      </c>
      <c r="K227" s="8">
        <f t="shared" si="88"/>
        <v>2023</v>
      </c>
      <c r="L227" s="8">
        <f t="shared" si="89"/>
        <v>92.18829737857736</v>
      </c>
      <c r="M227" s="8">
        <f t="shared" si="90"/>
        <v>93.310222146913972</v>
      </c>
      <c r="N227" s="8">
        <f t="shared" si="82"/>
        <v>96.100142061660904</v>
      </c>
      <c r="O227" s="8">
        <f t="shared" si="82"/>
        <v>92.836537179084004</v>
      </c>
      <c r="P227" s="8">
        <f t="shared" si="80"/>
        <v>-3.9118446830835438</v>
      </c>
    </row>
    <row r="228" spans="1:16">
      <c r="A228" s="9114" t="s">
        <v>1207</v>
      </c>
      <c r="B228" s="9115">
        <v>99.694834918676762</v>
      </c>
      <c r="C228" s="9116">
        <v>99.71773932903838</v>
      </c>
      <c r="D228" s="9117">
        <v>99.620777015123124</v>
      </c>
      <c r="E228" s="9118">
        <v>99.712032355915071</v>
      </c>
      <c r="F228" s="9119">
        <v>2022</v>
      </c>
      <c r="G228" s="9120">
        <v>3423109</v>
      </c>
      <c r="H228" s="2844"/>
      <c r="J228" s="8" t="str">
        <f t="shared" si="87"/>
        <v xml:space="preserve">  URY</v>
      </c>
      <c r="K228" s="8">
        <f t="shared" si="88"/>
        <v>2022</v>
      </c>
      <c r="L228" s="8">
        <f t="shared" si="89"/>
        <v>99.694834918676762</v>
      </c>
      <c r="M228" s="8">
        <f t="shared" si="90"/>
        <v>99.71773932903838</v>
      </c>
      <c r="N228" s="8">
        <f t="shared" si="82"/>
        <v>99.620777015123124</v>
      </c>
      <c r="O228" s="8">
        <f t="shared" si="82"/>
        <v>99.712032355915071</v>
      </c>
      <c r="P228" s="8">
        <f t="shared" si="80"/>
        <v>7.4057903553637061E-2</v>
      </c>
    </row>
    <row r="229" spans="1:16">
      <c r="A229" s="9121" t="s">
        <v>1203</v>
      </c>
      <c r="B229" s="9122">
        <v>89.508409836145233</v>
      </c>
      <c r="C229" s="9123">
        <v>89.619126469352864</v>
      </c>
      <c r="D229" s="9124">
        <v>90.402871300226209</v>
      </c>
      <c r="E229" s="9125">
        <v>89.535980468242386</v>
      </c>
      <c r="F229" s="9126">
        <v>2021</v>
      </c>
      <c r="G229" s="9127">
        <v>28838499</v>
      </c>
      <c r="H229" s="2845"/>
      <c r="J229" s="2648" t="str">
        <f t="shared" si="87"/>
        <v xml:space="preserve">  VEN</v>
      </c>
      <c r="K229" s="2648">
        <f t="shared" si="88"/>
        <v>2021</v>
      </c>
      <c r="L229" s="2648">
        <f t="shared" si="89"/>
        <v>89.508409836145233</v>
      </c>
      <c r="M229" s="2648">
        <f t="shared" si="90"/>
        <v>89.619126469352864</v>
      </c>
      <c r="N229" s="2648">
        <f t="shared" ref="N229" si="91">D229</f>
        <v>90.402871300226209</v>
      </c>
      <c r="O229" s="2648">
        <f>E229</f>
        <v>89.535980468242386</v>
      </c>
      <c r="P229" s="8">
        <f t="shared" si="80"/>
        <v>-0.89446146408097604</v>
      </c>
    </row>
    <row r="230" spans="1:16">
      <c r="J230" s="3" t="s">
        <v>1261</v>
      </c>
      <c r="L230" s="8">
        <f t="shared" ref="L230:N230" si="92">AVERAGE(L213:L229)</f>
        <v>83.928325325408963</v>
      </c>
      <c r="M230" s="8">
        <f t="shared" si="92"/>
        <v>89.489036728073316</v>
      </c>
      <c r="N230" s="8">
        <f t="shared" si="92"/>
        <v>94.401085131320428</v>
      </c>
      <c r="O230" s="8">
        <f>AVERAGE(O213:O229)</f>
        <v>87.28331973027575</v>
      </c>
      <c r="P230" s="8">
        <f t="shared" si="80"/>
        <v>-10.472759805911465</v>
      </c>
    </row>
    <row r="231" spans="1:16" ht="15" thickBot="1">
      <c r="A231" s="9128"/>
      <c r="B231" s="9261" t="s">
        <v>1256</v>
      </c>
      <c r="C231" s="9262" t="s">
        <v>1256</v>
      </c>
      <c r="D231" s="9263" t="s">
        <v>1256</v>
      </c>
      <c r="E231" s="9129" t="s">
        <v>1003</v>
      </c>
      <c r="F231" s="9130" t="s">
        <v>1186</v>
      </c>
      <c r="G231" s="9131" t="s">
        <v>1257</v>
      </c>
      <c r="H231" s="2846"/>
      <c r="J231" s="212" t="s">
        <v>1145</v>
      </c>
      <c r="K231" s="85"/>
      <c r="L231" s="85">
        <f>SUMPRODUCT(B213:B229,$G213:$G229)/SUM($G213:$G229)</f>
        <v>84.262167683837049</v>
      </c>
      <c r="M231" s="85">
        <f>SUMPRODUCT(C213:C229,$G213:$G229)/SUM($G213:$G229)</f>
        <v>89.720951663676374</v>
      </c>
      <c r="N231" s="85">
        <f>SUMPRODUCT(D213:D229,$G213:$G229)/SUM($G213:$G229)</f>
        <v>94.72096960245598</v>
      </c>
      <c r="O231" s="85">
        <f>SUMPRODUCT(E213:E229,$G213:$G229)/SUM($G213:$G229)</f>
        <v>87.700029426785093</v>
      </c>
      <c r="P231" s="8">
        <f t="shared" si="80"/>
        <v>-10.458801918618931</v>
      </c>
    </row>
    <row r="232" spans="1:16" ht="15" thickTop="1">
      <c r="A232" s="9132"/>
      <c r="B232" s="9264" t="s">
        <v>1187</v>
      </c>
      <c r="C232" s="9264" t="s">
        <v>1187</v>
      </c>
      <c r="D232" s="9264" t="s">
        <v>1187</v>
      </c>
      <c r="E232" s="9133" t="s">
        <v>1187</v>
      </c>
      <c r="G232" s="9134" t="s">
        <v>1187</v>
      </c>
      <c r="H232" s="2847"/>
      <c r="P232" s="8">
        <f t="shared" si="80"/>
        <v>0</v>
      </c>
    </row>
    <row r="233" spans="1:16">
      <c r="A233" s="9135"/>
      <c r="B233" s="9265" t="s">
        <v>1045</v>
      </c>
      <c r="C233" s="9265" t="s">
        <v>1045</v>
      </c>
      <c r="D233" s="9265" t="s">
        <v>1045</v>
      </c>
      <c r="E233" s="9136" t="s">
        <v>1256</v>
      </c>
      <c r="P233" s="8">
        <f t="shared" si="80"/>
        <v>0</v>
      </c>
    </row>
    <row r="234" spans="1:16" ht="15" thickBot="1">
      <c r="A234" s="9137"/>
      <c r="B234" s="9138" t="s">
        <v>1187</v>
      </c>
      <c r="C234" s="9139" t="s">
        <v>1188</v>
      </c>
      <c r="D234" s="9140" t="s">
        <v>1189</v>
      </c>
      <c r="E234" s="9141" t="s">
        <v>1187</v>
      </c>
      <c r="J234" s="972" t="str">
        <f>E233</f>
        <v>cel_chh</v>
      </c>
      <c r="K234" s="2649"/>
      <c r="L234" s="85"/>
      <c r="M234" s="85"/>
      <c r="N234" s="85"/>
      <c r="O234" s="85"/>
      <c r="P234" s="8">
        <f t="shared" si="80"/>
        <v>0</v>
      </c>
    </row>
    <row r="235" spans="1:16" ht="15" thickTop="1">
      <c r="A235" s="9142" t="s">
        <v>1125</v>
      </c>
      <c r="B235" s="9143"/>
      <c r="C235" s="9144"/>
      <c r="D235" s="9145"/>
      <c r="E235" s="9146"/>
      <c r="F235" s="9147"/>
      <c r="G235" s="9148"/>
      <c r="H235" s="2848"/>
      <c r="J235" s="213" t="s">
        <v>904</v>
      </c>
      <c r="K235" s="216" t="s">
        <v>938</v>
      </c>
      <c r="L235" s="2650" t="s">
        <v>1141</v>
      </c>
      <c r="M235" s="2650" t="s">
        <v>1142</v>
      </c>
      <c r="N235" s="2650" t="s">
        <v>1102</v>
      </c>
      <c r="O235" s="2651" t="s">
        <v>1152</v>
      </c>
      <c r="P235" s="8" t="e">
        <f t="shared" si="80"/>
        <v>#VALUE!</v>
      </c>
    </row>
    <row r="236" spans="1:16">
      <c r="A236" s="9149" t="s">
        <v>1191</v>
      </c>
      <c r="B236" s="9150">
        <v>81.906671162198322</v>
      </c>
      <c r="C236" s="9151">
        <v>78.89983471453354</v>
      </c>
      <c r="D236" s="9152">
        <v>91.650236734504261</v>
      </c>
      <c r="E236" s="9153">
        <v>80.021376467414726</v>
      </c>
      <c r="F236" s="9154">
        <v>2022</v>
      </c>
      <c r="G236" s="9155">
        <v>12388571</v>
      </c>
      <c r="H236" s="2849"/>
      <c r="J236" s="8" t="str">
        <f>A236</f>
        <v xml:space="preserve">  BOL</v>
      </c>
      <c r="K236" s="8">
        <f>F236*1</f>
        <v>2022</v>
      </c>
      <c r="L236" s="8">
        <f>B236</f>
        <v>81.906671162198322</v>
      </c>
      <c r="M236" s="8">
        <f>C236</f>
        <v>78.89983471453354</v>
      </c>
      <c r="N236" s="8">
        <f>D236</f>
        <v>91.650236734504261</v>
      </c>
      <c r="O236" s="8">
        <f>E236</f>
        <v>80.021376467414726</v>
      </c>
      <c r="P236" s="8">
        <f t="shared" si="80"/>
        <v>-9.7435655723059398</v>
      </c>
    </row>
    <row r="237" spans="1:16">
      <c r="A237" s="9156" t="s">
        <v>1192</v>
      </c>
      <c r="B237" s="9157">
        <v>87.391463609693076</v>
      </c>
      <c r="C237" s="9158">
        <v>94.508884044616664</v>
      </c>
      <c r="D237" s="9159">
        <v>94.562640262230417</v>
      </c>
      <c r="E237" s="9160">
        <v>91.674171721526648</v>
      </c>
      <c r="F237" s="9161">
        <v>2019</v>
      </c>
      <c r="G237" s="9162">
        <v>216422446</v>
      </c>
      <c r="H237" s="2850"/>
      <c r="J237" s="8" t="str">
        <f t="shared" ref="J237:J238" si="93">A237</f>
        <v xml:space="preserve">  BRA</v>
      </c>
      <c r="K237" s="8">
        <f t="shared" ref="K237:K238" si="94">F237*1</f>
        <v>2019</v>
      </c>
      <c r="L237" s="8">
        <f t="shared" ref="L237:L238" si="95">B237</f>
        <v>87.391463609693076</v>
      </c>
      <c r="M237" s="8">
        <f t="shared" ref="M237:M238" si="96">C237</f>
        <v>94.508884044616664</v>
      </c>
      <c r="N237" s="8">
        <f t="shared" ref="N237:N238" si="97">D237</f>
        <v>94.562640262230417</v>
      </c>
      <c r="O237" s="8">
        <f t="shared" ref="O237:O251" si="98">E237</f>
        <v>91.674171721526648</v>
      </c>
      <c r="P237" s="8">
        <f t="shared" si="80"/>
        <v>-7.1711766525373406</v>
      </c>
    </row>
    <row r="238" spans="1:16">
      <c r="A238" s="9163" t="s">
        <v>1193</v>
      </c>
      <c r="B238" s="9164">
        <v>96.109444546724561</v>
      </c>
      <c r="C238" s="9165">
        <v>97.632660818241632</v>
      </c>
      <c r="D238" s="9166">
        <v>96.817591588223166</v>
      </c>
      <c r="E238" s="9167">
        <v>97.253766322977768</v>
      </c>
      <c r="F238" s="9168">
        <v>2017</v>
      </c>
      <c r="G238" s="9169">
        <v>19629590</v>
      </c>
      <c r="H238" s="2851"/>
      <c r="J238" s="8" t="str">
        <f t="shared" si="93"/>
        <v xml:space="preserve">  CHL</v>
      </c>
      <c r="K238" s="8">
        <f t="shared" si="94"/>
        <v>2017</v>
      </c>
      <c r="L238" s="8">
        <f t="shared" si="95"/>
        <v>96.109444546724561</v>
      </c>
      <c r="M238" s="8">
        <f t="shared" si="96"/>
        <v>97.632660818241632</v>
      </c>
      <c r="N238" s="8">
        <f t="shared" si="97"/>
        <v>96.817591588223166</v>
      </c>
      <c r="O238" s="8">
        <f t="shared" si="98"/>
        <v>97.253766322977768</v>
      </c>
      <c r="P238" s="8">
        <f t="shared" si="80"/>
        <v>-0.70814704149860574</v>
      </c>
    </row>
    <row r="239" spans="1:16">
      <c r="A239" s="9170" t="s">
        <v>1194</v>
      </c>
      <c r="B239" s="9171">
        <v>89.685585847548893</v>
      </c>
      <c r="C239" s="9172">
        <v>94.951864733895476</v>
      </c>
      <c r="D239" s="9173">
        <v>96.988777233981523</v>
      </c>
      <c r="E239" s="9174">
        <v>92.584947155639668</v>
      </c>
      <c r="F239" s="9175">
        <v>2021</v>
      </c>
      <c r="G239" s="9176">
        <v>52085168</v>
      </c>
      <c r="H239" s="2852"/>
      <c r="J239" s="8" t="str">
        <f t="shared" ref="J239:J251" si="99">A239</f>
        <v xml:space="preserve">  COL</v>
      </c>
      <c r="K239" s="8">
        <f t="shared" ref="K239:K251" si="100">F239*1</f>
        <v>2021</v>
      </c>
      <c r="L239" s="8">
        <f t="shared" ref="L239:L251" si="101">B239</f>
        <v>89.685585847548893</v>
      </c>
      <c r="M239" s="8">
        <f t="shared" ref="M239:M251" si="102">C239</f>
        <v>94.951864733895476</v>
      </c>
      <c r="N239" s="8">
        <f t="shared" ref="N239:N251" si="103">D239</f>
        <v>96.988777233981523</v>
      </c>
      <c r="O239" s="8">
        <f t="shared" si="98"/>
        <v>92.584947155639668</v>
      </c>
      <c r="P239" s="8">
        <f t="shared" si="80"/>
        <v>-7.3031913864326299</v>
      </c>
    </row>
    <row r="240" spans="1:16">
      <c r="A240" s="9177" t="s">
        <v>1195</v>
      </c>
      <c r="B240" s="9178">
        <v>96.004096151773197</v>
      </c>
      <c r="C240" s="9179">
        <v>96.614396192742419</v>
      </c>
      <c r="D240" s="9180">
        <v>96.969666281157231</v>
      </c>
      <c r="E240" s="9181">
        <v>96.427474867528346</v>
      </c>
      <c r="F240" s="9182">
        <v>2023</v>
      </c>
      <c r="G240" s="9183">
        <v>5212173</v>
      </c>
      <c r="H240" s="2853"/>
      <c r="J240" s="8" t="str">
        <f t="shared" si="99"/>
        <v xml:space="preserve">  CRI</v>
      </c>
      <c r="K240" s="8">
        <f t="shared" si="100"/>
        <v>2023</v>
      </c>
      <c r="L240" s="8">
        <f t="shared" si="101"/>
        <v>96.004096151773197</v>
      </c>
      <c r="M240" s="8">
        <f t="shared" si="102"/>
        <v>96.614396192742419</v>
      </c>
      <c r="N240" s="8">
        <f t="shared" si="103"/>
        <v>96.969666281157231</v>
      </c>
      <c r="O240" s="8">
        <f t="shared" si="98"/>
        <v>96.427474867528346</v>
      </c>
      <c r="P240" s="8">
        <f t="shared" si="80"/>
        <v>-0.96557012938403375</v>
      </c>
    </row>
    <row r="241" spans="1:16">
      <c r="A241" s="9184" t="s">
        <v>1196</v>
      </c>
      <c r="B241" s="9185">
        <v>86.0972252177515</v>
      </c>
      <c r="C241" s="9186">
        <v>90.653523630882404</v>
      </c>
      <c r="D241" s="9187">
        <v>92.835270438349426</v>
      </c>
      <c r="E241" s="9188">
        <v>89.260147026050873</v>
      </c>
      <c r="F241" s="9189">
        <v>2022</v>
      </c>
      <c r="G241" s="9190">
        <v>11332973</v>
      </c>
      <c r="H241" s="2854"/>
      <c r="J241" s="8" t="str">
        <f t="shared" si="99"/>
        <v xml:space="preserve">  DOM</v>
      </c>
      <c r="K241" s="8">
        <f t="shared" si="100"/>
        <v>2022</v>
      </c>
      <c r="L241" s="8">
        <f t="shared" si="101"/>
        <v>86.0972252177515</v>
      </c>
      <c r="M241" s="8">
        <f t="shared" si="102"/>
        <v>90.653523630882404</v>
      </c>
      <c r="N241" s="8">
        <f t="shared" si="103"/>
        <v>92.835270438349426</v>
      </c>
      <c r="O241" s="8">
        <f t="shared" si="98"/>
        <v>89.260147026050873</v>
      </c>
      <c r="P241" s="8">
        <f t="shared" si="80"/>
        <v>-6.7380452205979253</v>
      </c>
    </row>
    <row r="242" spans="1:16">
      <c r="A242" s="9191" t="s">
        <v>1197</v>
      </c>
      <c r="B242" s="9192">
        <v>79.235604709941072</v>
      </c>
      <c r="C242" s="9193">
        <v>87.48469602974302</v>
      </c>
      <c r="D242" s="9194">
        <v>93.232335869504453</v>
      </c>
      <c r="E242" s="9195">
        <v>84.548259159398071</v>
      </c>
      <c r="F242" s="9196">
        <v>2017</v>
      </c>
      <c r="G242" s="9197">
        <v>18190484</v>
      </c>
      <c r="H242" s="2855"/>
      <c r="J242" s="8" t="str">
        <f t="shared" si="99"/>
        <v xml:space="preserve">  ECU</v>
      </c>
      <c r="K242" s="8">
        <f t="shared" si="100"/>
        <v>2017</v>
      </c>
      <c r="L242" s="8">
        <f t="shared" si="101"/>
        <v>79.235604709941072</v>
      </c>
      <c r="M242" s="8">
        <f t="shared" si="102"/>
        <v>87.48469602974302</v>
      </c>
      <c r="N242" s="8">
        <f t="shared" si="103"/>
        <v>93.232335869504453</v>
      </c>
      <c r="O242" s="8">
        <f t="shared" si="98"/>
        <v>84.548259159398071</v>
      </c>
      <c r="P242" s="8">
        <f t="shared" si="80"/>
        <v>-13.996731159563382</v>
      </c>
    </row>
    <row r="243" spans="1:16">
      <c r="A243" s="9198" t="s">
        <v>1204</v>
      </c>
      <c r="B243" s="9199">
        <v>79.386758797806493</v>
      </c>
      <c r="C243" s="9200">
        <v>88.552814569915753</v>
      </c>
      <c r="D243" s="9201">
        <v>91.781099315786463</v>
      </c>
      <c r="E243" s="9202">
        <v>83.401889325187241</v>
      </c>
      <c r="F243" s="9203">
        <v>2022</v>
      </c>
      <c r="G243" s="9204">
        <v>18092026</v>
      </c>
      <c r="H243" s="2856"/>
      <c r="J243" s="8" t="str">
        <f t="shared" si="99"/>
        <v xml:space="preserve">  GTM</v>
      </c>
      <c r="K243" s="8">
        <f t="shared" si="100"/>
        <v>2022</v>
      </c>
      <c r="L243" s="8">
        <f t="shared" si="101"/>
        <v>79.386758797806493</v>
      </c>
      <c r="M243" s="8">
        <f t="shared" si="102"/>
        <v>88.552814569915753</v>
      </c>
      <c r="N243" s="8">
        <f t="shared" si="103"/>
        <v>91.781099315786463</v>
      </c>
      <c r="O243" s="8">
        <f t="shared" si="98"/>
        <v>83.401889325187241</v>
      </c>
      <c r="P243" s="8">
        <f t="shared" si="80"/>
        <v>-12.39434051797997</v>
      </c>
    </row>
    <row r="244" spans="1:16">
      <c r="A244" s="9205" t="s">
        <v>1199</v>
      </c>
      <c r="B244" s="9206">
        <v>69.847456220755987</v>
      </c>
      <c r="C244" s="9207">
        <v>77.971662574380872</v>
      </c>
      <c r="D244" s="9208">
        <v>87.989818987544993</v>
      </c>
      <c r="E244" s="9209">
        <v>73.368309825607199</v>
      </c>
      <c r="F244" s="9210">
        <v>2023</v>
      </c>
      <c r="G244" s="9211">
        <v>10593798</v>
      </c>
      <c r="H244" s="2857"/>
      <c r="J244" s="8" t="str">
        <f t="shared" si="99"/>
        <v xml:space="preserve">  HND</v>
      </c>
      <c r="K244" s="8">
        <f t="shared" si="100"/>
        <v>2023</v>
      </c>
      <c r="L244" s="8">
        <f t="shared" si="101"/>
        <v>69.847456220755987</v>
      </c>
      <c r="M244" s="8">
        <f t="shared" si="102"/>
        <v>77.971662574380872</v>
      </c>
      <c r="N244" s="8">
        <f t="shared" si="103"/>
        <v>87.989818987544993</v>
      </c>
      <c r="O244" s="8">
        <f t="shared" si="98"/>
        <v>73.368309825607199</v>
      </c>
      <c r="P244" s="8">
        <f t="shared" si="80"/>
        <v>-18.142362766789006</v>
      </c>
    </row>
    <row r="245" spans="1:16">
      <c r="A245" s="9212" t="s">
        <v>1205</v>
      </c>
      <c r="B245" s="9213">
        <v>78.342306171676</v>
      </c>
      <c r="C245" s="9214">
        <v>90.37291643804592</v>
      </c>
      <c r="D245" s="9215">
        <v>94.552872321942687</v>
      </c>
      <c r="E245" s="9216">
        <v>86.518951768592714</v>
      </c>
      <c r="F245" s="9217">
        <v>2022</v>
      </c>
      <c r="G245" s="9218">
        <v>128455567</v>
      </c>
      <c r="H245" s="2858"/>
      <c r="J245" s="8" t="str">
        <f t="shared" si="99"/>
        <v xml:space="preserve">  MEX</v>
      </c>
      <c r="K245" s="8">
        <f t="shared" si="100"/>
        <v>2022</v>
      </c>
      <c r="L245" s="8">
        <f t="shared" si="101"/>
        <v>78.342306171676</v>
      </c>
      <c r="M245" s="8">
        <f t="shared" si="102"/>
        <v>90.37291643804592</v>
      </c>
      <c r="N245" s="8">
        <f t="shared" si="103"/>
        <v>94.552872321942687</v>
      </c>
      <c r="O245" s="8">
        <f t="shared" si="98"/>
        <v>86.518951768592714</v>
      </c>
      <c r="P245" s="8">
        <f t="shared" si="80"/>
        <v>-16.210566150266686</v>
      </c>
    </row>
    <row r="246" spans="1:16">
      <c r="A246" s="9219" t="s">
        <v>1200</v>
      </c>
      <c r="B246" s="9220">
        <v>61.822564467596344</v>
      </c>
      <c r="C246" s="9221">
        <v>80.42763342499579</v>
      </c>
      <c r="D246" s="9222">
        <v>92.008070828694471</v>
      </c>
      <c r="E246" s="9223">
        <v>72.80679084746437</v>
      </c>
      <c r="F246" s="9224">
        <v>2017</v>
      </c>
      <c r="G246" s="9225">
        <v>4468087</v>
      </c>
      <c r="H246" s="2859"/>
      <c r="J246" s="8" t="str">
        <f t="shared" si="99"/>
        <v xml:space="preserve">  PAN</v>
      </c>
      <c r="K246" s="8">
        <f t="shared" si="100"/>
        <v>2017</v>
      </c>
      <c r="L246" s="8">
        <f t="shared" si="101"/>
        <v>61.822564467596344</v>
      </c>
      <c r="M246" s="8">
        <f t="shared" si="102"/>
        <v>80.42763342499579</v>
      </c>
      <c r="N246" s="8">
        <f t="shared" si="103"/>
        <v>92.008070828694471</v>
      </c>
      <c r="O246" s="8">
        <f t="shared" si="98"/>
        <v>72.80679084746437</v>
      </c>
      <c r="P246" s="8">
        <f t="shared" si="80"/>
        <v>-30.185506361098128</v>
      </c>
    </row>
    <row r="247" spans="1:16">
      <c r="A247" s="9226" t="s">
        <v>1201</v>
      </c>
      <c r="B247" s="9227">
        <v>88.322449410139626</v>
      </c>
      <c r="C247" s="9228">
        <v>91.910040097597118</v>
      </c>
      <c r="D247" s="9229">
        <v>96.345133722382357</v>
      </c>
      <c r="E247" s="9230">
        <v>90.770007955782205</v>
      </c>
      <c r="F247" s="9231">
        <v>2022</v>
      </c>
      <c r="G247" s="9232">
        <v>34352719</v>
      </c>
      <c r="H247" s="2860"/>
      <c r="J247" s="8" t="str">
        <f t="shared" si="99"/>
        <v xml:space="preserve">  PER</v>
      </c>
      <c r="K247" s="8">
        <f t="shared" si="100"/>
        <v>2022</v>
      </c>
      <c r="L247" s="8">
        <f t="shared" si="101"/>
        <v>88.322449410139626</v>
      </c>
      <c r="M247" s="8">
        <f t="shared" si="102"/>
        <v>91.910040097597118</v>
      </c>
      <c r="N247" s="8">
        <f t="shared" si="103"/>
        <v>96.345133722382357</v>
      </c>
      <c r="O247" s="8">
        <f t="shared" si="98"/>
        <v>90.770007955782205</v>
      </c>
      <c r="P247" s="8">
        <f t="shared" si="80"/>
        <v>-8.0226843122427312</v>
      </c>
    </row>
    <row r="248" spans="1:16">
      <c r="A248" s="9233" t="s">
        <v>1202</v>
      </c>
      <c r="B248" s="9234">
        <v>90.234725439524382</v>
      </c>
      <c r="C248" s="9235">
        <v>91.444731617784768</v>
      </c>
      <c r="D248" s="9236">
        <v>97.309178109741794</v>
      </c>
      <c r="E248" s="9237">
        <v>90.970040797744744</v>
      </c>
      <c r="F248" s="9238">
        <v>2022</v>
      </c>
      <c r="G248" s="9239">
        <v>6861524</v>
      </c>
      <c r="H248" s="2861"/>
      <c r="J248" s="8" t="str">
        <f t="shared" si="99"/>
        <v xml:space="preserve">  PRY</v>
      </c>
      <c r="K248" s="8">
        <f t="shared" si="100"/>
        <v>2022</v>
      </c>
      <c r="L248" s="8">
        <f t="shared" si="101"/>
        <v>90.234725439524382</v>
      </c>
      <c r="M248" s="8">
        <f t="shared" si="102"/>
        <v>91.444731617784768</v>
      </c>
      <c r="N248" s="8">
        <f t="shared" si="103"/>
        <v>97.309178109741794</v>
      </c>
      <c r="O248" s="8">
        <f t="shared" si="98"/>
        <v>90.970040797744744</v>
      </c>
      <c r="P248" s="8">
        <f t="shared" si="80"/>
        <v>-7.0744526702174113</v>
      </c>
    </row>
    <row r="249" spans="1:16">
      <c r="A249" s="9240" t="s">
        <v>1206</v>
      </c>
      <c r="B249" s="9241">
        <v>90.840141448745655</v>
      </c>
      <c r="C249" s="9242">
        <v>94.960506384847079</v>
      </c>
      <c r="D249" s="9243">
        <v>97.76876911944845</v>
      </c>
      <c r="E249" s="9244">
        <v>93.220857713841582</v>
      </c>
      <c r="F249" s="9245">
        <v>2023</v>
      </c>
      <c r="G249" s="9246">
        <v>6364943</v>
      </c>
      <c r="H249" s="2862"/>
      <c r="J249" s="8" t="str">
        <f t="shared" si="99"/>
        <v xml:space="preserve">  SLV</v>
      </c>
      <c r="K249" s="8">
        <f t="shared" si="100"/>
        <v>2023</v>
      </c>
      <c r="L249" s="8">
        <f t="shared" si="101"/>
        <v>90.840141448745655</v>
      </c>
      <c r="M249" s="8">
        <f t="shared" si="102"/>
        <v>94.960506384847079</v>
      </c>
      <c r="N249" s="8">
        <f t="shared" si="103"/>
        <v>97.76876911944845</v>
      </c>
      <c r="O249" s="8">
        <f t="shared" si="98"/>
        <v>93.220857713841582</v>
      </c>
      <c r="P249" s="8">
        <f t="shared" si="80"/>
        <v>-6.9286276707027952</v>
      </c>
    </row>
    <row r="250" spans="1:16">
      <c r="A250" s="9247" t="s">
        <v>1207</v>
      </c>
      <c r="B250" s="9248">
        <v>95.967741935483872</v>
      </c>
      <c r="C250" s="9249">
        <v>97.097413940293407</v>
      </c>
      <c r="D250" s="9250">
        <v>95.517199284998028</v>
      </c>
      <c r="E250" s="9251">
        <v>96.832611034579841</v>
      </c>
      <c r="F250" s="9252">
        <v>2019</v>
      </c>
      <c r="G250" s="9253">
        <v>3423109</v>
      </c>
      <c r="H250" s="2863"/>
      <c r="J250" s="8" t="str">
        <f t="shared" si="99"/>
        <v xml:space="preserve">  URY</v>
      </c>
      <c r="K250" s="8">
        <f t="shared" si="100"/>
        <v>2019</v>
      </c>
      <c r="L250" s="8">
        <f t="shared" si="101"/>
        <v>95.967741935483872</v>
      </c>
      <c r="M250" s="8">
        <f t="shared" si="102"/>
        <v>97.097413940293407</v>
      </c>
      <c r="N250" s="8">
        <f t="shared" si="103"/>
        <v>95.517199284998028</v>
      </c>
      <c r="O250" s="8">
        <f t="shared" si="98"/>
        <v>96.832611034579841</v>
      </c>
      <c r="P250" s="8">
        <f t="shared" si="80"/>
        <v>0.45054265048584341</v>
      </c>
    </row>
    <row r="251" spans="1:16">
      <c r="A251" s="9254" t="s">
        <v>1203</v>
      </c>
      <c r="B251" s="9255">
        <v>78.745371878401969</v>
      </c>
      <c r="C251" s="9256">
        <v>81.135772464421294</v>
      </c>
      <c r="D251" s="9257">
        <v>86.942237941350783</v>
      </c>
      <c r="E251" s="9258">
        <v>79.340628916234337</v>
      </c>
      <c r="F251" s="9259">
        <v>2021</v>
      </c>
      <c r="G251" s="9260">
        <v>28838499</v>
      </c>
      <c r="H251" s="2864"/>
      <c r="J251" s="2648" t="str">
        <f t="shared" si="99"/>
        <v xml:space="preserve">  VEN</v>
      </c>
      <c r="K251" s="2648">
        <f t="shared" si="100"/>
        <v>2021</v>
      </c>
      <c r="L251" s="2648">
        <f t="shared" si="101"/>
        <v>78.745371878401969</v>
      </c>
      <c r="M251" s="2648">
        <f t="shared" si="102"/>
        <v>81.135772464421294</v>
      </c>
      <c r="N251" s="2648">
        <f t="shared" si="103"/>
        <v>86.942237941350783</v>
      </c>
      <c r="O251" s="2648">
        <f t="shared" si="98"/>
        <v>79.340628916234337</v>
      </c>
      <c r="P251" s="8">
        <f t="shared" si="80"/>
        <v>-8.1968660629488141</v>
      </c>
    </row>
    <row r="252" spans="1:16">
      <c r="J252" s="3" t="s">
        <v>1261</v>
      </c>
      <c r="L252" s="8">
        <f>AVERAGE(L236:L251)</f>
        <v>84.37122543848507</v>
      </c>
      <c r="M252" s="8">
        <f t="shared" ref="M252:N252" si="104">AVERAGE(M236:M251)</f>
        <v>89.66370947980856</v>
      </c>
      <c r="N252" s="8">
        <f t="shared" si="104"/>
        <v>93.954431127490039</v>
      </c>
      <c r="O252" s="8">
        <f>AVERAGE(O236:O251)</f>
        <v>87.43751443159816</v>
      </c>
      <c r="P252" s="8">
        <f t="shared" si="80"/>
        <v>-9.5832056890049699</v>
      </c>
    </row>
    <row r="253" spans="1:16" ht="15" thickBot="1">
      <c r="J253" s="212" t="s">
        <v>1145</v>
      </c>
      <c r="K253" s="85"/>
      <c r="L253" s="85">
        <f>SUMPRODUCT(B236:B251,$G236:$G251)/SUM($G236:$G251)</f>
        <v>84.531553577532279</v>
      </c>
      <c r="M253" s="85">
        <f t="shared" ref="M253" si="105">SUMPRODUCT(C236:C251,$G236:$G251)/SUM($G236:$G251)</f>
        <v>91.681032014416829</v>
      </c>
      <c r="N253" s="85">
        <f>SUMPRODUCT(D236:D251,$G236:$G251)/SUM($G236:$G251)</f>
        <v>94.310674567057092</v>
      </c>
      <c r="O253" s="85">
        <f>SUMPRODUCT(D236:D251,$G236:$G251)/SUM($G236:$G251)</f>
        <v>94.310674567057092</v>
      </c>
      <c r="P253" s="8">
        <f t="shared" si="80"/>
        <v>-9.779120989524813</v>
      </c>
    </row>
    <row r="254" spans="1:16" ht="15" thickTop="1"/>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6B28B-65E5-4236-99C2-449288D76548}">
  <sheetPr>
    <tabColor rgb="FF023E80"/>
  </sheetPr>
  <dimension ref="A1:AH256"/>
  <sheetViews>
    <sheetView showGridLines="0" zoomScale="40" zoomScaleNormal="40" workbookViewId="0">
      <selection activeCell="I8" sqref="I8"/>
    </sheetView>
  </sheetViews>
  <sheetFormatPr defaultRowHeight="14.5"/>
  <cols>
    <col min="2" max="7" width="8.7265625" style="115"/>
    <col min="9" max="9" width="12.7265625" customWidth="1"/>
    <col min="26" max="26" width="18.453125" customWidth="1"/>
    <col min="29" max="29" width="14.54296875" customWidth="1"/>
    <col min="30" max="30" width="12.7265625" bestFit="1" customWidth="1"/>
  </cols>
  <sheetData>
    <row r="1" spans="1:34">
      <c r="A1" s="3888"/>
      <c r="B1" s="5906" t="s">
        <v>1045</v>
      </c>
      <c r="C1" s="5907" t="s">
        <v>1045</v>
      </c>
      <c r="D1" s="5908" t="s">
        <v>1045</v>
      </c>
      <c r="E1" s="5909" t="s">
        <v>1045</v>
      </c>
      <c r="F1" s="5910" t="s">
        <v>1045</v>
      </c>
      <c r="G1" s="5911" t="s">
        <v>1045</v>
      </c>
      <c r="H1" s="3889" t="s">
        <v>1186</v>
      </c>
      <c r="I1" s="3890" t="s">
        <v>1257</v>
      </c>
      <c r="J1" s="2865"/>
      <c r="Q1" s="3672"/>
    </row>
    <row r="2" spans="1:34">
      <c r="A2" s="3891"/>
      <c r="B2" s="5912" t="s">
        <v>1187</v>
      </c>
      <c r="C2" s="5912" t="s">
        <v>1187</v>
      </c>
      <c r="D2" s="5913" t="s">
        <v>1188</v>
      </c>
      <c r="E2" s="5913" t="s">
        <v>1188</v>
      </c>
      <c r="F2" s="5914" t="s">
        <v>1189</v>
      </c>
      <c r="G2" s="5914" t="s">
        <v>1189</v>
      </c>
      <c r="I2" s="3892" t="s">
        <v>1187</v>
      </c>
      <c r="J2" s="2866"/>
      <c r="Q2" s="3673"/>
      <c r="AC2" s="76"/>
      <c r="AE2" s="76"/>
    </row>
    <row r="3" spans="1:34">
      <c r="A3" s="3893" t="s">
        <v>1283</v>
      </c>
      <c r="B3" s="5915" t="s">
        <v>1258</v>
      </c>
      <c r="C3" s="5915" t="s">
        <v>1258</v>
      </c>
      <c r="D3" s="5916" t="s">
        <v>1258</v>
      </c>
      <c r="E3" s="5916" t="s">
        <v>1258</v>
      </c>
      <c r="F3" s="5917" t="s">
        <v>1258</v>
      </c>
      <c r="G3" s="5917" t="s">
        <v>1258</v>
      </c>
      <c r="AC3" s="2650" t="s">
        <v>1273</v>
      </c>
      <c r="AD3" s="2650" t="s">
        <v>1273</v>
      </c>
      <c r="AE3" s="2650" t="s">
        <v>1136</v>
      </c>
      <c r="AF3" s="2650" t="s">
        <v>1136</v>
      </c>
      <c r="AG3" s="3887" t="s">
        <v>1280</v>
      </c>
      <c r="AH3" s="3887" t="s">
        <v>1280</v>
      </c>
    </row>
    <row r="4" spans="1:34">
      <c r="A4" s="3894"/>
      <c r="B4" s="3895" t="s">
        <v>1259</v>
      </c>
      <c r="C4" s="3896" t="s">
        <v>1260</v>
      </c>
      <c r="D4" s="3897" t="s">
        <v>1259</v>
      </c>
      <c r="E4" s="3898" t="s">
        <v>1260</v>
      </c>
      <c r="F4" s="3899" t="s">
        <v>1259</v>
      </c>
      <c r="G4" s="3900" t="s">
        <v>1260</v>
      </c>
      <c r="K4" s="76" t="s">
        <v>1259</v>
      </c>
      <c r="M4" s="76" t="s">
        <v>900</v>
      </c>
      <c r="N4" s="76" t="s">
        <v>900</v>
      </c>
      <c r="O4" t="s">
        <v>1102</v>
      </c>
      <c r="P4" t="s">
        <v>1102</v>
      </c>
      <c r="R4" s="76" t="s">
        <v>1274</v>
      </c>
      <c r="AC4" s="76"/>
      <c r="AE4" s="76"/>
    </row>
    <row r="5" spans="1:34">
      <c r="A5" s="3901"/>
      <c r="B5" s="3902" t="s">
        <v>1215</v>
      </c>
      <c r="C5" s="3903" t="s">
        <v>1215</v>
      </c>
      <c r="D5" s="3904" t="s">
        <v>1215</v>
      </c>
      <c r="E5" s="3905" t="s">
        <v>1215</v>
      </c>
      <c r="F5" s="3906" t="s">
        <v>1215</v>
      </c>
      <c r="G5" s="3907" t="s">
        <v>1215</v>
      </c>
      <c r="M5" s="115"/>
      <c r="T5" s="115"/>
      <c r="AC5" s="76" t="s">
        <v>900</v>
      </c>
      <c r="AD5" t="s">
        <v>1102</v>
      </c>
      <c r="AE5" s="76" t="s">
        <v>900</v>
      </c>
      <c r="AF5" t="s">
        <v>1102</v>
      </c>
    </row>
    <row r="6" spans="1:34" ht="15" thickBot="1">
      <c r="A6" s="3908"/>
      <c r="B6" s="3909" t="s">
        <v>1187</v>
      </c>
      <c r="C6" s="3910" t="s">
        <v>1187</v>
      </c>
      <c r="D6" s="3911" t="s">
        <v>1187</v>
      </c>
      <c r="E6" s="3912" t="s">
        <v>1187</v>
      </c>
      <c r="F6" s="3913" t="s">
        <v>1187</v>
      </c>
      <c r="G6" s="3914" t="s">
        <v>1187</v>
      </c>
      <c r="K6" s="972" t="str">
        <f>B5</f>
        <v>El hogar posee refrigerador o heladera</v>
      </c>
      <c r="L6" s="2649"/>
      <c r="M6" s="85"/>
      <c r="N6" s="85"/>
      <c r="O6" s="85"/>
      <c r="P6" s="85"/>
      <c r="R6" s="972" t="str">
        <f>E5</f>
        <v>El hogar posee refrigerador o heladera</v>
      </c>
      <c r="S6" s="2649"/>
      <c r="T6" s="85"/>
      <c r="U6" s="85"/>
      <c r="Z6" s="3870" t="s">
        <v>1270</v>
      </c>
      <c r="AA6" s="2655" t="s">
        <v>1222</v>
      </c>
      <c r="AB6" s="3870" t="s">
        <v>1270</v>
      </c>
      <c r="AC6" s="8">
        <f>M187</f>
        <v>51.524744417055189</v>
      </c>
      <c r="AD6" s="8">
        <f>O187</f>
        <v>53.773658737336262</v>
      </c>
      <c r="AE6" s="8">
        <f>N187</f>
        <v>83.331815527547732</v>
      </c>
      <c r="AF6" s="8">
        <f>P187</f>
        <v>88.229464377129489</v>
      </c>
      <c r="AG6" s="8">
        <f>AC6-AD6</f>
        <v>-2.2489143202810737</v>
      </c>
      <c r="AH6" s="8">
        <f>AE6-AF6</f>
        <v>-4.8976488495817563</v>
      </c>
    </row>
    <row r="7" spans="1:34" ht="15" thickTop="1">
      <c r="A7" s="3915" t="s">
        <v>1125</v>
      </c>
      <c r="B7" s="3916"/>
      <c r="C7" s="3917"/>
      <c r="D7" s="3918"/>
      <c r="E7" s="3919"/>
      <c r="F7" s="3920"/>
      <c r="G7" s="3921"/>
      <c r="H7" s="3922"/>
      <c r="I7" s="3923"/>
      <c r="J7" s="2867"/>
      <c r="K7" s="213" t="s">
        <v>904</v>
      </c>
      <c r="L7" s="216" t="s">
        <v>938</v>
      </c>
      <c r="M7" s="2650" t="s">
        <v>1273</v>
      </c>
      <c r="N7" s="2650" t="s">
        <v>1136</v>
      </c>
      <c r="O7" s="2650" t="s">
        <v>1273</v>
      </c>
      <c r="P7" s="2650" t="s">
        <v>1136</v>
      </c>
      <c r="Q7" s="3674"/>
      <c r="R7" s="213" t="s">
        <v>904</v>
      </c>
      <c r="S7" s="216" t="s">
        <v>938</v>
      </c>
      <c r="T7" s="2650" t="s">
        <v>1273</v>
      </c>
      <c r="U7" s="2650" t="s">
        <v>1136</v>
      </c>
      <c r="W7" s="76" t="s">
        <v>901</v>
      </c>
      <c r="Z7" s="3870" t="s">
        <v>1267</v>
      </c>
      <c r="AA7" s="2655" t="s">
        <v>1219</v>
      </c>
      <c r="AB7" s="3870" t="s">
        <v>1267</v>
      </c>
      <c r="AC7" s="8">
        <f>M117</f>
        <v>26.60223543705327</v>
      </c>
      <c r="AD7" s="8">
        <f>O117</f>
        <v>44.325072024562651</v>
      </c>
      <c r="AE7" s="8">
        <f>N117</f>
        <v>51.746971074755969</v>
      </c>
      <c r="AF7" s="8">
        <f>P117</f>
        <v>77.371142064974109</v>
      </c>
      <c r="AG7" s="8">
        <f t="shared" ref="AG7:AG9" si="0">AC7-AD7</f>
        <v>-17.722836587509381</v>
      </c>
      <c r="AH7" s="8">
        <f t="shared" ref="AH7:AH9" si="1">AE7-AF7</f>
        <v>-25.62417099021814</v>
      </c>
    </row>
    <row r="8" spans="1:34">
      <c r="A8" s="3924" t="s">
        <v>1191</v>
      </c>
      <c r="B8" s="3925">
        <v>21.891283216531146</v>
      </c>
      <c r="C8" s="3926">
        <v>59.789782187558515</v>
      </c>
      <c r="D8" s="3927">
        <v>27.432695054357513</v>
      </c>
      <c r="E8" s="3928">
        <v>61.303966804596065</v>
      </c>
      <c r="F8" s="3929">
        <v>50.269432621914767</v>
      </c>
      <c r="G8" s="3930">
        <v>77.862402714716183</v>
      </c>
      <c r="H8" s="3931">
        <v>2022</v>
      </c>
      <c r="I8" s="3932">
        <v>12388571</v>
      </c>
      <c r="J8" s="2868"/>
      <c r="K8" s="8" t="str">
        <f>A8</f>
        <v xml:space="preserve">  BOL</v>
      </c>
      <c r="L8" s="8">
        <f>H8</f>
        <v>2022</v>
      </c>
      <c r="M8" s="8">
        <f>B8</f>
        <v>21.891283216531146</v>
      </c>
      <c r="N8" s="8">
        <f>C8</f>
        <v>59.789782187558515</v>
      </c>
      <c r="O8" s="8">
        <f>F8</f>
        <v>50.269432621914767</v>
      </c>
      <c r="P8" s="8">
        <f>G8</f>
        <v>77.862402714716183</v>
      </c>
      <c r="Q8" s="3675"/>
      <c r="R8" s="8" t="str">
        <f t="shared" ref="R8:R21" si="2">A8</f>
        <v xml:space="preserve">  BOL</v>
      </c>
      <c r="S8" s="8">
        <f t="shared" ref="S8:S21" si="3">H8*1</f>
        <v>2022</v>
      </c>
      <c r="T8" s="8">
        <f>B8-F8</f>
        <v>-28.378149405383621</v>
      </c>
      <c r="U8" s="8">
        <f t="shared" ref="U8:U21" si="4">C8-G8</f>
        <v>-18.072620527157667</v>
      </c>
      <c r="W8" s="8">
        <f>Fact7!P6</f>
        <v>-41.036244391137785</v>
      </c>
      <c r="Z8" s="3870" t="s">
        <v>1266</v>
      </c>
      <c r="AA8" s="2655" t="s">
        <v>1256</v>
      </c>
      <c r="AB8" s="3870" t="s">
        <v>1266</v>
      </c>
      <c r="AC8" s="8">
        <f>M254</f>
        <v>78.00322953039111</v>
      </c>
      <c r="AD8" s="8">
        <f>O254</f>
        <v>87.91150575954866</v>
      </c>
      <c r="AE8" s="8">
        <f>N254</f>
        <v>90.39733792404104</v>
      </c>
      <c r="AF8" s="8">
        <f>P254</f>
        <v>95.720159105702379</v>
      </c>
      <c r="AG8" s="8">
        <f t="shared" si="0"/>
        <v>-9.9082762291575506</v>
      </c>
      <c r="AH8" s="8">
        <f t="shared" si="1"/>
        <v>-5.3228211816613396</v>
      </c>
    </row>
    <row r="9" spans="1:34">
      <c r="A9" s="3933" t="s">
        <v>1192</v>
      </c>
      <c r="B9" s="3934">
        <v>88.353538254817366</v>
      </c>
      <c r="C9" s="3935">
        <v>95.992216527243741</v>
      </c>
      <c r="D9" s="3936">
        <v>94.447924808144975</v>
      </c>
      <c r="E9" s="3937">
        <v>98.640769718349603</v>
      </c>
      <c r="F9" s="3938">
        <v>95.775773051099762</v>
      </c>
      <c r="G9" s="3939">
        <v>99.222557541290868</v>
      </c>
      <c r="H9" s="3940">
        <v>2019</v>
      </c>
      <c r="I9" s="3941">
        <v>216422446</v>
      </c>
      <c r="J9" s="2869"/>
      <c r="K9" s="8" t="str">
        <f t="shared" ref="K9:K21" si="5">A9</f>
        <v xml:space="preserve">  BRA</v>
      </c>
      <c r="L9" s="8">
        <f t="shared" ref="L9:L21" si="6">H9</f>
        <v>2019</v>
      </c>
      <c r="M9" s="8">
        <f t="shared" ref="M9:M21" si="7">B9</f>
        <v>88.353538254817366</v>
      </c>
      <c r="N9" s="8">
        <f t="shared" ref="N9:N21" si="8">C9</f>
        <v>95.992216527243741</v>
      </c>
      <c r="O9" s="8">
        <f t="shared" ref="O9:O21" si="9">F9</f>
        <v>95.775773051099762</v>
      </c>
      <c r="P9" s="8">
        <f t="shared" ref="P9:P21" si="10">G9</f>
        <v>99.222557541290868</v>
      </c>
      <c r="Q9" s="3676"/>
      <c r="R9" s="8" t="str">
        <f t="shared" si="2"/>
        <v xml:space="preserve">  BRA</v>
      </c>
      <c r="S9" s="8">
        <f t="shared" si="3"/>
        <v>2019</v>
      </c>
      <c r="T9" s="8">
        <f t="shared" ref="T9:T21" si="11">B9-F9</f>
        <v>-7.422234796282396</v>
      </c>
      <c r="U9" s="8">
        <f t="shared" si="4"/>
        <v>-3.2303410140471271</v>
      </c>
      <c r="W9" s="8">
        <f>Fact7!P7</f>
        <v>-5.4871305181501384</v>
      </c>
      <c r="Z9" s="3871" t="s">
        <v>1262</v>
      </c>
      <c r="AA9" s="2655" t="s">
        <v>1215</v>
      </c>
      <c r="AB9" s="3871" t="s">
        <v>1262</v>
      </c>
      <c r="AC9" s="8">
        <f>M24</f>
        <v>66.418735777460086</v>
      </c>
      <c r="AD9" s="8">
        <f>O24</f>
        <v>83.096693062890139</v>
      </c>
      <c r="AE9" s="8">
        <f>N24</f>
        <v>80.237809882683564</v>
      </c>
      <c r="AF9" s="8">
        <f>P24</f>
        <v>92.862731976525311</v>
      </c>
      <c r="AG9" s="8">
        <f t="shared" si="0"/>
        <v>-16.677957285430054</v>
      </c>
      <c r="AH9" s="8">
        <f t="shared" si="1"/>
        <v>-12.624922093841747</v>
      </c>
    </row>
    <row r="10" spans="1:34">
      <c r="A10" s="3942" t="s">
        <v>1193</v>
      </c>
      <c r="B10" s="3943">
        <v>84.370674874506804</v>
      </c>
      <c r="C10" s="3944">
        <v>88.630753037986793</v>
      </c>
      <c r="D10" s="3945">
        <v>89.76600152979006</v>
      </c>
      <c r="E10" s="3946">
        <v>92.680726745425858</v>
      </c>
      <c r="F10" s="3947">
        <v>93.176993545997234</v>
      </c>
      <c r="G10" s="3948">
        <v>96.521106832722936</v>
      </c>
      <c r="H10" s="3949">
        <v>2013</v>
      </c>
      <c r="I10" s="3950">
        <v>19629590</v>
      </c>
      <c r="J10" s="2870"/>
      <c r="K10" s="8" t="str">
        <f t="shared" si="5"/>
        <v xml:space="preserve">  CHL</v>
      </c>
      <c r="L10" s="8">
        <f t="shared" si="6"/>
        <v>2013</v>
      </c>
      <c r="M10" s="8">
        <f t="shared" si="7"/>
        <v>84.370674874506804</v>
      </c>
      <c r="N10" s="8">
        <f t="shared" si="8"/>
        <v>88.630753037986793</v>
      </c>
      <c r="O10" s="8">
        <f t="shared" si="9"/>
        <v>93.176993545997234</v>
      </c>
      <c r="P10" s="8">
        <f t="shared" si="10"/>
        <v>96.521106832722936</v>
      </c>
      <c r="Q10" s="3677"/>
      <c r="R10" s="8" t="str">
        <f t="shared" si="2"/>
        <v xml:space="preserve">  CHL</v>
      </c>
      <c r="S10" s="8">
        <f t="shared" si="3"/>
        <v>2013</v>
      </c>
      <c r="T10" s="8">
        <f t="shared" si="11"/>
        <v>-8.8063186714904305</v>
      </c>
      <c r="U10" s="8">
        <f t="shared" si="4"/>
        <v>-7.8903537947361428</v>
      </c>
      <c r="W10" s="8">
        <f>Fact7!P8</f>
        <v>-8.5241337199296083</v>
      </c>
    </row>
    <row r="11" spans="1:34">
      <c r="A11" s="3951" t="s">
        <v>1194</v>
      </c>
      <c r="B11" s="3952">
        <v>55.846222756069366</v>
      </c>
      <c r="C11" s="3953">
        <v>73.853884481740351</v>
      </c>
      <c r="D11" s="3954">
        <v>70.78759835517107</v>
      </c>
      <c r="E11" s="3955">
        <v>83.906910972343681</v>
      </c>
      <c r="F11" s="3956">
        <v>77.656984809741303</v>
      </c>
      <c r="G11" s="3957">
        <v>91.286807205086717</v>
      </c>
      <c r="H11" s="3958">
        <v>2021</v>
      </c>
      <c r="I11" s="3959">
        <v>52085168</v>
      </c>
      <c r="J11" s="2871"/>
      <c r="K11" s="8" t="str">
        <f t="shared" si="5"/>
        <v xml:space="preserve">  COL</v>
      </c>
      <c r="L11" s="8">
        <f t="shared" si="6"/>
        <v>2021</v>
      </c>
      <c r="M11" s="8">
        <f t="shared" si="7"/>
        <v>55.846222756069366</v>
      </c>
      <c r="N11" s="8">
        <f t="shared" si="8"/>
        <v>73.853884481740351</v>
      </c>
      <c r="O11" s="8">
        <f t="shared" si="9"/>
        <v>77.656984809741303</v>
      </c>
      <c r="P11" s="8">
        <f t="shared" si="10"/>
        <v>91.286807205086717</v>
      </c>
      <c r="Q11" s="3678"/>
      <c r="R11" s="8" t="str">
        <f t="shared" si="2"/>
        <v xml:space="preserve">  COL</v>
      </c>
      <c r="S11" s="8">
        <f t="shared" si="3"/>
        <v>2021</v>
      </c>
      <c r="T11" s="8">
        <f t="shared" si="11"/>
        <v>-21.810762053671937</v>
      </c>
      <c r="U11" s="8">
        <f t="shared" si="4"/>
        <v>-17.432922723346366</v>
      </c>
      <c r="W11" s="8">
        <f>Fact7!P9</f>
        <v>-23.653201411787293</v>
      </c>
    </row>
    <row r="12" spans="1:34">
      <c r="A12" s="3960" t="s">
        <v>1195</v>
      </c>
      <c r="B12" s="3961">
        <v>82.784864657875218</v>
      </c>
      <c r="C12" s="3962">
        <v>90.421087728244459</v>
      </c>
      <c r="D12" s="3963">
        <v>92.899514650368502</v>
      </c>
      <c r="E12" s="3964">
        <v>94.333578275551744</v>
      </c>
      <c r="F12" s="3965">
        <v>93.708194857810028</v>
      </c>
      <c r="G12" s="3966">
        <v>96.925517396000345</v>
      </c>
      <c r="H12" s="3967">
        <v>2023</v>
      </c>
      <c r="I12" s="3968">
        <v>5212173</v>
      </c>
      <c r="J12" s="2872"/>
      <c r="K12" s="8" t="str">
        <f t="shared" si="5"/>
        <v xml:space="preserve">  CRI</v>
      </c>
      <c r="L12" s="8">
        <f t="shared" si="6"/>
        <v>2023</v>
      </c>
      <c r="M12" s="8">
        <f t="shared" si="7"/>
        <v>82.784864657875218</v>
      </c>
      <c r="N12" s="8">
        <f t="shared" si="8"/>
        <v>90.421087728244459</v>
      </c>
      <c r="O12" s="8">
        <f t="shared" si="9"/>
        <v>93.708194857810028</v>
      </c>
      <c r="P12" s="8">
        <f t="shared" si="10"/>
        <v>96.925517396000345</v>
      </c>
      <c r="Q12" s="3679"/>
      <c r="R12" s="8" t="str">
        <f t="shared" si="2"/>
        <v xml:space="preserve">  CRI</v>
      </c>
      <c r="S12" s="8">
        <f t="shared" si="3"/>
        <v>2023</v>
      </c>
      <c r="T12" s="8">
        <f t="shared" si="11"/>
        <v>-10.92333019993481</v>
      </c>
      <c r="U12" s="8">
        <f t="shared" si="4"/>
        <v>-6.5044296677558862</v>
      </c>
      <c r="W12" s="8">
        <f>Fact7!P10</f>
        <v>-9.1679162839086104</v>
      </c>
    </row>
    <row r="13" spans="1:34">
      <c r="A13" s="3969" t="s">
        <v>1196</v>
      </c>
      <c r="B13" s="3970">
        <v>75.463419486252931</v>
      </c>
      <c r="C13" s="3971">
        <v>84.906625702525545</v>
      </c>
      <c r="D13" s="3972">
        <v>84.460171621596146</v>
      </c>
      <c r="E13" s="3973">
        <v>92.089182839083833</v>
      </c>
      <c r="F13" s="3974">
        <v>83.510440360085241</v>
      </c>
      <c r="G13" s="3975">
        <v>92.015613350209676</v>
      </c>
      <c r="H13" s="3976">
        <v>2022</v>
      </c>
      <c r="I13" s="3977">
        <v>11332973</v>
      </c>
      <c r="J13" s="2873"/>
      <c r="K13" s="8" t="str">
        <f t="shared" si="5"/>
        <v xml:space="preserve">  DOM</v>
      </c>
      <c r="L13" s="8">
        <f t="shared" si="6"/>
        <v>2022</v>
      </c>
      <c r="M13" s="8">
        <f t="shared" si="7"/>
        <v>75.463419486252931</v>
      </c>
      <c r="N13" s="8">
        <f t="shared" si="8"/>
        <v>84.906625702525545</v>
      </c>
      <c r="O13" s="8">
        <f t="shared" si="9"/>
        <v>83.510440360085241</v>
      </c>
      <c r="P13" s="8">
        <f t="shared" si="10"/>
        <v>92.015613350209676</v>
      </c>
      <c r="Q13" s="3680"/>
      <c r="R13" s="8" t="str">
        <f t="shared" si="2"/>
        <v xml:space="preserve">  DOM</v>
      </c>
      <c r="S13" s="8">
        <f t="shared" si="3"/>
        <v>2022</v>
      </c>
      <c r="T13" s="8">
        <f t="shared" si="11"/>
        <v>-8.0470208738323095</v>
      </c>
      <c r="U13" s="8">
        <f t="shared" si="4"/>
        <v>-7.1089876476841312</v>
      </c>
      <c r="W13" s="8">
        <f>Fact7!P11</f>
        <v>-8.4652908948125116</v>
      </c>
    </row>
    <row r="14" spans="1:34">
      <c r="A14" s="3978" t="s">
        <v>1197</v>
      </c>
      <c r="B14" s="3979">
        <v>46.191559196697433</v>
      </c>
      <c r="C14" s="3980">
        <v>77.159317807367131</v>
      </c>
      <c r="D14" s="3981">
        <v>63.871123053406301</v>
      </c>
      <c r="E14" s="3982">
        <v>83.813294546302927</v>
      </c>
      <c r="F14" s="3983">
        <v>78.504486349230646</v>
      </c>
      <c r="G14" s="3984">
        <v>90.960692240885024</v>
      </c>
      <c r="H14" s="3985">
        <v>2017</v>
      </c>
      <c r="I14" s="3986">
        <v>18190484</v>
      </c>
      <c r="J14" s="2874"/>
      <c r="K14" s="8" t="str">
        <f t="shared" si="5"/>
        <v xml:space="preserve">  ECU</v>
      </c>
      <c r="L14" s="8">
        <f t="shared" si="6"/>
        <v>2017</v>
      </c>
      <c r="M14" s="8">
        <f t="shared" si="7"/>
        <v>46.191559196697433</v>
      </c>
      <c r="N14" s="8">
        <f t="shared" si="8"/>
        <v>77.159317807367131</v>
      </c>
      <c r="O14" s="8">
        <f t="shared" si="9"/>
        <v>78.504486349230646</v>
      </c>
      <c r="P14" s="8">
        <f t="shared" si="10"/>
        <v>90.960692240885024</v>
      </c>
      <c r="Q14" s="3681"/>
      <c r="R14" s="8" t="str">
        <f t="shared" si="2"/>
        <v xml:space="preserve">  ECU</v>
      </c>
      <c r="S14" s="8">
        <f t="shared" si="3"/>
        <v>2017</v>
      </c>
      <c r="T14" s="8">
        <f t="shared" si="11"/>
        <v>-32.312927152533213</v>
      </c>
      <c r="U14" s="8">
        <f t="shared" si="4"/>
        <v>-13.801374433517893</v>
      </c>
      <c r="W14" s="8">
        <f>Fact7!P12</f>
        <v>-30.665529163919643</v>
      </c>
    </row>
    <row r="15" spans="1:34">
      <c r="A15" s="3987" t="s">
        <v>1204</v>
      </c>
      <c r="B15" s="3988">
        <v>4.7839485499073966</v>
      </c>
      <c r="C15" s="3989">
        <v>17.527275261488874</v>
      </c>
      <c r="D15" s="3990">
        <v>16.224691405457055</v>
      </c>
      <c r="E15" s="3991">
        <v>31.641741833485664</v>
      </c>
      <c r="F15" s="3992">
        <v>42.06045593070494</v>
      </c>
      <c r="G15" s="3993">
        <v>64.356522747579803</v>
      </c>
      <c r="H15" s="3994">
        <v>2006</v>
      </c>
      <c r="I15" s="3995">
        <v>18092026</v>
      </c>
      <c r="J15" s="2875"/>
      <c r="K15" s="8" t="str">
        <f t="shared" si="5"/>
        <v xml:space="preserve">  GTM</v>
      </c>
      <c r="L15" s="8">
        <f t="shared" si="6"/>
        <v>2006</v>
      </c>
      <c r="M15" s="8">
        <f t="shared" si="7"/>
        <v>4.7839485499073966</v>
      </c>
      <c r="N15" s="8">
        <f t="shared" si="8"/>
        <v>17.527275261488874</v>
      </c>
      <c r="O15" s="8">
        <f t="shared" si="9"/>
        <v>42.06045593070494</v>
      </c>
      <c r="P15" s="8">
        <f t="shared" si="10"/>
        <v>64.356522747579803</v>
      </c>
      <c r="Q15" s="3682"/>
      <c r="R15" s="8" t="str">
        <f t="shared" si="2"/>
        <v xml:space="preserve">  GTM</v>
      </c>
      <c r="S15" s="8">
        <f t="shared" si="3"/>
        <v>2006</v>
      </c>
      <c r="T15" s="8">
        <f t="shared" si="11"/>
        <v>-37.27650738079754</v>
      </c>
      <c r="U15" s="8">
        <f t="shared" si="4"/>
        <v>-46.829247486090928</v>
      </c>
      <c r="W15" s="8">
        <f>Fact7!P13</f>
        <v>-50.500717103969805</v>
      </c>
    </row>
    <row r="16" spans="1:34">
      <c r="A16" s="3996" t="s">
        <v>1199</v>
      </c>
      <c r="B16" s="3997">
        <v>44.919971520579232</v>
      </c>
      <c r="C16" s="3998">
        <v>75.676178611956658</v>
      </c>
      <c r="D16" s="3999">
        <v>61.000403725513806</v>
      </c>
      <c r="E16" s="4000">
        <v>82.660141516930551</v>
      </c>
      <c r="F16" s="4001">
        <v>74.43265817100783</v>
      </c>
      <c r="G16" s="4002">
        <v>91.873701782416589</v>
      </c>
      <c r="H16" s="4003">
        <v>2023</v>
      </c>
      <c r="I16" s="4004">
        <v>10593798</v>
      </c>
      <c r="J16" s="2876"/>
      <c r="K16" s="8" t="str">
        <f t="shared" si="5"/>
        <v xml:space="preserve">  HND</v>
      </c>
      <c r="L16" s="8">
        <f t="shared" si="6"/>
        <v>2023</v>
      </c>
      <c r="M16" s="8">
        <f t="shared" si="7"/>
        <v>44.919971520579232</v>
      </c>
      <c r="N16" s="8">
        <f t="shared" si="8"/>
        <v>75.676178611956658</v>
      </c>
      <c r="O16" s="8">
        <f t="shared" si="9"/>
        <v>74.43265817100783</v>
      </c>
      <c r="P16" s="8">
        <f t="shared" si="10"/>
        <v>91.873701782416589</v>
      </c>
      <c r="Q16" s="3683"/>
      <c r="R16" s="8" t="str">
        <f t="shared" si="2"/>
        <v xml:space="preserve">  HND</v>
      </c>
      <c r="S16" s="8">
        <f t="shared" si="3"/>
        <v>2023</v>
      </c>
      <c r="T16" s="8">
        <f t="shared" si="11"/>
        <v>-29.512686650428599</v>
      </c>
      <c r="U16" s="8">
        <f t="shared" si="4"/>
        <v>-16.197523170459931</v>
      </c>
      <c r="W16" s="8">
        <f>Fact7!P14</f>
        <v>-30.572530157572601</v>
      </c>
    </row>
    <row r="17" spans="1:23">
      <c r="A17" s="4005" t="s">
        <v>1205</v>
      </c>
      <c r="B17" s="4006">
        <v>61.627830578099243</v>
      </c>
      <c r="C17" s="4007">
        <v>76.243488228122203</v>
      </c>
      <c r="D17" s="4008">
        <v>78.918980222328159</v>
      </c>
      <c r="E17" s="4009">
        <v>86.90188871891668</v>
      </c>
      <c r="F17" s="4010">
        <v>87.420772690276422</v>
      </c>
      <c r="G17" s="4011">
        <v>94.451352104057122</v>
      </c>
      <c r="H17" s="4012">
        <v>2022</v>
      </c>
      <c r="I17" s="4013">
        <v>128455567</v>
      </c>
      <c r="J17" s="2877"/>
      <c r="K17" s="8" t="str">
        <f t="shared" si="5"/>
        <v xml:space="preserve">  MEX</v>
      </c>
      <c r="L17" s="8">
        <f t="shared" si="6"/>
        <v>2022</v>
      </c>
      <c r="M17" s="8">
        <f t="shared" si="7"/>
        <v>61.627830578099243</v>
      </c>
      <c r="N17" s="8">
        <f t="shared" si="8"/>
        <v>76.243488228122203</v>
      </c>
      <c r="O17" s="8">
        <f t="shared" si="9"/>
        <v>87.420772690276422</v>
      </c>
      <c r="P17" s="8">
        <f t="shared" si="10"/>
        <v>94.451352104057122</v>
      </c>
      <c r="Q17" s="3684"/>
      <c r="R17" s="8" t="str">
        <f t="shared" si="2"/>
        <v xml:space="preserve">  MEX</v>
      </c>
      <c r="S17" s="8">
        <f t="shared" si="3"/>
        <v>2022</v>
      </c>
      <c r="T17" s="8">
        <f t="shared" si="11"/>
        <v>-25.79294211217718</v>
      </c>
      <c r="U17" s="8">
        <f t="shared" si="4"/>
        <v>-18.207863875934919</v>
      </c>
      <c r="W17" s="8">
        <f>Fact7!P15</f>
        <v>-24.981351483938525</v>
      </c>
    </row>
    <row r="18" spans="1:23">
      <c r="A18" s="4014" t="s">
        <v>1201</v>
      </c>
      <c r="B18" s="4015">
        <v>6.1951489730287594</v>
      </c>
      <c r="C18" s="4016">
        <v>39.450840690542435</v>
      </c>
      <c r="D18" s="4017">
        <v>11.015976180846703</v>
      </c>
      <c r="E18" s="4018">
        <v>50.21997931037162</v>
      </c>
      <c r="F18" s="4019">
        <v>24.356001572087219</v>
      </c>
      <c r="G18" s="4020">
        <v>68.039914555894967</v>
      </c>
      <c r="H18" s="4021">
        <v>2022</v>
      </c>
      <c r="I18" s="4022">
        <v>34352719</v>
      </c>
      <c r="J18" s="2878"/>
      <c r="K18" s="8" t="str">
        <f t="shared" si="5"/>
        <v xml:space="preserve">  PER</v>
      </c>
      <c r="L18" s="8">
        <f t="shared" si="6"/>
        <v>2022</v>
      </c>
      <c r="M18" s="8">
        <f t="shared" si="7"/>
        <v>6.1951489730287594</v>
      </c>
      <c r="N18" s="8">
        <f t="shared" si="8"/>
        <v>39.450840690542435</v>
      </c>
      <c r="O18" s="8">
        <f t="shared" si="9"/>
        <v>24.356001572087219</v>
      </c>
      <c r="P18" s="8">
        <f t="shared" si="10"/>
        <v>68.039914555894967</v>
      </c>
      <c r="Q18" s="3685"/>
      <c r="R18" s="8" t="str">
        <f t="shared" si="2"/>
        <v xml:space="preserve">  PER</v>
      </c>
      <c r="S18" s="8">
        <f t="shared" si="3"/>
        <v>2022</v>
      </c>
      <c r="T18" s="8">
        <f t="shared" si="11"/>
        <v>-18.160852599058458</v>
      </c>
      <c r="U18" s="8">
        <f t="shared" si="4"/>
        <v>-28.589073865352532</v>
      </c>
      <c r="W18" s="8">
        <f>Fact7!P16</f>
        <v>-39.029293158307112</v>
      </c>
    </row>
    <row r="19" spans="1:23">
      <c r="A19" s="4023" t="s">
        <v>1202</v>
      </c>
      <c r="B19" s="4024">
        <v>80.730400486189495</v>
      </c>
      <c r="C19" s="4025">
        <v>84.930328847838197</v>
      </c>
      <c r="D19" s="4026">
        <v>84.616986734454102</v>
      </c>
      <c r="E19" s="4027">
        <v>94.465267913571822</v>
      </c>
      <c r="F19" s="4028">
        <v>92.841846585922411</v>
      </c>
      <c r="G19" s="4029">
        <v>96.918486371810232</v>
      </c>
      <c r="H19" s="4030">
        <v>2022</v>
      </c>
      <c r="I19" s="4031">
        <v>6861524</v>
      </c>
      <c r="J19" s="2879"/>
      <c r="K19" s="8" t="str">
        <f t="shared" si="5"/>
        <v xml:space="preserve">  PRY</v>
      </c>
      <c r="L19" s="8">
        <f t="shared" si="6"/>
        <v>2022</v>
      </c>
      <c r="M19" s="8">
        <f t="shared" si="7"/>
        <v>80.730400486189495</v>
      </c>
      <c r="N19" s="8">
        <f t="shared" si="8"/>
        <v>84.930328847838197</v>
      </c>
      <c r="O19" s="8">
        <f t="shared" si="9"/>
        <v>92.841846585922411</v>
      </c>
      <c r="P19" s="8">
        <f t="shared" si="10"/>
        <v>96.918486371810232</v>
      </c>
      <c r="Q19" s="3686"/>
      <c r="R19" s="8" t="str">
        <f t="shared" si="2"/>
        <v xml:space="preserve">  PRY</v>
      </c>
      <c r="S19" s="8">
        <f t="shared" si="3"/>
        <v>2022</v>
      </c>
      <c r="T19" s="8">
        <f t="shared" si="11"/>
        <v>-12.111446099732916</v>
      </c>
      <c r="U19" s="8">
        <f t="shared" si="4"/>
        <v>-11.988157523972035</v>
      </c>
      <c r="W19" s="8">
        <f>Fact7!P17</f>
        <v>-13.875688349381235</v>
      </c>
    </row>
    <row r="20" spans="1:23">
      <c r="A20" s="4032" t="s">
        <v>1206</v>
      </c>
      <c r="B20" s="4033">
        <v>70.579085080075799</v>
      </c>
      <c r="C20" s="4034">
        <v>78.321039942778953</v>
      </c>
      <c r="D20" s="4035">
        <v>70.53567894921639</v>
      </c>
      <c r="E20" s="4036">
        <v>79.594776222146663</v>
      </c>
      <c r="F20" s="4037">
        <v>74.836380300956705</v>
      </c>
      <c r="G20" s="4038">
        <v>87.831791008525613</v>
      </c>
      <c r="H20" s="4039">
        <v>2023</v>
      </c>
      <c r="I20" s="4040">
        <v>6364943</v>
      </c>
      <c r="J20" s="2880"/>
      <c r="K20" s="8" t="str">
        <f t="shared" si="5"/>
        <v xml:space="preserve">  SLV</v>
      </c>
      <c r="L20" s="8">
        <f t="shared" si="6"/>
        <v>2023</v>
      </c>
      <c r="M20" s="8">
        <f t="shared" si="7"/>
        <v>70.579085080075799</v>
      </c>
      <c r="N20" s="8">
        <f t="shared" si="8"/>
        <v>78.321039942778953</v>
      </c>
      <c r="O20" s="8">
        <f t="shared" si="9"/>
        <v>74.836380300956705</v>
      </c>
      <c r="P20" s="8">
        <f t="shared" si="10"/>
        <v>87.831791008525613</v>
      </c>
      <c r="Q20" s="3687"/>
      <c r="R20" s="8" t="str">
        <f t="shared" si="2"/>
        <v xml:space="preserve">  SLV</v>
      </c>
      <c r="S20" s="8">
        <f t="shared" si="3"/>
        <v>2023</v>
      </c>
      <c r="T20" s="8">
        <f t="shared" si="11"/>
        <v>-4.2572952208809056</v>
      </c>
      <c r="U20" s="8">
        <f t="shared" si="4"/>
        <v>-9.5107510657466605</v>
      </c>
      <c r="W20" s="8">
        <f>Fact7!P18</f>
        <v>-10.488238668060532</v>
      </c>
    </row>
    <row r="21" spans="1:23">
      <c r="A21" s="4041" t="s">
        <v>1207</v>
      </c>
      <c r="B21" s="4042">
        <v>91.337491337491343</v>
      </c>
      <c r="C21" s="4043">
        <v>91.516204578076596</v>
      </c>
      <c r="D21" s="4044">
        <v>98.192836273130609</v>
      </c>
      <c r="E21" s="4045">
        <v>96.439332795265003</v>
      </c>
      <c r="F21" s="4046">
        <v>98.875237094221546</v>
      </c>
      <c r="G21" s="4047">
        <v>99.227366011117184</v>
      </c>
      <c r="H21" s="4048">
        <v>2022</v>
      </c>
      <c r="I21" s="4049">
        <v>3423109</v>
      </c>
      <c r="J21" s="2880"/>
      <c r="K21" s="8" t="str">
        <f t="shared" si="5"/>
        <v xml:space="preserve">  URY</v>
      </c>
      <c r="L21" s="8">
        <f t="shared" si="6"/>
        <v>2022</v>
      </c>
      <c r="M21" s="8">
        <f t="shared" si="7"/>
        <v>91.337491337491343</v>
      </c>
      <c r="N21" s="8">
        <f t="shared" si="8"/>
        <v>91.516204578076596</v>
      </c>
      <c r="O21" s="8">
        <f t="shared" si="9"/>
        <v>98.875237094221546</v>
      </c>
      <c r="P21" s="8">
        <f t="shared" si="10"/>
        <v>99.227366011117184</v>
      </c>
      <c r="Q21" s="3687"/>
      <c r="R21" s="8" t="str">
        <f t="shared" si="2"/>
        <v xml:space="preserve">  URY</v>
      </c>
      <c r="S21" s="8">
        <f t="shared" si="3"/>
        <v>2022</v>
      </c>
      <c r="T21" s="8">
        <f t="shared" si="11"/>
        <v>-7.5377457567302031</v>
      </c>
      <c r="U21" s="8">
        <f t="shared" si="4"/>
        <v>-7.7111614330405871</v>
      </c>
      <c r="W21" s="8">
        <f>Fact7!P19</f>
        <v>-7.6849273115811201</v>
      </c>
    </row>
    <row r="22" spans="1:23">
      <c r="A22" s="4050" t="s">
        <v>1203</v>
      </c>
      <c r="B22" s="4051"/>
      <c r="C22" s="4052"/>
      <c r="D22" s="4053"/>
      <c r="E22" s="4054"/>
      <c r="F22" s="4055"/>
      <c r="G22" s="4056"/>
      <c r="H22" s="4057">
        <v>2021</v>
      </c>
      <c r="I22" s="4058">
        <v>28838499</v>
      </c>
      <c r="J22" s="2880"/>
      <c r="K22" s="2648"/>
      <c r="L22" s="8"/>
      <c r="M22" s="13"/>
      <c r="N22" s="13"/>
      <c r="O22" s="13"/>
      <c r="P22" s="13"/>
      <c r="Q22" s="3687"/>
      <c r="R22" s="2648"/>
      <c r="S22" s="8"/>
      <c r="T22" s="13"/>
      <c r="U22" s="13"/>
      <c r="W22" s="8"/>
    </row>
    <row r="23" spans="1:23">
      <c r="B23" s="8"/>
      <c r="C23" s="8"/>
      <c r="F23" s="8"/>
      <c r="G23" s="8"/>
      <c r="J23" s="2880"/>
      <c r="K23" s="3" t="s">
        <v>1261</v>
      </c>
      <c r="L23" s="8"/>
      <c r="M23" s="8">
        <f t="shared" ref="M23:O23" si="12">AVERAGE(M8:M21)</f>
        <v>58.219674212008684</v>
      </c>
      <c r="N23" s="8">
        <f>AVERAGE(N8:N21)</f>
        <v>73.887073116676461</v>
      </c>
      <c r="O23" s="8">
        <f t="shared" si="12"/>
        <v>76.244689852932567</v>
      </c>
      <c r="P23" s="8">
        <f>AVERAGE(P8:P21)</f>
        <v>89.106702275879542</v>
      </c>
      <c r="Q23" s="3687"/>
      <c r="R23" s="3" t="s">
        <v>1261</v>
      </c>
      <c r="S23" s="8"/>
      <c r="T23" s="8">
        <f>AVERAGE(T8:T22)</f>
        <v>-18.025015640923893</v>
      </c>
      <c r="U23" s="8">
        <f>AVERAGE(U8:U22)</f>
        <v>-15.219629159203057</v>
      </c>
      <c r="W23" s="8">
        <f>Fact7!P21</f>
        <v>-20.750797887743005</v>
      </c>
    </row>
    <row r="24" spans="1:23" ht="15" thickBot="1">
      <c r="A24" s="4059"/>
      <c r="B24" s="5894" t="s">
        <v>1045</v>
      </c>
      <c r="C24" s="5895" t="s">
        <v>1045</v>
      </c>
      <c r="D24" s="5896" t="s">
        <v>1045</v>
      </c>
      <c r="E24" s="5897" t="s">
        <v>1045</v>
      </c>
      <c r="F24" s="5898" t="s">
        <v>1045</v>
      </c>
      <c r="G24" s="5899" t="s">
        <v>1045</v>
      </c>
      <c r="H24" s="4060" t="s">
        <v>1186</v>
      </c>
      <c r="I24" s="4061" t="s">
        <v>1257</v>
      </c>
      <c r="J24" s="2880"/>
      <c r="K24" s="212" t="s">
        <v>1145</v>
      </c>
      <c r="L24" s="85"/>
      <c r="M24" s="85">
        <f>SUMPRODUCT(M8:M21,$I8:$I21)/SUM($I8:$I21)</f>
        <v>66.418735777460086</v>
      </c>
      <c r="N24" s="85">
        <f>SUMPRODUCT(N8:N21,$I8:$I21)/SUM($I8:$I21)</f>
        <v>80.237809882683564</v>
      </c>
      <c r="O24" s="85">
        <f t="shared" ref="O24" si="13">SUMPRODUCT(O8:O21,$I8:$I21)/SUM($I8:$I21)</f>
        <v>83.096693062890139</v>
      </c>
      <c r="P24" s="85">
        <f>SUMPRODUCT(P8:P21,$I8:$I21)/SUM($I8:$I21)</f>
        <v>92.862731976525311</v>
      </c>
      <c r="Q24" s="3687"/>
      <c r="R24" s="212" t="s">
        <v>1145</v>
      </c>
      <c r="S24" s="85"/>
      <c r="T24" s="85">
        <f>SUMPRODUCT(T8:T22,$I8:$I22)/SUM($I8:$I22)</f>
        <v>-15.837463371819043</v>
      </c>
      <c r="U24" s="85">
        <f>SUMPRODUCT(U8:U22,$I8:$I22)/SUM($I8:$I22)</f>
        <v>-11.988682895114621</v>
      </c>
      <c r="W24" s="85">
        <f>SUMPRODUCT(W8:W22,$I8:$I22)/SUM($I8:$I22)</f>
        <v>-17.077228616303124</v>
      </c>
    </row>
    <row r="25" spans="1:23" ht="15" thickTop="1">
      <c r="A25" s="4062"/>
      <c r="B25" s="5900" t="s">
        <v>1187</v>
      </c>
      <c r="C25" s="5900" t="s">
        <v>1187</v>
      </c>
      <c r="D25" s="5901" t="s">
        <v>1188</v>
      </c>
      <c r="E25" s="5901" t="s">
        <v>1188</v>
      </c>
      <c r="F25" s="5902" t="s">
        <v>1189</v>
      </c>
      <c r="G25" s="5902" t="s">
        <v>1189</v>
      </c>
      <c r="I25" s="4063" t="s">
        <v>1187</v>
      </c>
      <c r="J25" s="2880"/>
      <c r="L25" s="8"/>
      <c r="M25" s="8"/>
      <c r="N25" s="8"/>
      <c r="O25" s="8"/>
      <c r="P25" s="8"/>
      <c r="Q25" s="3687"/>
      <c r="S25" s="8"/>
      <c r="T25" s="8"/>
      <c r="U25" s="8"/>
      <c r="W25" s="8"/>
    </row>
    <row r="26" spans="1:23">
      <c r="A26" s="4064"/>
      <c r="B26" s="5903" t="s">
        <v>1258</v>
      </c>
      <c r="C26" s="5903" t="s">
        <v>1258</v>
      </c>
      <c r="D26" s="5904" t="s">
        <v>1258</v>
      </c>
      <c r="E26" s="5904" t="s">
        <v>1258</v>
      </c>
      <c r="F26" s="5905" t="s">
        <v>1258</v>
      </c>
      <c r="G26" s="5905" t="s">
        <v>1258</v>
      </c>
      <c r="J26" s="2880"/>
      <c r="L26" s="8"/>
      <c r="M26" s="8"/>
      <c r="N26" s="8"/>
      <c r="O26" s="8"/>
      <c r="P26" s="8"/>
      <c r="Q26" s="3687"/>
      <c r="S26" s="8"/>
      <c r="T26" s="8"/>
      <c r="U26" s="8"/>
    </row>
    <row r="27" spans="1:23">
      <c r="A27" s="4065"/>
      <c r="B27" s="4066" t="s">
        <v>1259</v>
      </c>
      <c r="C27" s="4067" t="s">
        <v>1260</v>
      </c>
      <c r="D27" s="4068" t="s">
        <v>1259</v>
      </c>
      <c r="E27" s="4069" t="s">
        <v>1260</v>
      </c>
      <c r="F27" s="4070" t="s">
        <v>1259</v>
      </c>
      <c r="G27" s="4071" t="s">
        <v>1260</v>
      </c>
      <c r="L27" s="8"/>
      <c r="M27" s="8"/>
      <c r="N27" s="8"/>
      <c r="O27" s="8"/>
      <c r="P27" s="8"/>
      <c r="S27" s="8"/>
      <c r="T27" s="8"/>
      <c r="U27" s="8"/>
    </row>
    <row r="28" spans="1:23">
      <c r="A28" s="4072"/>
      <c r="B28" s="4073" t="s">
        <v>1216</v>
      </c>
      <c r="C28" s="4074" t="s">
        <v>1216</v>
      </c>
      <c r="D28" s="4075" t="s">
        <v>1216</v>
      </c>
      <c r="E28" s="4076" t="s">
        <v>1216</v>
      </c>
      <c r="F28" s="4077" t="s">
        <v>1216</v>
      </c>
      <c r="G28" s="4078" t="s">
        <v>1216</v>
      </c>
      <c r="L28" s="8"/>
      <c r="M28" s="8"/>
      <c r="N28" s="8"/>
      <c r="O28" s="8"/>
      <c r="P28" s="8"/>
      <c r="S28" s="8"/>
      <c r="T28" s="8"/>
      <c r="U28" s="8"/>
      <c r="V28" s="8"/>
      <c r="W28" s="8"/>
    </row>
    <row r="29" spans="1:23" ht="15" thickBot="1">
      <c r="A29" s="4079"/>
      <c r="B29" s="4080" t="s">
        <v>1187</v>
      </c>
      <c r="C29" s="4081" t="s">
        <v>1187</v>
      </c>
      <c r="D29" s="4082" t="s">
        <v>1187</v>
      </c>
      <c r="E29" s="4083" t="s">
        <v>1187</v>
      </c>
      <c r="F29" s="4084" t="s">
        <v>1187</v>
      </c>
      <c r="G29" s="4085" t="s">
        <v>1187</v>
      </c>
      <c r="K29" s="972" t="str">
        <f>B28</f>
        <v>El hogar posee automovil particular</v>
      </c>
      <c r="L29" s="2649"/>
      <c r="M29" s="85"/>
      <c r="N29" s="85"/>
      <c r="O29" s="85"/>
      <c r="P29" s="85"/>
      <c r="R29" s="972" t="str">
        <f>E28</f>
        <v>El hogar posee automovil particular</v>
      </c>
      <c r="S29" s="2649"/>
      <c r="T29" s="85"/>
      <c r="U29" s="85"/>
    </row>
    <row r="30" spans="1:23" ht="15" thickTop="1">
      <c r="A30" s="4086" t="s">
        <v>1125</v>
      </c>
      <c r="B30" s="4087"/>
      <c r="C30" s="4088"/>
      <c r="D30" s="4089"/>
      <c r="E30" s="4090"/>
      <c r="F30" s="4091"/>
      <c r="G30" s="4092"/>
      <c r="H30" s="4093"/>
      <c r="I30" s="4094"/>
      <c r="J30" s="2881"/>
      <c r="K30" s="213" t="s">
        <v>904</v>
      </c>
      <c r="L30" s="216" t="s">
        <v>938</v>
      </c>
      <c r="M30" s="2650" t="s">
        <v>1273</v>
      </c>
      <c r="N30" s="2650" t="s">
        <v>1136</v>
      </c>
      <c r="O30" s="2650"/>
      <c r="P30" s="2650"/>
      <c r="Q30" s="3688"/>
      <c r="R30" s="213" t="s">
        <v>904</v>
      </c>
      <c r="S30" s="216" t="s">
        <v>938</v>
      </c>
      <c r="T30" s="2650" t="s">
        <v>1273</v>
      </c>
      <c r="U30" s="2650" t="s">
        <v>1136</v>
      </c>
      <c r="W30" s="76" t="s">
        <v>901</v>
      </c>
    </row>
    <row r="31" spans="1:23">
      <c r="A31" s="4095" t="s">
        <v>1191</v>
      </c>
      <c r="B31" s="4096">
        <v>8.7786820032745378</v>
      </c>
      <c r="C31" s="4097">
        <v>12.72847019497037</v>
      </c>
      <c r="D31" s="4098">
        <v>9.3368825223531591</v>
      </c>
      <c r="E31" s="4099">
        <v>11.729886150328317</v>
      </c>
      <c r="F31" s="4100">
        <v>16.325666875738555</v>
      </c>
      <c r="G31" s="4101">
        <v>20.896858884975284</v>
      </c>
      <c r="H31" s="4102">
        <v>2022</v>
      </c>
      <c r="I31" s="4103">
        <v>12388571</v>
      </c>
      <c r="J31" s="2882"/>
      <c r="K31" s="8" t="str">
        <f t="shared" ref="K31" si="14">A31</f>
        <v xml:space="preserve">  BOL</v>
      </c>
      <c r="L31" s="8">
        <f t="shared" ref="L31" si="15">H31</f>
        <v>2022</v>
      </c>
      <c r="M31" s="8">
        <f t="shared" ref="M31" si="16">B31</f>
        <v>8.7786820032745378</v>
      </c>
      <c r="N31" s="8">
        <f t="shared" ref="N31:N44" si="17">C31</f>
        <v>12.72847019497037</v>
      </c>
      <c r="O31" s="8">
        <f t="shared" ref="O31" si="18">F31</f>
        <v>16.325666875738555</v>
      </c>
      <c r="P31" s="8">
        <f t="shared" ref="P31" si="19">G31</f>
        <v>20.896858884975284</v>
      </c>
      <c r="Q31" s="3689"/>
      <c r="R31" s="8" t="str">
        <f t="shared" ref="R31:R44" si="20">A31</f>
        <v xml:space="preserve">  BOL</v>
      </c>
      <c r="S31" s="8">
        <f t="shared" ref="S31:S44" si="21">H31*1</f>
        <v>2022</v>
      </c>
      <c r="T31" s="8">
        <f t="shared" ref="T31:T44" si="22">B31-F31</f>
        <v>-7.5469848724640176</v>
      </c>
      <c r="U31" s="8">
        <f t="shared" ref="U31:U44" si="23">C31-G31</f>
        <v>-8.1683886900049139</v>
      </c>
      <c r="W31" s="8">
        <f>Fact7!P29</f>
        <v>-10.194951168858088</v>
      </c>
    </row>
    <row r="32" spans="1:23">
      <c r="A32" s="4104" t="s">
        <v>1192</v>
      </c>
      <c r="B32" s="4105">
        <v>51.595498808213669</v>
      </c>
      <c r="C32" s="4106">
        <v>31.155281628855512</v>
      </c>
      <c r="D32" s="4107">
        <v>62.332536931348379</v>
      </c>
      <c r="E32" s="4108">
        <v>44.947323823033528</v>
      </c>
      <c r="F32" s="4109">
        <v>66.898143859568023</v>
      </c>
      <c r="G32" s="4110">
        <v>66.322279633764936</v>
      </c>
      <c r="H32" s="4111">
        <v>2019</v>
      </c>
      <c r="I32" s="4112">
        <v>216422446</v>
      </c>
      <c r="J32" s="2883"/>
      <c r="K32" s="8" t="str">
        <f t="shared" ref="K32:K44" si="24">A32</f>
        <v xml:space="preserve">  BRA</v>
      </c>
      <c r="L32" s="8">
        <f t="shared" ref="L32:L44" si="25">H32</f>
        <v>2019</v>
      </c>
      <c r="M32" s="8">
        <f t="shared" ref="M32:M44" si="26">B32</f>
        <v>51.595498808213669</v>
      </c>
      <c r="N32" s="8">
        <f t="shared" si="17"/>
        <v>31.155281628855512</v>
      </c>
      <c r="O32" s="8">
        <f t="shared" ref="O32:O44" si="27">F32</f>
        <v>66.898143859568023</v>
      </c>
      <c r="P32" s="8">
        <f t="shared" ref="P32:P44" si="28">G32</f>
        <v>66.322279633764936</v>
      </c>
      <c r="Q32" s="3690"/>
      <c r="R32" s="8" t="str">
        <f t="shared" si="20"/>
        <v xml:space="preserve">  BRA</v>
      </c>
      <c r="S32" s="8">
        <f t="shared" si="21"/>
        <v>2019</v>
      </c>
      <c r="T32" s="8">
        <f t="shared" si="22"/>
        <v>-15.302645051354354</v>
      </c>
      <c r="U32" s="8">
        <f t="shared" si="23"/>
        <v>-35.166998004909424</v>
      </c>
      <c r="W32" s="8">
        <f>Fact7!P30</f>
        <v>-28.312817774615795</v>
      </c>
    </row>
    <row r="33" spans="1:34">
      <c r="A33" s="4113" t="s">
        <v>1193</v>
      </c>
      <c r="B33" s="4114">
        <v>28.631879476917589</v>
      </c>
      <c r="C33" s="4115">
        <v>16.632143963114611</v>
      </c>
      <c r="D33" s="4116">
        <v>35.254507818540041</v>
      </c>
      <c r="E33" s="4117">
        <v>22.00543830592418</v>
      </c>
      <c r="F33" s="4118">
        <v>39.171920469854427</v>
      </c>
      <c r="G33" s="4119">
        <v>36.699826974981654</v>
      </c>
      <c r="H33" s="4120">
        <v>2017</v>
      </c>
      <c r="I33" s="4121">
        <v>19629590</v>
      </c>
      <c r="J33" s="2884"/>
      <c r="K33" s="8" t="str">
        <f t="shared" si="24"/>
        <v xml:space="preserve">  CHL</v>
      </c>
      <c r="L33" s="8">
        <f t="shared" si="25"/>
        <v>2017</v>
      </c>
      <c r="M33" s="8">
        <f t="shared" si="26"/>
        <v>28.631879476917589</v>
      </c>
      <c r="N33" s="8">
        <f t="shared" si="17"/>
        <v>16.632143963114611</v>
      </c>
      <c r="O33" s="8">
        <f t="shared" si="27"/>
        <v>39.171920469854427</v>
      </c>
      <c r="P33" s="8">
        <f t="shared" si="28"/>
        <v>36.699826974981654</v>
      </c>
      <c r="Q33" s="3691"/>
      <c r="R33" s="8" t="str">
        <f t="shared" si="20"/>
        <v xml:space="preserve">  CHL</v>
      </c>
      <c r="S33" s="8">
        <f t="shared" si="21"/>
        <v>2017</v>
      </c>
      <c r="T33" s="8">
        <f t="shared" si="22"/>
        <v>-10.540040992936838</v>
      </c>
      <c r="U33" s="8">
        <f t="shared" si="23"/>
        <v>-20.067683011867043</v>
      </c>
      <c r="W33" s="8">
        <f>Fact7!P31</f>
        <v>-17.796637871546331</v>
      </c>
    </row>
    <row r="34" spans="1:34">
      <c r="A34" s="4122" t="s">
        <v>1194</v>
      </c>
      <c r="B34" s="4123">
        <v>1.5514884934298068</v>
      </c>
      <c r="C34" s="4124">
        <v>2.6711064205428152</v>
      </c>
      <c r="D34" s="4125">
        <v>3.0545254289476831</v>
      </c>
      <c r="E34" s="4126">
        <v>3.8535476443344692</v>
      </c>
      <c r="F34" s="4127">
        <v>8.1558497616170573</v>
      </c>
      <c r="G34" s="4128">
        <v>20.463975459926324</v>
      </c>
      <c r="H34" s="4129">
        <v>2021</v>
      </c>
      <c r="I34" s="4130">
        <v>52085168</v>
      </c>
      <c r="J34" s="2885"/>
      <c r="K34" s="8" t="str">
        <f t="shared" si="24"/>
        <v xml:space="preserve">  COL</v>
      </c>
      <c r="L34" s="8">
        <f t="shared" si="25"/>
        <v>2021</v>
      </c>
      <c r="M34" s="8">
        <f t="shared" si="26"/>
        <v>1.5514884934298068</v>
      </c>
      <c r="N34" s="8">
        <f t="shared" si="17"/>
        <v>2.6711064205428152</v>
      </c>
      <c r="O34" s="8">
        <f t="shared" si="27"/>
        <v>8.1558497616170573</v>
      </c>
      <c r="P34" s="8">
        <f t="shared" si="28"/>
        <v>20.463975459926324</v>
      </c>
      <c r="Q34" s="3692"/>
      <c r="R34" s="8" t="str">
        <f t="shared" si="20"/>
        <v xml:space="preserve">  COL</v>
      </c>
      <c r="S34" s="8">
        <f t="shared" si="21"/>
        <v>2021</v>
      </c>
      <c r="T34" s="8">
        <f t="shared" si="22"/>
        <v>-6.604361268187251</v>
      </c>
      <c r="U34" s="8">
        <f t="shared" si="23"/>
        <v>-17.792869039383508</v>
      </c>
      <c r="W34" s="8">
        <f>Fact7!P32</f>
        <v>-16.665988699085251</v>
      </c>
    </row>
    <row r="35" spans="1:34">
      <c r="A35" s="4131" t="s">
        <v>1195</v>
      </c>
      <c r="B35" s="4132">
        <v>12.239427518368714</v>
      </c>
      <c r="C35" s="4133">
        <v>15.352933100594267</v>
      </c>
      <c r="D35" s="4134">
        <v>22.75975193241057</v>
      </c>
      <c r="E35" s="4135">
        <v>17.155312631587638</v>
      </c>
      <c r="F35" s="4136">
        <v>41.83356058718288</v>
      </c>
      <c r="G35" s="4137">
        <v>47.57792301382392</v>
      </c>
      <c r="H35" s="4138">
        <v>2023</v>
      </c>
      <c r="I35" s="4139">
        <v>5212173</v>
      </c>
      <c r="J35" s="2886"/>
      <c r="K35" s="8" t="str">
        <f t="shared" si="24"/>
        <v xml:space="preserve">  CRI</v>
      </c>
      <c r="L35" s="8">
        <f t="shared" si="25"/>
        <v>2023</v>
      </c>
      <c r="M35" s="8">
        <f t="shared" si="26"/>
        <v>12.239427518368714</v>
      </c>
      <c r="N35" s="8">
        <f t="shared" si="17"/>
        <v>15.352933100594267</v>
      </c>
      <c r="O35" s="8">
        <f t="shared" si="27"/>
        <v>41.83356058718288</v>
      </c>
      <c r="P35" s="8">
        <f t="shared" si="28"/>
        <v>47.57792301382392</v>
      </c>
      <c r="Q35" s="3693"/>
      <c r="R35" s="8" t="str">
        <f t="shared" si="20"/>
        <v xml:space="preserve">  CRI</v>
      </c>
      <c r="S35" s="8">
        <f t="shared" si="21"/>
        <v>2023</v>
      </c>
      <c r="T35" s="8">
        <f t="shared" si="22"/>
        <v>-29.594133068814166</v>
      </c>
      <c r="U35" s="8">
        <f t="shared" si="23"/>
        <v>-32.224989913229649</v>
      </c>
      <c r="W35" s="8">
        <f>Fact7!P33</f>
        <v>-32.242109273062759</v>
      </c>
    </row>
    <row r="36" spans="1:34">
      <c r="A36" s="4140" t="s">
        <v>1196</v>
      </c>
      <c r="B36" s="4141">
        <v>5.9676126581814595</v>
      </c>
      <c r="C36" s="4142">
        <v>7.3440467040904611</v>
      </c>
      <c r="D36" s="4143">
        <v>8.492248496850241</v>
      </c>
      <c r="E36" s="4144">
        <v>10.49822804580848</v>
      </c>
      <c r="F36" s="4145">
        <v>18.262365205725363</v>
      </c>
      <c r="G36" s="4146">
        <v>25.513091057506355</v>
      </c>
      <c r="H36" s="4147">
        <v>2022</v>
      </c>
      <c r="I36" s="4148">
        <v>11332973</v>
      </c>
      <c r="J36" s="2887"/>
      <c r="K36" s="8" t="str">
        <f t="shared" si="24"/>
        <v xml:space="preserve">  DOM</v>
      </c>
      <c r="L36" s="8">
        <f t="shared" si="25"/>
        <v>2022</v>
      </c>
      <c r="M36" s="8">
        <f t="shared" si="26"/>
        <v>5.9676126581814595</v>
      </c>
      <c r="N36" s="8">
        <f t="shared" si="17"/>
        <v>7.3440467040904611</v>
      </c>
      <c r="O36" s="8">
        <f t="shared" si="27"/>
        <v>18.262365205725363</v>
      </c>
      <c r="P36" s="8">
        <f t="shared" si="28"/>
        <v>25.513091057506355</v>
      </c>
      <c r="Q36" s="3694"/>
      <c r="R36" s="8" t="str">
        <f t="shared" si="20"/>
        <v xml:space="preserve">  DOM</v>
      </c>
      <c r="S36" s="8">
        <f t="shared" si="21"/>
        <v>2022</v>
      </c>
      <c r="T36" s="8">
        <f t="shared" si="22"/>
        <v>-12.294752547543904</v>
      </c>
      <c r="U36" s="8">
        <f t="shared" si="23"/>
        <v>-18.169044353415892</v>
      </c>
      <c r="W36" s="8">
        <f>Fact7!P34</f>
        <v>-17.479354813284054</v>
      </c>
    </row>
    <row r="37" spans="1:34">
      <c r="A37" s="4149" t="s">
        <v>1197</v>
      </c>
      <c r="B37" s="4150">
        <v>5.4604926002176999</v>
      </c>
      <c r="C37" s="4151">
        <v>9.2182734346330477</v>
      </c>
      <c r="D37" s="4152">
        <v>8.9171187638350951</v>
      </c>
      <c r="E37" s="4153">
        <v>9.4925737330560125</v>
      </c>
      <c r="F37" s="4154">
        <v>21.33130211155785</v>
      </c>
      <c r="G37" s="4155">
        <v>30.054740186422773</v>
      </c>
      <c r="H37" s="4156">
        <v>2017</v>
      </c>
      <c r="I37" s="4157">
        <v>18190484</v>
      </c>
      <c r="J37" s="2888"/>
      <c r="K37" s="8" t="str">
        <f t="shared" si="24"/>
        <v xml:space="preserve">  ECU</v>
      </c>
      <c r="L37" s="8">
        <f t="shared" si="25"/>
        <v>2017</v>
      </c>
      <c r="M37" s="8">
        <f t="shared" si="26"/>
        <v>5.4604926002176999</v>
      </c>
      <c r="N37" s="8">
        <f t="shared" si="17"/>
        <v>9.2182734346330477</v>
      </c>
      <c r="O37" s="8">
        <f t="shared" si="27"/>
        <v>21.33130211155785</v>
      </c>
      <c r="P37" s="8">
        <f t="shared" si="28"/>
        <v>30.054740186422773</v>
      </c>
      <c r="Q37" s="3695"/>
      <c r="R37" s="8" t="str">
        <f t="shared" si="20"/>
        <v xml:space="preserve">  ECU</v>
      </c>
      <c r="S37" s="8">
        <f t="shared" si="21"/>
        <v>2017</v>
      </c>
      <c r="T37" s="8">
        <f t="shared" si="22"/>
        <v>-15.87080951134015</v>
      </c>
      <c r="U37" s="8">
        <f t="shared" si="23"/>
        <v>-20.836466751789725</v>
      </c>
      <c r="W37" s="8">
        <f>Fact7!P35</f>
        <v>-21.323587662931338</v>
      </c>
    </row>
    <row r="38" spans="1:34">
      <c r="A38" s="4158" t="s">
        <v>1204</v>
      </c>
      <c r="B38" s="4159">
        <v>0.13914333113673685</v>
      </c>
      <c r="C38" s="4160">
        <v>0.63774875940816189</v>
      </c>
      <c r="D38" s="4161">
        <v>0.68577422035661739</v>
      </c>
      <c r="E38" s="4162">
        <v>2.3207409513210076</v>
      </c>
      <c r="F38" s="4163">
        <v>5.4830801450892297</v>
      </c>
      <c r="G38" s="4164">
        <v>22.686688221233695</v>
      </c>
      <c r="H38" s="4165">
        <v>2006</v>
      </c>
      <c r="I38" s="4166">
        <v>18092026</v>
      </c>
      <c r="J38" s="2889"/>
      <c r="K38" s="8" t="str">
        <f t="shared" si="24"/>
        <v xml:space="preserve">  GTM</v>
      </c>
      <c r="L38" s="8">
        <f t="shared" si="25"/>
        <v>2006</v>
      </c>
      <c r="M38" s="8">
        <f t="shared" si="26"/>
        <v>0.13914333113673685</v>
      </c>
      <c r="N38" s="8">
        <f t="shared" si="17"/>
        <v>0.63774875940816189</v>
      </c>
      <c r="O38" s="8">
        <f t="shared" si="27"/>
        <v>5.4830801450892297</v>
      </c>
      <c r="P38" s="8">
        <f t="shared" si="28"/>
        <v>22.686688221233695</v>
      </c>
      <c r="Q38" s="3696"/>
      <c r="R38" s="8" t="str">
        <f t="shared" si="20"/>
        <v xml:space="preserve">  GTM</v>
      </c>
      <c r="S38" s="8">
        <f t="shared" si="21"/>
        <v>2006</v>
      </c>
      <c r="T38" s="8">
        <f t="shared" si="22"/>
        <v>-5.3439368139524932</v>
      </c>
      <c r="U38" s="8">
        <f t="shared" si="23"/>
        <v>-22.048939461825533</v>
      </c>
      <c r="W38" s="8">
        <f>Fact7!P46</f>
        <v>-17.559417903989395</v>
      </c>
    </row>
    <row r="39" spans="1:34">
      <c r="A39" s="4167" t="s">
        <v>1199</v>
      </c>
      <c r="B39" s="4168">
        <v>7.2046715283236749</v>
      </c>
      <c r="C39" s="4169">
        <v>11.6993849534418</v>
      </c>
      <c r="D39" s="4170">
        <v>13.229618758505222</v>
      </c>
      <c r="E39" s="4171">
        <v>20.466704426440874</v>
      </c>
      <c r="F39" s="4172">
        <v>27.331862569386512</v>
      </c>
      <c r="G39" s="4173">
        <v>38.934942601770409</v>
      </c>
      <c r="H39" s="4174">
        <v>2023</v>
      </c>
      <c r="I39" s="4175">
        <v>10593798</v>
      </c>
      <c r="J39" s="2890"/>
      <c r="K39" s="8" t="str">
        <f t="shared" si="24"/>
        <v xml:space="preserve">  HND</v>
      </c>
      <c r="L39" s="8">
        <f t="shared" si="25"/>
        <v>2023</v>
      </c>
      <c r="M39" s="8">
        <f t="shared" si="26"/>
        <v>7.2046715283236749</v>
      </c>
      <c r="N39" s="8">
        <f t="shared" si="17"/>
        <v>11.6993849534418</v>
      </c>
      <c r="O39" s="8">
        <f t="shared" si="27"/>
        <v>27.331862569386512</v>
      </c>
      <c r="P39" s="8">
        <f t="shared" si="28"/>
        <v>38.934942601770409</v>
      </c>
      <c r="Q39" s="3697"/>
      <c r="R39" s="8" t="str">
        <f t="shared" si="20"/>
        <v xml:space="preserve">  HND</v>
      </c>
      <c r="S39" s="8">
        <f t="shared" si="21"/>
        <v>2023</v>
      </c>
      <c r="T39" s="8">
        <f t="shared" si="22"/>
        <v>-20.127191041062837</v>
      </c>
      <c r="U39" s="8">
        <f t="shared" si="23"/>
        <v>-27.235557648328609</v>
      </c>
      <c r="W39" s="8">
        <f>Fact7!P37</f>
        <v>-26.8187971751594</v>
      </c>
    </row>
    <row r="40" spans="1:34">
      <c r="A40" s="4176" t="s">
        <v>1205</v>
      </c>
      <c r="B40" s="4177">
        <v>18.338575276880313</v>
      </c>
      <c r="C40" s="4178">
        <v>20.951955491515434</v>
      </c>
      <c r="D40" s="4179">
        <v>31.786417105785446</v>
      </c>
      <c r="E40" s="4180">
        <v>28.613723741176432</v>
      </c>
      <c r="F40" s="4181">
        <v>49.329982500077186</v>
      </c>
      <c r="G40" s="4182">
        <v>54.447936137382378</v>
      </c>
      <c r="H40" s="4183">
        <v>2022</v>
      </c>
      <c r="I40" s="4184">
        <v>128455567</v>
      </c>
      <c r="J40" s="2891"/>
      <c r="K40" s="8" t="str">
        <f t="shared" si="24"/>
        <v xml:space="preserve">  MEX</v>
      </c>
      <c r="L40" s="8">
        <f t="shared" si="25"/>
        <v>2022</v>
      </c>
      <c r="M40" s="8">
        <f t="shared" si="26"/>
        <v>18.338575276880313</v>
      </c>
      <c r="N40" s="8">
        <f t="shared" si="17"/>
        <v>20.951955491515434</v>
      </c>
      <c r="O40" s="8">
        <f t="shared" si="27"/>
        <v>49.329982500077186</v>
      </c>
      <c r="P40" s="8">
        <f t="shared" si="28"/>
        <v>54.447936137382378</v>
      </c>
      <c r="Q40" s="3698"/>
      <c r="R40" s="8" t="str">
        <f t="shared" si="20"/>
        <v xml:space="preserve">  MEX</v>
      </c>
      <c r="S40" s="8">
        <f t="shared" si="21"/>
        <v>2022</v>
      </c>
      <c r="T40" s="8">
        <f t="shared" si="22"/>
        <v>-30.991407223196873</v>
      </c>
      <c r="U40" s="8">
        <f t="shared" si="23"/>
        <v>-33.495980645866943</v>
      </c>
      <c r="W40" s="8">
        <f>Fact7!P38</f>
        <v>-34.077386212074828</v>
      </c>
    </row>
    <row r="41" spans="1:34">
      <c r="A41" s="4185" t="s">
        <v>1201</v>
      </c>
      <c r="B41" s="4186">
        <v>1.4138533697657432</v>
      </c>
      <c r="C41" s="4187">
        <v>5.386947863939973</v>
      </c>
      <c r="D41" s="4188">
        <v>2.2530663741501105</v>
      </c>
      <c r="E41" s="4189">
        <v>6.3113018952279178</v>
      </c>
      <c r="F41" s="4190">
        <v>6.4628649146197512</v>
      </c>
      <c r="G41" s="4191">
        <v>16.308073928841512</v>
      </c>
      <c r="H41" s="4192">
        <v>2022</v>
      </c>
      <c r="I41" s="4193">
        <v>34352719</v>
      </c>
      <c r="J41" s="2892"/>
      <c r="K41" s="8" t="str">
        <f t="shared" si="24"/>
        <v xml:space="preserve">  PER</v>
      </c>
      <c r="L41" s="8">
        <f t="shared" si="25"/>
        <v>2022</v>
      </c>
      <c r="M41" s="8">
        <f t="shared" si="26"/>
        <v>1.4138533697657432</v>
      </c>
      <c r="N41" s="8">
        <f t="shared" si="17"/>
        <v>5.386947863939973</v>
      </c>
      <c r="O41" s="8">
        <f t="shared" si="27"/>
        <v>6.4628649146197512</v>
      </c>
      <c r="P41" s="8">
        <f t="shared" si="28"/>
        <v>16.308073928841512</v>
      </c>
      <c r="Q41" s="3699"/>
      <c r="R41" s="8" t="str">
        <f t="shared" si="20"/>
        <v xml:space="preserve">  PER</v>
      </c>
      <c r="S41" s="8">
        <f t="shared" si="21"/>
        <v>2022</v>
      </c>
      <c r="T41" s="8">
        <f t="shared" si="22"/>
        <v>-5.0490115448540083</v>
      </c>
      <c r="U41" s="8">
        <f t="shared" si="23"/>
        <v>-10.921126064901539</v>
      </c>
      <c r="W41" s="8">
        <f>Fact7!P39</f>
        <v>-11.56849374146686</v>
      </c>
    </row>
    <row r="42" spans="1:34">
      <c r="A42" s="4194" t="s">
        <v>1202</v>
      </c>
      <c r="B42" s="4195">
        <v>10.133081970059656</v>
      </c>
      <c r="C42" s="4196">
        <v>17.272075802213553</v>
      </c>
      <c r="D42" s="4197">
        <v>13.53096362121633</v>
      </c>
      <c r="E42" s="4198">
        <v>21.608294902039312</v>
      </c>
      <c r="F42" s="4199">
        <v>37.644624990596554</v>
      </c>
      <c r="G42" s="4200">
        <v>57.732867736584247</v>
      </c>
      <c r="H42" s="4201">
        <v>2022</v>
      </c>
      <c r="I42" s="4202">
        <v>6861524</v>
      </c>
      <c r="J42" s="2893"/>
      <c r="K42" s="8" t="str">
        <f t="shared" si="24"/>
        <v xml:space="preserve">  PRY</v>
      </c>
      <c r="L42" s="8">
        <f t="shared" si="25"/>
        <v>2022</v>
      </c>
      <c r="M42" s="8">
        <f t="shared" si="26"/>
        <v>10.133081970059656</v>
      </c>
      <c r="N42" s="8">
        <f t="shared" si="17"/>
        <v>17.272075802213553</v>
      </c>
      <c r="O42" s="8">
        <f t="shared" si="27"/>
        <v>37.644624990596554</v>
      </c>
      <c r="P42" s="8">
        <f t="shared" si="28"/>
        <v>57.732867736584247</v>
      </c>
      <c r="Q42" s="3700"/>
      <c r="R42" s="8" t="str">
        <f t="shared" si="20"/>
        <v xml:space="preserve">  PRY</v>
      </c>
      <c r="S42" s="8">
        <f t="shared" si="21"/>
        <v>2022</v>
      </c>
      <c r="T42" s="8">
        <f t="shared" si="22"/>
        <v>-27.511543020536898</v>
      </c>
      <c r="U42" s="8">
        <f t="shared" si="23"/>
        <v>-40.46079193437069</v>
      </c>
      <c r="W42" s="8">
        <f>Fact7!P40</f>
        <v>-40.004710414485913</v>
      </c>
    </row>
    <row r="43" spans="1:34">
      <c r="A43" s="4203" t="s">
        <v>1206</v>
      </c>
      <c r="B43" s="4204">
        <v>9.7088243583689895</v>
      </c>
      <c r="C43" s="4205">
        <v>15.22515095193736</v>
      </c>
      <c r="D43" s="4206">
        <v>12.214623206467296</v>
      </c>
      <c r="E43" s="4207">
        <v>14.212055858777131</v>
      </c>
      <c r="F43" s="4208">
        <v>18.52408477437185</v>
      </c>
      <c r="G43" s="4209">
        <v>33.587038734811152</v>
      </c>
      <c r="H43" s="4210">
        <v>2023</v>
      </c>
      <c r="I43" s="4211">
        <v>6364943</v>
      </c>
      <c r="J43" s="2894"/>
      <c r="K43" s="8" t="str">
        <f t="shared" si="24"/>
        <v xml:space="preserve">  SLV</v>
      </c>
      <c r="L43" s="8">
        <f t="shared" si="25"/>
        <v>2023</v>
      </c>
      <c r="M43" s="8">
        <f t="shared" si="26"/>
        <v>9.7088243583689895</v>
      </c>
      <c r="N43" s="8">
        <f t="shared" si="17"/>
        <v>15.22515095193736</v>
      </c>
      <c r="O43" s="8">
        <f t="shared" si="27"/>
        <v>18.52408477437185</v>
      </c>
      <c r="P43" s="8">
        <f t="shared" si="28"/>
        <v>33.587038734811152</v>
      </c>
      <c r="Q43" s="3701"/>
      <c r="R43" s="8" t="str">
        <f t="shared" si="20"/>
        <v xml:space="preserve">  SLV</v>
      </c>
      <c r="S43" s="8">
        <f t="shared" si="21"/>
        <v>2023</v>
      </c>
      <c r="T43" s="8">
        <f t="shared" si="22"/>
        <v>-8.8152604160028609</v>
      </c>
      <c r="U43" s="8">
        <f t="shared" si="23"/>
        <v>-18.361887782873794</v>
      </c>
      <c r="W43" s="8">
        <f>Fact7!P41</f>
        <v>-17.489311514339903</v>
      </c>
      <c r="Z43" s="3064"/>
      <c r="AA43" s="3064"/>
      <c r="AB43" s="3064"/>
      <c r="AC43" s="3064"/>
      <c r="AD43" s="3064"/>
      <c r="AE43" s="3064"/>
      <c r="AF43" s="3064"/>
      <c r="AG43" s="3064"/>
      <c r="AH43" s="3064"/>
    </row>
    <row r="44" spans="1:34">
      <c r="A44" s="4212" t="s">
        <v>1207</v>
      </c>
      <c r="B44" s="4213">
        <v>18.064218064218064</v>
      </c>
      <c r="C44" s="4214">
        <v>7.6301276724333302</v>
      </c>
      <c r="D44" s="4215">
        <v>33.140352775673627</v>
      </c>
      <c r="E44" s="4216">
        <v>20.07667473769169</v>
      </c>
      <c r="F44" s="4217">
        <v>60.947410387445174</v>
      </c>
      <c r="G44" s="4218">
        <v>52.608516299359579</v>
      </c>
      <c r="H44" s="4219">
        <v>2022</v>
      </c>
      <c r="I44" s="4220">
        <v>3423109</v>
      </c>
      <c r="J44" s="2895"/>
      <c r="K44" s="8" t="str">
        <f t="shared" si="24"/>
        <v xml:space="preserve">  URY</v>
      </c>
      <c r="L44" s="8">
        <f t="shared" si="25"/>
        <v>2022</v>
      </c>
      <c r="M44" s="8">
        <f t="shared" si="26"/>
        <v>18.064218064218064</v>
      </c>
      <c r="N44" s="8">
        <f t="shared" si="17"/>
        <v>7.6301276724333302</v>
      </c>
      <c r="O44" s="8">
        <f t="shared" si="27"/>
        <v>60.947410387445174</v>
      </c>
      <c r="P44" s="8">
        <f t="shared" si="28"/>
        <v>52.608516299359579</v>
      </c>
      <c r="Q44" s="3702"/>
      <c r="R44" s="8" t="str">
        <f t="shared" si="20"/>
        <v xml:space="preserve">  URY</v>
      </c>
      <c r="S44" s="8">
        <f t="shared" si="21"/>
        <v>2022</v>
      </c>
      <c r="T44" s="8">
        <f t="shared" si="22"/>
        <v>-42.883192323227107</v>
      </c>
      <c r="U44" s="8">
        <f t="shared" si="23"/>
        <v>-44.978388626926247</v>
      </c>
      <c r="W44" s="8">
        <f>Fact7!P42</f>
        <v>-44.728041925057354</v>
      </c>
      <c r="Z44" s="3064"/>
      <c r="AA44" s="3064"/>
      <c r="AB44" s="3064"/>
      <c r="AC44" s="3064"/>
      <c r="AD44" s="3064"/>
      <c r="AE44" s="3064"/>
      <c r="AF44" s="3064"/>
      <c r="AG44" s="3064"/>
      <c r="AH44" s="3064"/>
    </row>
    <row r="45" spans="1:34">
      <c r="A45" s="4221" t="s">
        <v>1203</v>
      </c>
      <c r="B45" s="4222"/>
      <c r="C45" s="4223"/>
      <c r="D45" s="4224"/>
      <c r="E45" s="4225"/>
      <c r="F45" s="4226"/>
      <c r="G45" s="4227"/>
      <c r="H45" s="4228">
        <v>2021</v>
      </c>
      <c r="I45" s="4229">
        <v>28838499</v>
      </c>
      <c r="J45" s="2896"/>
      <c r="Q45" s="3703"/>
      <c r="W45" s="8"/>
      <c r="Z45" s="3064"/>
      <c r="AA45" s="3064"/>
      <c r="AB45" s="3064"/>
      <c r="AC45" s="3064"/>
      <c r="AD45" s="3064"/>
      <c r="AE45" s="3064"/>
      <c r="AF45" s="3064"/>
      <c r="AG45" s="3064"/>
      <c r="AH45" s="3064"/>
    </row>
    <row r="46" spans="1:34">
      <c r="K46" s="3" t="s">
        <v>1261</v>
      </c>
      <c r="L46" s="8"/>
      <c r="M46" s="8">
        <f>AVERAGE(M31:M44)</f>
        <v>12.801960675525477</v>
      </c>
      <c r="N46" s="8">
        <f>AVERAGE(N31:N44)</f>
        <v>12.421831924406479</v>
      </c>
      <c r="O46" s="8">
        <f t="shared" ref="O46:P46" si="29">AVERAGE(O31:O44)</f>
        <v>29.835908510916457</v>
      </c>
      <c r="P46" s="8">
        <f t="shared" si="29"/>
        <v>37.416768490813162</v>
      </c>
      <c r="R46" s="3" t="s">
        <v>1261</v>
      </c>
      <c r="S46" s="8"/>
      <c r="T46" s="8">
        <f>AVERAGE(T31:T44)</f>
        <v>-17.033947835390983</v>
      </c>
      <c r="U46" s="8">
        <f t="shared" ref="U46:W46" si="30">AVERAGE(U31:U44)</f>
        <v>-24.994936566406675</v>
      </c>
      <c r="V46" s="8"/>
      <c r="W46" s="8">
        <f t="shared" si="30"/>
        <v>-24.018686153568378</v>
      </c>
      <c r="Z46" s="3064"/>
      <c r="AA46" s="3064"/>
      <c r="AB46" s="3064"/>
      <c r="AC46" s="3064"/>
      <c r="AD46" s="3064"/>
      <c r="AE46" s="3064"/>
      <c r="AF46" s="3064"/>
      <c r="AG46" s="3064"/>
      <c r="AH46" s="3064"/>
    </row>
    <row r="47" spans="1:34" ht="15" thickBot="1">
      <c r="A47" s="4230"/>
      <c r="B47" s="5882" t="s">
        <v>1045</v>
      </c>
      <c r="C47" s="5883" t="s">
        <v>1045</v>
      </c>
      <c r="D47" s="5884" t="s">
        <v>1045</v>
      </c>
      <c r="E47" s="5885" t="s">
        <v>1045</v>
      </c>
      <c r="F47" s="5886" t="s">
        <v>1045</v>
      </c>
      <c r="G47" s="5887" t="s">
        <v>1045</v>
      </c>
      <c r="H47" s="4231" t="s">
        <v>1186</v>
      </c>
      <c r="I47" s="4232" t="s">
        <v>1257</v>
      </c>
      <c r="J47" s="2897"/>
      <c r="K47" s="212" t="s">
        <v>1145</v>
      </c>
      <c r="L47" s="85"/>
      <c r="M47" s="85">
        <f>SUMPRODUCT(M31:M44,$I31:$I44)/SUM($I31:$I44)</f>
        <v>27.281744922720772</v>
      </c>
      <c r="N47" s="85">
        <f>SUMPRODUCT(N31:N44,$I31:$I44)/SUM($I31:$I44)</f>
        <v>20.151455194953318</v>
      </c>
      <c r="O47" s="85">
        <f t="shared" ref="O47" si="31">SUMPRODUCT(O31:O44,$I31:$I44)/SUM($I31:$I44)</f>
        <v>44.570039728792615</v>
      </c>
      <c r="P47" s="85">
        <f>SUMPRODUCT(P31:P44,$I31:$I44)/SUM($I31:$I44)</f>
        <v>49.042422676521348</v>
      </c>
      <c r="Q47" s="3704"/>
      <c r="R47" s="212" t="s">
        <v>1145</v>
      </c>
      <c r="S47" s="85"/>
      <c r="T47" s="85">
        <f>SUMPRODUCT(T31:T44,$I31:$I44)/SUM($I31:$I44)</f>
        <v>-17.288294806071846</v>
      </c>
      <c r="U47" s="85">
        <f t="shared" ref="U47:W47" si="32">SUMPRODUCT(U31:U44,$I31:$I44)/SUM($I31:$I44)</f>
        <v>-28.890967481568026</v>
      </c>
      <c r="V47" s="85"/>
      <c r="W47" s="85">
        <f t="shared" si="32"/>
        <v>-26.022595412553006</v>
      </c>
      <c r="Z47" s="3064"/>
      <c r="AA47" s="3064"/>
      <c r="AB47" s="3064"/>
      <c r="AC47" s="3064"/>
      <c r="AD47" s="3064"/>
      <c r="AE47" s="3064"/>
      <c r="AF47" s="3064"/>
      <c r="AG47" s="3064"/>
      <c r="AH47" s="3064"/>
    </row>
    <row r="48" spans="1:34" ht="15" thickTop="1">
      <c r="A48" s="4233"/>
      <c r="B48" s="5888" t="s">
        <v>1187</v>
      </c>
      <c r="C48" s="5888" t="s">
        <v>1187</v>
      </c>
      <c r="D48" s="5889" t="s">
        <v>1188</v>
      </c>
      <c r="E48" s="5889" t="s">
        <v>1188</v>
      </c>
      <c r="F48" s="5890" t="s">
        <v>1189</v>
      </c>
      <c r="G48" s="5890" t="s">
        <v>1189</v>
      </c>
      <c r="I48" s="4234" t="s">
        <v>1187</v>
      </c>
      <c r="J48" s="2898"/>
      <c r="L48" s="8"/>
      <c r="M48" s="8"/>
      <c r="N48" s="8"/>
      <c r="O48" s="8"/>
      <c r="P48" s="8"/>
      <c r="Q48" s="3705"/>
      <c r="S48" s="8"/>
      <c r="T48" s="8"/>
      <c r="U48" s="8"/>
      <c r="V48" s="8"/>
      <c r="W48" s="8"/>
    </row>
    <row r="49" spans="1:23">
      <c r="A49" s="4235"/>
      <c r="B49" s="5891" t="s">
        <v>1258</v>
      </c>
      <c r="C49" s="5891" t="s">
        <v>1258</v>
      </c>
      <c r="D49" s="5892" t="s">
        <v>1258</v>
      </c>
      <c r="E49" s="5892" t="s">
        <v>1258</v>
      </c>
      <c r="F49" s="5893" t="s">
        <v>1258</v>
      </c>
      <c r="G49" s="5893" t="s">
        <v>1258</v>
      </c>
      <c r="L49" s="8"/>
      <c r="M49" s="8"/>
      <c r="N49" s="8"/>
      <c r="O49" s="8"/>
      <c r="P49" s="8"/>
      <c r="S49" s="8"/>
      <c r="T49" s="8"/>
      <c r="U49" s="8"/>
      <c r="V49" s="8"/>
      <c r="W49" s="8"/>
    </row>
    <row r="50" spans="1:23">
      <c r="A50" s="4236"/>
      <c r="B50" s="4237" t="s">
        <v>1259</v>
      </c>
      <c r="C50" s="4238" t="s">
        <v>1260</v>
      </c>
      <c r="D50" s="4239" t="s">
        <v>1259</v>
      </c>
      <c r="E50" s="4240" t="s">
        <v>1260</v>
      </c>
      <c r="F50" s="4241" t="s">
        <v>1259</v>
      </c>
      <c r="G50" s="4242" t="s">
        <v>1260</v>
      </c>
      <c r="L50" s="8"/>
      <c r="M50" s="8"/>
      <c r="N50" s="8"/>
      <c r="O50" s="8"/>
      <c r="P50" s="8"/>
      <c r="S50" s="8"/>
      <c r="T50" s="8"/>
      <c r="U50" s="8"/>
      <c r="V50" s="8"/>
      <c r="W50" s="8"/>
    </row>
    <row r="51" spans="1:23">
      <c r="A51" s="4243"/>
      <c r="B51" s="4244" t="s">
        <v>1217</v>
      </c>
      <c r="C51" s="4245" t="s">
        <v>1217</v>
      </c>
      <c r="D51" s="4246" t="s">
        <v>1217</v>
      </c>
      <c r="E51" s="4247" t="s">
        <v>1217</v>
      </c>
      <c r="F51" s="4248" t="s">
        <v>1217</v>
      </c>
      <c r="G51" s="4249" t="s">
        <v>1217</v>
      </c>
      <c r="L51" s="8"/>
      <c r="M51" s="8"/>
      <c r="N51" s="8"/>
      <c r="O51" s="8"/>
      <c r="P51" s="8"/>
      <c r="S51" s="8"/>
      <c r="T51" s="8"/>
      <c r="U51" s="8"/>
      <c r="V51" s="8"/>
      <c r="W51" s="8"/>
    </row>
    <row r="52" spans="1:23" ht="15" thickBot="1">
      <c r="A52" s="4250"/>
      <c r="B52" s="4251" t="s">
        <v>1187</v>
      </c>
      <c r="C52" s="4252" t="s">
        <v>1187</v>
      </c>
      <c r="D52" s="4253" t="s">
        <v>1187</v>
      </c>
      <c r="E52" s="4254" t="s">
        <v>1187</v>
      </c>
      <c r="F52" s="4255" t="s">
        <v>1187</v>
      </c>
      <c r="G52" s="4256" t="s">
        <v>1187</v>
      </c>
      <c r="K52" s="972" t="str">
        <f>B51</f>
        <v>El hogar tiene servicio telefónico fijo</v>
      </c>
      <c r="L52" s="2649"/>
      <c r="M52" s="85"/>
      <c r="N52" s="85"/>
      <c r="O52" s="85"/>
      <c r="P52" s="85"/>
      <c r="R52" s="972" t="str">
        <f>E51</f>
        <v>El hogar tiene servicio telefónico fijo</v>
      </c>
      <c r="S52" s="2649"/>
      <c r="T52" s="85"/>
      <c r="U52" s="85"/>
      <c r="V52" s="85"/>
      <c r="W52" s="85"/>
    </row>
    <row r="53" spans="1:23" ht="15" thickTop="1">
      <c r="A53" s="4257" t="s">
        <v>1125</v>
      </c>
      <c r="B53" s="4258"/>
      <c r="C53" s="4259"/>
      <c r="D53" s="4260"/>
      <c r="E53" s="4261"/>
      <c r="F53" s="4262"/>
      <c r="G53" s="4263"/>
      <c r="H53" s="4264"/>
      <c r="I53" s="4265"/>
      <c r="J53" s="2899"/>
      <c r="K53" s="213" t="s">
        <v>904</v>
      </c>
      <c r="L53" s="216" t="s">
        <v>938</v>
      </c>
      <c r="M53" s="2650" t="s">
        <v>1273</v>
      </c>
      <c r="N53" s="2650" t="s">
        <v>1136</v>
      </c>
      <c r="O53" s="2650"/>
      <c r="P53" s="2650"/>
      <c r="Q53" s="3706"/>
      <c r="R53" s="213" t="s">
        <v>904</v>
      </c>
      <c r="S53" s="216" t="s">
        <v>938</v>
      </c>
      <c r="T53" s="2650" t="s">
        <v>1273</v>
      </c>
      <c r="U53" s="2650" t="s">
        <v>1136</v>
      </c>
      <c r="W53" s="76" t="s">
        <v>901</v>
      </c>
    </row>
    <row r="54" spans="1:23">
      <c r="A54" s="4266" t="s">
        <v>1191</v>
      </c>
      <c r="B54" s="4267">
        <v>0.65793494282371801</v>
      </c>
      <c r="C54" s="4268">
        <v>5.5097535327709179</v>
      </c>
      <c r="D54" s="4269">
        <v>0.80187017187824028</v>
      </c>
      <c r="E54" s="4270">
        <v>5.2411362813096716</v>
      </c>
      <c r="F54" s="4271">
        <v>1.3078495713252394</v>
      </c>
      <c r="G54" s="4272">
        <v>12.932009688033594</v>
      </c>
      <c r="H54" s="4273">
        <v>2022</v>
      </c>
      <c r="I54" s="4274">
        <v>12388571</v>
      </c>
      <c r="J54" s="2900"/>
      <c r="K54" s="8" t="str">
        <f t="shared" ref="K54:K67" si="33">A54</f>
        <v xml:space="preserve">  BOL</v>
      </c>
      <c r="L54" s="8">
        <f t="shared" ref="L54:L67" si="34">H54</f>
        <v>2022</v>
      </c>
      <c r="M54" s="8">
        <f t="shared" ref="M54:M67" si="35">B54</f>
        <v>0.65793494282371801</v>
      </c>
      <c r="N54" s="8">
        <f t="shared" ref="N54:N68" si="36">C54</f>
        <v>5.5097535327709179</v>
      </c>
      <c r="O54" s="8">
        <f t="shared" ref="O54:O67" si="37">F54</f>
        <v>1.3078495713252394</v>
      </c>
      <c r="P54" s="8">
        <f t="shared" ref="P54:P67" si="38">G54</f>
        <v>12.932009688033594</v>
      </c>
      <c r="Q54" s="3707"/>
      <c r="R54" s="8" t="str">
        <f t="shared" ref="R54:R68" si="39">A54</f>
        <v xml:space="preserve">  BOL</v>
      </c>
      <c r="S54" s="8">
        <f t="shared" ref="S54:S68" si="40">H54*1</f>
        <v>2022</v>
      </c>
      <c r="T54" s="8">
        <f t="shared" ref="T54:T68" si="41">B54-F54</f>
        <v>-0.64991462850152137</v>
      </c>
      <c r="U54" s="8">
        <f t="shared" ref="U54:U68" si="42">C54-G54</f>
        <v>-7.4222561552626756</v>
      </c>
      <c r="W54" s="8">
        <f>Fact7!P52</f>
        <v>-8.611934448733054</v>
      </c>
    </row>
    <row r="55" spans="1:23">
      <c r="A55" s="4275" t="s">
        <v>1192</v>
      </c>
      <c r="B55" s="4276">
        <v>2.2734846850880861</v>
      </c>
      <c r="C55" s="4277">
        <v>5.9698131852898069</v>
      </c>
      <c r="D55" s="4278">
        <v>3.9936667047026053</v>
      </c>
      <c r="E55" s="4279">
        <v>12.850931727834784</v>
      </c>
      <c r="F55" s="4280">
        <v>8.7699350202258746</v>
      </c>
      <c r="G55" s="4281">
        <v>33.548032307243517</v>
      </c>
      <c r="H55" s="4282">
        <v>2019</v>
      </c>
      <c r="I55" s="4283">
        <v>216422446</v>
      </c>
      <c r="J55" s="2901"/>
      <c r="K55" s="8" t="str">
        <f t="shared" si="33"/>
        <v xml:space="preserve">  BRA</v>
      </c>
      <c r="L55" s="8">
        <f t="shared" si="34"/>
        <v>2019</v>
      </c>
      <c r="M55" s="8">
        <f t="shared" si="35"/>
        <v>2.2734846850880861</v>
      </c>
      <c r="N55" s="8">
        <f t="shared" si="36"/>
        <v>5.9698131852898069</v>
      </c>
      <c r="O55" s="8">
        <f t="shared" si="37"/>
        <v>8.7699350202258746</v>
      </c>
      <c r="P55" s="8">
        <f t="shared" si="38"/>
        <v>33.548032307243517</v>
      </c>
      <c r="Q55" s="3708"/>
      <c r="R55" s="8" t="str">
        <f t="shared" si="39"/>
        <v xml:space="preserve">  BRA</v>
      </c>
      <c r="S55" s="8">
        <f t="shared" si="40"/>
        <v>2019</v>
      </c>
      <c r="T55" s="8">
        <f t="shared" si="41"/>
        <v>-6.4964503351377889</v>
      </c>
      <c r="U55" s="8">
        <f t="shared" si="42"/>
        <v>-27.578219121953708</v>
      </c>
      <c r="W55" s="8">
        <f>Fact7!P53</f>
        <v>-26.491433032340748</v>
      </c>
    </row>
    <row r="56" spans="1:23">
      <c r="A56" s="4284" t="s">
        <v>1193</v>
      </c>
      <c r="B56" s="4285">
        <v>5.4954289643230032</v>
      </c>
      <c r="C56" s="4286">
        <v>23.850371114305958</v>
      </c>
      <c r="D56" s="4287">
        <v>7.9223317117791359</v>
      </c>
      <c r="E56" s="4288">
        <v>27.313352920179028</v>
      </c>
      <c r="F56" s="4289">
        <v>12.252284062320696</v>
      </c>
      <c r="G56" s="4290">
        <v>40.508982360041351</v>
      </c>
      <c r="H56" s="4291">
        <v>2017</v>
      </c>
      <c r="I56" s="4292">
        <v>19629590</v>
      </c>
      <c r="J56" s="2902"/>
      <c r="K56" s="8" t="str">
        <f t="shared" si="33"/>
        <v xml:space="preserve">  CHL</v>
      </c>
      <c r="L56" s="8">
        <f t="shared" si="34"/>
        <v>2017</v>
      </c>
      <c r="M56" s="8">
        <f t="shared" si="35"/>
        <v>5.4954289643230032</v>
      </c>
      <c r="N56" s="8">
        <f t="shared" si="36"/>
        <v>23.850371114305958</v>
      </c>
      <c r="O56" s="8">
        <f t="shared" si="37"/>
        <v>12.252284062320696</v>
      </c>
      <c r="P56" s="8">
        <f t="shared" si="38"/>
        <v>40.508982360041351</v>
      </c>
      <c r="Q56" s="3709"/>
      <c r="R56" s="8" t="str">
        <f t="shared" si="39"/>
        <v xml:space="preserve">  CHL</v>
      </c>
      <c r="S56" s="8">
        <f t="shared" si="40"/>
        <v>2017</v>
      </c>
      <c r="T56" s="8">
        <f t="shared" si="41"/>
        <v>-6.7568550979976925</v>
      </c>
      <c r="U56" s="8">
        <f t="shared" si="42"/>
        <v>-16.658611245735393</v>
      </c>
      <c r="W56" s="8">
        <f>Fact7!P54</f>
        <v>-17.361502039791194</v>
      </c>
    </row>
    <row r="57" spans="1:23">
      <c r="A57" s="4293" t="s">
        <v>1194</v>
      </c>
      <c r="B57" s="4294">
        <v>3.0195795210094398E-2</v>
      </c>
      <c r="C57" s="4295">
        <v>9.73937315979334</v>
      </c>
      <c r="D57" s="4296">
        <v>0.42093960381132756</v>
      </c>
      <c r="E57" s="4297">
        <v>14.094430896631236</v>
      </c>
      <c r="F57" s="4298">
        <v>2.4115363709688777</v>
      </c>
      <c r="G57" s="4299">
        <v>33.707934966223135</v>
      </c>
      <c r="H57" s="4300">
        <v>2021</v>
      </c>
      <c r="I57" s="4301">
        <v>52085168</v>
      </c>
      <c r="J57" s="2903"/>
      <c r="K57" s="8" t="str">
        <f t="shared" si="33"/>
        <v xml:space="preserve">  COL</v>
      </c>
      <c r="L57" s="8">
        <f t="shared" si="34"/>
        <v>2021</v>
      </c>
      <c r="M57" s="8">
        <f t="shared" si="35"/>
        <v>3.0195795210094398E-2</v>
      </c>
      <c r="N57" s="8">
        <f t="shared" si="36"/>
        <v>9.73937315979334</v>
      </c>
      <c r="O57" s="8">
        <f t="shared" si="37"/>
        <v>2.4115363709688777</v>
      </c>
      <c r="P57" s="8">
        <f t="shared" si="38"/>
        <v>33.707934966223135</v>
      </c>
      <c r="Q57" s="3710"/>
      <c r="R57" s="8" t="str">
        <f t="shared" si="39"/>
        <v xml:space="preserve">  COL</v>
      </c>
      <c r="S57" s="8">
        <f t="shared" si="40"/>
        <v>2021</v>
      </c>
      <c r="T57" s="8">
        <f t="shared" si="41"/>
        <v>-2.3813405757587836</v>
      </c>
      <c r="U57" s="8">
        <f t="shared" si="42"/>
        <v>-23.968561806429797</v>
      </c>
      <c r="W57" s="8">
        <f>Fact7!P55</f>
        <v>-24.159564354155798</v>
      </c>
    </row>
    <row r="58" spans="1:23">
      <c r="A58" s="4302" t="s">
        <v>1195</v>
      </c>
      <c r="B58" s="4303">
        <v>1.0626331283057704</v>
      </c>
      <c r="C58" s="4304">
        <v>8.7728244454468793</v>
      </c>
      <c r="D58" s="4305">
        <v>4.7242944454431068</v>
      </c>
      <c r="E58" s="4306">
        <v>10.384173980531223</v>
      </c>
      <c r="F58" s="4307">
        <v>10.530766064793944</v>
      </c>
      <c r="G58" s="4308">
        <v>24.689989448342249</v>
      </c>
      <c r="H58" s="4309">
        <v>2023</v>
      </c>
      <c r="I58" s="4310">
        <v>5212173</v>
      </c>
      <c r="J58" s="2904"/>
      <c r="K58" s="8" t="str">
        <f t="shared" si="33"/>
        <v xml:space="preserve">  CRI</v>
      </c>
      <c r="L58" s="8">
        <f t="shared" si="34"/>
        <v>2023</v>
      </c>
      <c r="M58" s="8">
        <f t="shared" si="35"/>
        <v>1.0626331283057704</v>
      </c>
      <c r="N58" s="8">
        <f t="shared" si="36"/>
        <v>8.7728244454468793</v>
      </c>
      <c r="O58" s="8">
        <f t="shared" si="37"/>
        <v>10.530766064793944</v>
      </c>
      <c r="P58" s="8">
        <f t="shared" si="38"/>
        <v>24.689989448342249</v>
      </c>
      <c r="Q58" s="3711"/>
      <c r="R58" s="8" t="str">
        <f t="shared" si="39"/>
        <v xml:space="preserve">  CRI</v>
      </c>
      <c r="S58" s="8">
        <f t="shared" si="40"/>
        <v>2023</v>
      </c>
      <c r="T58" s="8">
        <f t="shared" si="41"/>
        <v>-9.4681329364881748</v>
      </c>
      <c r="U58" s="8">
        <f t="shared" si="42"/>
        <v>-15.91716500289537</v>
      </c>
      <c r="W58" s="8">
        <f>Fact7!P56</f>
        <v>-15.97546009491661</v>
      </c>
    </row>
    <row r="59" spans="1:23">
      <c r="A59" s="4311" t="s">
        <v>1196</v>
      </c>
      <c r="B59" s="4312">
        <v>1.412629138589987</v>
      </c>
      <c r="C59" s="4313">
        <v>7.609740476716194</v>
      </c>
      <c r="D59" s="4314">
        <v>2.3404778192700952</v>
      </c>
      <c r="E59" s="4315">
        <v>7.7113377687505018</v>
      </c>
      <c r="F59" s="4316">
        <v>4.2426723706382621</v>
      </c>
      <c r="G59" s="4317">
        <v>18.813277818826972</v>
      </c>
      <c r="H59" s="4318">
        <v>2022</v>
      </c>
      <c r="I59" s="4319">
        <v>11332973</v>
      </c>
      <c r="J59" s="2905"/>
      <c r="K59" s="8" t="str">
        <f t="shared" si="33"/>
        <v xml:space="preserve">  DOM</v>
      </c>
      <c r="L59" s="8">
        <f t="shared" si="34"/>
        <v>2022</v>
      </c>
      <c r="M59" s="8">
        <f t="shared" si="35"/>
        <v>1.412629138589987</v>
      </c>
      <c r="N59" s="8">
        <f t="shared" si="36"/>
        <v>7.609740476716194</v>
      </c>
      <c r="O59" s="8">
        <f t="shared" si="37"/>
        <v>4.2426723706382621</v>
      </c>
      <c r="P59" s="8">
        <f t="shared" si="38"/>
        <v>18.813277818826972</v>
      </c>
      <c r="Q59" s="3712"/>
      <c r="R59" s="8" t="str">
        <f t="shared" si="39"/>
        <v xml:space="preserve">  DOM</v>
      </c>
      <c r="S59" s="8">
        <f t="shared" si="40"/>
        <v>2022</v>
      </c>
      <c r="T59" s="8">
        <f t="shared" si="41"/>
        <v>-2.8300432320482751</v>
      </c>
      <c r="U59" s="8">
        <f t="shared" si="42"/>
        <v>-11.203537342110778</v>
      </c>
      <c r="W59" s="8">
        <f>Fact7!P57</f>
        <v>-10.766589785882715</v>
      </c>
    </row>
    <row r="60" spans="1:23">
      <c r="A60" s="4320" t="s">
        <v>1197</v>
      </c>
      <c r="B60" s="4321">
        <v>6.7461265630752427</v>
      </c>
      <c r="C60" s="4322">
        <v>22.809485951651812</v>
      </c>
      <c r="D60" s="4323">
        <v>11.35858423524772</v>
      </c>
      <c r="E60" s="4324">
        <v>23.688695345111682</v>
      </c>
      <c r="F60" s="4325">
        <v>25.059472460181766</v>
      </c>
      <c r="G60" s="4326">
        <v>51.40957453887065</v>
      </c>
      <c r="H60" s="4327">
        <v>2017</v>
      </c>
      <c r="I60" s="4328">
        <v>18190484</v>
      </c>
      <c r="J60" s="2906"/>
      <c r="K60" s="8" t="str">
        <f t="shared" si="33"/>
        <v xml:space="preserve">  ECU</v>
      </c>
      <c r="L60" s="8">
        <f t="shared" si="34"/>
        <v>2017</v>
      </c>
      <c r="M60" s="8">
        <f t="shared" si="35"/>
        <v>6.7461265630752427</v>
      </c>
      <c r="N60" s="8">
        <f t="shared" si="36"/>
        <v>22.809485951651812</v>
      </c>
      <c r="O60" s="8">
        <f t="shared" si="37"/>
        <v>25.059472460181766</v>
      </c>
      <c r="P60" s="8">
        <f t="shared" si="38"/>
        <v>51.40957453887065</v>
      </c>
      <c r="Q60" s="3713"/>
      <c r="R60" s="8" t="str">
        <f t="shared" si="39"/>
        <v xml:space="preserve">  ECU</v>
      </c>
      <c r="S60" s="8">
        <f t="shared" si="40"/>
        <v>2017</v>
      </c>
      <c r="T60" s="8">
        <f t="shared" si="41"/>
        <v>-18.313345897106522</v>
      </c>
      <c r="U60" s="8">
        <f t="shared" si="42"/>
        <v>-28.600088587218838</v>
      </c>
      <c r="W60" s="8">
        <f>Fact7!P58</f>
        <v>-33.047647839817195</v>
      </c>
    </row>
    <row r="61" spans="1:23">
      <c r="A61" s="4329" t="s">
        <v>1204</v>
      </c>
      <c r="B61" s="4330">
        <v>2.9392977711779835</v>
      </c>
      <c r="C61" s="4331">
        <v>13.865199115581797</v>
      </c>
      <c r="D61" s="4332">
        <v>2.6626009114643563</v>
      </c>
      <c r="E61" s="4333">
        <v>21.493173881788895</v>
      </c>
      <c r="F61" s="4334">
        <v>7.2113904850477732</v>
      </c>
      <c r="G61" s="4335">
        <v>34.578562168039817</v>
      </c>
      <c r="H61" s="4336">
        <v>2022</v>
      </c>
      <c r="I61" s="4337">
        <v>18092026</v>
      </c>
      <c r="J61" s="2907"/>
      <c r="K61" s="8" t="str">
        <f t="shared" si="33"/>
        <v xml:space="preserve">  GTM</v>
      </c>
      <c r="L61" s="8">
        <f t="shared" si="34"/>
        <v>2022</v>
      </c>
      <c r="M61" s="8">
        <f t="shared" si="35"/>
        <v>2.9392977711779835</v>
      </c>
      <c r="N61" s="8">
        <f t="shared" si="36"/>
        <v>13.865199115581797</v>
      </c>
      <c r="O61" s="8">
        <f t="shared" si="37"/>
        <v>7.2113904850477732</v>
      </c>
      <c r="P61" s="8">
        <f t="shared" si="38"/>
        <v>34.578562168039817</v>
      </c>
      <c r="Q61" s="3714"/>
      <c r="R61" s="8" t="str">
        <f t="shared" si="39"/>
        <v xml:space="preserve">  GTM</v>
      </c>
      <c r="S61" s="8">
        <f t="shared" si="40"/>
        <v>2022</v>
      </c>
      <c r="T61" s="8">
        <f t="shared" si="41"/>
        <v>-4.2720927138697897</v>
      </c>
      <c r="U61" s="8">
        <f t="shared" si="42"/>
        <v>-20.713363052458021</v>
      </c>
      <c r="W61" s="8">
        <f>Fact7!P59</f>
        <v>-16.649286981811052</v>
      </c>
    </row>
    <row r="62" spans="1:23">
      <c r="A62" s="4338" t="s">
        <v>1199</v>
      </c>
      <c r="B62" s="4339">
        <v>0.86726193019182296</v>
      </c>
      <c r="C62" s="4340">
        <v>6.579851142683153</v>
      </c>
      <c r="D62" s="4341">
        <v>1.6557868059288841</v>
      </c>
      <c r="E62" s="4342">
        <v>8.9337628430767939</v>
      </c>
      <c r="F62" s="4343">
        <v>1.4107281547217376</v>
      </c>
      <c r="G62" s="4344">
        <v>14.189681036216523</v>
      </c>
      <c r="H62" s="4345">
        <v>2022</v>
      </c>
      <c r="I62" s="4346">
        <v>10593798</v>
      </c>
      <c r="J62" s="2908"/>
      <c r="K62" s="8" t="str">
        <f t="shared" si="33"/>
        <v xml:space="preserve">  HND</v>
      </c>
      <c r="L62" s="8">
        <f t="shared" si="34"/>
        <v>2022</v>
      </c>
      <c r="M62" s="8">
        <f t="shared" si="35"/>
        <v>0.86726193019182296</v>
      </c>
      <c r="N62" s="8">
        <f t="shared" si="36"/>
        <v>6.579851142683153</v>
      </c>
      <c r="O62" s="8">
        <f t="shared" si="37"/>
        <v>1.4107281547217376</v>
      </c>
      <c r="P62" s="8">
        <f t="shared" si="38"/>
        <v>14.189681036216523</v>
      </c>
      <c r="Q62" s="3715"/>
      <c r="R62" s="8" t="str">
        <f t="shared" si="39"/>
        <v xml:space="preserve">  HND</v>
      </c>
      <c r="S62" s="8">
        <f t="shared" si="40"/>
        <v>2022</v>
      </c>
      <c r="T62" s="8">
        <f t="shared" si="41"/>
        <v>-0.54346622452991467</v>
      </c>
      <c r="U62" s="8">
        <f t="shared" si="42"/>
        <v>-7.6098298935333704</v>
      </c>
      <c r="W62" s="8">
        <f>Fact7!P60</f>
        <v>-8.0250619387578581</v>
      </c>
    </row>
    <row r="63" spans="1:23">
      <c r="A63" s="4347" t="s">
        <v>1205</v>
      </c>
      <c r="B63" s="4348">
        <v>6.2382841847563704</v>
      </c>
      <c r="C63" s="4349">
        <v>20.619439480734346</v>
      </c>
      <c r="D63" s="4350">
        <v>7.4640181626108122</v>
      </c>
      <c r="E63" s="4351">
        <v>27.85408140880994</v>
      </c>
      <c r="F63" s="4352">
        <v>12.648627412727469</v>
      </c>
      <c r="G63" s="4353">
        <v>46.046768569217086</v>
      </c>
      <c r="H63" s="4354">
        <v>2022</v>
      </c>
      <c r="I63" s="4355">
        <v>128455567</v>
      </c>
      <c r="J63" s="2909"/>
      <c r="K63" s="8" t="str">
        <f t="shared" si="33"/>
        <v xml:space="preserve">  MEX</v>
      </c>
      <c r="L63" s="8">
        <f t="shared" si="34"/>
        <v>2022</v>
      </c>
      <c r="M63" s="8">
        <f t="shared" si="35"/>
        <v>6.2382841847563704</v>
      </c>
      <c r="N63" s="8">
        <f t="shared" si="36"/>
        <v>20.619439480734346</v>
      </c>
      <c r="O63" s="8">
        <f t="shared" si="37"/>
        <v>12.648627412727469</v>
      </c>
      <c r="P63" s="8">
        <f t="shared" si="38"/>
        <v>46.046768569217086</v>
      </c>
      <c r="Q63" s="3716"/>
      <c r="R63" s="8" t="str">
        <f t="shared" si="39"/>
        <v xml:space="preserve">  MEX</v>
      </c>
      <c r="S63" s="8">
        <f t="shared" si="40"/>
        <v>2022</v>
      </c>
      <c r="T63" s="8">
        <f t="shared" si="41"/>
        <v>-6.410343227971099</v>
      </c>
      <c r="U63" s="8">
        <f t="shared" si="42"/>
        <v>-25.42732908848274</v>
      </c>
      <c r="W63" s="8">
        <f>Fact7!P61</f>
        <v>-27.772930480774257</v>
      </c>
    </row>
    <row r="64" spans="1:23">
      <c r="A64" s="4356" t="s">
        <v>1200</v>
      </c>
      <c r="B64" s="4357">
        <v>1.1164438585288483</v>
      </c>
      <c r="C64" s="4358">
        <v>15.941810507273688</v>
      </c>
      <c r="D64" s="4359">
        <v>1.0433491135245521</v>
      </c>
      <c r="E64" s="4360">
        <v>10.706783990916833</v>
      </c>
      <c r="F64" s="4361">
        <v>8.4011769590411038</v>
      </c>
      <c r="G64" s="4362">
        <v>37.306978031996437</v>
      </c>
      <c r="H64" s="4363">
        <v>2017</v>
      </c>
      <c r="I64" s="4364">
        <v>4468087</v>
      </c>
      <c r="J64" s="2910"/>
      <c r="K64" s="8" t="str">
        <f t="shared" si="33"/>
        <v xml:space="preserve">  PAN</v>
      </c>
      <c r="L64" s="8">
        <f t="shared" si="34"/>
        <v>2017</v>
      </c>
      <c r="M64" s="8">
        <f t="shared" si="35"/>
        <v>1.1164438585288483</v>
      </c>
      <c r="N64" s="8">
        <f t="shared" si="36"/>
        <v>15.941810507273688</v>
      </c>
      <c r="O64" s="8">
        <f t="shared" si="37"/>
        <v>8.4011769590411038</v>
      </c>
      <c r="P64" s="8">
        <f t="shared" si="38"/>
        <v>37.306978031996437</v>
      </c>
      <c r="Q64" s="3717"/>
      <c r="R64" s="8" t="str">
        <f t="shared" si="39"/>
        <v xml:space="preserve">  PAN</v>
      </c>
      <c r="S64" s="8">
        <f t="shared" si="40"/>
        <v>2017</v>
      </c>
      <c r="T64" s="8">
        <f t="shared" si="41"/>
        <v>-7.2847331005122555</v>
      </c>
      <c r="U64" s="8">
        <f t="shared" si="42"/>
        <v>-21.36516752472275</v>
      </c>
      <c r="W64" s="8">
        <f>Fact7!P62</f>
        <v>-26.350291498659647</v>
      </c>
    </row>
    <row r="65" spans="1:23">
      <c r="A65" s="4365" t="s">
        <v>1201</v>
      </c>
      <c r="B65" s="4366">
        <v>3.2013599480527621E-2</v>
      </c>
      <c r="C65" s="4367">
        <v>3.3209471203571503</v>
      </c>
      <c r="D65" s="4368">
        <v>0.10144329691797237</v>
      </c>
      <c r="E65" s="4369">
        <v>5.4414338328905254</v>
      </c>
      <c r="F65" s="4370">
        <v>0.11057391604293706</v>
      </c>
      <c r="G65" s="4371">
        <v>15.575168639786746</v>
      </c>
      <c r="H65" s="4372">
        <v>2022</v>
      </c>
      <c r="I65" s="4373">
        <v>34352719</v>
      </c>
      <c r="J65" s="2911"/>
      <c r="K65" s="8" t="str">
        <f t="shared" si="33"/>
        <v xml:space="preserve">  PER</v>
      </c>
      <c r="L65" s="8">
        <f t="shared" si="34"/>
        <v>2022</v>
      </c>
      <c r="M65" s="8">
        <f t="shared" si="35"/>
        <v>3.2013599480527621E-2</v>
      </c>
      <c r="N65" s="8">
        <f t="shared" si="36"/>
        <v>3.3209471203571503</v>
      </c>
      <c r="O65" s="8">
        <f t="shared" si="37"/>
        <v>0.11057391604293706</v>
      </c>
      <c r="P65" s="8">
        <f t="shared" si="38"/>
        <v>15.575168639786746</v>
      </c>
      <c r="Q65" s="3718"/>
      <c r="R65" s="8" t="str">
        <f t="shared" si="39"/>
        <v xml:space="preserve">  PER</v>
      </c>
      <c r="S65" s="8">
        <f t="shared" si="40"/>
        <v>2022</v>
      </c>
      <c r="T65" s="8">
        <f t="shared" si="41"/>
        <v>-7.8560316562409443E-2</v>
      </c>
      <c r="U65" s="8">
        <f t="shared" si="42"/>
        <v>-12.254221519429596</v>
      </c>
      <c r="W65" s="8">
        <f>Fact7!P63</f>
        <v>-11.841532039946797</v>
      </c>
    </row>
    <row r="66" spans="1:23">
      <c r="A66" s="4374" t="s">
        <v>1202</v>
      </c>
      <c r="C66" s="4375">
        <v>1.8345409666374712</v>
      </c>
      <c r="E66" s="4376">
        <v>1.4129366931774805</v>
      </c>
      <c r="G66" s="4377">
        <v>5.9186470336596253</v>
      </c>
      <c r="H66" s="4378">
        <v>2022</v>
      </c>
      <c r="I66" s="4379">
        <v>6861524</v>
      </c>
      <c r="J66" s="2912"/>
      <c r="K66" s="8" t="str">
        <f t="shared" si="33"/>
        <v xml:space="preserve">  PRY</v>
      </c>
      <c r="L66" s="8">
        <f t="shared" si="34"/>
        <v>2022</v>
      </c>
      <c r="M66" s="8">
        <f t="shared" si="35"/>
        <v>0</v>
      </c>
      <c r="N66" s="8">
        <f t="shared" si="36"/>
        <v>1.8345409666374712</v>
      </c>
      <c r="O66" s="8">
        <f t="shared" si="37"/>
        <v>0</v>
      </c>
      <c r="P66" s="8">
        <f t="shared" si="38"/>
        <v>5.9186470336596253</v>
      </c>
      <c r="Q66" s="3719"/>
      <c r="R66" s="8" t="str">
        <f t="shared" si="39"/>
        <v xml:space="preserve">  PRY</v>
      </c>
      <c r="S66" s="8">
        <f t="shared" si="40"/>
        <v>2022</v>
      </c>
      <c r="T66" s="8">
        <f t="shared" si="41"/>
        <v>0</v>
      </c>
      <c r="U66" s="8">
        <f t="shared" si="42"/>
        <v>-4.0841060670221543</v>
      </c>
      <c r="W66" s="8">
        <f>Fact7!P64</f>
        <v>-3.7562399408513012</v>
      </c>
    </row>
    <row r="67" spans="1:23">
      <c r="A67" s="4380" t="s">
        <v>1206</v>
      </c>
      <c r="B67" s="4381">
        <v>1.7868982355993053</v>
      </c>
      <c r="C67" s="4382">
        <v>10.55896125361719</v>
      </c>
      <c r="D67" s="4383">
        <v>1.2419490786169016</v>
      </c>
      <c r="E67" s="4384">
        <v>8.306407408603997</v>
      </c>
      <c r="F67" s="4385">
        <v>2.5831703260071164</v>
      </c>
      <c r="G67" s="4386">
        <v>19.565585609229657</v>
      </c>
      <c r="H67" s="4387">
        <v>2023</v>
      </c>
      <c r="I67" s="4388">
        <v>6364943</v>
      </c>
      <c r="J67" s="2913"/>
      <c r="K67" s="8" t="str">
        <f t="shared" si="33"/>
        <v xml:space="preserve">  SLV</v>
      </c>
      <c r="L67" s="8">
        <f t="shared" si="34"/>
        <v>2023</v>
      </c>
      <c r="M67" s="8">
        <f t="shared" si="35"/>
        <v>1.7868982355993053</v>
      </c>
      <c r="N67" s="8">
        <f t="shared" si="36"/>
        <v>10.55896125361719</v>
      </c>
      <c r="O67" s="8">
        <f t="shared" si="37"/>
        <v>2.5831703260071164</v>
      </c>
      <c r="P67" s="8">
        <f t="shared" si="38"/>
        <v>19.565585609229657</v>
      </c>
      <c r="Q67" s="3720"/>
      <c r="R67" s="8" t="str">
        <f t="shared" si="39"/>
        <v xml:space="preserve">  SLV</v>
      </c>
      <c r="S67" s="8">
        <f t="shared" si="40"/>
        <v>2023</v>
      </c>
      <c r="T67" s="8">
        <f t="shared" si="41"/>
        <v>-0.79627209040781111</v>
      </c>
      <c r="U67" s="8">
        <f t="shared" si="42"/>
        <v>-9.0066243556124679</v>
      </c>
      <c r="W67" s="8">
        <f>Fact7!P65</f>
        <v>-9.5037083598845324</v>
      </c>
    </row>
    <row r="68" spans="1:23">
      <c r="A68" s="4389" t="s">
        <v>1207</v>
      </c>
      <c r="B68" s="4390">
        <v>4.8510048510048511</v>
      </c>
      <c r="C68" s="4391">
        <v>13.71534335574526</v>
      </c>
      <c r="D68" s="4392">
        <v>10.691483605670381</v>
      </c>
      <c r="E68" s="4393">
        <v>25.891848264729621</v>
      </c>
      <c r="F68" s="4394">
        <v>43.17349860461745</v>
      </c>
      <c r="G68" s="4395">
        <v>61.998618086565536</v>
      </c>
      <c r="H68" s="4396">
        <v>2022</v>
      </c>
      <c r="I68" s="4397">
        <v>3423109</v>
      </c>
      <c r="J68" s="2914"/>
      <c r="K68" s="8" t="str">
        <f t="shared" ref="K68" si="43">A68</f>
        <v xml:space="preserve">  URY</v>
      </c>
      <c r="L68" s="8">
        <f t="shared" ref="L68" si="44">H68</f>
        <v>2022</v>
      </c>
      <c r="M68" s="8">
        <f t="shared" ref="M68" si="45">B68</f>
        <v>4.8510048510048511</v>
      </c>
      <c r="N68" s="8">
        <f t="shared" si="36"/>
        <v>13.71534335574526</v>
      </c>
      <c r="O68" s="8">
        <f t="shared" ref="O68" si="46">F68</f>
        <v>43.17349860461745</v>
      </c>
      <c r="P68" s="8">
        <f t="shared" ref="P68" si="47">G68</f>
        <v>61.998618086565536</v>
      </c>
      <c r="Q68" s="3721"/>
      <c r="R68" s="8" t="str">
        <f t="shared" si="39"/>
        <v xml:space="preserve">  URY</v>
      </c>
      <c r="S68" s="8">
        <f t="shared" si="40"/>
        <v>2022</v>
      </c>
      <c r="T68" s="8">
        <f t="shared" si="41"/>
        <v>-38.322493753612598</v>
      </c>
      <c r="U68" s="8">
        <f t="shared" si="42"/>
        <v>-48.283274730820274</v>
      </c>
      <c r="W68" s="8">
        <f>Fact7!P66</f>
        <v>-46.783828534053704</v>
      </c>
    </row>
    <row r="69" spans="1:23">
      <c r="A69" s="4398" t="s">
        <v>1203</v>
      </c>
      <c r="B69" s="4399"/>
      <c r="C69" s="4400"/>
      <c r="D69" s="4401"/>
      <c r="E69" s="4402"/>
      <c r="F69" s="4403"/>
      <c r="G69" s="4404"/>
      <c r="H69" s="4405">
        <v>2021</v>
      </c>
      <c r="I69" s="4406">
        <v>28838499</v>
      </c>
      <c r="J69" s="2915"/>
      <c r="Q69" s="3722"/>
    </row>
    <row r="70" spans="1:23">
      <c r="A70" s="4407"/>
      <c r="B70" s="5870" t="s">
        <v>1045</v>
      </c>
      <c r="C70" s="5871" t="s">
        <v>1045</v>
      </c>
      <c r="D70" s="5872" t="s">
        <v>1045</v>
      </c>
      <c r="E70" s="5873" t="s">
        <v>1045</v>
      </c>
      <c r="F70" s="5874" t="s">
        <v>1045</v>
      </c>
      <c r="G70" s="5875" t="s">
        <v>1045</v>
      </c>
      <c r="H70" s="4408" t="s">
        <v>1186</v>
      </c>
      <c r="I70" s="4409" t="s">
        <v>1257</v>
      </c>
      <c r="J70" s="2916"/>
      <c r="K70" s="3" t="s">
        <v>1261</v>
      </c>
      <c r="L70" s="8"/>
      <c r="M70" s="8">
        <f>AVERAGE(M54:M68)</f>
        <v>2.3673091765437073</v>
      </c>
      <c r="N70" s="8">
        <f>AVERAGE(N54:N68)</f>
        <v>11.379830320573664</v>
      </c>
      <c r="O70" s="8">
        <f t="shared" ref="O70:P70" si="48">AVERAGE(O54:O68)</f>
        <v>9.3409121185773483</v>
      </c>
      <c r="P70" s="8">
        <f t="shared" si="48"/>
        <v>30.052654020152865</v>
      </c>
      <c r="Q70" s="3723"/>
      <c r="R70" s="3" t="s">
        <v>1261</v>
      </c>
      <c r="S70" s="8"/>
      <c r="T70" s="8">
        <f>AVERAGE(T54:T68)</f>
        <v>-6.9736029420336418</v>
      </c>
      <c r="U70" s="8">
        <f t="shared" ref="U70:W70" si="49">AVERAGE(U54:U68)</f>
        <v>-18.672823699579194</v>
      </c>
      <c r="V70" s="8"/>
      <c r="W70" s="8">
        <f t="shared" si="49"/>
        <v>-19.1398007580251</v>
      </c>
    </row>
    <row r="71" spans="1:23" ht="15" thickBot="1">
      <c r="A71" s="4410"/>
      <c r="B71" s="5876" t="s">
        <v>1187</v>
      </c>
      <c r="C71" s="5876" t="s">
        <v>1187</v>
      </c>
      <c r="D71" s="5877" t="s">
        <v>1188</v>
      </c>
      <c r="E71" s="5877" t="s">
        <v>1188</v>
      </c>
      <c r="F71" s="5878" t="s">
        <v>1189</v>
      </c>
      <c r="G71" s="5878" t="s">
        <v>1189</v>
      </c>
      <c r="I71" s="4411" t="s">
        <v>1187</v>
      </c>
      <c r="J71" s="2917"/>
      <c r="K71" s="212" t="s">
        <v>1145</v>
      </c>
      <c r="L71" s="85"/>
      <c r="M71" s="85">
        <f>SUMPRODUCT(M54:M68,$I54:$I68)/SUM($I54:$I68)</f>
        <v>3.0146902197237608</v>
      </c>
      <c r="N71" s="85">
        <f>SUMPRODUCT(N54:N68,$I54:$I68)/SUM($I54:$I68)</f>
        <v>11.250569824615729</v>
      </c>
      <c r="O71" s="85">
        <f t="shared" ref="O71" si="50">SUMPRODUCT(O54:O68,$I54:$I68)/SUM($I54:$I68)</f>
        <v>8.7883572778578092</v>
      </c>
      <c r="P71" s="85">
        <f>SUMPRODUCT(P54:P68,$I54:$I68)/SUM($I54:$I68)</f>
        <v>34.713643262878065</v>
      </c>
      <c r="Q71" s="3724"/>
      <c r="R71" s="212" t="s">
        <v>1145</v>
      </c>
      <c r="S71" s="85"/>
      <c r="T71" s="85">
        <f>SUMPRODUCT(T54:T68,$I54:$I68)/SUM($I54:$I68)</f>
        <v>-5.7736670581340501</v>
      </c>
      <c r="U71" s="85">
        <f t="shared" ref="U71:W71" si="51">SUMPRODUCT(U54:U68,$I54:$I68)/SUM($I54:$I68)</f>
        <v>-23.463073438262338</v>
      </c>
      <c r="V71" s="85"/>
      <c r="W71" s="85">
        <f t="shared" si="51"/>
        <v>-23.674053046095647</v>
      </c>
    </row>
    <row r="72" spans="1:23" ht="15" thickTop="1">
      <c r="A72" s="4412"/>
      <c r="B72" s="5879" t="s">
        <v>1258</v>
      </c>
      <c r="C72" s="5879" t="s">
        <v>1258</v>
      </c>
      <c r="D72" s="5880" t="s">
        <v>1258</v>
      </c>
      <c r="E72" s="5880" t="s">
        <v>1258</v>
      </c>
      <c r="F72" s="5881" t="s">
        <v>1258</v>
      </c>
      <c r="G72" s="5881" t="s">
        <v>1258</v>
      </c>
      <c r="K72" s="3063"/>
      <c r="L72" s="3062"/>
      <c r="M72" s="3062"/>
      <c r="N72" s="3062"/>
      <c r="O72" s="3062"/>
      <c r="P72" s="3062"/>
      <c r="R72" s="3063"/>
      <c r="S72" s="3062"/>
      <c r="T72" s="3062"/>
      <c r="U72" s="3062"/>
      <c r="V72" s="3062"/>
      <c r="W72" s="3062"/>
    </row>
    <row r="73" spans="1:23">
      <c r="A73" s="4413"/>
      <c r="B73" s="4414" t="s">
        <v>1259</v>
      </c>
      <c r="C73" s="4415" t="s">
        <v>1260</v>
      </c>
      <c r="D73" s="4416" t="s">
        <v>1259</v>
      </c>
      <c r="E73" s="4417" t="s">
        <v>1260</v>
      </c>
      <c r="F73" s="4418" t="s">
        <v>1259</v>
      </c>
      <c r="G73" s="4419" t="s">
        <v>1260</v>
      </c>
      <c r="L73" s="8"/>
      <c r="M73" s="8"/>
      <c r="N73" s="8"/>
      <c r="O73" s="8"/>
      <c r="P73" s="8"/>
      <c r="S73" s="8"/>
      <c r="T73" s="8"/>
      <c r="U73" s="8"/>
      <c r="V73" s="8"/>
      <c r="W73" s="8"/>
    </row>
    <row r="74" spans="1:23">
      <c r="A74" s="4420"/>
      <c r="B74" s="4421" t="s">
        <v>1218</v>
      </c>
      <c r="C74" s="4422" t="s">
        <v>1218</v>
      </c>
      <c r="D74" s="4423" t="s">
        <v>1218</v>
      </c>
      <c r="E74" s="4424" t="s">
        <v>1218</v>
      </c>
      <c r="F74" s="4425" t="s">
        <v>1218</v>
      </c>
      <c r="G74" s="4426" t="s">
        <v>1218</v>
      </c>
      <c r="L74" s="8"/>
      <c r="M74" s="8"/>
      <c r="N74" s="8"/>
      <c r="O74" s="8"/>
      <c r="P74" s="8"/>
      <c r="S74" s="8"/>
      <c r="T74" s="8"/>
      <c r="U74" s="8"/>
      <c r="V74" s="8"/>
      <c r="W74" s="8"/>
    </row>
    <row r="75" spans="1:23" ht="15" thickBot="1">
      <c r="A75" s="4427"/>
      <c r="B75" s="4428" t="s">
        <v>1187</v>
      </c>
      <c r="C75" s="4429" t="s">
        <v>1187</v>
      </c>
      <c r="D75" s="4430" t="s">
        <v>1187</v>
      </c>
      <c r="E75" s="4431" t="s">
        <v>1187</v>
      </c>
      <c r="F75" s="4432" t="s">
        <v>1187</v>
      </c>
      <c r="G75" s="4433" t="s">
        <v>1187</v>
      </c>
      <c r="K75" s="972" t="str">
        <f>B74</f>
        <v>El hogar posee computador</v>
      </c>
      <c r="L75" s="2649"/>
      <c r="M75" s="85"/>
      <c r="N75" s="85"/>
      <c r="O75" s="85"/>
      <c r="P75" s="85"/>
      <c r="R75" s="972" t="str">
        <f>E74</f>
        <v>El hogar posee computador</v>
      </c>
      <c r="S75" s="2649"/>
      <c r="T75" s="85"/>
      <c r="U75" s="85"/>
      <c r="V75" s="85"/>
      <c r="W75" s="85"/>
    </row>
    <row r="76" spans="1:23" ht="15" thickTop="1">
      <c r="A76" s="4434" t="s">
        <v>1125</v>
      </c>
      <c r="B76" s="4435"/>
      <c r="C76" s="4436"/>
      <c r="D76" s="4437"/>
      <c r="E76" s="4438"/>
      <c r="F76" s="4439"/>
      <c r="G76" s="4440"/>
      <c r="H76" s="4441"/>
      <c r="I76" s="4442"/>
      <c r="J76" s="2918"/>
      <c r="K76" s="213" t="s">
        <v>904</v>
      </c>
      <c r="L76" s="216" t="s">
        <v>938</v>
      </c>
      <c r="M76" s="2650" t="s">
        <v>1273</v>
      </c>
      <c r="N76" s="2650" t="s">
        <v>1136</v>
      </c>
      <c r="O76" s="2650"/>
      <c r="P76" s="2650"/>
      <c r="Q76" s="3725"/>
      <c r="R76" s="213" t="s">
        <v>904</v>
      </c>
      <c r="S76" s="216" t="s">
        <v>938</v>
      </c>
      <c r="T76" s="2650" t="s">
        <v>1273</v>
      </c>
      <c r="U76" s="2650" t="s">
        <v>1136</v>
      </c>
      <c r="W76" s="76" t="s">
        <v>901</v>
      </c>
    </row>
    <row r="77" spans="1:23">
      <c r="A77" s="4443" t="s">
        <v>1191</v>
      </c>
      <c r="B77" s="4444">
        <v>1.6088546692393433</v>
      </c>
      <c r="C77" s="4445">
        <v>26.969501187898974</v>
      </c>
      <c r="D77" s="4446">
        <v>2.8513411225315273</v>
      </c>
      <c r="E77" s="4447">
        <v>19.684434054888854</v>
      </c>
      <c r="F77" s="4448">
        <v>12.902230793589817</v>
      </c>
      <c r="G77" s="4449">
        <v>42.967723357943626</v>
      </c>
      <c r="H77" s="4450">
        <v>2022</v>
      </c>
      <c r="I77" s="4451">
        <v>12388571</v>
      </c>
      <c r="J77" s="2919"/>
      <c r="K77" s="8" t="str">
        <f t="shared" ref="K77:K90" si="52">A77</f>
        <v xml:space="preserve">  BOL</v>
      </c>
      <c r="L77" s="8">
        <f t="shared" ref="L77:L90" si="53">H77</f>
        <v>2022</v>
      </c>
      <c r="M77" s="8">
        <f t="shared" ref="M77:M90" si="54">B77</f>
        <v>1.6088546692393433</v>
      </c>
      <c r="N77" s="8">
        <f t="shared" ref="N77:N91" si="55">C77</f>
        <v>26.969501187898974</v>
      </c>
      <c r="O77" s="8">
        <f t="shared" ref="O77:O90" si="56">F77</f>
        <v>12.902230793589817</v>
      </c>
      <c r="P77" s="8">
        <f t="shared" ref="P77:P90" si="57">G77</f>
        <v>42.967723357943626</v>
      </c>
      <c r="Q77" s="3726"/>
      <c r="R77" s="8" t="str">
        <f t="shared" ref="R77:R91" si="58">A77</f>
        <v xml:space="preserve">  BOL</v>
      </c>
      <c r="S77" s="8">
        <f t="shared" ref="S77:S91" si="59">H77*1</f>
        <v>2022</v>
      </c>
      <c r="T77" s="8">
        <f t="shared" ref="T77:T91" si="60">B77-F77</f>
        <v>-11.293376124350473</v>
      </c>
      <c r="U77" s="8">
        <f t="shared" ref="U77:U91" si="61">C77-G77</f>
        <v>-15.998222170044652</v>
      </c>
      <c r="W77" s="8">
        <f>Fact7!P75</f>
        <v>-28.855656109670726</v>
      </c>
    </row>
    <row r="78" spans="1:23">
      <c r="A78" s="4452" t="s">
        <v>1192</v>
      </c>
      <c r="B78" s="4453">
        <v>4.4037295951776594</v>
      </c>
      <c r="C78" s="4454">
        <v>13.869480319994757</v>
      </c>
      <c r="D78" s="4455">
        <v>9.9985804727099925</v>
      </c>
      <c r="E78" s="4456">
        <v>24.804530624402172</v>
      </c>
      <c r="F78" s="4457">
        <v>19.041699276896473</v>
      </c>
      <c r="G78" s="4458">
        <v>52.445845804862337</v>
      </c>
      <c r="H78" s="4459">
        <v>2019</v>
      </c>
      <c r="I78" s="4460">
        <v>216422446</v>
      </c>
      <c r="J78" s="2920"/>
      <c r="K78" s="8" t="str">
        <f t="shared" si="52"/>
        <v xml:space="preserve">  BRA</v>
      </c>
      <c r="L78" s="8">
        <f t="shared" si="53"/>
        <v>2019</v>
      </c>
      <c r="M78" s="8">
        <f t="shared" si="54"/>
        <v>4.4037295951776594</v>
      </c>
      <c r="N78" s="8">
        <f t="shared" si="55"/>
        <v>13.869480319994757</v>
      </c>
      <c r="O78" s="8">
        <f t="shared" si="56"/>
        <v>19.041699276896473</v>
      </c>
      <c r="P78" s="8">
        <f t="shared" si="57"/>
        <v>52.445845804862337</v>
      </c>
      <c r="Q78" s="3727"/>
      <c r="R78" s="8" t="str">
        <f t="shared" si="58"/>
        <v xml:space="preserve">  BRA</v>
      </c>
      <c r="S78" s="8">
        <f t="shared" si="59"/>
        <v>2019</v>
      </c>
      <c r="T78" s="8">
        <f t="shared" si="60"/>
        <v>-14.637969681718815</v>
      </c>
      <c r="U78" s="8">
        <f t="shared" si="61"/>
        <v>-38.57636548486758</v>
      </c>
      <c r="W78" s="8">
        <f>Fact7!P76</f>
        <v>-38.626286881101421</v>
      </c>
    </row>
    <row r="79" spans="1:23">
      <c r="A79" s="4461" t="s">
        <v>1193</v>
      </c>
      <c r="B79" s="4462">
        <v>29.321969215112581</v>
      </c>
      <c r="C79" s="4463">
        <v>41.693436883052556</v>
      </c>
      <c r="D79" s="4464">
        <v>30.932379260538244</v>
      </c>
      <c r="E79" s="4465">
        <v>48.159006245269168</v>
      </c>
      <c r="F79" s="4466">
        <v>34.370457400115725</v>
      </c>
      <c r="G79" s="4467">
        <v>62.229900135800534</v>
      </c>
      <c r="H79" s="4468">
        <v>2017</v>
      </c>
      <c r="I79" s="4469">
        <v>19629590</v>
      </c>
      <c r="J79" s="2921"/>
      <c r="K79" s="8" t="str">
        <f t="shared" si="52"/>
        <v xml:space="preserve">  CHL</v>
      </c>
      <c r="L79" s="8">
        <f t="shared" si="53"/>
        <v>2017</v>
      </c>
      <c r="M79" s="8">
        <f t="shared" si="54"/>
        <v>29.321969215112581</v>
      </c>
      <c r="N79" s="8">
        <f t="shared" si="55"/>
        <v>41.693436883052556</v>
      </c>
      <c r="O79" s="8">
        <f t="shared" si="56"/>
        <v>34.370457400115725</v>
      </c>
      <c r="P79" s="8">
        <f t="shared" si="57"/>
        <v>62.229900135800534</v>
      </c>
      <c r="Q79" s="3728"/>
      <c r="R79" s="8" t="str">
        <f t="shared" si="58"/>
        <v xml:space="preserve">  CHL</v>
      </c>
      <c r="S79" s="8">
        <f t="shared" si="59"/>
        <v>2017</v>
      </c>
      <c r="T79" s="8">
        <f t="shared" si="60"/>
        <v>-5.0484881850031442</v>
      </c>
      <c r="U79" s="8">
        <f t="shared" si="61"/>
        <v>-20.536463252747978</v>
      </c>
      <c r="W79" s="8">
        <f>Fact7!P77</f>
        <v>-20.014167592659803</v>
      </c>
    </row>
    <row r="80" spans="1:23">
      <c r="A80" s="4470" t="s">
        <v>1194</v>
      </c>
      <c r="B80" s="4471">
        <v>2.1019617482274233</v>
      </c>
      <c r="C80" s="4472">
        <v>13.524614152521774</v>
      </c>
      <c r="D80" s="4473">
        <v>3.509792188893357</v>
      </c>
      <c r="E80" s="4474">
        <v>20.186753419680045</v>
      </c>
      <c r="F80" s="4475">
        <v>12.276439690689484</v>
      </c>
      <c r="G80" s="4476">
        <v>46.7558564573377</v>
      </c>
      <c r="H80" s="4477">
        <v>2021</v>
      </c>
      <c r="I80" s="4478">
        <v>52085168</v>
      </c>
      <c r="J80" s="2922"/>
      <c r="K80" s="8" t="str">
        <f t="shared" si="52"/>
        <v xml:space="preserve">  COL</v>
      </c>
      <c r="L80" s="8">
        <f t="shared" si="53"/>
        <v>2021</v>
      </c>
      <c r="M80" s="8">
        <f t="shared" si="54"/>
        <v>2.1019617482274233</v>
      </c>
      <c r="N80" s="8">
        <f t="shared" si="55"/>
        <v>13.524614152521774</v>
      </c>
      <c r="O80" s="8">
        <f t="shared" si="56"/>
        <v>12.276439690689484</v>
      </c>
      <c r="P80" s="8">
        <f t="shared" si="57"/>
        <v>46.7558564573377</v>
      </c>
      <c r="Q80" s="3729"/>
      <c r="R80" s="8" t="str">
        <f t="shared" si="58"/>
        <v xml:space="preserve">  COL</v>
      </c>
      <c r="S80" s="8">
        <f t="shared" si="59"/>
        <v>2021</v>
      </c>
      <c r="T80" s="8">
        <f t="shared" si="60"/>
        <v>-10.174477942462062</v>
      </c>
      <c r="U80" s="8">
        <f t="shared" si="61"/>
        <v>-33.231242304815922</v>
      </c>
      <c r="W80" s="8">
        <f>Fact7!P78</f>
        <v>-33.765020822271225</v>
      </c>
    </row>
    <row r="81" spans="1:23">
      <c r="A81" s="4479" t="s">
        <v>1195</v>
      </c>
      <c r="C81" s="4480">
        <v>0.71979131935591434</v>
      </c>
      <c r="D81" s="4481">
        <v>0.95497033974474199</v>
      </c>
      <c r="E81" s="4482">
        <v>0.99820834399795244</v>
      </c>
      <c r="F81" s="4483">
        <v>2.82896044663081</v>
      </c>
      <c r="G81" s="4484">
        <v>11.556734288617198</v>
      </c>
      <c r="H81" s="4485">
        <v>2023</v>
      </c>
      <c r="I81" s="4486">
        <v>5212173</v>
      </c>
      <c r="J81" s="2923"/>
      <c r="K81" s="8" t="str">
        <f t="shared" si="52"/>
        <v xml:space="preserve">  CRI</v>
      </c>
      <c r="L81" s="8">
        <f t="shared" si="53"/>
        <v>2023</v>
      </c>
      <c r="M81" s="8">
        <f t="shared" si="54"/>
        <v>0</v>
      </c>
      <c r="N81" s="8">
        <f t="shared" si="55"/>
        <v>0.71979131935591434</v>
      </c>
      <c r="O81" s="8">
        <f t="shared" si="56"/>
        <v>2.82896044663081</v>
      </c>
      <c r="P81" s="8">
        <f t="shared" si="57"/>
        <v>11.556734288617198</v>
      </c>
      <c r="Q81" s="3730"/>
      <c r="R81" s="8" t="str">
        <f t="shared" si="58"/>
        <v xml:space="preserve">  CRI</v>
      </c>
      <c r="S81" s="8">
        <f t="shared" si="59"/>
        <v>2023</v>
      </c>
      <c r="T81" s="8">
        <f t="shared" si="60"/>
        <v>-2.82896044663081</v>
      </c>
      <c r="U81" s="8">
        <f t="shared" si="61"/>
        <v>-10.836942969261283</v>
      </c>
      <c r="W81" s="8">
        <f>Fact7!P79</f>
        <v>-34.040474981444362</v>
      </c>
    </row>
    <row r="82" spans="1:23">
      <c r="A82" s="4487" t="s">
        <v>1196</v>
      </c>
      <c r="B82" s="4488">
        <v>8.7939345916878331</v>
      </c>
      <c r="C82" s="4489">
        <v>12.72128018274401</v>
      </c>
      <c r="D82" s="4490">
        <v>10.718261338140849</v>
      </c>
      <c r="E82" s="4491">
        <v>10.861531672319792</v>
      </c>
      <c r="F82" s="4492">
        <v>12.770538751380029</v>
      </c>
      <c r="G82" s="4493">
        <v>17.991606321135443</v>
      </c>
      <c r="H82" s="4494">
        <v>2022</v>
      </c>
      <c r="I82" s="4495">
        <v>11332973</v>
      </c>
      <c r="J82" s="2924"/>
      <c r="K82" s="8" t="str">
        <f t="shared" si="52"/>
        <v xml:space="preserve">  DOM</v>
      </c>
      <c r="L82" s="8">
        <f t="shared" si="53"/>
        <v>2022</v>
      </c>
      <c r="M82" s="8">
        <f t="shared" si="54"/>
        <v>8.7939345916878331</v>
      </c>
      <c r="N82" s="8">
        <f t="shared" si="55"/>
        <v>12.72128018274401</v>
      </c>
      <c r="O82" s="8">
        <f t="shared" si="56"/>
        <v>12.770538751380029</v>
      </c>
      <c r="P82" s="8">
        <f t="shared" si="57"/>
        <v>17.991606321135443</v>
      </c>
      <c r="Q82" s="3731"/>
      <c r="R82" s="8" t="str">
        <f t="shared" si="58"/>
        <v xml:space="preserve">  DOM</v>
      </c>
      <c r="S82" s="8">
        <f t="shared" si="59"/>
        <v>2022</v>
      </c>
      <c r="T82" s="8">
        <f t="shared" si="60"/>
        <v>-3.9766041596921955</v>
      </c>
      <c r="U82" s="8">
        <f t="shared" si="61"/>
        <v>-5.2703261383914324</v>
      </c>
      <c r="W82" s="8">
        <f>Fact7!P80</f>
        <v>-5.5858216510649719</v>
      </c>
    </row>
    <row r="83" spans="1:23">
      <c r="A83" s="4496" t="s">
        <v>1197</v>
      </c>
      <c r="B83" s="4497">
        <v>6.8207031362321171</v>
      </c>
      <c r="C83" s="4498">
        <v>22.928938505555791</v>
      </c>
      <c r="D83" s="4499">
        <v>12.524627107113561</v>
      </c>
      <c r="E83" s="4500">
        <v>27.456617448399552</v>
      </c>
      <c r="F83" s="4501">
        <v>30.734695494763031</v>
      </c>
      <c r="G83" s="4502">
        <v>55.828835436762837</v>
      </c>
      <c r="H83" s="4503">
        <v>2017</v>
      </c>
      <c r="I83" s="4504">
        <v>18190484</v>
      </c>
      <c r="J83" s="2925"/>
      <c r="K83" s="8" t="str">
        <f t="shared" si="52"/>
        <v xml:space="preserve">  ECU</v>
      </c>
      <c r="L83" s="8">
        <f t="shared" si="53"/>
        <v>2017</v>
      </c>
      <c r="M83" s="8">
        <f t="shared" si="54"/>
        <v>6.8207031362321171</v>
      </c>
      <c r="N83" s="8">
        <f t="shared" si="55"/>
        <v>22.928938505555791</v>
      </c>
      <c r="O83" s="8">
        <f t="shared" si="56"/>
        <v>30.734695494763031</v>
      </c>
      <c r="P83" s="8">
        <f t="shared" si="57"/>
        <v>55.828835436762837</v>
      </c>
      <c r="Q83" s="3732"/>
      <c r="R83" s="8" t="str">
        <f t="shared" si="58"/>
        <v xml:space="preserve">  ECU</v>
      </c>
      <c r="S83" s="8">
        <f t="shared" si="59"/>
        <v>2017</v>
      </c>
      <c r="T83" s="8">
        <f t="shared" si="60"/>
        <v>-23.913992358530912</v>
      </c>
      <c r="U83" s="8">
        <f t="shared" si="61"/>
        <v>-32.899896931207046</v>
      </c>
      <c r="W83" s="8">
        <f>Fact7!P81</f>
        <v>-37.647342504862102</v>
      </c>
    </row>
    <row r="84" spans="1:23">
      <c r="A84" s="4505" t="s">
        <v>1204</v>
      </c>
      <c r="B84" s="4506">
        <v>0.11311799526874632</v>
      </c>
      <c r="C84" s="4507">
        <v>2.2227968456565175</v>
      </c>
      <c r="D84" s="4508">
        <v>0.58196733742657125</v>
      </c>
      <c r="E84" s="4509">
        <v>4.0864306213165991</v>
      </c>
      <c r="F84" s="4510">
        <v>5.2356245555631542</v>
      </c>
      <c r="G84" s="4511">
        <v>23.251266582420534</v>
      </c>
      <c r="H84" s="4512">
        <v>2006</v>
      </c>
      <c r="I84" s="4513">
        <v>18092026</v>
      </c>
      <c r="J84" s="2926"/>
      <c r="K84" s="8" t="str">
        <f t="shared" si="52"/>
        <v xml:space="preserve">  GTM</v>
      </c>
      <c r="L84" s="8">
        <f t="shared" si="53"/>
        <v>2006</v>
      </c>
      <c r="M84" s="8">
        <f t="shared" si="54"/>
        <v>0.11311799526874632</v>
      </c>
      <c r="N84" s="8">
        <f t="shared" si="55"/>
        <v>2.2227968456565175</v>
      </c>
      <c r="O84" s="8">
        <f t="shared" si="56"/>
        <v>5.2356245555631542</v>
      </c>
      <c r="P84" s="8">
        <f t="shared" si="57"/>
        <v>23.251266582420534</v>
      </c>
      <c r="Q84" s="3733"/>
      <c r="R84" s="8" t="str">
        <f t="shared" si="58"/>
        <v xml:space="preserve">  GTM</v>
      </c>
      <c r="S84" s="8">
        <f t="shared" si="59"/>
        <v>2006</v>
      </c>
      <c r="T84" s="8">
        <f t="shared" si="60"/>
        <v>-5.1225065602944078</v>
      </c>
      <c r="U84" s="8">
        <f t="shared" si="61"/>
        <v>-21.028469736764016</v>
      </c>
      <c r="W84" s="8">
        <f>Fact7!P82</f>
        <v>-17.572426731047486</v>
      </c>
    </row>
    <row r="85" spans="1:23">
      <c r="A85" s="4514" t="s">
        <v>1199</v>
      </c>
      <c r="B85" s="4515">
        <v>1.4262308882296819</v>
      </c>
      <c r="C85" s="4516">
        <v>11.028569556274642</v>
      </c>
      <c r="D85" s="4517">
        <v>3.5226011550881919</v>
      </c>
      <c r="E85" s="4518">
        <v>12.73821631932808</v>
      </c>
      <c r="F85" s="4519">
        <v>10.997413292816905</v>
      </c>
      <c r="G85" s="4520">
        <v>30.384806733700142</v>
      </c>
      <c r="H85" s="4521">
        <v>2023</v>
      </c>
      <c r="I85" s="4522">
        <v>10593798</v>
      </c>
      <c r="J85" s="2927"/>
      <c r="K85" s="8" t="str">
        <f t="shared" si="52"/>
        <v xml:space="preserve">  HND</v>
      </c>
      <c r="L85" s="8">
        <f t="shared" si="53"/>
        <v>2023</v>
      </c>
      <c r="M85" s="8">
        <f t="shared" si="54"/>
        <v>1.4262308882296819</v>
      </c>
      <c r="N85" s="8">
        <f t="shared" si="55"/>
        <v>11.028569556274642</v>
      </c>
      <c r="O85" s="8">
        <f t="shared" si="56"/>
        <v>10.997413292816905</v>
      </c>
      <c r="P85" s="8">
        <f t="shared" si="57"/>
        <v>30.384806733700142</v>
      </c>
      <c r="Q85" s="3734"/>
      <c r="R85" s="8" t="str">
        <f t="shared" si="58"/>
        <v xml:space="preserve">  HND</v>
      </c>
      <c r="S85" s="8">
        <f t="shared" si="59"/>
        <v>2023</v>
      </c>
      <c r="T85" s="8">
        <f t="shared" si="60"/>
        <v>-9.5711824045872227</v>
      </c>
      <c r="U85" s="8">
        <f t="shared" si="61"/>
        <v>-19.356237177425498</v>
      </c>
      <c r="W85" s="8">
        <f>Fact7!P83</f>
        <v>-19.96762743792566</v>
      </c>
    </row>
    <row r="86" spans="1:23">
      <c r="A86" s="4523" t="s">
        <v>1205</v>
      </c>
      <c r="B86" s="4524">
        <v>2.3843844358554649</v>
      </c>
      <c r="C86" s="4525">
        <v>10.105783345543609</v>
      </c>
      <c r="D86" s="4526">
        <v>7.1216840318979804</v>
      </c>
      <c r="E86" s="4527">
        <v>16.536168711215385</v>
      </c>
      <c r="F86" s="4528">
        <v>16.824647730715071</v>
      </c>
      <c r="G86" s="4529">
        <v>41.156760385112094</v>
      </c>
      <c r="H86" s="4530">
        <v>2022</v>
      </c>
      <c r="I86" s="4531">
        <v>128455567</v>
      </c>
      <c r="J86" s="2928"/>
      <c r="K86" s="8" t="str">
        <f t="shared" si="52"/>
        <v xml:space="preserve">  MEX</v>
      </c>
      <c r="L86" s="8">
        <f t="shared" si="53"/>
        <v>2022</v>
      </c>
      <c r="M86" s="8">
        <f t="shared" si="54"/>
        <v>2.3843844358554649</v>
      </c>
      <c r="N86" s="8">
        <f t="shared" si="55"/>
        <v>10.105783345543609</v>
      </c>
      <c r="O86" s="8">
        <f t="shared" si="56"/>
        <v>16.824647730715071</v>
      </c>
      <c r="P86" s="8">
        <f t="shared" si="57"/>
        <v>41.156760385112094</v>
      </c>
      <c r="Q86" s="3735"/>
      <c r="R86" s="8" t="str">
        <f t="shared" si="58"/>
        <v xml:space="preserve">  MEX</v>
      </c>
      <c r="S86" s="8">
        <f t="shared" si="59"/>
        <v>2022</v>
      </c>
      <c r="T86" s="8">
        <f t="shared" si="60"/>
        <v>-14.440263294859607</v>
      </c>
      <c r="U86" s="8">
        <f t="shared" si="61"/>
        <v>-31.050977039568487</v>
      </c>
      <c r="W86" s="8">
        <f>Fact7!P84</f>
        <v>-31.266406126625391</v>
      </c>
    </row>
    <row r="87" spans="1:23">
      <c r="A87" s="4532" t="s">
        <v>1200</v>
      </c>
      <c r="B87" s="4533">
        <v>3.8333985622180564</v>
      </c>
      <c r="C87" s="4534">
        <v>19.363835079520612</v>
      </c>
      <c r="D87" s="4535">
        <v>6.7279309384572539</v>
      </c>
      <c r="E87" s="4536">
        <v>20.701107011070111</v>
      </c>
      <c r="F87" s="4537">
        <v>22.310323663736302</v>
      </c>
      <c r="G87" s="4538">
        <v>47.807454129214811</v>
      </c>
      <c r="H87" s="4539">
        <v>2017</v>
      </c>
      <c r="I87" s="4540">
        <v>4468087</v>
      </c>
      <c r="J87" s="2929"/>
      <c r="K87" s="8" t="str">
        <f t="shared" si="52"/>
        <v xml:space="preserve">  PAN</v>
      </c>
      <c r="L87" s="8">
        <f t="shared" si="53"/>
        <v>2017</v>
      </c>
      <c r="M87" s="8">
        <f t="shared" si="54"/>
        <v>3.8333985622180564</v>
      </c>
      <c r="N87" s="8">
        <f t="shared" si="55"/>
        <v>19.363835079520612</v>
      </c>
      <c r="O87" s="8">
        <f t="shared" si="56"/>
        <v>22.310323663736302</v>
      </c>
      <c r="P87" s="8">
        <f t="shared" si="57"/>
        <v>47.807454129214811</v>
      </c>
      <c r="Q87" s="3736"/>
      <c r="R87" s="8" t="str">
        <f t="shared" si="58"/>
        <v xml:space="preserve">  PAN</v>
      </c>
      <c r="S87" s="8">
        <f t="shared" si="59"/>
        <v>2017</v>
      </c>
      <c r="T87" s="8">
        <f t="shared" si="60"/>
        <v>-18.476925101518244</v>
      </c>
      <c r="U87" s="8">
        <f t="shared" si="61"/>
        <v>-28.443619049694199</v>
      </c>
      <c r="W87" s="8">
        <f>Fact7!P85</f>
        <v>-34.767655652453485</v>
      </c>
    </row>
    <row r="88" spans="1:23">
      <c r="A88" s="4541" t="s">
        <v>1201</v>
      </c>
      <c r="B88" s="4542">
        <v>4.1889753549291644</v>
      </c>
      <c r="C88" s="4543">
        <v>16.369302437590125</v>
      </c>
      <c r="D88" s="4544">
        <v>6.0909767206966556</v>
      </c>
      <c r="E88" s="4545">
        <v>24.076853146455122</v>
      </c>
      <c r="F88" s="4546">
        <v>14.470065602702418</v>
      </c>
      <c r="G88" s="4547">
        <v>45.632228544276821</v>
      </c>
      <c r="H88" s="4548">
        <v>2022</v>
      </c>
      <c r="I88" s="4549">
        <v>34352719</v>
      </c>
      <c r="J88" s="2930"/>
      <c r="K88" s="8" t="str">
        <f t="shared" si="52"/>
        <v xml:space="preserve">  PER</v>
      </c>
      <c r="L88" s="8">
        <f t="shared" si="53"/>
        <v>2022</v>
      </c>
      <c r="M88" s="8">
        <f t="shared" si="54"/>
        <v>4.1889753549291644</v>
      </c>
      <c r="N88" s="8">
        <f t="shared" si="55"/>
        <v>16.369302437590125</v>
      </c>
      <c r="O88" s="8">
        <f t="shared" si="56"/>
        <v>14.470065602702418</v>
      </c>
      <c r="P88" s="8">
        <f t="shared" si="57"/>
        <v>45.632228544276821</v>
      </c>
      <c r="Q88" s="3737"/>
      <c r="R88" s="8" t="str">
        <f t="shared" si="58"/>
        <v xml:space="preserve">  PER</v>
      </c>
      <c r="S88" s="8">
        <f t="shared" si="59"/>
        <v>2022</v>
      </c>
      <c r="T88" s="8">
        <f t="shared" si="60"/>
        <v>-10.281090247773253</v>
      </c>
      <c r="U88" s="8">
        <f t="shared" si="61"/>
        <v>-29.262926106686695</v>
      </c>
      <c r="W88" s="8">
        <f>Fact7!P86</f>
        <v>-31.120517222070795</v>
      </c>
    </row>
    <row r="89" spans="1:23">
      <c r="A89" s="4550" t="s">
        <v>1202</v>
      </c>
      <c r="B89" s="4551">
        <v>2.5183871407841045</v>
      </c>
      <c r="C89" s="4552">
        <v>7.0005573692172947</v>
      </c>
      <c r="D89" s="4553">
        <v>4.1900754064042038</v>
      </c>
      <c r="E89" s="4554">
        <v>11.076973136681914</v>
      </c>
      <c r="F89" s="4555">
        <v>19.238195541513079</v>
      </c>
      <c r="G89" s="4556">
        <v>45.863247730893335</v>
      </c>
      <c r="H89" s="4557">
        <v>2022</v>
      </c>
      <c r="I89" s="4558">
        <v>6861524</v>
      </c>
      <c r="J89" s="2931"/>
      <c r="K89" s="8" t="str">
        <f t="shared" si="52"/>
        <v xml:space="preserve">  PRY</v>
      </c>
      <c r="L89" s="8">
        <f t="shared" si="53"/>
        <v>2022</v>
      </c>
      <c r="M89" s="8">
        <f t="shared" si="54"/>
        <v>2.5183871407841045</v>
      </c>
      <c r="N89" s="8">
        <f t="shared" si="55"/>
        <v>7.0005573692172947</v>
      </c>
      <c r="O89" s="8">
        <f t="shared" si="56"/>
        <v>19.238195541513079</v>
      </c>
      <c r="P89" s="8">
        <f t="shared" si="57"/>
        <v>45.863247730893335</v>
      </c>
      <c r="Q89" s="3738"/>
      <c r="R89" s="8" t="str">
        <f t="shared" si="58"/>
        <v xml:space="preserve">  PRY</v>
      </c>
      <c r="S89" s="8">
        <f t="shared" si="59"/>
        <v>2022</v>
      </c>
      <c r="T89" s="8">
        <f t="shared" si="60"/>
        <v>-16.719808400728976</v>
      </c>
      <c r="U89" s="8">
        <f t="shared" si="61"/>
        <v>-38.862690361676037</v>
      </c>
      <c r="W89" s="8">
        <f>Fact7!P87</f>
        <v>-34.674041854488912</v>
      </c>
    </row>
    <row r="90" spans="1:23">
      <c r="A90" s="4559" t="s">
        <v>1206</v>
      </c>
      <c r="B90" s="4560">
        <v>50.637505313558364</v>
      </c>
      <c r="C90" s="4561">
        <v>48.806604387636973</v>
      </c>
      <c r="D90" s="4562">
        <v>51.776989032729901</v>
      </c>
      <c r="E90" s="4563">
        <v>58.593841625405339</v>
      </c>
      <c r="F90" s="4564">
        <v>42.733526839849318</v>
      </c>
      <c r="G90" s="4565">
        <v>54.78394811221704</v>
      </c>
      <c r="H90" s="4566">
        <v>2023</v>
      </c>
      <c r="I90" s="4567">
        <v>6364943</v>
      </c>
      <c r="J90" s="2932"/>
      <c r="K90" s="8" t="str">
        <f t="shared" si="52"/>
        <v xml:space="preserve">  SLV</v>
      </c>
      <c r="L90" s="8">
        <f t="shared" si="53"/>
        <v>2023</v>
      </c>
      <c r="M90" s="8">
        <f t="shared" si="54"/>
        <v>50.637505313558364</v>
      </c>
      <c r="N90" s="8">
        <f t="shared" si="55"/>
        <v>48.806604387636973</v>
      </c>
      <c r="O90" s="8">
        <f t="shared" si="56"/>
        <v>42.733526839849318</v>
      </c>
      <c r="P90" s="8">
        <f t="shared" si="57"/>
        <v>54.78394811221704</v>
      </c>
      <c r="Q90" s="3739"/>
      <c r="R90" s="8" t="str">
        <f t="shared" si="58"/>
        <v xml:space="preserve">  SLV</v>
      </c>
      <c r="S90" s="8">
        <f t="shared" si="59"/>
        <v>2023</v>
      </c>
      <c r="T90" s="8">
        <f t="shared" si="60"/>
        <v>7.9039784737090457</v>
      </c>
      <c r="U90" s="8">
        <f t="shared" si="61"/>
        <v>-5.9773437245800665</v>
      </c>
      <c r="W90" s="8">
        <f>Fact7!P88</f>
        <v>0</v>
      </c>
    </row>
    <row r="91" spans="1:23">
      <c r="A91" s="4568" t="s">
        <v>1207</v>
      </c>
      <c r="B91" s="4569">
        <v>63.155463155463153</v>
      </c>
      <c r="C91" s="4570">
        <v>69.755231547933832</v>
      </c>
      <c r="D91" s="4571">
        <v>58.927605237528404</v>
      </c>
      <c r="E91" s="4572">
        <v>61.588646758138289</v>
      </c>
      <c r="F91" s="4573">
        <v>52.140190641875975</v>
      </c>
      <c r="G91" s="4574">
        <v>66.999804057050341</v>
      </c>
      <c r="H91" s="4575">
        <v>2022</v>
      </c>
      <c r="I91" s="4576">
        <v>3423109</v>
      </c>
      <c r="J91" s="2933"/>
      <c r="K91" s="8" t="str">
        <f t="shared" ref="K91" si="62">A91</f>
        <v xml:space="preserve">  URY</v>
      </c>
      <c r="L91" s="8">
        <f t="shared" ref="L91" si="63">H91</f>
        <v>2022</v>
      </c>
      <c r="M91" s="8">
        <f t="shared" ref="M91" si="64">B91</f>
        <v>63.155463155463153</v>
      </c>
      <c r="N91" s="8">
        <f t="shared" si="55"/>
        <v>69.755231547933832</v>
      </c>
      <c r="O91" s="8">
        <f t="shared" ref="O91" si="65">F91</f>
        <v>52.140190641875975</v>
      </c>
      <c r="P91" s="8">
        <f t="shared" ref="P91" si="66">G91</f>
        <v>66.999804057050341</v>
      </c>
      <c r="Q91" s="3740"/>
      <c r="R91" s="8" t="str">
        <f t="shared" si="58"/>
        <v xml:space="preserve">  URY</v>
      </c>
      <c r="S91" s="8">
        <f t="shared" si="59"/>
        <v>2022</v>
      </c>
      <c r="T91" s="8">
        <f t="shared" si="60"/>
        <v>11.015272513587178</v>
      </c>
      <c r="U91" s="8">
        <f t="shared" si="61"/>
        <v>2.7554274908834913</v>
      </c>
      <c r="W91" s="8">
        <f>Fact7!P89</f>
        <v>0</v>
      </c>
    </row>
    <row r="92" spans="1:23">
      <c r="A92" s="4577" t="s">
        <v>1203</v>
      </c>
      <c r="B92" s="4578"/>
      <c r="C92" s="4579"/>
      <c r="D92" s="4580"/>
      <c r="E92" s="4581"/>
      <c r="F92" s="4582"/>
      <c r="G92" s="4583"/>
      <c r="H92" s="4584">
        <v>2021</v>
      </c>
      <c r="I92" s="4585">
        <v>28838499</v>
      </c>
      <c r="J92" s="2934"/>
      <c r="Q92" s="3741"/>
    </row>
    <row r="93" spans="1:23">
      <c r="A93" s="4586"/>
      <c r="B93" s="5858" t="s">
        <v>1045</v>
      </c>
      <c r="C93" s="5859" t="s">
        <v>1045</v>
      </c>
      <c r="D93" s="5860" t="s">
        <v>1045</v>
      </c>
      <c r="E93" s="5861" t="s">
        <v>1045</v>
      </c>
      <c r="F93" s="5862" t="s">
        <v>1045</v>
      </c>
      <c r="G93" s="5863" t="s">
        <v>1045</v>
      </c>
      <c r="H93" s="4587" t="s">
        <v>1186</v>
      </c>
      <c r="I93" s="4588" t="s">
        <v>1257</v>
      </c>
      <c r="J93" s="2935"/>
      <c r="K93" s="3" t="s">
        <v>1261</v>
      </c>
      <c r="L93" s="8"/>
      <c r="M93" s="8">
        <f>AVERAGE(M77:M91)</f>
        <v>12.087241053465581</v>
      </c>
      <c r="N93" s="8">
        <f>AVERAGE(N77:N91)</f>
        <v>21.13864820803316</v>
      </c>
      <c r="O93" s="8">
        <f t="shared" ref="O93:P93" si="67">AVERAGE(O77:O91)</f>
        <v>20.59166731485584</v>
      </c>
      <c r="P93" s="8">
        <f t="shared" si="67"/>
        <v>43.043734538489652</v>
      </c>
      <c r="Q93" s="3742"/>
      <c r="R93" s="3" t="s">
        <v>1261</v>
      </c>
      <c r="S93" s="8"/>
      <c r="T93" s="8">
        <f>AVERAGE(T77:T91)</f>
        <v>-8.5044262613902575</v>
      </c>
      <c r="U93" s="8">
        <f t="shared" ref="U93:W93" si="68">AVERAGE(U77:U91)</f>
        <v>-21.905086330456488</v>
      </c>
      <c r="V93" s="8"/>
      <c r="W93" s="8">
        <f t="shared" si="68"/>
        <v>-24.526896371179092</v>
      </c>
    </row>
    <row r="94" spans="1:23" ht="15" thickBot="1">
      <c r="A94" s="4589"/>
      <c r="B94" s="5864" t="s">
        <v>1187</v>
      </c>
      <c r="C94" s="5864" t="s">
        <v>1187</v>
      </c>
      <c r="D94" s="5865" t="s">
        <v>1188</v>
      </c>
      <c r="E94" s="5865" t="s">
        <v>1188</v>
      </c>
      <c r="F94" s="5866" t="s">
        <v>1189</v>
      </c>
      <c r="G94" s="5866" t="s">
        <v>1189</v>
      </c>
      <c r="I94" s="4590" t="s">
        <v>1187</v>
      </c>
      <c r="J94" s="2936"/>
      <c r="K94" s="212" t="s">
        <v>1145</v>
      </c>
      <c r="L94" s="85"/>
      <c r="M94" s="85">
        <f>SUMPRODUCT(M77:M91,$I77:$I91)/SUM($I77:$I91)</f>
        <v>5.333417882344162</v>
      </c>
      <c r="N94" s="85">
        <f>SUMPRODUCT(N77:N91,$I77:$I91)/SUM($I77:$I91)</f>
        <v>14.830358641129681</v>
      </c>
      <c r="O94" s="85">
        <f t="shared" ref="O94" si="69">SUMPRODUCT(O77:O91,$I77:$I91)/SUM($I77:$I91)</f>
        <v>18.006431687303976</v>
      </c>
      <c r="P94" s="85">
        <f>SUMPRODUCT(P77:P91,$I77:$I91)/SUM($I77:$I91)</f>
        <v>46.58485349438164</v>
      </c>
      <c r="Q94" s="3743"/>
      <c r="R94" s="212" t="s">
        <v>1145</v>
      </c>
      <c r="S94" s="85"/>
      <c r="T94" s="85">
        <f>SUMPRODUCT(T77:T91,$I77:$I91)/SUM($I77:$I91)</f>
        <v>-12.673013804959812</v>
      </c>
      <c r="U94" s="85">
        <f t="shared" ref="U94:W94" si="70">SUMPRODUCT(U77:U91,$I77:$I91)/SUM($I77:$I91)</f>
        <v>-31.754494853251963</v>
      </c>
      <c r="V94" s="85"/>
      <c r="W94" s="85">
        <f t="shared" si="70"/>
        <v>-32.493447805047779</v>
      </c>
    </row>
    <row r="95" spans="1:23" ht="15" thickTop="1">
      <c r="A95" s="4591"/>
      <c r="B95" s="5867" t="s">
        <v>1258</v>
      </c>
      <c r="C95" s="5867" t="s">
        <v>1258</v>
      </c>
      <c r="D95" s="5868" t="s">
        <v>1258</v>
      </c>
      <c r="E95" s="5868" t="s">
        <v>1258</v>
      </c>
      <c r="F95" s="5869" t="s">
        <v>1258</v>
      </c>
      <c r="G95" s="5869" t="s">
        <v>1258</v>
      </c>
      <c r="K95" s="3063"/>
      <c r="L95" s="3062"/>
      <c r="M95" s="3062"/>
      <c r="N95" s="3062"/>
      <c r="O95" s="3062"/>
      <c r="P95" s="3062"/>
      <c r="R95" s="3063"/>
      <c r="S95" s="3062"/>
      <c r="T95" s="3062"/>
      <c r="U95" s="3062"/>
      <c r="V95" s="3062"/>
      <c r="W95" s="3062"/>
    </row>
    <row r="96" spans="1:23">
      <c r="A96" s="4592"/>
      <c r="B96" s="4593" t="s">
        <v>1259</v>
      </c>
      <c r="C96" s="4594" t="s">
        <v>1260</v>
      </c>
      <c r="D96" s="4595" t="s">
        <v>1259</v>
      </c>
      <c r="E96" s="4596" t="s">
        <v>1260</v>
      </c>
      <c r="F96" s="4597" t="s">
        <v>1259</v>
      </c>
      <c r="G96" s="4598" t="s">
        <v>1260</v>
      </c>
      <c r="L96" s="8"/>
      <c r="M96" s="8"/>
      <c r="N96" s="8"/>
      <c r="O96" s="8"/>
      <c r="P96" s="8"/>
      <c r="S96" s="8"/>
      <c r="T96" s="8"/>
      <c r="U96" s="8"/>
      <c r="V96" s="8"/>
      <c r="W96" s="8"/>
    </row>
    <row r="97" spans="1:23">
      <c r="A97" s="4599"/>
      <c r="B97" s="4600" t="s">
        <v>1219</v>
      </c>
      <c r="C97" s="4601" t="s">
        <v>1219</v>
      </c>
      <c r="D97" s="4602" t="s">
        <v>1219</v>
      </c>
      <c r="E97" s="4603" t="s">
        <v>1219</v>
      </c>
      <c r="F97" s="4604" t="s">
        <v>1219</v>
      </c>
      <c r="G97" s="4605" t="s">
        <v>1219</v>
      </c>
      <c r="L97" s="8"/>
      <c r="M97" s="8"/>
      <c r="N97" s="8"/>
      <c r="O97" s="8"/>
      <c r="P97" s="8"/>
      <c r="S97" s="8"/>
      <c r="T97" s="8"/>
      <c r="U97" s="8"/>
      <c r="V97" s="8"/>
      <c r="W97" s="8"/>
    </row>
    <row r="98" spans="1:23" ht="15" thickBot="1">
      <c r="A98" s="4606"/>
      <c r="B98" s="4607" t="s">
        <v>1187</v>
      </c>
      <c r="C98" s="4608" t="s">
        <v>1187</v>
      </c>
      <c r="D98" s="4609" t="s">
        <v>1187</v>
      </c>
      <c r="E98" s="4610" t="s">
        <v>1187</v>
      </c>
      <c r="F98" s="4611" t="s">
        <v>1187</v>
      </c>
      <c r="G98" s="4612" t="s">
        <v>1187</v>
      </c>
      <c r="K98" s="972" t="str">
        <f>B97</f>
        <v>El hogar posee conexión a internet</v>
      </c>
      <c r="L98" s="2649"/>
      <c r="M98" s="85"/>
      <c r="N98" s="85"/>
      <c r="O98" s="85"/>
      <c r="P98" s="85"/>
      <c r="R98" s="972" t="str">
        <f>E97</f>
        <v>El hogar posee conexión a internet</v>
      </c>
      <c r="S98" s="2649"/>
      <c r="T98" s="85"/>
      <c r="U98" s="85"/>
      <c r="V98" s="85"/>
      <c r="W98" s="85"/>
    </row>
    <row r="99" spans="1:23" ht="15" thickTop="1">
      <c r="A99" s="4613" t="s">
        <v>1125</v>
      </c>
      <c r="B99" s="4614"/>
      <c r="C99" s="4615"/>
      <c r="D99" s="4616"/>
      <c r="E99" s="4617"/>
      <c r="F99" s="4618"/>
      <c r="G99" s="4619"/>
      <c r="H99" s="4620"/>
      <c r="I99" s="4621"/>
      <c r="J99" s="2937"/>
      <c r="K99" s="213" t="s">
        <v>904</v>
      </c>
      <c r="L99" s="216" t="s">
        <v>938</v>
      </c>
      <c r="M99" s="2650" t="s">
        <v>1273</v>
      </c>
      <c r="N99" s="2650" t="s">
        <v>1136</v>
      </c>
      <c r="O99" s="2650"/>
      <c r="P99" s="2650"/>
      <c r="Q99" s="3744"/>
      <c r="R99" s="213" t="s">
        <v>904</v>
      </c>
      <c r="S99" s="216" t="s">
        <v>938</v>
      </c>
      <c r="T99" s="2650" t="s">
        <v>1273</v>
      </c>
      <c r="U99" s="2650" t="s">
        <v>1136</v>
      </c>
      <c r="W99" s="76" t="s">
        <v>901</v>
      </c>
    </row>
    <row r="100" spans="1:23">
      <c r="A100" s="4622" t="s">
        <v>1191</v>
      </c>
      <c r="B100" s="4623">
        <v>38.24271491301792</v>
      </c>
      <c r="C100" s="4624">
        <v>75.568551065349936</v>
      </c>
      <c r="D100" s="4625">
        <v>32.050592107826347</v>
      </c>
      <c r="E100" s="4626">
        <v>68.344782077926041</v>
      </c>
      <c r="F100" s="4627">
        <v>47.366117556147678</v>
      </c>
      <c r="G100" s="4628">
        <v>84.021680820081315</v>
      </c>
      <c r="H100" s="4629">
        <v>2022</v>
      </c>
      <c r="I100" s="4630">
        <v>12388571</v>
      </c>
      <c r="J100" s="2938"/>
      <c r="K100" s="8" t="str">
        <f t="shared" ref="K100:K114" si="71">A100</f>
        <v xml:space="preserve">  BOL</v>
      </c>
      <c r="L100" s="8">
        <f t="shared" ref="L100:L114" si="72">H100</f>
        <v>2022</v>
      </c>
      <c r="M100" s="8">
        <f t="shared" ref="M100:M114" si="73">B100</f>
        <v>38.24271491301792</v>
      </c>
      <c r="N100" s="8">
        <f t="shared" ref="N100:N114" si="74">C100</f>
        <v>75.568551065349936</v>
      </c>
      <c r="O100" s="8">
        <f t="shared" ref="O100:O114" si="75">F100</f>
        <v>47.366117556147678</v>
      </c>
      <c r="P100" s="8">
        <f t="shared" ref="P100:P114" si="76">G100</f>
        <v>84.021680820081315</v>
      </c>
      <c r="Q100" s="3745"/>
      <c r="R100" s="8" t="str">
        <f t="shared" ref="R100:R114" si="77">A100</f>
        <v xml:space="preserve">  BOL</v>
      </c>
      <c r="S100" s="8">
        <f t="shared" ref="S100:S114" si="78">H100*1</f>
        <v>2022</v>
      </c>
      <c r="T100" s="8">
        <f t="shared" ref="T100:T114" si="79">B100-F100</f>
        <v>-9.1234026431297579</v>
      </c>
      <c r="U100" s="8">
        <f t="shared" ref="U100:U114" si="80">C100-G100</f>
        <v>-8.4531297547313784</v>
      </c>
      <c r="W100" s="8">
        <f>Fact7!P98</f>
        <v>-29.019423445373114</v>
      </c>
    </row>
    <row r="101" spans="1:23">
      <c r="A101" s="4631" t="s">
        <v>1192</v>
      </c>
      <c r="B101" s="4632">
        <v>41.681390607604953</v>
      </c>
      <c r="C101" s="4633">
        <v>74.303828913376591</v>
      </c>
      <c r="D101" s="4634">
        <v>56.273086503283196</v>
      </c>
      <c r="E101" s="4635">
        <v>82.070532993030127</v>
      </c>
      <c r="F101" s="4636">
        <v>52.656434619716862</v>
      </c>
      <c r="G101" s="4637">
        <v>86.068863401121661</v>
      </c>
      <c r="H101" s="4638">
        <v>2019</v>
      </c>
      <c r="I101" s="4639">
        <v>216422446</v>
      </c>
      <c r="J101" s="2939"/>
      <c r="K101" s="8" t="str">
        <f t="shared" si="71"/>
        <v xml:space="preserve">  BRA</v>
      </c>
      <c r="L101" s="8">
        <f t="shared" si="72"/>
        <v>2019</v>
      </c>
      <c r="M101" s="8">
        <f t="shared" si="73"/>
        <v>41.681390607604953</v>
      </c>
      <c r="N101" s="8">
        <f t="shared" si="74"/>
        <v>74.303828913376591</v>
      </c>
      <c r="O101" s="8">
        <f t="shared" si="75"/>
        <v>52.656434619716862</v>
      </c>
      <c r="P101" s="8">
        <f t="shared" si="76"/>
        <v>86.068863401121661</v>
      </c>
      <c r="Q101" s="3746"/>
      <c r="R101" s="8" t="str">
        <f t="shared" si="77"/>
        <v xml:space="preserve">  BRA</v>
      </c>
      <c r="S101" s="8">
        <f t="shared" si="78"/>
        <v>2019</v>
      </c>
      <c r="T101" s="8">
        <f t="shared" si="79"/>
        <v>-10.975044012111908</v>
      </c>
      <c r="U101" s="8">
        <f t="shared" si="80"/>
        <v>-11.765034487745069</v>
      </c>
      <c r="W101" s="8">
        <f>Fact7!P99</f>
        <v>-19.640772330150341</v>
      </c>
    </row>
    <row r="102" spans="1:23">
      <c r="A102" s="4640" t="s">
        <v>1193</v>
      </c>
      <c r="B102" s="4641">
        <v>45.706653097570282</v>
      </c>
      <c r="C102" s="4642">
        <v>60.079244426406554</v>
      </c>
      <c r="D102" s="4643">
        <v>48.170438131921038</v>
      </c>
      <c r="E102" s="4644">
        <v>69.354731746137006</v>
      </c>
      <c r="F102" s="4645">
        <v>53.280903792144741</v>
      </c>
      <c r="G102" s="4646">
        <v>79.767996724744478</v>
      </c>
      <c r="H102" s="4647">
        <v>2017</v>
      </c>
      <c r="I102" s="4648">
        <v>19629590</v>
      </c>
      <c r="J102" s="2940"/>
      <c r="K102" s="8" t="str">
        <f t="shared" si="71"/>
        <v xml:space="preserve">  CHL</v>
      </c>
      <c r="L102" s="8">
        <f t="shared" si="72"/>
        <v>2017</v>
      </c>
      <c r="M102" s="8">
        <f t="shared" si="73"/>
        <v>45.706653097570282</v>
      </c>
      <c r="N102" s="8">
        <f t="shared" si="74"/>
        <v>60.079244426406554</v>
      </c>
      <c r="O102" s="8">
        <f t="shared" si="75"/>
        <v>53.280903792144741</v>
      </c>
      <c r="P102" s="8">
        <f t="shared" si="76"/>
        <v>79.767996724744478</v>
      </c>
      <c r="Q102" s="3747"/>
      <c r="R102" s="8" t="str">
        <f t="shared" si="77"/>
        <v xml:space="preserve">  CHL</v>
      </c>
      <c r="S102" s="8">
        <f t="shared" si="78"/>
        <v>2017</v>
      </c>
      <c r="T102" s="8">
        <f t="shared" si="79"/>
        <v>-7.5742506945744594</v>
      </c>
      <c r="U102" s="8">
        <f t="shared" si="80"/>
        <v>-19.688752298337924</v>
      </c>
      <c r="W102" s="8">
        <f>Fact7!P100</f>
        <v>-19.747785626351707</v>
      </c>
    </row>
    <row r="103" spans="1:23">
      <c r="A103" s="4649" t="s">
        <v>1194</v>
      </c>
      <c r="B103" s="4650">
        <v>7.5579779731676622</v>
      </c>
      <c r="C103" s="4651">
        <v>32.607367460634464</v>
      </c>
      <c r="D103" s="4652">
        <v>13.716771624584338</v>
      </c>
      <c r="E103" s="4653">
        <v>48.101781465824615</v>
      </c>
      <c r="F103" s="4654">
        <v>24.487666495598042</v>
      </c>
      <c r="G103" s="4655">
        <v>70.401073315778135</v>
      </c>
      <c r="H103" s="4656">
        <v>2021</v>
      </c>
      <c r="I103" s="4657">
        <v>52085168</v>
      </c>
      <c r="J103" s="2941"/>
      <c r="K103" s="8" t="str">
        <f t="shared" si="71"/>
        <v xml:space="preserve">  COL</v>
      </c>
      <c r="L103" s="8">
        <f t="shared" si="72"/>
        <v>2021</v>
      </c>
      <c r="M103" s="8">
        <f t="shared" si="73"/>
        <v>7.5579779731676622</v>
      </c>
      <c r="N103" s="8">
        <f t="shared" si="74"/>
        <v>32.607367460634464</v>
      </c>
      <c r="O103" s="8">
        <f t="shared" si="75"/>
        <v>24.487666495598042</v>
      </c>
      <c r="P103" s="8">
        <f t="shared" si="76"/>
        <v>70.401073315778135</v>
      </c>
      <c r="Q103" s="3748"/>
      <c r="R103" s="8" t="str">
        <f t="shared" si="77"/>
        <v xml:space="preserve">  COL</v>
      </c>
      <c r="S103" s="8">
        <f t="shared" si="78"/>
        <v>2021</v>
      </c>
      <c r="T103" s="8">
        <f t="shared" si="79"/>
        <v>-16.929688522430379</v>
      </c>
      <c r="U103" s="8">
        <f t="shared" si="80"/>
        <v>-37.793705855143671</v>
      </c>
      <c r="W103" s="8">
        <f>Fact7!P101</f>
        <v>-42.886561100583961</v>
      </c>
    </row>
    <row r="104" spans="1:23">
      <c r="A104" s="4658" t="s">
        <v>1195</v>
      </c>
      <c r="B104" s="4659">
        <v>63.432496469856162</v>
      </c>
      <c r="C104" s="4660">
        <v>73.987487006491847</v>
      </c>
      <c r="D104" s="4661">
        <v>73.739439151536942</v>
      </c>
      <c r="E104" s="4662">
        <v>74.398309073045084</v>
      </c>
      <c r="F104" s="4663">
        <v>75.83568286748627</v>
      </c>
      <c r="G104" s="4664">
        <v>86.214339222451358</v>
      </c>
      <c r="H104" s="4665">
        <v>2023</v>
      </c>
      <c r="I104" s="4666">
        <v>5212173</v>
      </c>
      <c r="J104" s="2942"/>
      <c r="K104" s="8" t="str">
        <f t="shared" si="71"/>
        <v xml:space="preserve">  CRI</v>
      </c>
      <c r="L104" s="8">
        <f t="shared" si="72"/>
        <v>2023</v>
      </c>
      <c r="M104" s="8">
        <f t="shared" si="73"/>
        <v>63.432496469856162</v>
      </c>
      <c r="N104" s="8">
        <f t="shared" si="74"/>
        <v>73.987487006491847</v>
      </c>
      <c r="O104" s="8">
        <f t="shared" si="75"/>
        <v>75.83568286748627</v>
      </c>
      <c r="P104" s="8">
        <f t="shared" si="76"/>
        <v>86.214339222451358</v>
      </c>
      <c r="Q104" s="3749"/>
      <c r="R104" s="8" t="str">
        <f t="shared" si="77"/>
        <v xml:space="preserve">  CRI</v>
      </c>
      <c r="S104" s="8">
        <f t="shared" si="78"/>
        <v>2023</v>
      </c>
      <c r="T104" s="8">
        <f t="shared" si="79"/>
        <v>-12.403186397630108</v>
      </c>
      <c r="U104" s="8">
        <f t="shared" si="80"/>
        <v>-12.226852215959511</v>
      </c>
      <c r="W104" s="8">
        <f>Fact7!P102</f>
        <v>-14.478064000136442</v>
      </c>
    </row>
    <row r="105" spans="1:23">
      <c r="A105" s="4667" t="s">
        <v>1196</v>
      </c>
      <c r="B105" s="4668">
        <v>17.171509482898241</v>
      </c>
      <c r="C105" s="4669">
        <v>22.722322738300679</v>
      </c>
      <c r="D105" s="4670">
        <v>28.406086281030777</v>
      </c>
      <c r="E105" s="4671">
        <v>26.372724415526832</v>
      </c>
      <c r="F105" s="4672">
        <v>34.304504071124242</v>
      </c>
      <c r="G105" s="4673">
        <v>47.215092529995516</v>
      </c>
      <c r="H105" s="4674">
        <v>2022</v>
      </c>
      <c r="I105" s="4675">
        <v>11332973</v>
      </c>
      <c r="J105" s="2943"/>
      <c r="K105" s="8" t="str">
        <f t="shared" si="71"/>
        <v xml:space="preserve">  DOM</v>
      </c>
      <c r="L105" s="8">
        <f t="shared" si="72"/>
        <v>2022</v>
      </c>
      <c r="M105" s="8">
        <f t="shared" si="73"/>
        <v>17.171509482898241</v>
      </c>
      <c r="N105" s="8">
        <f t="shared" si="74"/>
        <v>22.722322738300679</v>
      </c>
      <c r="O105" s="8">
        <f t="shared" si="75"/>
        <v>34.304504071124242</v>
      </c>
      <c r="P105" s="8">
        <f t="shared" si="76"/>
        <v>47.215092529995516</v>
      </c>
      <c r="Q105" s="3750"/>
      <c r="R105" s="8" t="str">
        <f t="shared" si="77"/>
        <v xml:space="preserve">  DOM</v>
      </c>
      <c r="S105" s="8">
        <f t="shared" si="78"/>
        <v>2022</v>
      </c>
      <c r="T105" s="8">
        <f t="shared" si="79"/>
        <v>-17.132994588226001</v>
      </c>
      <c r="U105" s="8">
        <f t="shared" si="80"/>
        <v>-24.492769791694837</v>
      </c>
      <c r="W105" s="8">
        <f>Fact7!P103</f>
        <v>-24.122124994970601</v>
      </c>
    </row>
    <row r="106" spans="1:23">
      <c r="A106" s="4676" t="s">
        <v>1197</v>
      </c>
      <c r="B106" s="4677">
        <v>4.6791682137643269</v>
      </c>
      <c r="C106" s="4678">
        <v>19.641371484864283</v>
      </c>
      <c r="D106" s="4679">
        <v>8.4976988400945981</v>
      </c>
      <c r="E106" s="4680">
        <v>24.264466506774649</v>
      </c>
      <c r="F106" s="4681">
        <v>26.272994002309581</v>
      </c>
      <c r="G106" s="4682">
        <v>52.381454544044892</v>
      </c>
      <c r="H106" s="4683">
        <v>2017</v>
      </c>
      <c r="I106" s="4684">
        <v>18190484</v>
      </c>
      <c r="J106" s="2944"/>
      <c r="K106" s="8" t="str">
        <f t="shared" si="71"/>
        <v xml:space="preserve">  ECU</v>
      </c>
      <c r="L106" s="8">
        <f t="shared" si="72"/>
        <v>2017</v>
      </c>
      <c r="M106" s="8">
        <f t="shared" si="73"/>
        <v>4.6791682137643269</v>
      </c>
      <c r="N106" s="8">
        <f t="shared" si="74"/>
        <v>19.641371484864283</v>
      </c>
      <c r="O106" s="8">
        <f t="shared" si="75"/>
        <v>26.272994002309581</v>
      </c>
      <c r="P106" s="8">
        <f t="shared" si="76"/>
        <v>52.381454544044892</v>
      </c>
      <c r="Q106" s="3751"/>
      <c r="R106" s="8" t="str">
        <f t="shared" si="77"/>
        <v xml:space="preserve">  ECU</v>
      </c>
      <c r="S106" s="8">
        <f t="shared" si="78"/>
        <v>2017</v>
      </c>
      <c r="T106" s="8">
        <f t="shared" si="79"/>
        <v>-21.593825788545253</v>
      </c>
      <c r="U106" s="8">
        <f t="shared" si="80"/>
        <v>-32.740083059180606</v>
      </c>
      <c r="W106" s="8">
        <f>Fact7!P104</f>
        <v>-36.544466854700076</v>
      </c>
    </row>
    <row r="107" spans="1:23">
      <c r="A107" s="4685" t="s">
        <v>1204</v>
      </c>
      <c r="B107" s="4686">
        <v>10.436290550052682</v>
      </c>
      <c r="C107" s="4687">
        <v>27.834572490706321</v>
      </c>
      <c r="D107" s="4688">
        <v>16.085144019139641</v>
      </c>
      <c r="E107" s="4689">
        <v>40.226123625076319</v>
      </c>
      <c r="F107" s="4690">
        <v>30.011957352110809</v>
      </c>
      <c r="G107" s="4691">
        <v>62.597381958094601</v>
      </c>
      <c r="H107" s="4692">
        <v>2022</v>
      </c>
      <c r="I107" s="4693">
        <v>18092026</v>
      </c>
      <c r="J107" s="2945"/>
      <c r="K107" s="8" t="str">
        <f t="shared" si="71"/>
        <v xml:space="preserve">  GTM</v>
      </c>
      <c r="L107" s="8">
        <f t="shared" si="72"/>
        <v>2022</v>
      </c>
      <c r="M107" s="8">
        <f t="shared" si="73"/>
        <v>10.436290550052682</v>
      </c>
      <c r="N107" s="8">
        <f t="shared" si="74"/>
        <v>27.834572490706321</v>
      </c>
      <c r="O107" s="8">
        <f t="shared" si="75"/>
        <v>30.011957352110809</v>
      </c>
      <c r="P107" s="8">
        <f t="shared" si="76"/>
        <v>62.597381958094601</v>
      </c>
      <c r="Q107" s="3752"/>
      <c r="R107" s="8" t="str">
        <f t="shared" si="77"/>
        <v xml:space="preserve">  GTM</v>
      </c>
      <c r="S107" s="8">
        <f t="shared" si="78"/>
        <v>2022</v>
      </c>
      <c r="T107" s="8">
        <f t="shared" si="79"/>
        <v>-19.575666802058127</v>
      </c>
      <c r="U107" s="8">
        <f t="shared" si="80"/>
        <v>-34.76280946738828</v>
      </c>
      <c r="W107" s="8">
        <f>Fact7!P105</f>
        <v>-33.022426411439426</v>
      </c>
    </row>
    <row r="108" spans="1:23">
      <c r="A108" s="4694" t="s">
        <v>1199</v>
      </c>
      <c r="B108" s="4695">
        <v>27.107116019600607</v>
      </c>
      <c r="C108" s="4696">
        <v>54.280548109844332</v>
      </c>
      <c r="D108" s="4697">
        <v>42.874796545431145</v>
      </c>
      <c r="E108" s="4698">
        <v>56.382548464313295</v>
      </c>
      <c r="F108" s="4699">
        <v>58.232769582597108</v>
      </c>
      <c r="G108" s="4700">
        <v>76.273024764947579</v>
      </c>
      <c r="H108" s="4701">
        <v>2023</v>
      </c>
      <c r="I108" s="4702">
        <v>10593798</v>
      </c>
      <c r="J108" s="2946"/>
      <c r="K108" s="8" t="str">
        <f t="shared" si="71"/>
        <v xml:space="preserve">  HND</v>
      </c>
      <c r="L108" s="8">
        <f t="shared" si="72"/>
        <v>2023</v>
      </c>
      <c r="M108" s="8">
        <f t="shared" si="73"/>
        <v>27.107116019600607</v>
      </c>
      <c r="N108" s="8">
        <f t="shared" si="74"/>
        <v>54.280548109844332</v>
      </c>
      <c r="O108" s="8">
        <f t="shared" si="75"/>
        <v>58.232769582597108</v>
      </c>
      <c r="P108" s="8">
        <f t="shared" si="76"/>
        <v>76.273024764947579</v>
      </c>
      <c r="Q108" s="3753"/>
      <c r="R108" s="8" t="str">
        <f t="shared" si="77"/>
        <v xml:space="preserve">  HND</v>
      </c>
      <c r="S108" s="8">
        <f t="shared" si="78"/>
        <v>2023</v>
      </c>
      <c r="T108" s="8">
        <f t="shared" si="79"/>
        <v>-31.125653562996501</v>
      </c>
      <c r="U108" s="8">
        <f t="shared" si="80"/>
        <v>-21.992476655103246</v>
      </c>
      <c r="W108" s="8">
        <f>Fact7!P106</f>
        <v>-33.949847330749826</v>
      </c>
    </row>
    <row r="109" spans="1:23">
      <c r="A109" s="4703" t="s">
        <v>1205</v>
      </c>
      <c r="B109" s="4704">
        <v>15.260140375534551</v>
      </c>
      <c r="C109" s="4705">
        <v>32.904892310770009</v>
      </c>
      <c r="D109" s="4706">
        <v>28.887414075183294</v>
      </c>
      <c r="E109" s="4707">
        <v>51.682042803031237</v>
      </c>
      <c r="F109" s="4708">
        <v>44.005146614988725</v>
      </c>
      <c r="G109" s="4709">
        <v>74.280247667612926</v>
      </c>
      <c r="H109" s="4710">
        <v>2022</v>
      </c>
      <c r="I109" s="4711">
        <v>128455567</v>
      </c>
      <c r="J109" s="2947"/>
      <c r="K109" s="8" t="str">
        <f t="shared" si="71"/>
        <v xml:space="preserve">  MEX</v>
      </c>
      <c r="L109" s="8">
        <f t="shared" si="72"/>
        <v>2022</v>
      </c>
      <c r="M109" s="8">
        <f t="shared" si="73"/>
        <v>15.260140375534551</v>
      </c>
      <c r="N109" s="8">
        <f t="shared" si="74"/>
        <v>32.904892310770009</v>
      </c>
      <c r="O109" s="8">
        <f t="shared" si="75"/>
        <v>44.005146614988725</v>
      </c>
      <c r="P109" s="8">
        <f t="shared" si="76"/>
        <v>74.280247667612926</v>
      </c>
      <c r="Q109" s="3754"/>
      <c r="R109" s="8" t="str">
        <f t="shared" si="77"/>
        <v xml:space="preserve">  MEX</v>
      </c>
      <c r="S109" s="8">
        <f t="shared" si="78"/>
        <v>2022</v>
      </c>
      <c r="T109" s="8">
        <f t="shared" si="79"/>
        <v>-28.745006239454174</v>
      </c>
      <c r="U109" s="8">
        <f t="shared" si="80"/>
        <v>-41.375355356842917</v>
      </c>
      <c r="W109" s="8">
        <f>Fact7!P107</f>
        <v>-45.998902727362562</v>
      </c>
    </row>
    <row r="110" spans="1:23">
      <c r="A110" s="4712" t="s">
        <v>1200</v>
      </c>
      <c r="B110" s="4713">
        <v>42.76945645460161</v>
      </c>
      <c r="C110" s="4714">
        <v>87.236889506458752</v>
      </c>
      <c r="D110" s="4715">
        <v>56.327417873807697</v>
      </c>
      <c r="E110" s="4716">
        <v>83.268422473296582</v>
      </c>
      <c r="F110" s="4717">
        <v>73.97433572141108</v>
      </c>
      <c r="G110" s="4718">
        <v>93.027063955262776</v>
      </c>
      <c r="H110" s="4719">
        <v>2022</v>
      </c>
      <c r="I110" s="4720">
        <v>4468087</v>
      </c>
      <c r="J110" s="2948"/>
      <c r="K110" s="8" t="str">
        <f t="shared" si="71"/>
        <v xml:space="preserve">  PAN</v>
      </c>
      <c r="L110" s="8">
        <f t="shared" si="72"/>
        <v>2022</v>
      </c>
      <c r="M110" s="8">
        <f t="shared" si="73"/>
        <v>42.76945645460161</v>
      </c>
      <c r="N110" s="8">
        <f t="shared" si="74"/>
        <v>87.236889506458752</v>
      </c>
      <c r="O110" s="8">
        <f t="shared" si="75"/>
        <v>73.97433572141108</v>
      </c>
      <c r="P110" s="8">
        <f t="shared" si="76"/>
        <v>93.027063955262776</v>
      </c>
      <c r="Q110" s="3755"/>
      <c r="R110" s="8" t="str">
        <f t="shared" si="77"/>
        <v xml:space="preserve">  PAN</v>
      </c>
      <c r="S110" s="8">
        <f t="shared" si="78"/>
        <v>2022</v>
      </c>
      <c r="T110" s="8">
        <f t="shared" si="79"/>
        <v>-31.204879266809471</v>
      </c>
      <c r="U110" s="8">
        <f t="shared" si="80"/>
        <v>-5.7901744488040237</v>
      </c>
      <c r="W110" s="8">
        <f>Fact7!P108</f>
        <v>-34.210728974046653</v>
      </c>
    </row>
    <row r="111" spans="1:23">
      <c r="A111" s="4721" t="s">
        <v>1201</v>
      </c>
      <c r="B111" s="4722">
        <v>10.413536044568957</v>
      </c>
      <c r="C111" s="4723">
        <v>35.709063093668327</v>
      </c>
      <c r="D111" s="4724">
        <v>15.366715122551236</v>
      </c>
      <c r="E111" s="4725">
        <v>46.17130519035954</v>
      </c>
      <c r="F111" s="4726">
        <v>30.153251455746897</v>
      </c>
      <c r="G111" s="4727">
        <v>72.469224874805349</v>
      </c>
      <c r="H111" s="4728">
        <v>2022</v>
      </c>
      <c r="I111" s="4729">
        <v>34352719</v>
      </c>
      <c r="J111" s="2949"/>
      <c r="K111" s="8" t="str">
        <f t="shared" si="71"/>
        <v xml:space="preserve">  PER</v>
      </c>
      <c r="L111" s="8">
        <f t="shared" si="72"/>
        <v>2022</v>
      </c>
      <c r="M111" s="8">
        <f t="shared" si="73"/>
        <v>10.413536044568957</v>
      </c>
      <c r="N111" s="8">
        <f t="shared" si="74"/>
        <v>35.709063093668327</v>
      </c>
      <c r="O111" s="8">
        <f t="shared" si="75"/>
        <v>30.153251455746897</v>
      </c>
      <c r="P111" s="8">
        <f t="shared" si="76"/>
        <v>72.469224874805349</v>
      </c>
      <c r="Q111" s="3756"/>
      <c r="R111" s="8" t="str">
        <f t="shared" si="77"/>
        <v xml:space="preserve">  PER</v>
      </c>
      <c r="S111" s="8">
        <f t="shared" si="78"/>
        <v>2022</v>
      </c>
      <c r="T111" s="8">
        <f t="shared" si="79"/>
        <v>-19.73971541117794</v>
      </c>
      <c r="U111" s="8">
        <f t="shared" si="80"/>
        <v>-36.760161781137022</v>
      </c>
      <c r="W111" s="8">
        <f>Fact7!P109</f>
        <v>-43.52279591672351</v>
      </c>
    </row>
    <row r="112" spans="1:23">
      <c r="A112" s="4730" t="s">
        <v>1202</v>
      </c>
      <c r="B112" s="4731">
        <v>5.5062200007441682</v>
      </c>
      <c r="C112" s="4732">
        <v>27.159805717015683</v>
      </c>
      <c r="D112" s="4733">
        <v>8.9836156623160228</v>
      </c>
      <c r="E112" s="4734">
        <v>39.579748324562445</v>
      </c>
      <c r="F112" s="4735">
        <v>31.014067554351914</v>
      </c>
      <c r="G112" s="4736">
        <v>76.710613166916048</v>
      </c>
      <c r="H112" s="4737">
        <v>2022</v>
      </c>
      <c r="I112" s="4738">
        <v>6861524</v>
      </c>
      <c r="J112" s="2950"/>
      <c r="K112" s="8" t="str">
        <f t="shared" si="71"/>
        <v xml:space="preserve">  PRY</v>
      </c>
      <c r="L112" s="8">
        <f t="shared" si="72"/>
        <v>2022</v>
      </c>
      <c r="M112" s="8">
        <f t="shared" si="73"/>
        <v>5.5062200007441682</v>
      </c>
      <c r="N112" s="8">
        <f t="shared" si="74"/>
        <v>27.159805717015683</v>
      </c>
      <c r="O112" s="8">
        <f t="shared" si="75"/>
        <v>31.014067554351914</v>
      </c>
      <c r="P112" s="8">
        <f t="shared" si="76"/>
        <v>76.710613166916048</v>
      </c>
      <c r="Q112" s="3757"/>
      <c r="R112" s="8" t="str">
        <f t="shared" si="77"/>
        <v xml:space="preserve">  PRY</v>
      </c>
      <c r="S112" s="8">
        <f t="shared" si="78"/>
        <v>2022</v>
      </c>
      <c r="T112" s="8">
        <f t="shared" si="79"/>
        <v>-25.507847553607746</v>
      </c>
      <c r="U112" s="8">
        <f t="shared" si="80"/>
        <v>-49.550807449900361</v>
      </c>
      <c r="W112" s="8">
        <f>Fact7!P110</f>
        <v>-52.409822933552299</v>
      </c>
    </row>
    <row r="113" spans="1:23">
      <c r="A113" s="4739" t="s">
        <v>1206</v>
      </c>
      <c r="B113" s="4740">
        <v>8.6764142932980199</v>
      </c>
      <c r="C113" s="4741">
        <v>33.05941908856812</v>
      </c>
      <c r="D113" s="4742">
        <v>8.9145248566939284</v>
      </c>
      <c r="E113" s="4743">
        <v>41.502838116274454</v>
      </c>
      <c r="F113" s="4744">
        <v>17.227969500939182</v>
      </c>
      <c r="G113" s="4745">
        <v>56.239051231836932</v>
      </c>
      <c r="H113" s="4746">
        <v>2023</v>
      </c>
      <c r="I113" s="4747">
        <v>6364943</v>
      </c>
      <c r="J113" s="2951"/>
      <c r="K113" s="8" t="str">
        <f t="shared" si="71"/>
        <v xml:space="preserve">  SLV</v>
      </c>
      <c r="L113" s="8">
        <f t="shared" si="72"/>
        <v>2023</v>
      </c>
      <c r="M113" s="8">
        <f t="shared" si="73"/>
        <v>8.6764142932980199</v>
      </c>
      <c r="N113" s="8">
        <f t="shared" si="74"/>
        <v>33.05941908856812</v>
      </c>
      <c r="O113" s="8">
        <f t="shared" si="75"/>
        <v>17.227969500939182</v>
      </c>
      <c r="P113" s="8">
        <f t="shared" si="76"/>
        <v>56.239051231836932</v>
      </c>
      <c r="Q113" s="3758"/>
      <c r="R113" s="8" t="str">
        <f t="shared" si="77"/>
        <v xml:space="preserve">  SLV</v>
      </c>
      <c r="S113" s="8">
        <f t="shared" si="78"/>
        <v>2023</v>
      </c>
      <c r="T113" s="8">
        <f t="shared" si="79"/>
        <v>-8.5515552076411616</v>
      </c>
      <c r="U113" s="8">
        <f t="shared" si="80"/>
        <v>-23.179632143268812</v>
      </c>
      <c r="W113" s="8">
        <f>Fact7!P111</f>
        <v>-26.776622425346964</v>
      </c>
    </row>
    <row r="114" spans="1:23">
      <c r="A114" s="4748" t="s">
        <v>1207</v>
      </c>
      <c r="B114" s="4749">
        <v>29.452529452529454</v>
      </c>
      <c r="C114" s="4750">
        <v>39.948628843393521</v>
      </c>
      <c r="D114" s="4751">
        <v>36.917000324640192</v>
      </c>
      <c r="E114" s="4752">
        <v>52.771051923594293</v>
      </c>
      <c r="F114" s="4753">
        <v>63.387215637949566</v>
      </c>
      <c r="G114" s="4754">
        <v>81.723060422618005</v>
      </c>
      <c r="H114" s="4755">
        <v>2022</v>
      </c>
      <c r="I114" s="4756">
        <v>3423109</v>
      </c>
      <c r="J114" s="2952"/>
      <c r="K114" s="8" t="str">
        <f t="shared" si="71"/>
        <v xml:space="preserve">  URY</v>
      </c>
      <c r="L114" s="8">
        <f t="shared" si="72"/>
        <v>2022</v>
      </c>
      <c r="M114" s="8">
        <f t="shared" si="73"/>
        <v>29.452529452529454</v>
      </c>
      <c r="N114" s="8">
        <f t="shared" si="74"/>
        <v>39.948628843393521</v>
      </c>
      <c r="O114" s="8">
        <f t="shared" si="75"/>
        <v>63.387215637949566</v>
      </c>
      <c r="P114" s="8">
        <f t="shared" si="76"/>
        <v>81.723060422618005</v>
      </c>
      <c r="Q114" s="3759"/>
      <c r="R114" s="8" t="str">
        <f t="shared" si="77"/>
        <v xml:space="preserve">  URY</v>
      </c>
      <c r="S114" s="8">
        <f t="shared" si="78"/>
        <v>2022</v>
      </c>
      <c r="T114" s="8">
        <f t="shared" si="79"/>
        <v>-33.934686185420112</v>
      </c>
      <c r="U114" s="8">
        <f t="shared" si="80"/>
        <v>-41.774431579224483</v>
      </c>
      <c r="W114" s="8">
        <f>Fact7!P112</f>
        <v>-40.575660047295287</v>
      </c>
    </row>
    <row r="115" spans="1:23">
      <c r="A115" s="4757" t="s">
        <v>1203</v>
      </c>
      <c r="B115" s="4758"/>
      <c r="C115" s="4759"/>
      <c r="D115" s="4760"/>
      <c r="E115" s="4761"/>
      <c r="F115" s="4762"/>
      <c r="G115" s="4763"/>
      <c r="H115" s="4764">
        <v>2021</v>
      </c>
      <c r="I115" s="4765">
        <v>28838499</v>
      </c>
      <c r="J115" s="2953"/>
      <c r="Q115" s="3760"/>
    </row>
    <row r="116" spans="1:23">
      <c r="A116" s="4766"/>
      <c r="B116" s="5846" t="s">
        <v>1045</v>
      </c>
      <c r="C116" s="5847" t="s">
        <v>1045</v>
      </c>
      <c r="D116" s="5848" t="s">
        <v>1045</v>
      </c>
      <c r="E116" s="5849" t="s">
        <v>1045</v>
      </c>
      <c r="F116" s="5850" t="s">
        <v>1045</v>
      </c>
      <c r="G116" s="5851" t="s">
        <v>1045</v>
      </c>
      <c r="H116" s="4767" t="s">
        <v>1186</v>
      </c>
      <c r="I116" s="4768" t="s">
        <v>1257</v>
      </c>
      <c r="J116" s="2954"/>
      <c r="K116" s="3" t="s">
        <v>1261</v>
      </c>
      <c r="L116" s="8"/>
      <c r="M116" s="8">
        <f>AVERAGE(M100:M114)</f>
        <v>24.539574263253975</v>
      </c>
      <c r="N116" s="8">
        <f>AVERAGE(N100:N114)</f>
        <v>46.4695994837233</v>
      </c>
      <c r="O116" s="8">
        <f t="shared" ref="O116:P116" si="81">AVERAGE(O100:O114)</f>
        <v>44.147401121641501</v>
      </c>
      <c r="P116" s="8">
        <f t="shared" si="81"/>
        <v>73.29267790668743</v>
      </c>
      <c r="Q116" s="3761"/>
      <c r="R116" s="3" t="s">
        <v>1261</v>
      </c>
      <c r="S116" s="8"/>
      <c r="T116" s="8">
        <f>AVERAGE(T100:T114)</f>
        <v>-19.607826858387536</v>
      </c>
      <c r="U116" s="8">
        <f t="shared" ref="U116:W116" si="82">AVERAGE(U100:U114)</f>
        <v>-26.823078422964144</v>
      </c>
      <c r="V116" s="8"/>
      <c r="W116" s="8">
        <f t="shared" si="82"/>
        <v>-33.127067007918853</v>
      </c>
    </row>
    <row r="117" spans="1:23" ht="15" thickBot="1">
      <c r="A117" s="4769"/>
      <c r="B117" s="5852" t="s">
        <v>1187</v>
      </c>
      <c r="C117" s="5852" t="s">
        <v>1187</v>
      </c>
      <c r="D117" s="5853" t="s">
        <v>1188</v>
      </c>
      <c r="E117" s="5853" t="s">
        <v>1188</v>
      </c>
      <c r="F117" s="5854" t="s">
        <v>1189</v>
      </c>
      <c r="G117" s="5854" t="s">
        <v>1189</v>
      </c>
      <c r="I117" s="4770" t="s">
        <v>1187</v>
      </c>
      <c r="J117" s="2955"/>
      <c r="K117" s="212" t="s">
        <v>1145</v>
      </c>
      <c r="L117" s="85"/>
      <c r="M117" s="85">
        <f>SUMPRODUCT(M100:M114,$I100:$I114)/SUM($I100:$I114)</f>
        <v>26.60223543705327</v>
      </c>
      <c r="N117" s="85">
        <f>SUMPRODUCT(N100:N114,$I100:$I114)/SUM($I100:$I114)</f>
        <v>51.746971074755969</v>
      </c>
      <c r="O117" s="85">
        <f t="shared" ref="O117" si="83">SUMPRODUCT(O100:O114,$I100:$I114)/SUM($I100:$I114)</f>
        <v>44.325072024562651</v>
      </c>
      <c r="P117" s="85">
        <f>SUMPRODUCT(P100:P114,$I100:$I114)/SUM($I100:$I114)</f>
        <v>77.371142064974109</v>
      </c>
      <c r="Q117" s="3762"/>
      <c r="R117" s="212" t="s">
        <v>1145</v>
      </c>
      <c r="S117" s="85"/>
      <c r="T117" s="85">
        <f>SUMPRODUCT(T100:T114,$I100:$I114)/SUM($I100:$I114)</f>
        <v>-17.722836587509374</v>
      </c>
      <c r="U117" s="85">
        <f t="shared" ref="U117:W117" si="84">SUMPRODUCT(U100:U114,$I100:$I114)/SUM($I100:$I114)</f>
        <v>-25.624170990218158</v>
      </c>
      <c r="V117" s="85"/>
      <c r="W117" s="85">
        <f t="shared" si="84"/>
        <v>-31.810360393809834</v>
      </c>
    </row>
    <row r="118" spans="1:23" ht="15" thickTop="1">
      <c r="A118" s="4771"/>
      <c r="B118" s="5855" t="s">
        <v>1258</v>
      </c>
      <c r="C118" s="5855" t="s">
        <v>1258</v>
      </c>
      <c r="D118" s="5856" t="s">
        <v>1258</v>
      </c>
      <c r="E118" s="5856" t="s">
        <v>1258</v>
      </c>
      <c r="F118" s="5857" t="s">
        <v>1258</v>
      </c>
      <c r="G118" s="5857" t="s">
        <v>1258</v>
      </c>
      <c r="L118" s="8"/>
      <c r="M118" s="8"/>
      <c r="N118" s="8"/>
      <c r="O118" s="8"/>
      <c r="P118" s="8"/>
      <c r="S118" s="8"/>
      <c r="T118" s="8"/>
      <c r="U118" s="8"/>
      <c r="V118" s="8"/>
      <c r="W118" s="8"/>
    </row>
    <row r="119" spans="1:23">
      <c r="A119" s="4772"/>
      <c r="B119" s="4773" t="s">
        <v>1259</v>
      </c>
      <c r="C119" s="4774" t="s">
        <v>1260</v>
      </c>
      <c r="D119" s="4775" t="s">
        <v>1259</v>
      </c>
      <c r="E119" s="4776" t="s">
        <v>1260</v>
      </c>
      <c r="F119" s="4777" t="s">
        <v>1259</v>
      </c>
      <c r="G119" s="4778" t="s">
        <v>1260</v>
      </c>
      <c r="L119" s="8"/>
      <c r="M119" s="8"/>
      <c r="N119" s="8"/>
      <c r="O119" s="8"/>
      <c r="P119" s="8"/>
      <c r="S119" s="8"/>
      <c r="T119" s="8"/>
      <c r="U119" s="8"/>
      <c r="V119" s="8"/>
      <c r="W119" s="8"/>
    </row>
    <row r="120" spans="1:23" ht="15" thickBot="1">
      <c r="A120" s="4779"/>
      <c r="B120" s="4780" t="s">
        <v>1220</v>
      </c>
      <c r="C120" s="4781" t="s">
        <v>1220</v>
      </c>
      <c r="D120" s="4782" t="s">
        <v>1220</v>
      </c>
      <c r="E120" s="4783" t="s">
        <v>1220</v>
      </c>
      <c r="F120" s="4784" t="s">
        <v>1220</v>
      </c>
      <c r="G120" s="4785" t="s">
        <v>1220</v>
      </c>
      <c r="K120" s="972"/>
      <c r="L120" s="8"/>
      <c r="M120" s="8"/>
      <c r="N120" s="8"/>
      <c r="O120" s="8"/>
      <c r="P120" s="8"/>
      <c r="S120" s="8"/>
      <c r="T120" s="8"/>
      <c r="U120" s="8"/>
      <c r="V120" s="8"/>
      <c r="W120" s="8"/>
    </row>
    <row r="121" spans="1:23" ht="15.5" thickTop="1" thickBot="1">
      <c r="A121" s="4786"/>
      <c r="B121" s="4787" t="s">
        <v>1187</v>
      </c>
      <c r="C121" s="4788" t="s">
        <v>1187</v>
      </c>
      <c r="D121" s="4789" t="s">
        <v>1187</v>
      </c>
      <c r="E121" s="4790" t="s">
        <v>1187</v>
      </c>
      <c r="F121" s="4791" t="s">
        <v>1187</v>
      </c>
      <c r="G121" s="4792" t="s">
        <v>1187</v>
      </c>
      <c r="K121" s="972" t="str">
        <f>E120</f>
        <v>La principal fuente de iluminación es electricidad</v>
      </c>
      <c r="L121" s="2649"/>
      <c r="M121" s="85"/>
      <c r="N121" s="85"/>
      <c r="O121" s="85"/>
      <c r="P121" s="85"/>
      <c r="R121" s="972" t="str">
        <f>E120</f>
        <v>La principal fuente de iluminación es electricidad</v>
      </c>
      <c r="S121" s="2649"/>
      <c r="T121" s="85"/>
      <c r="U121" s="85"/>
      <c r="V121" s="85"/>
      <c r="W121" s="85"/>
    </row>
    <row r="122" spans="1:23" ht="15" thickTop="1">
      <c r="A122" s="4793" t="s">
        <v>1125</v>
      </c>
      <c r="B122" s="4794"/>
      <c r="C122" s="4795"/>
      <c r="D122" s="4796"/>
      <c r="E122" s="4797"/>
      <c r="F122" s="4798"/>
      <c r="G122" s="4799"/>
      <c r="H122" s="4800"/>
      <c r="I122" s="4801"/>
      <c r="J122" s="2956"/>
      <c r="K122" s="213" t="s">
        <v>904</v>
      </c>
      <c r="L122" s="216" t="s">
        <v>938</v>
      </c>
      <c r="M122" s="2650" t="s">
        <v>1273</v>
      </c>
      <c r="N122" s="2650" t="s">
        <v>1136</v>
      </c>
      <c r="O122" s="2650"/>
      <c r="P122" s="2650"/>
      <c r="Q122" s="3763"/>
      <c r="R122" s="213" t="s">
        <v>904</v>
      </c>
      <c r="S122" s="216" t="s">
        <v>938</v>
      </c>
      <c r="T122" s="2650" t="s">
        <v>1273</v>
      </c>
      <c r="U122" s="2650" t="s">
        <v>1136</v>
      </c>
      <c r="W122" s="76" t="s">
        <v>901</v>
      </c>
    </row>
    <row r="123" spans="1:23">
      <c r="A123" s="4802" t="s">
        <v>1191</v>
      </c>
      <c r="B123" s="4803">
        <v>83.718225497436521</v>
      </c>
      <c r="C123" s="4804">
        <v>99.594458819566427</v>
      </c>
      <c r="D123" s="4805">
        <v>86.523035547909771</v>
      </c>
      <c r="E123" s="4806">
        <v>99.465835128857051</v>
      </c>
      <c r="F123" s="4807">
        <v>93.255413036639737</v>
      </c>
      <c r="G123" s="4808">
        <v>99.864398604282059</v>
      </c>
      <c r="H123" s="4809">
        <v>2022</v>
      </c>
      <c r="I123" s="4810">
        <v>12388571</v>
      </c>
      <c r="J123" s="2957"/>
      <c r="K123" s="8" t="str">
        <f t="shared" ref="K123:K137" si="85">A123</f>
        <v xml:space="preserve">  BOL</v>
      </c>
      <c r="L123" s="8">
        <f t="shared" ref="L123:L137" si="86">H123</f>
        <v>2022</v>
      </c>
      <c r="M123" s="8">
        <f t="shared" ref="M123:M137" si="87">B123</f>
        <v>83.718225497436521</v>
      </c>
      <c r="N123" s="8">
        <f t="shared" ref="N123:N137" si="88">C123</f>
        <v>99.594458819566427</v>
      </c>
      <c r="O123" s="8">
        <f t="shared" ref="O123:O137" si="89">F123</f>
        <v>93.255413036639737</v>
      </c>
      <c r="P123" s="8">
        <f t="shared" ref="P123:P137" si="90">G123</f>
        <v>99.864398604282059</v>
      </c>
      <c r="Q123" s="3764"/>
      <c r="R123" s="8" t="str">
        <f t="shared" ref="R123:R137" si="91">A123</f>
        <v xml:space="preserve">  BOL</v>
      </c>
      <c r="S123" s="8">
        <f t="shared" ref="S123:S137" si="92">H123*1</f>
        <v>2022</v>
      </c>
      <c r="T123" s="8">
        <f t="shared" ref="T123:T137" si="93">B123-F123</f>
        <v>-9.5371875392032166</v>
      </c>
      <c r="U123" s="8">
        <f t="shared" ref="U123:U137" si="94">C123-G123</f>
        <v>-0.26993978471563196</v>
      </c>
      <c r="W123" s="8">
        <f>Fact7!P121</f>
        <v>-10.960401836943959</v>
      </c>
    </row>
    <row r="124" spans="1:23">
      <c r="A124" s="4811" t="s">
        <v>1192</v>
      </c>
      <c r="B124" s="4812">
        <v>97.554600055074587</v>
      </c>
      <c r="C124" s="4813">
        <v>99.670763378223839</v>
      </c>
      <c r="D124" s="4814">
        <v>98.890466768736445</v>
      </c>
      <c r="E124" s="4815">
        <v>99.836563750090747</v>
      </c>
      <c r="F124" s="4816">
        <v>99.238275549960846</v>
      </c>
      <c r="G124" s="4817">
        <v>99.975065260714032</v>
      </c>
      <c r="H124" s="4818">
        <v>2019</v>
      </c>
      <c r="I124" s="4819">
        <v>216422446</v>
      </c>
      <c r="J124" s="2958"/>
      <c r="K124" s="8" t="str">
        <f t="shared" si="85"/>
        <v xml:space="preserve">  BRA</v>
      </c>
      <c r="L124" s="8">
        <f t="shared" si="86"/>
        <v>2019</v>
      </c>
      <c r="M124" s="8">
        <f t="shared" si="87"/>
        <v>97.554600055074587</v>
      </c>
      <c r="N124" s="8">
        <f t="shared" si="88"/>
        <v>99.670763378223839</v>
      </c>
      <c r="O124" s="8">
        <f t="shared" si="89"/>
        <v>99.238275549960846</v>
      </c>
      <c r="P124" s="8">
        <f t="shared" si="90"/>
        <v>99.975065260714032</v>
      </c>
      <c r="Q124" s="3765"/>
      <c r="R124" s="8" t="str">
        <f t="shared" si="91"/>
        <v xml:space="preserve">  BRA</v>
      </c>
      <c r="S124" s="8">
        <f t="shared" si="92"/>
        <v>2019</v>
      </c>
      <c r="T124" s="8">
        <f t="shared" si="93"/>
        <v>-1.6836754948862591</v>
      </c>
      <c r="U124" s="8">
        <f t="shared" si="94"/>
        <v>-0.30430188249019352</v>
      </c>
      <c r="W124" s="8">
        <f>Fact7!P122</f>
        <v>-0.95006712744077504</v>
      </c>
    </row>
    <row r="125" spans="1:23">
      <c r="A125" s="4820" t="s">
        <v>1193</v>
      </c>
      <c r="B125" s="4821">
        <v>96.651825467497773</v>
      </c>
      <c r="C125" s="4822">
        <v>99.387093889511817</v>
      </c>
      <c r="D125" s="4823">
        <v>97.808510285059683</v>
      </c>
      <c r="E125" s="4824">
        <v>99.705916655042074</v>
      </c>
      <c r="F125" s="4825">
        <v>98.812749622479075</v>
      </c>
      <c r="G125" s="4826">
        <v>99.817941217094514</v>
      </c>
      <c r="H125" s="4827">
        <v>2017</v>
      </c>
      <c r="I125" s="4828">
        <v>19629590</v>
      </c>
      <c r="J125" s="2959"/>
      <c r="K125" s="8" t="str">
        <f t="shared" si="85"/>
        <v xml:space="preserve">  CHL</v>
      </c>
      <c r="L125" s="8">
        <f t="shared" si="86"/>
        <v>2017</v>
      </c>
      <c r="M125" s="8">
        <f t="shared" si="87"/>
        <v>96.651825467497773</v>
      </c>
      <c r="N125" s="8">
        <f t="shared" si="88"/>
        <v>99.387093889511817</v>
      </c>
      <c r="O125" s="8">
        <f t="shared" si="89"/>
        <v>98.812749622479075</v>
      </c>
      <c r="P125" s="8">
        <f t="shared" si="90"/>
        <v>99.817941217094514</v>
      </c>
      <c r="Q125" s="3766"/>
      <c r="R125" s="8" t="str">
        <f t="shared" si="91"/>
        <v xml:space="preserve">  CHL</v>
      </c>
      <c r="S125" s="8">
        <f t="shared" si="92"/>
        <v>2017</v>
      </c>
      <c r="T125" s="8">
        <f t="shared" si="93"/>
        <v>-2.1609241549813021</v>
      </c>
      <c r="U125" s="8">
        <f t="shared" si="94"/>
        <v>-0.43084732758269695</v>
      </c>
      <c r="W125" s="8">
        <f>Fact7!P123</f>
        <v>-0.89914791021067231</v>
      </c>
    </row>
    <row r="126" spans="1:23">
      <c r="A126" s="4829" t="s">
        <v>1194</v>
      </c>
      <c r="B126" s="4830">
        <v>91.370415919898733</v>
      </c>
      <c r="C126" s="4831">
        <v>99.863907706762163</v>
      </c>
      <c r="D126" s="4832">
        <v>95.377906593861582</v>
      </c>
      <c r="E126" s="4833">
        <v>99.954546317588338</v>
      </c>
      <c r="F126" s="4834">
        <v>96.054575636379099</v>
      </c>
      <c r="G126" s="4835">
        <v>99.995620541164257</v>
      </c>
      <c r="H126" s="4836">
        <v>2022</v>
      </c>
      <c r="I126" s="4837">
        <v>52085168</v>
      </c>
      <c r="J126" s="2960"/>
      <c r="K126" s="8" t="str">
        <f t="shared" si="85"/>
        <v xml:space="preserve">  COL</v>
      </c>
      <c r="L126" s="8">
        <f t="shared" si="86"/>
        <v>2022</v>
      </c>
      <c r="M126" s="8">
        <f t="shared" si="87"/>
        <v>91.370415919898733</v>
      </c>
      <c r="N126" s="8">
        <f t="shared" si="88"/>
        <v>99.863907706762163</v>
      </c>
      <c r="O126" s="8">
        <f t="shared" si="89"/>
        <v>96.054575636379099</v>
      </c>
      <c r="P126" s="8">
        <f t="shared" si="90"/>
        <v>99.995620541164257</v>
      </c>
      <c r="Q126" s="3767"/>
      <c r="R126" s="8" t="str">
        <f t="shared" si="91"/>
        <v xml:space="preserve">  COL</v>
      </c>
      <c r="S126" s="8">
        <f t="shared" si="92"/>
        <v>2022</v>
      </c>
      <c r="T126" s="8">
        <f t="shared" si="93"/>
        <v>-4.6841597164803659</v>
      </c>
      <c r="U126" s="8">
        <f t="shared" si="94"/>
        <v>-0.13171283440209436</v>
      </c>
      <c r="W126" s="8">
        <f>Fact7!P124</f>
        <v>-3.7336999845386885</v>
      </c>
    </row>
    <row r="127" spans="1:23">
      <c r="A127" s="4838" t="s">
        <v>1195</v>
      </c>
      <c r="B127" s="4839">
        <v>98.310317593279564</v>
      </c>
      <c r="C127" s="4840">
        <v>99.733265342146041</v>
      </c>
      <c r="D127" s="4841">
        <v>99.373090059320518</v>
      </c>
      <c r="E127" s="4842">
        <v>99.642494447517691</v>
      </c>
      <c r="F127" s="4843">
        <v>99.652259612557842</v>
      </c>
      <c r="G127" s="4844">
        <v>99.933540570501265</v>
      </c>
      <c r="H127" s="4845">
        <v>2023</v>
      </c>
      <c r="I127" s="4846">
        <v>5212173</v>
      </c>
      <c r="J127" s="2961"/>
      <c r="K127" s="8" t="str">
        <f t="shared" si="85"/>
        <v xml:space="preserve">  CRI</v>
      </c>
      <c r="L127" s="8">
        <f t="shared" si="86"/>
        <v>2023</v>
      </c>
      <c r="M127" s="8">
        <f t="shared" si="87"/>
        <v>98.310317593279564</v>
      </c>
      <c r="N127" s="8">
        <f t="shared" si="88"/>
        <v>99.733265342146041</v>
      </c>
      <c r="O127" s="8">
        <f t="shared" si="89"/>
        <v>99.652259612557842</v>
      </c>
      <c r="P127" s="8">
        <f t="shared" si="90"/>
        <v>99.933540570501265</v>
      </c>
      <c r="Q127" s="3768"/>
      <c r="R127" s="8" t="str">
        <f t="shared" si="91"/>
        <v xml:space="preserve">  CRI</v>
      </c>
      <c r="S127" s="8">
        <f t="shared" si="92"/>
        <v>2023</v>
      </c>
      <c r="T127" s="8">
        <f t="shared" si="93"/>
        <v>-1.3419420192782781</v>
      </c>
      <c r="U127" s="8">
        <f t="shared" si="94"/>
        <v>-0.20027522835522404</v>
      </c>
      <c r="W127" s="8">
        <f>Fact7!P125</f>
        <v>-0.77333408597657183</v>
      </c>
    </row>
    <row r="128" spans="1:23">
      <c r="A128" s="4847" t="s">
        <v>1196</v>
      </c>
      <c r="B128" s="4848">
        <v>97.056680308325284</v>
      </c>
      <c r="C128" s="4849">
        <v>99.21732733413748</v>
      </c>
      <c r="D128" s="4850">
        <v>98.334685381209425</v>
      </c>
      <c r="E128" s="4851">
        <v>100</v>
      </c>
      <c r="F128" s="4852">
        <v>98.220753818945155</v>
      </c>
      <c r="G128" s="4853">
        <v>99.84802509642995</v>
      </c>
      <c r="H128" s="4854">
        <v>2022</v>
      </c>
      <c r="I128" s="4855">
        <v>11332973</v>
      </c>
      <c r="J128" s="2962"/>
      <c r="K128" s="8" t="str">
        <f t="shared" si="85"/>
        <v xml:space="preserve">  DOM</v>
      </c>
      <c r="L128" s="8">
        <f t="shared" si="86"/>
        <v>2022</v>
      </c>
      <c r="M128" s="8">
        <f t="shared" si="87"/>
        <v>97.056680308325284</v>
      </c>
      <c r="N128" s="8">
        <f t="shared" si="88"/>
        <v>99.21732733413748</v>
      </c>
      <c r="O128" s="8">
        <f t="shared" si="89"/>
        <v>98.220753818945155</v>
      </c>
      <c r="P128" s="8">
        <f t="shared" si="90"/>
        <v>99.84802509642995</v>
      </c>
      <c r="Q128" s="3769"/>
      <c r="R128" s="8" t="str">
        <f t="shared" si="91"/>
        <v xml:space="preserve">  DOM</v>
      </c>
      <c r="S128" s="8">
        <f t="shared" si="92"/>
        <v>2022</v>
      </c>
      <c r="T128" s="8">
        <f t="shared" si="93"/>
        <v>-1.1640735106198719</v>
      </c>
      <c r="U128" s="8">
        <f t="shared" si="94"/>
        <v>-0.63069776229247054</v>
      </c>
      <c r="W128" s="8">
        <f>Fact7!P126</f>
        <v>-0.9880816591145134</v>
      </c>
    </row>
    <row r="129" spans="1:23">
      <c r="A129" s="4856" t="s">
        <v>1197</v>
      </c>
      <c r="B129" s="4857">
        <v>89.172483859900652</v>
      </c>
      <c r="C129" s="4858">
        <v>100</v>
      </c>
      <c r="D129" s="4859">
        <v>96.27197366453052</v>
      </c>
      <c r="E129" s="4860">
        <v>99.93908277190701</v>
      </c>
      <c r="F129" s="4861">
        <v>97.788836127426364</v>
      </c>
      <c r="G129" s="4862">
        <v>100</v>
      </c>
      <c r="H129" s="4863">
        <v>2023</v>
      </c>
      <c r="I129" s="4864">
        <v>18190484</v>
      </c>
      <c r="J129" s="2963"/>
      <c r="K129" s="8" t="str">
        <f t="shared" si="85"/>
        <v xml:space="preserve">  ECU</v>
      </c>
      <c r="L129" s="8">
        <f t="shared" si="86"/>
        <v>2023</v>
      </c>
      <c r="M129" s="8">
        <f t="shared" si="87"/>
        <v>89.172483859900652</v>
      </c>
      <c r="N129" s="8">
        <f t="shared" si="88"/>
        <v>100</v>
      </c>
      <c r="O129" s="8">
        <f t="shared" si="89"/>
        <v>97.788836127426364</v>
      </c>
      <c r="P129" s="8">
        <f t="shared" si="90"/>
        <v>100</v>
      </c>
      <c r="Q129" s="3770"/>
      <c r="R129" s="8" t="str">
        <f t="shared" si="91"/>
        <v xml:space="preserve">  ECU</v>
      </c>
      <c r="S129" s="8">
        <f t="shared" si="92"/>
        <v>2023</v>
      </c>
      <c r="T129" s="8">
        <f t="shared" si="93"/>
        <v>-8.6163522675257127</v>
      </c>
      <c r="U129" s="8">
        <f t="shared" si="94"/>
        <v>0</v>
      </c>
      <c r="W129" s="8">
        <f>Fact7!P127</f>
        <v>-5.9564693567415361</v>
      </c>
    </row>
    <row r="130" spans="1:23">
      <c r="A130" s="4865" t="s">
        <v>1204</v>
      </c>
      <c r="B130" s="4866">
        <v>78.666627877414157</v>
      </c>
      <c r="C130" s="4867">
        <v>93.645370167893674</v>
      </c>
      <c r="D130" s="4868">
        <v>83.817529498620587</v>
      </c>
      <c r="E130" s="4869">
        <v>96.324814345826582</v>
      </c>
      <c r="F130" s="4870">
        <v>91.974402409185018</v>
      </c>
      <c r="G130" s="4871">
        <v>98.501275563548162</v>
      </c>
      <c r="H130" s="4872">
        <v>2022</v>
      </c>
      <c r="I130" s="4873">
        <v>18092026</v>
      </c>
      <c r="J130" s="2964"/>
      <c r="K130" s="8" t="str">
        <f t="shared" si="85"/>
        <v xml:space="preserve">  GTM</v>
      </c>
      <c r="L130" s="8">
        <f t="shared" si="86"/>
        <v>2022</v>
      </c>
      <c r="M130" s="8">
        <f t="shared" si="87"/>
        <v>78.666627877414157</v>
      </c>
      <c r="N130" s="8">
        <f t="shared" si="88"/>
        <v>93.645370167893674</v>
      </c>
      <c r="O130" s="8">
        <f t="shared" si="89"/>
        <v>91.974402409185018</v>
      </c>
      <c r="P130" s="8">
        <f t="shared" si="90"/>
        <v>98.501275563548162</v>
      </c>
      <c r="Q130" s="3771"/>
      <c r="R130" s="8" t="str">
        <f t="shared" si="91"/>
        <v xml:space="preserve">  GTM</v>
      </c>
      <c r="S130" s="8">
        <f t="shared" si="92"/>
        <v>2022</v>
      </c>
      <c r="T130" s="8">
        <f t="shared" si="93"/>
        <v>-13.30777453177086</v>
      </c>
      <c r="U130" s="8">
        <f t="shared" si="94"/>
        <v>-4.8559053956544886</v>
      </c>
      <c r="W130" s="8">
        <f>Fact7!P128</f>
        <v>-12.621773687218166</v>
      </c>
    </row>
    <row r="131" spans="1:23">
      <c r="A131" s="4874" t="s">
        <v>1199</v>
      </c>
      <c r="B131" s="4875">
        <v>74.174660749849394</v>
      </c>
      <c r="C131" s="4876">
        <v>96.688854162233014</v>
      </c>
      <c r="D131" s="4877">
        <v>84.383325361843077</v>
      </c>
      <c r="E131" s="4878">
        <v>98.94361372595985</v>
      </c>
      <c r="F131" s="4879">
        <v>89.936083112099993</v>
      </c>
      <c r="G131" s="4880">
        <v>99.248455029419574</v>
      </c>
      <c r="H131" s="4881">
        <v>2023</v>
      </c>
      <c r="I131" s="4882">
        <v>10593798</v>
      </c>
      <c r="J131" s="2965"/>
      <c r="K131" s="8" t="str">
        <f t="shared" si="85"/>
        <v xml:space="preserve">  HND</v>
      </c>
      <c r="L131" s="8">
        <f t="shared" si="86"/>
        <v>2023</v>
      </c>
      <c r="M131" s="8">
        <f t="shared" si="87"/>
        <v>74.174660749849394</v>
      </c>
      <c r="N131" s="8">
        <f t="shared" si="88"/>
        <v>96.688854162233014</v>
      </c>
      <c r="O131" s="8">
        <f t="shared" si="89"/>
        <v>89.936083112099993</v>
      </c>
      <c r="P131" s="8">
        <f t="shared" si="90"/>
        <v>99.248455029419574</v>
      </c>
      <c r="Q131" s="3772"/>
      <c r="R131" s="8" t="str">
        <f t="shared" si="91"/>
        <v xml:space="preserve">  HND</v>
      </c>
      <c r="S131" s="8">
        <f t="shared" si="92"/>
        <v>2023</v>
      </c>
      <c r="T131" s="8">
        <f t="shared" si="93"/>
        <v>-15.761422362250599</v>
      </c>
      <c r="U131" s="8">
        <f t="shared" si="94"/>
        <v>-2.5596008671865604</v>
      </c>
      <c r="W131" s="8">
        <f>Fact7!P129</f>
        <v>-14.054751045387505</v>
      </c>
    </row>
    <row r="132" spans="1:23">
      <c r="A132" s="4883" t="s">
        <v>1205</v>
      </c>
      <c r="B132" s="4884">
        <v>94.92339906473444</v>
      </c>
      <c r="C132" s="4885">
        <v>98.527332545747981</v>
      </c>
      <c r="D132" s="4886">
        <v>97.916718296814182</v>
      </c>
      <c r="E132" s="4887">
        <v>99.017257036211987</v>
      </c>
      <c r="F132" s="4888">
        <v>98.374153808705401</v>
      </c>
      <c r="G132" s="4889">
        <v>99.480532369292945</v>
      </c>
      <c r="H132" s="4890">
        <v>2022</v>
      </c>
      <c r="I132" s="4891">
        <v>128455567</v>
      </c>
      <c r="J132" s="2966"/>
      <c r="K132" s="8" t="str">
        <f t="shared" si="85"/>
        <v xml:space="preserve">  MEX</v>
      </c>
      <c r="L132" s="8">
        <f t="shared" si="86"/>
        <v>2022</v>
      </c>
      <c r="M132" s="8">
        <f t="shared" si="87"/>
        <v>94.92339906473444</v>
      </c>
      <c r="N132" s="8">
        <f t="shared" si="88"/>
        <v>98.527332545747981</v>
      </c>
      <c r="O132" s="8">
        <f t="shared" si="89"/>
        <v>98.374153808705401</v>
      </c>
      <c r="P132" s="8">
        <f t="shared" si="90"/>
        <v>99.480532369292945</v>
      </c>
      <c r="Q132" s="3773"/>
      <c r="R132" s="8" t="str">
        <f t="shared" si="91"/>
        <v xml:space="preserve">  MEX</v>
      </c>
      <c r="S132" s="8">
        <f t="shared" si="92"/>
        <v>2022</v>
      </c>
      <c r="T132" s="8">
        <f t="shared" si="93"/>
        <v>-3.4507547439709612</v>
      </c>
      <c r="U132" s="8">
        <f t="shared" si="94"/>
        <v>-0.95319982354496346</v>
      </c>
      <c r="W132" s="8">
        <f>Fact7!P130</f>
        <v>-2.7257149403602341</v>
      </c>
    </row>
    <row r="133" spans="1:23">
      <c r="A133" s="4892" t="s">
        <v>1200</v>
      </c>
      <c r="B133" s="4893">
        <v>39.650247066090181</v>
      </c>
      <c r="C133" s="4894">
        <v>98.039215686274503</v>
      </c>
      <c r="D133" s="4895">
        <v>65.584768472537149</v>
      </c>
      <c r="E133" s="4896">
        <v>98.661936528747148</v>
      </c>
      <c r="F133" s="4897">
        <v>88.117801759318041</v>
      </c>
      <c r="G133" s="4898">
        <v>99.800330552125345</v>
      </c>
      <c r="H133" s="4899">
        <v>2022</v>
      </c>
      <c r="I133" s="4900">
        <v>4468087</v>
      </c>
      <c r="J133" s="2967"/>
      <c r="K133" s="8" t="str">
        <f t="shared" si="85"/>
        <v xml:space="preserve">  PAN</v>
      </c>
      <c r="L133" s="8">
        <f t="shared" si="86"/>
        <v>2022</v>
      </c>
      <c r="M133" s="8">
        <f t="shared" si="87"/>
        <v>39.650247066090181</v>
      </c>
      <c r="N133" s="8">
        <f t="shared" si="88"/>
        <v>98.039215686274503</v>
      </c>
      <c r="O133" s="8">
        <f t="shared" si="89"/>
        <v>88.117801759318041</v>
      </c>
      <c r="P133" s="8">
        <f t="shared" si="90"/>
        <v>99.800330552125345</v>
      </c>
      <c r="Q133" s="3774"/>
      <c r="R133" s="8" t="str">
        <f t="shared" si="91"/>
        <v xml:space="preserve">  PAN</v>
      </c>
      <c r="S133" s="8">
        <f t="shared" si="92"/>
        <v>2022</v>
      </c>
      <c r="T133" s="8">
        <f t="shared" si="93"/>
        <v>-48.467554693227861</v>
      </c>
      <c r="U133" s="8">
        <f t="shared" si="94"/>
        <v>-1.7611148658508426</v>
      </c>
      <c r="W133" s="8">
        <f>Fact7!P131</f>
        <v>-41.8216162975136</v>
      </c>
    </row>
    <row r="134" spans="1:23">
      <c r="A134" s="4901" t="s">
        <v>1201</v>
      </c>
      <c r="B134" s="4902">
        <v>81.296191726040874</v>
      </c>
      <c r="C134" s="4903">
        <v>96.677897273414786</v>
      </c>
      <c r="D134" s="4904">
        <v>84.786586747332265</v>
      </c>
      <c r="E134" s="4905">
        <v>98.004877110509071</v>
      </c>
      <c r="F134" s="4906">
        <v>87.328248967035833</v>
      </c>
      <c r="G134" s="4907">
        <v>99.111287721952806</v>
      </c>
      <c r="H134" s="4908">
        <v>2022</v>
      </c>
      <c r="I134" s="4909">
        <v>34352719</v>
      </c>
      <c r="J134" s="2968"/>
      <c r="K134" s="8" t="str">
        <f t="shared" si="85"/>
        <v xml:space="preserve">  PER</v>
      </c>
      <c r="L134" s="8">
        <f t="shared" si="86"/>
        <v>2022</v>
      </c>
      <c r="M134" s="8">
        <f t="shared" si="87"/>
        <v>81.296191726040874</v>
      </c>
      <c r="N134" s="8">
        <f t="shared" si="88"/>
        <v>96.677897273414786</v>
      </c>
      <c r="O134" s="8">
        <f t="shared" si="89"/>
        <v>87.328248967035833</v>
      </c>
      <c r="P134" s="8">
        <f t="shared" si="90"/>
        <v>99.111287721952806</v>
      </c>
      <c r="Q134" s="3775"/>
      <c r="R134" s="8" t="str">
        <f t="shared" si="91"/>
        <v xml:space="preserve">  PER</v>
      </c>
      <c r="S134" s="8">
        <f t="shared" si="92"/>
        <v>2022</v>
      </c>
      <c r="T134" s="8">
        <f t="shared" si="93"/>
        <v>-6.0320572409949591</v>
      </c>
      <c r="U134" s="8">
        <f t="shared" si="94"/>
        <v>-2.4333904485380202</v>
      </c>
      <c r="W134" s="8">
        <f>Fact7!P132</f>
        <v>-8.3544670035832667</v>
      </c>
    </row>
    <row r="135" spans="1:23">
      <c r="A135" s="4910" t="s">
        <v>1202</v>
      </c>
      <c r="B135" s="4911">
        <v>98.185471368152108</v>
      </c>
      <c r="C135" s="4912">
        <v>99.332749422724746</v>
      </c>
      <c r="D135" s="4913">
        <v>99.297203768184048</v>
      </c>
      <c r="E135" s="4914">
        <v>100</v>
      </c>
      <c r="F135" s="4915">
        <v>99.70586022718723</v>
      </c>
      <c r="G135" s="4916">
        <v>100</v>
      </c>
      <c r="H135" s="4917">
        <v>2022</v>
      </c>
      <c r="I135" s="4918">
        <v>6861524</v>
      </c>
      <c r="J135" s="2969"/>
      <c r="K135" s="8" t="str">
        <f t="shared" si="85"/>
        <v xml:space="preserve">  PRY</v>
      </c>
      <c r="L135" s="8">
        <f t="shared" si="86"/>
        <v>2022</v>
      </c>
      <c r="M135" s="8">
        <f t="shared" si="87"/>
        <v>98.185471368152108</v>
      </c>
      <c r="N135" s="8">
        <f t="shared" si="88"/>
        <v>99.332749422724746</v>
      </c>
      <c r="O135" s="8">
        <f t="shared" si="89"/>
        <v>99.70586022718723</v>
      </c>
      <c r="P135" s="8">
        <f t="shared" si="90"/>
        <v>100</v>
      </c>
      <c r="Q135" s="3776"/>
      <c r="R135" s="8" t="str">
        <f t="shared" si="91"/>
        <v xml:space="preserve">  PRY</v>
      </c>
      <c r="S135" s="8">
        <f t="shared" si="92"/>
        <v>2022</v>
      </c>
      <c r="T135" s="8">
        <f t="shared" si="93"/>
        <v>-1.5203888590351227</v>
      </c>
      <c r="U135" s="8">
        <f t="shared" si="94"/>
        <v>-0.66725057727525439</v>
      </c>
      <c r="W135" s="8">
        <f>Fact7!P133</f>
        <v>-1.4110644901157485</v>
      </c>
    </row>
    <row r="136" spans="1:23">
      <c r="A136" s="4919" t="s">
        <v>1206</v>
      </c>
      <c r="B136" s="4920">
        <v>95.700088598949222</v>
      </c>
      <c r="C136" s="4921">
        <v>98.82316908212141</v>
      </c>
      <c r="D136" s="4922">
        <v>96.575552452811422</v>
      </c>
      <c r="E136" s="4923">
        <v>98.973985526720497</v>
      </c>
      <c r="F136" s="4924">
        <v>96.886643055632334</v>
      </c>
      <c r="G136" s="4925">
        <v>99.64475884007679</v>
      </c>
      <c r="H136" s="4926">
        <v>2023</v>
      </c>
      <c r="I136" s="4927">
        <v>6364943</v>
      </c>
      <c r="J136" s="2970"/>
      <c r="K136" s="8" t="str">
        <f t="shared" si="85"/>
        <v xml:space="preserve">  SLV</v>
      </c>
      <c r="L136" s="8">
        <f t="shared" si="86"/>
        <v>2023</v>
      </c>
      <c r="M136" s="8">
        <f t="shared" si="87"/>
        <v>95.700088598949222</v>
      </c>
      <c r="N136" s="8">
        <f t="shared" si="88"/>
        <v>98.82316908212141</v>
      </c>
      <c r="O136" s="8">
        <f t="shared" si="89"/>
        <v>96.886643055632334</v>
      </c>
      <c r="P136" s="8">
        <f t="shared" si="90"/>
        <v>99.64475884007679</v>
      </c>
      <c r="Q136" s="3777"/>
      <c r="R136" s="8" t="str">
        <f t="shared" si="91"/>
        <v xml:space="preserve">  SLV</v>
      </c>
      <c r="S136" s="8">
        <f t="shared" si="92"/>
        <v>2023</v>
      </c>
      <c r="T136" s="8">
        <f t="shared" si="93"/>
        <v>-1.1865544566831119</v>
      </c>
      <c r="U136" s="8">
        <f t="shared" si="94"/>
        <v>-0.8215897579553797</v>
      </c>
      <c r="W136" s="8">
        <f>Fact7!P134</f>
        <v>-1.8875520248456326</v>
      </c>
    </row>
    <row r="137" spans="1:23">
      <c r="A137" s="4928" t="s">
        <v>1207</v>
      </c>
      <c r="B137" s="4929">
        <v>100</v>
      </c>
      <c r="C137" s="4930">
        <v>99.962227090730522</v>
      </c>
      <c r="D137" s="4931">
        <v>99.421058327020887</v>
      </c>
      <c r="E137" s="4932">
        <v>99.852031207963407</v>
      </c>
      <c r="F137" s="4933">
        <v>98.769526294806269</v>
      </c>
      <c r="G137" s="4934">
        <v>99.961945816618027</v>
      </c>
      <c r="H137" s="4935">
        <v>2022</v>
      </c>
      <c r="I137" s="4936">
        <v>3423109</v>
      </c>
      <c r="J137" s="2971"/>
      <c r="K137" s="8" t="str">
        <f t="shared" si="85"/>
        <v xml:space="preserve">  URY</v>
      </c>
      <c r="L137" s="8">
        <f t="shared" si="86"/>
        <v>2022</v>
      </c>
      <c r="M137" s="8">
        <f t="shared" si="87"/>
        <v>100</v>
      </c>
      <c r="N137" s="8">
        <f t="shared" si="88"/>
        <v>99.962227090730522</v>
      </c>
      <c r="O137" s="8">
        <f t="shared" si="89"/>
        <v>98.769526294806269</v>
      </c>
      <c r="P137" s="8">
        <f t="shared" si="90"/>
        <v>99.961945816618027</v>
      </c>
      <c r="Q137" s="3778"/>
      <c r="R137" s="8" t="str">
        <f t="shared" si="91"/>
        <v xml:space="preserve">  URY</v>
      </c>
      <c r="S137" s="8">
        <f t="shared" si="92"/>
        <v>2022</v>
      </c>
      <c r="T137" s="8">
        <f t="shared" si="93"/>
        <v>1.2304737051937309</v>
      </c>
      <c r="U137" s="8">
        <f t="shared" si="94"/>
        <v>2.8127411249556644E-4</v>
      </c>
      <c r="W137" s="8">
        <f>Fact7!P135</f>
        <v>0.17947767415606108</v>
      </c>
    </row>
    <row r="138" spans="1:23">
      <c r="A138" s="4937" t="s">
        <v>1203</v>
      </c>
      <c r="B138" s="4938"/>
      <c r="C138" s="4939"/>
      <c r="D138" s="4940"/>
      <c r="E138" s="4941"/>
      <c r="F138" s="4942"/>
      <c r="G138" s="4943"/>
      <c r="H138" s="4944">
        <v>2021</v>
      </c>
      <c r="I138" s="4945">
        <v>28838499</v>
      </c>
      <c r="J138" s="2972"/>
      <c r="K138" s="3" t="s">
        <v>1261</v>
      </c>
      <c r="L138" s="8"/>
      <c r="M138" s="8">
        <f>AVERAGE(M123:M137)</f>
        <v>87.762082343509562</v>
      </c>
      <c r="N138" s="8">
        <f>AVERAGE(N123:N137)</f>
        <v>98.610908793432571</v>
      </c>
      <c r="O138" s="8">
        <f t="shared" ref="O138:P138" si="95">AVERAGE(O123:O137)</f>
        <v>95.607705535890545</v>
      </c>
      <c r="P138" s="8">
        <f t="shared" si="95"/>
        <v>99.678878478881316</v>
      </c>
      <c r="Q138" s="3779"/>
      <c r="R138" s="3" t="s">
        <v>1261</v>
      </c>
      <c r="S138" s="8"/>
      <c r="T138" s="8">
        <f>AVERAGE(T123:T137)</f>
        <v>-7.8456231923809829</v>
      </c>
      <c r="U138" s="8">
        <f t="shared" ref="U138:W138" si="96">AVERAGE(U123:U137)</f>
        <v>-1.067969685448755</v>
      </c>
      <c r="V138" s="8"/>
      <c r="W138" s="8">
        <f t="shared" si="96"/>
        <v>-7.1305775850556534</v>
      </c>
    </row>
    <row r="139" spans="1:23" ht="15" thickBot="1">
      <c r="A139" s="4946"/>
      <c r="B139" s="5834" t="s">
        <v>1045</v>
      </c>
      <c r="C139" s="5835" t="s">
        <v>1045</v>
      </c>
      <c r="D139" s="5836" t="s">
        <v>1045</v>
      </c>
      <c r="E139" s="5837" t="s">
        <v>1045</v>
      </c>
      <c r="F139" s="5838" t="s">
        <v>1045</v>
      </c>
      <c r="G139" s="5839" t="s">
        <v>1045</v>
      </c>
      <c r="H139" s="4947" t="s">
        <v>1186</v>
      </c>
      <c r="I139" s="4948" t="s">
        <v>1257</v>
      </c>
      <c r="J139" s="2973"/>
      <c r="K139" s="212" t="s">
        <v>1145</v>
      </c>
      <c r="L139" s="85"/>
      <c r="M139" s="85">
        <f>SUMPRODUCT(M123:M137,$I123:$I137)/SUM($I123:$I137)</f>
        <v>93.157305162517929</v>
      </c>
      <c r="N139" s="85">
        <f>SUMPRODUCT(N123:N137,$I123:$I137)/SUM($I123:$I137)</f>
        <v>98.941436703199912</v>
      </c>
      <c r="O139" s="85">
        <f t="shared" ref="O139" si="97">SUMPRODUCT(O123:O137,$I123:$I137)/SUM($I123:$I137)</f>
        <v>97.235633950831414</v>
      </c>
      <c r="P139" s="85">
        <f>SUMPRODUCT(P123:P137,$I123:$I137)/SUM($I123:$I137)</f>
        <v>99.728832723555371</v>
      </c>
      <c r="Q139" s="3780"/>
      <c r="R139" s="212" t="s">
        <v>1145</v>
      </c>
      <c r="S139" s="85"/>
      <c r="T139" s="85">
        <f>SUMPRODUCT(T123:T137,$I123:$I137)/SUM($I123:$I137)</f>
        <v>-4.0783287883134882</v>
      </c>
      <c r="U139" s="85">
        <f t="shared" ref="U139:W139" si="98">SUMPRODUCT(U123:U137,$I123:$I137)/SUM($I123:$I137)</f>
        <v>-0.78739602035544232</v>
      </c>
      <c r="V139" s="85"/>
      <c r="W139" s="85">
        <f t="shared" si="98"/>
        <v>-3.4669019828585808</v>
      </c>
    </row>
    <row r="140" spans="1:23" ht="15.5" thickTop="1" thickBot="1">
      <c r="A140" s="4949"/>
      <c r="B140" s="5840" t="s">
        <v>1187</v>
      </c>
      <c r="C140" s="5840" t="s">
        <v>1187</v>
      </c>
      <c r="D140" s="5841" t="s">
        <v>1188</v>
      </c>
      <c r="E140" s="5841" t="s">
        <v>1188</v>
      </c>
      <c r="F140" s="5842" t="s">
        <v>1189</v>
      </c>
      <c r="G140" s="5842" t="s">
        <v>1189</v>
      </c>
      <c r="I140" s="4950" t="s">
        <v>1187</v>
      </c>
      <c r="J140" s="2974"/>
      <c r="K140" s="212"/>
      <c r="L140" s="85"/>
      <c r="M140" s="85"/>
      <c r="N140" s="85"/>
      <c r="O140" s="85"/>
      <c r="P140" s="85"/>
      <c r="Q140" s="3781"/>
      <c r="R140" s="212"/>
      <c r="S140" s="85"/>
      <c r="T140" s="85"/>
      <c r="U140" s="85"/>
      <c r="V140" s="85"/>
      <c r="W140" s="85"/>
    </row>
    <row r="141" spans="1:23" ht="15" thickTop="1">
      <c r="A141" s="4951"/>
      <c r="B141" s="5843" t="s">
        <v>1258</v>
      </c>
      <c r="C141" s="5843" t="s">
        <v>1258</v>
      </c>
      <c r="D141" s="5844" t="s">
        <v>1258</v>
      </c>
      <c r="E141" s="5844" t="s">
        <v>1258</v>
      </c>
      <c r="F141" s="5845" t="s">
        <v>1258</v>
      </c>
      <c r="G141" s="5845" t="s">
        <v>1258</v>
      </c>
      <c r="L141" s="8"/>
      <c r="M141" s="8"/>
      <c r="N141" s="8"/>
      <c r="O141" s="8"/>
      <c r="P141" s="8"/>
      <c r="S141" s="8"/>
      <c r="T141" s="8"/>
      <c r="U141" s="8"/>
      <c r="V141" s="8"/>
      <c r="W141" s="8"/>
    </row>
    <row r="142" spans="1:23">
      <c r="A142" s="4952"/>
      <c r="B142" s="4953" t="s">
        <v>1259</v>
      </c>
      <c r="C142" s="4954" t="s">
        <v>1260</v>
      </c>
      <c r="D142" s="4955" t="s">
        <v>1259</v>
      </c>
      <c r="E142" s="4956" t="s">
        <v>1260</v>
      </c>
      <c r="F142" s="4957" t="s">
        <v>1259</v>
      </c>
      <c r="G142" s="4958" t="s">
        <v>1260</v>
      </c>
      <c r="L142" s="8"/>
      <c r="M142" s="8"/>
      <c r="N142" s="8"/>
      <c r="O142" s="8"/>
      <c r="P142" s="8"/>
      <c r="S142" s="8"/>
      <c r="T142" s="8"/>
      <c r="U142" s="8"/>
      <c r="V142" s="8"/>
      <c r="W142" s="8"/>
    </row>
    <row r="143" spans="1:23">
      <c r="A143" s="4959"/>
      <c r="B143" s="4960" t="s">
        <v>1221</v>
      </c>
      <c r="C143" s="4961" t="s">
        <v>1221</v>
      </c>
      <c r="D143" s="4962" t="s">
        <v>1221</v>
      </c>
      <c r="E143" s="4963" t="s">
        <v>1221</v>
      </c>
      <c r="F143" s="4964" t="s">
        <v>1221</v>
      </c>
      <c r="G143" s="4965" t="s">
        <v>1221</v>
      </c>
      <c r="L143" s="8"/>
      <c r="M143" s="8"/>
      <c r="N143" s="8"/>
      <c r="O143" s="8"/>
      <c r="P143" s="8"/>
      <c r="S143" s="8"/>
      <c r="T143" s="8"/>
      <c r="U143" s="8"/>
      <c r="V143" s="8"/>
      <c r="W143" s="8"/>
    </row>
    <row r="144" spans="1:23" ht="15" thickBot="1">
      <c r="A144" s="4966"/>
      <c r="B144" s="4967" t="s">
        <v>1187</v>
      </c>
      <c r="C144" s="4968" t="s">
        <v>1187</v>
      </c>
      <c r="D144" s="4969" t="s">
        <v>1187</v>
      </c>
      <c r="E144" s="4970" t="s">
        <v>1187</v>
      </c>
      <c r="F144" s="4971" t="s">
        <v>1187</v>
      </c>
      <c r="G144" s="4972" t="s">
        <v>1187</v>
      </c>
      <c r="K144" s="972" t="str">
        <f>B143</f>
        <v>sanred_ch</v>
      </c>
      <c r="L144" s="2649"/>
      <c r="M144" s="85"/>
      <c r="N144" s="85"/>
      <c r="O144" s="85"/>
      <c r="P144" s="85"/>
      <c r="R144" s="972" t="str">
        <f>E143</f>
        <v>sanred_ch</v>
      </c>
      <c r="S144" s="2649"/>
      <c r="T144" s="85"/>
      <c r="U144" s="85"/>
      <c r="V144" s="85"/>
      <c r="W144" s="85"/>
    </row>
    <row r="145" spans="1:23" ht="15" thickTop="1">
      <c r="A145" s="4973" t="s">
        <v>1125</v>
      </c>
      <c r="B145" s="4974"/>
      <c r="C145" s="4975"/>
      <c r="D145" s="4976"/>
      <c r="E145" s="4977"/>
      <c r="F145" s="4978"/>
      <c r="G145" s="4979"/>
      <c r="H145" s="4980"/>
      <c r="I145" s="4981"/>
      <c r="J145" s="2975"/>
      <c r="K145" s="213" t="s">
        <v>904</v>
      </c>
      <c r="L145" s="216" t="s">
        <v>938</v>
      </c>
      <c r="M145" s="2650" t="s">
        <v>1273</v>
      </c>
      <c r="N145" s="2650" t="s">
        <v>1136</v>
      </c>
      <c r="O145" s="2650"/>
      <c r="P145" s="2650"/>
      <c r="Q145" s="3782"/>
      <c r="R145" s="213" t="s">
        <v>904</v>
      </c>
      <c r="S145" s="216" t="s">
        <v>938</v>
      </c>
      <c r="T145" s="2650" t="s">
        <v>1273</v>
      </c>
      <c r="U145" s="2650" t="s">
        <v>1136</v>
      </c>
      <c r="W145" s="76" t="s">
        <v>901</v>
      </c>
    </row>
    <row r="146" spans="1:23">
      <c r="A146" s="4982" t="s">
        <v>1190</v>
      </c>
      <c r="C146" s="4983">
        <v>58.457373165553946</v>
      </c>
      <c r="E146" s="4984">
        <v>59.451445515196447</v>
      </c>
      <c r="G146" s="4985">
        <v>74.77350552323972</v>
      </c>
      <c r="H146" s="4986">
        <v>2022</v>
      </c>
      <c r="I146" s="4987">
        <v>45773884</v>
      </c>
      <c r="J146" s="2976"/>
      <c r="K146" s="8"/>
      <c r="L146" s="8"/>
      <c r="M146" s="8"/>
      <c r="N146" s="8"/>
      <c r="O146" s="8"/>
      <c r="P146" s="8"/>
      <c r="Q146" s="3783"/>
      <c r="R146" s="8"/>
      <c r="S146" s="8"/>
      <c r="T146" s="8"/>
      <c r="U146" s="8"/>
      <c r="W146" s="8"/>
    </row>
    <row r="147" spans="1:23">
      <c r="A147" s="4988" t="s">
        <v>1191</v>
      </c>
      <c r="B147" s="4989">
        <v>6.0341067240890371</v>
      </c>
      <c r="C147" s="4990">
        <v>61.409254274582182</v>
      </c>
      <c r="D147" s="4991">
        <v>6.9965093589657039</v>
      </c>
      <c r="E147" s="4992">
        <v>61.730649560326256</v>
      </c>
      <c r="F147" s="4993">
        <v>12.926997932465515</v>
      </c>
      <c r="G147" s="4994">
        <v>72.722543293671976</v>
      </c>
      <c r="H147" s="4995">
        <v>2022</v>
      </c>
      <c r="I147" s="4996">
        <v>12388571</v>
      </c>
      <c r="J147" s="2977"/>
      <c r="K147" s="8" t="str">
        <f t="shared" ref="K147:K160" si="99">A147</f>
        <v xml:space="preserve">  BOL</v>
      </c>
      <c r="L147" s="8">
        <f t="shared" ref="L147:L160" si="100">H147</f>
        <v>2022</v>
      </c>
      <c r="M147" s="8">
        <f t="shared" ref="M147:M160" si="101">B147</f>
        <v>6.0341067240890371</v>
      </c>
      <c r="N147" s="8">
        <f t="shared" ref="N147:N161" si="102">C147</f>
        <v>61.409254274582182</v>
      </c>
      <c r="O147" s="8">
        <f t="shared" ref="O147:O160" si="103">F147</f>
        <v>12.926997932465515</v>
      </c>
      <c r="P147" s="8">
        <f t="shared" ref="P147:P160" si="104">G147</f>
        <v>72.722543293671976</v>
      </c>
      <c r="Q147" s="3784"/>
      <c r="R147" s="8" t="str">
        <f t="shared" ref="R147:R161" si="105">A147</f>
        <v xml:space="preserve">  BOL</v>
      </c>
      <c r="S147" s="8">
        <f t="shared" ref="S147:S161" si="106">H147*1</f>
        <v>2022</v>
      </c>
      <c r="T147" s="8">
        <f t="shared" ref="T147:T161" si="107">B147-F147</f>
        <v>-6.8928912083764775</v>
      </c>
      <c r="U147" s="8">
        <f t="shared" ref="U147:U161" si="108">C147-G147</f>
        <v>-11.313289019089794</v>
      </c>
      <c r="W147" s="8">
        <f>Fact7!P145</f>
        <v>-40.653465272871429</v>
      </c>
    </row>
    <row r="148" spans="1:23">
      <c r="A148" s="4997" t="s">
        <v>1192</v>
      </c>
      <c r="B148" s="4998">
        <v>3.4164031275441866</v>
      </c>
      <c r="C148" s="4999">
        <v>52.174499534468822</v>
      </c>
      <c r="D148" s="5000">
        <v>4.2571051504662272</v>
      </c>
      <c r="E148" s="5001">
        <v>62.329750541387206</v>
      </c>
      <c r="F148" s="5002">
        <v>4.3380317262254362</v>
      </c>
      <c r="G148" s="5003">
        <v>74.527505897004659</v>
      </c>
      <c r="H148" s="5004">
        <v>2022</v>
      </c>
      <c r="I148" s="5005">
        <v>216422446</v>
      </c>
      <c r="J148" s="2978"/>
      <c r="K148" s="8" t="str">
        <f t="shared" si="99"/>
        <v xml:space="preserve">  BRA</v>
      </c>
      <c r="L148" s="8">
        <f t="shared" si="100"/>
        <v>2022</v>
      </c>
      <c r="M148" s="8">
        <f t="shared" si="101"/>
        <v>3.4164031275441866</v>
      </c>
      <c r="N148" s="8">
        <f t="shared" si="102"/>
        <v>52.174499534468822</v>
      </c>
      <c r="O148" s="8">
        <f t="shared" si="103"/>
        <v>4.3380317262254362</v>
      </c>
      <c r="P148" s="8">
        <f t="shared" si="104"/>
        <v>74.527505897004659</v>
      </c>
      <c r="Q148" s="3785"/>
      <c r="R148" s="8" t="str">
        <f t="shared" si="105"/>
        <v xml:space="preserve">  BRA</v>
      </c>
      <c r="S148" s="8">
        <f t="shared" si="106"/>
        <v>2022</v>
      </c>
      <c r="T148" s="8">
        <f t="shared" si="107"/>
        <v>-0.92162859868124958</v>
      </c>
      <c r="U148" s="8">
        <f t="shared" si="108"/>
        <v>-22.353006362535837</v>
      </c>
      <c r="W148" s="8">
        <f>Fact7!P146</f>
        <v>-30.397917072691442</v>
      </c>
    </row>
    <row r="149" spans="1:23">
      <c r="A149" s="5006" t="s">
        <v>1193</v>
      </c>
      <c r="B149" s="5007">
        <v>11.714953145557555</v>
      </c>
      <c r="C149" s="5008">
        <v>92.655356958864417</v>
      </c>
      <c r="D149" s="5009">
        <v>14.502594885262301</v>
      </c>
      <c r="E149" s="5010">
        <v>93.179690769332424</v>
      </c>
      <c r="F149" s="5011">
        <v>14.313896496829553</v>
      </c>
      <c r="G149" s="5012">
        <v>96.320022171327281</v>
      </c>
      <c r="H149" s="5013">
        <v>2022</v>
      </c>
      <c r="I149" s="5014">
        <v>19629590</v>
      </c>
      <c r="J149" s="2979"/>
      <c r="K149" s="8" t="str">
        <f t="shared" si="99"/>
        <v xml:space="preserve">  CHL</v>
      </c>
      <c r="L149" s="8">
        <f t="shared" si="100"/>
        <v>2022</v>
      </c>
      <c r="M149" s="8">
        <f t="shared" si="101"/>
        <v>11.714953145557555</v>
      </c>
      <c r="N149" s="8">
        <f t="shared" si="102"/>
        <v>92.655356958864417</v>
      </c>
      <c r="O149" s="8">
        <f t="shared" si="103"/>
        <v>14.313896496829553</v>
      </c>
      <c r="P149" s="8">
        <f t="shared" si="104"/>
        <v>96.320022171327281</v>
      </c>
      <c r="Q149" s="3786"/>
      <c r="R149" s="8" t="str">
        <f t="shared" si="105"/>
        <v xml:space="preserve">  CHL</v>
      </c>
      <c r="S149" s="8">
        <f t="shared" si="106"/>
        <v>2022</v>
      </c>
      <c r="T149" s="8">
        <f t="shared" si="107"/>
        <v>-2.5989433512719984</v>
      </c>
      <c r="U149" s="8">
        <f t="shared" si="108"/>
        <v>-3.6646652124628645</v>
      </c>
      <c r="W149" s="8">
        <f>Fact7!P147</f>
        <v>-9.7815723008541653</v>
      </c>
    </row>
    <row r="150" spans="1:23">
      <c r="A150" s="5015" t="s">
        <v>1194</v>
      </c>
      <c r="B150" s="5016">
        <v>7.668783261298147</v>
      </c>
      <c r="C150" s="5017">
        <v>82.836316764860612</v>
      </c>
      <c r="D150" s="5018">
        <v>11.677578226172251</v>
      </c>
      <c r="E150" s="5019">
        <v>88.190232786491691</v>
      </c>
      <c r="F150" s="5020">
        <v>18.826478093104225</v>
      </c>
      <c r="G150" s="5021">
        <v>96.662978153237617</v>
      </c>
      <c r="H150" s="5022">
        <v>2022</v>
      </c>
      <c r="I150" s="5023">
        <v>52085168</v>
      </c>
      <c r="J150" s="2980"/>
      <c r="K150" s="8" t="str">
        <f t="shared" si="99"/>
        <v xml:space="preserve">  COL</v>
      </c>
      <c r="L150" s="8">
        <f t="shared" si="100"/>
        <v>2022</v>
      </c>
      <c r="M150" s="8">
        <f t="shared" si="101"/>
        <v>7.668783261298147</v>
      </c>
      <c r="N150" s="8">
        <f t="shared" si="102"/>
        <v>82.836316764860612</v>
      </c>
      <c r="O150" s="8">
        <f t="shared" si="103"/>
        <v>18.826478093104225</v>
      </c>
      <c r="P150" s="8">
        <f t="shared" si="104"/>
        <v>96.662978153237617</v>
      </c>
      <c r="Q150" s="3787"/>
      <c r="R150" s="8" t="str">
        <f t="shared" si="105"/>
        <v xml:space="preserve">  COL</v>
      </c>
      <c r="S150" s="8">
        <f t="shared" si="106"/>
        <v>2022</v>
      </c>
      <c r="T150" s="8">
        <f t="shared" si="107"/>
        <v>-11.157694831806078</v>
      </c>
      <c r="U150" s="8">
        <f t="shared" si="108"/>
        <v>-13.826661388377005</v>
      </c>
      <c r="W150" s="8">
        <f>Fact7!P148</f>
        <v>-40.313464915888709</v>
      </c>
    </row>
    <row r="151" spans="1:23">
      <c r="A151" s="5024" t="s">
        <v>1195</v>
      </c>
      <c r="B151" s="5025">
        <v>13.699351410860878</v>
      </c>
      <c r="C151" s="5026">
        <v>22.858767921234822</v>
      </c>
      <c r="D151" s="5027">
        <v>9.005932051051591</v>
      </c>
      <c r="E151" s="5028">
        <v>28.248718181593009</v>
      </c>
      <c r="F151" s="5029">
        <v>10.984900451614529</v>
      </c>
      <c r="G151" s="5030">
        <v>35.919764696252827</v>
      </c>
      <c r="H151" s="5031">
        <v>2023</v>
      </c>
      <c r="I151" s="5032">
        <v>5212173</v>
      </c>
      <c r="J151" s="2981"/>
      <c r="K151" s="8" t="str">
        <f t="shared" si="99"/>
        <v xml:space="preserve">  CRI</v>
      </c>
      <c r="L151" s="8">
        <f t="shared" si="100"/>
        <v>2023</v>
      </c>
      <c r="M151" s="8">
        <f t="shared" si="101"/>
        <v>13.699351410860878</v>
      </c>
      <c r="N151" s="8">
        <f t="shared" si="102"/>
        <v>22.858767921234822</v>
      </c>
      <c r="O151" s="8">
        <f t="shared" si="103"/>
        <v>10.984900451614529</v>
      </c>
      <c r="P151" s="8">
        <f t="shared" si="104"/>
        <v>35.919764696252827</v>
      </c>
      <c r="Q151" s="3788"/>
      <c r="R151" s="8" t="str">
        <f t="shared" si="105"/>
        <v xml:space="preserve">  CRI</v>
      </c>
      <c r="S151" s="8">
        <f t="shared" si="106"/>
        <v>2023</v>
      </c>
      <c r="T151" s="8">
        <f t="shared" si="107"/>
        <v>2.7144509592463493</v>
      </c>
      <c r="U151" s="8">
        <f t="shared" si="108"/>
        <v>-13.060996775018005</v>
      </c>
      <c r="W151" s="8">
        <f>Fact7!P149</f>
        <v>-11.173598631896532</v>
      </c>
    </row>
    <row r="152" spans="1:23">
      <c r="A152" s="5033" t="s">
        <v>1196</v>
      </c>
      <c r="B152" s="5034">
        <v>0.9945053304352115</v>
      </c>
      <c r="C152" s="5035">
        <v>22.764975925884336</v>
      </c>
      <c r="D152" s="5036">
        <v>1.6498168807865052</v>
      </c>
      <c r="E152" s="5037">
        <v>21.945343606043426</v>
      </c>
      <c r="F152" s="5038">
        <v>3.5364828006955089</v>
      </c>
      <c r="G152" s="5039">
        <v>31.432808571517935</v>
      </c>
      <c r="H152" s="5040">
        <v>2022</v>
      </c>
      <c r="I152" s="5041">
        <v>11332973</v>
      </c>
      <c r="J152" s="2982"/>
      <c r="K152" s="8" t="str">
        <f t="shared" si="99"/>
        <v xml:space="preserve">  DOM</v>
      </c>
      <c r="L152" s="8">
        <f t="shared" si="100"/>
        <v>2022</v>
      </c>
      <c r="M152" s="8">
        <f t="shared" si="101"/>
        <v>0.9945053304352115</v>
      </c>
      <c r="N152" s="8">
        <f t="shared" si="102"/>
        <v>22.764975925884336</v>
      </c>
      <c r="O152" s="8">
        <f t="shared" si="103"/>
        <v>3.5364828006955089</v>
      </c>
      <c r="P152" s="8">
        <f t="shared" si="104"/>
        <v>31.432808571517935</v>
      </c>
      <c r="Q152" s="3789"/>
      <c r="R152" s="8" t="str">
        <f t="shared" si="105"/>
        <v xml:space="preserve">  DOM</v>
      </c>
      <c r="S152" s="8">
        <f t="shared" si="106"/>
        <v>2022</v>
      </c>
      <c r="T152" s="8">
        <f t="shared" si="107"/>
        <v>-2.5419774702602975</v>
      </c>
      <c r="U152" s="8">
        <f t="shared" si="108"/>
        <v>-8.6678326456335988</v>
      </c>
      <c r="W152" s="8">
        <f>Fact7!P150</f>
        <v>-10.571083795725176</v>
      </c>
    </row>
    <row r="153" spans="1:23">
      <c r="A153" s="5042" t="s">
        <v>1197</v>
      </c>
      <c r="B153" s="5043">
        <v>10.379482824745189</v>
      </c>
      <c r="C153" s="5044">
        <v>64.714545750568405</v>
      </c>
      <c r="D153" s="5045">
        <v>16.504096247488363</v>
      </c>
      <c r="E153" s="5046">
        <v>65.621201255891521</v>
      </c>
      <c r="F153" s="5047">
        <v>28.653690376718249</v>
      </c>
      <c r="G153" s="5048">
        <v>85.136997444684283</v>
      </c>
      <c r="H153" s="5049">
        <v>2023</v>
      </c>
      <c r="I153" s="5050">
        <v>18190484</v>
      </c>
      <c r="J153" s="2983"/>
      <c r="K153" s="8" t="str">
        <f t="shared" si="99"/>
        <v xml:space="preserve">  ECU</v>
      </c>
      <c r="L153" s="8">
        <f t="shared" si="100"/>
        <v>2023</v>
      </c>
      <c r="M153" s="8">
        <f t="shared" si="101"/>
        <v>10.379482824745189</v>
      </c>
      <c r="N153" s="8">
        <f t="shared" si="102"/>
        <v>64.714545750568405</v>
      </c>
      <c r="O153" s="8">
        <f t="shared" si="103"/>
        <v>28.653690376718249</v>
      </c>
      <c r="P153" s="8">
        <f t="shared" si="104"/>
        <v>85.136997444684283</v>
      </c>
      <c r="Q153" s="3790"/>
      <c r="R153" s="8" t="str">
        <f t="shared" si="105"/>
        <v xml:space="preserve">  ECU</v>
      </c>
      <c r="S153" s="8">
        <f t="shared" si="106"/>
        <v>2023</v>
      </c>
      <c r="T153" s="8">
        <f t="shared" si="107"/>
        <v>-18.27420755197306</v>
      </c>
      <c r="U153" s="8">
        <f t="shared" si="108"/>
        <v>-20.422451694115878</v>
      </c>
      <c r="W153" s="8">
        <f>Fact7!P151</f>
        <v>-39.697765257106298</v>
      </c>
    </row>
    <row r="154" spans="1:23">
      <c r="A154" s="5051" t="s">
        <v>1204</v>
      </c>
      <c r="B154" s="5052">
        <v>17.419494382093532</v>
      </c>
      <c r="C154" s="5053">
        <v>64.77907767815924</v>
      </c>
      <c r="D154" s="5054">
        <v>18.895214904644099</v>
      </c>
      <c r="E154" s="5055">
        <v>75.370030047552746</v>
      </c>
      <c r="F154" s="5056">
        <v>30.346431062543594</v>
      </c>
      <c r="G154" s="5057">
        <v>82.376814018652496</v>
      </c>
      <c r="H154" s="5058">
        <v>2022</v>
      </c>
      <c r="I154" s="5059">
        <v>18092026</v>
      </c>
      <c r="J154" s="2984"/>
      <c r="K154" s="8" t="str">
        <f t="shared" si="99"/>
        <v xml:space="preserve">  GTM</v>
      </c>
      <c r="L154" s="8">
        <f t="shared" si="100"/>
        <v>2022</v>
      </c>
      <c r="M154" s="8">
        <f t="shared" si="101"/>
        <v>17.419494382093532</v>
      </c>
      <c r="N154" s="8">
        <f t="shared" si="102"/>
        <v>64.77907767815924</v>
      </c>
      <c r="O154" s="8">
        <f t="shared" si="103"/>
        <v>30.346431062543594</v>
      </c>
      <c r="P154" s="8">
        <f t="shared" si="104"/>
        <v>82.376814018652496</v>
      </c>
      <c r="Q154" s="3791"/>
      <c r="R154" s="8" t="str">
        <f t="shared" si="105"/>
        <v xml:space="preserve">  GTM</v>
      </c>
      <c r="S154" s="8">
        <f t="shared" si="106"/>
        <v>2022</v>
      </c>
      <c r="T154" s="8">
        <f t="shared" si="107"/>
        <v>-12.926936680450062</v>
      </c>
      <c r="U154" s="8">
        <f t="shared" si="108"/>
        <v>-17.597736340493256</v>
      </c>
      <c r="W154" s="8">
        <f>Fact7!P152</f>
        <v>-28.64130005038238</v>
      </c>
    </row>
    <row r="155" spans="1:23">
      <c r="A155" s="5060" t="s">
        <v>1199</v>
      </c>
      <c r="B155" s="5061">
        <v>2.7547891356930769</v>
      </c>
      <c r="C155" s="5062">
        <v>54.050680472513143</v>
      </c>
      <c r="D155" s="5063">
        <v>3.813944125056496</v>
      </c>
      <c r="E155" s="5064">
        <v>58.767512657441678</v>
      </c>
      <c r="F155" s="5065">
        <v>7.634662225287844</v>
      </c>
      <c r="G155" s="5066">
        <v>68.398379376784462</v>
      </c>
      <c r="H155" s="5067">
        <v>2023</v>
      </c>
      <c r="I155" s="5068">
        <v>10593798</v>
      </c>
      <c r="J155" s="2985"/>
      <c r="K155" s="8" t="str">
        <f t="shared" si="99"/>
        <v xml:space="preserve">  HND</v>
      </c>
      <c r="L155" s="8">
        <f t="shared" si="100"/>
        <v>2023</v>
      </c>
      <c r="M155" s="8">
        <f t="shared" si="101"/>
        <v>2.7547891356930769</v>
      </c>
      <c r="N155" s="8">
        <f t="shared" si="102"/>
        <v>54.050680472513143</v>
      </c>
      <c r="O155" s="8">
        <f t="shared" si="103"/>
        <v>7.634662225287844</v>
      </c>
      <c r="P155" s="8">
        <f t="shared" si="104"/>
        <v>68.398379376784462</v>
      </c>
      <c r="Q155" s="3792"/>
      <c r="R155" s="8" t="str">
        <f t="shared" si="105"/>
        <v xml:space="preserve">  HND</v>
      </c>
      <c r="S155" s="8">
        <f t="shared" si="106"/>
        <v>2023</v>
      </c>
      <c r="T155" s="8">
        <f t="shared" si="107"/>
        <v>-4.8798730895947671</v>
      </c>
      <c r="U155" s="8">
        <f t="shared" si="108"/>
        <v>-14.347698904271319</v>
      </c>
      <c r="W155" s="8">
        <f>Fact7!P153</f>
        <v>-29.51541002649806</v>
      </c>
    </row>
    <row r="156" spans="1:23">
      <c r="A156" s="5069" t="s">
        <v>1205</v>
      </c>
      <c r="B156" s="5070">
        <v>23.529156347036658</v>
      </c>
      <c r="C156" s="5071">
        <v>80.162243482821367</v>
      </c>
      <c r="D156" s="5072">
        <v>34.463890049837971</v>
      </c>
      <c r="E156" s="5073">
        <v>85.129516658530818</v>
      </c>
      <c r="F156" s="5074">
        <v>43.489903426020433</v>
      </c>
      <c r="G156" s="5075">
        <v>91.928058538349106</v>
      </c>
      <c r="H156" s="5076">
        <v>2022</v>
      </c>
      <c r="I156" s="5077">
        <v>128455567</v>
      </c>
      <c r="J156" s="2986"/>
      <c r="K156" s="8" t="str">
        <f t="shared" si="99"/>
        <v xml:space="preserve">  MEX</v>
      </c>
      <c r="L156" s="8">
        <f t="shared" si="100"/>
        <v>2022</v>
      </c>
      <c r="M156" s="8">
        <f t="shared" si="101"/>
        <v>23.529156347036658</v>
      </c>
      <c r="N156" s="8">
        <f t="shared" si="102"/>
        <v>80.162243482821367</v>
      </c>
      <c r="O156" s="8">
        <f t="shared" si="103"/>
        <v>43.489903426020433</v>
      </c>
      <c r="P156" s="8">
        <f t="shared" si="104"/>
        <v>91.928058538349106</v>
      </c>
      <c r="Q156" s="3793"/>
      <c r="R156" s="8" t="str">
        <f t="shared" si="105"/>
        <v xml:space="preserve">  MEX</v>
      </c>
      <c r="S156" s="8">
        <f t="shared" si="106"/>
        <v>2022</v>
      </c>
      <c r="T156" s="8">
        <f t="shared" si="107"/>
        <v>-19.960747078983776</v>
      </c>
      <c r="U156" s="8">
        <f t="shared" si="108"/>
        <v>-11.765815055527739</v>
      </c>
      <c r="W156" s="8">
        <f>Fact7!P154</f>
        <v>-34.554620215953818</v>
      </c>
    </row>
    <row r="157" spans="1:23">
      <c r="A157" s="5078" t="s">
        <v>1200</v>
      </c>
      <c r="B157" s="5079">
        <v>0.85701050030883263</v>
      </c>
      <c r="C157" s="5080">
        <v>38.788533786217897</v>
      </c>
      <c r="D157" s="5081">
        <v>0.68774244326593326</v>
      </c>
      <c r="E157" s="5082">
        <v>27.7060116453939</v>
      </c>
      <c r="F157" s="5083">
        <v>3.6859526616486802</v>
      </c>
      <c r="G157" s="5084">
        <v>50.029463275377154</v>
      </c>
      <c r="H157" s="5085">
        <v>2022</v>
      </c>
      <c r="I157" s="5086">
        <v>4468087</v>
      </c>
      <c r="J157" s="2987"/>
      <c r="K157" s="8" t="str">
        <f t="shared" si="99"/>
        <v xml:space="preserve">  PAN</v>
      </c>
      <c r="L157" s="8">
        <f t="shared" si="100"/>
        <v>2022</v>
      </c>
      <c r="M157" s="8">
        <f t="shared" si="101"/>
        <v>0.85701050030883263</v>
      </c>
      <c r="N157" s="8">
        <f t="shared" si="102"/>
        <v>38.788533786217897</v>
      </c>
      <c r="O157" s="8">
        <f t="shared" si="103"/>
        <v>3.6859526616486802</v>
      </c>
      <c r="P157" s="8">
        <f t="shared" si="104"/>
        <v>50.029463275377154</v>
      </c>
      <c r="Q157" s="3794"/>
      <c r="R157" s="8" t="str">
        <f t="shared" si="105"/>
        <v xml:space="preserve">  PAN</v>
      </c>
      <c r="S157" s="8">
        <f t="shared" si="106"/>
        <v>2022</v>
      </c>
      <c r="T157" s="8">
        <f t="shared" si="107"/>
        <v>-2.8289421613398478</v>
      </c>
      <c r="U157" s="8">
        <f t="shared" si="108"/>
        <v>-11.240929489159257</v>
      </c>
      <c r="W157" s="8">
        <f>Fact7!P155</f>
        <v>-29.296173144782443</v>
      </c>
    </row>
    <row r="158" spans="1:23">
      <c r="A158" s="5087" t="s">
        <v>1201</v>
      </c>
      <c r="B158" s="5088">
        <v>17.572820718865863</v>
      </c>
      <c r="C158" s="5089">
        <v>72.030065610089508</v>
      </c>
      <c r="D158" s="5090">
        <v>20.529782340544838</v>
      </c>
      <c r="E158" s="5091">
        <v>78.871722037390896</v>
      </c>
      <c r="F158" s="5092">
        <v>27.791701606602921</v>
      </c>
      <c r="G158" s="5093">
        <v>87.064919092400046</v>
      </c>
      <c r="H158" s="5094">
        <v>2022</v>
      </c>
      <c r="I158" s="5095">
        <v>34352719</v>
      </c>
      <c r="J158" s="2988"/>
      <c r="K158" s="8" t="str">
        <f t="shared" si="99"/>
        <v xml:space="preserve">  PER</v>
      </c>
      <c r="L158" s="8">
        <f t="shared" si="100"/>
        <v>2022</v>
      </c>
      <c r="M158" s="8">
        <f t="shared" si="101"/>
        <v>17.572820718865863</v>
      </c>
      <c r="N158" s="8">
        <f t="shared" si="102"/>
        <v>72.030065610089508</v>
      </c>
      <c r="O158" s="8">
        <f t="shared" si="103"/>
        <v>27.791701606602921</v>
      </c>
      <c r="P158" s="8">
        <f t="shared" si="104"/>
        <v>87.064919092400046</v>
      </c>
      <c r="Q158" s="3795"/>
      <c r="R158" s="8" t="str">
        <f t="shared" si="105"/>
        <v xml:space="preserve">  PER</v>
      </c>
      <c r="S158" s="8">
        <f t="shared" si="106"/>
        <v>2022</v>
      </c>
      <c r="T158" s="8">
        <f t="shared" si="107"/>
        <v>-10.218880887737058</v>
      </c>
      <c r="U158" s="8">
        <f t="shared" si="108"/>
        <v>-15.034853482310538</v>
      </c>
      <c r="W158" s="8">
        <f>Fact7!P156</f>
        <v>-33.721007811246665</v>
      </c>
    </row>
    <row r="159" spans="1:23">
      <c r="A159" s="5096" t="s">
        <v>1202</v>
      </c>
      <c r="C159" s="5097">
        <v>4.826817421769249</v>
      </c>
      <c r="E159" s="5098">
        <v>7.8950497155979944</v>
      </c>
      <c r="G159" s="5099">
        <v>17.118423268481436</v>
      </c>
      <c r="H159" s="5100">
        <v>2022</v>
      </c>
      <c r="I159" s="5101">
        <v>6861524</v>
      </c>
      <c r="J159" s="2989"/>
      <c r="K159" s="8"/>
      <c r="L159" s="8"/>
      <c r="M159" s="8"/>
      <c r="N159" s="8"/>
      <c r="O159" s="8"/>
      <c r="P159" s="8"/>
      <c r="Q159" s="3796"/>
      <c r="R159" s="8"/>
      <c r="S159" s="8"/>
      <c r="T159" s="8"/>
      <c r="U159" s="8"/>
      <c r="W159" s="8"/>
    </row>
    <row r="160" spans="1:23">
      <c r="A160" s="5102" t="s">
        <v>1206</v>
      </c>
      <c r="B160" s="5103">
        <v>0.75261157754305563</v>
      </c>
      <c r="C160" s="5104">
        <v>39.585400719872347</v>
      </c>
      <c r="D160" s="5105">
        <v>1.6839048452141601</v>
      </c>
      <c r="E160" s="5106">
        <v>40.365068160640647</v>
      </c>
      <c r="F160" s="5107">
        <v>2.1968875969604857</v>
      </c>
      <c r="G160" s="5108">
        <v>60.953228165676308</v>
      </c>
      <c r="H160" s="5109">
        <v>2023</v>
      </c>
      <c r="I160" s="5110">
        <v>6364943</v>
      </c>
      <c r="J160" s="2990"/>
      <c r="K160" s="8" t="str">
        <f t="shared" si="99"/>
        <v xml:space="preserve">  SLV</v>
      </c>
      <c r="L160" s="8">
        <f t="shared" si="100"/>
        <v>2023</v>
      </c>
      <c r="M160" s="8">
        <f t="shared" si="101"/>
        <v>0.75261157754305563</v>
      </c>
      <c r="N160" s="8">
        <f t="shared" si="102"/>
        <v>39.585400719872347</v>
      </c>
      <c r="O160" s="8">
        <f t="shared" si="103"/>
        <v>2.1968875969604857</v>
      </c>
      <c r="P160" s="8">
        <f t="shared" si="104"/>
        <v>60.953228165676308</v>
      </c>
      <c r="Q160" s="3797"/>
      <c r="R160" s="8" t="str">
        <f t="shared" si="105"/>
        <v xml:space="preserve">  SLV</v>
      </c>
      <c r="S160" s="8">
        <f t="shared" si="106"/>
        <v>2023</v>
      </c>
      <c r="T160" s="8">
        <f t="shared" si="107"/>
        <v>-1.4442760194174302</v>
      </c>
      <c r="U160" s="8">
        <f t="shared" si="108"/>
        <v>-21.367827445803961</v>
      </c>
      <c r="W160" s="8">
        <f>Fact7!P158</f>
        <v>-28.008508600128764</v>
      </c>
    </row>
    <row r="161" spans="1:23">
      <c r="A161" s="5111" t="s">
        <v>1207</v>
      </c>
      <c r="B161" s="5112">
        <v>17.509817509817509</v>
      </c>
      <c r="C161" s="5113">
        <v>46.64954294779784</v>
      </c>
      <c r="D161" s="5114">
        <v>23.839411319121307</v>
      </c>
      <c r="E161" s="5115">
        <v>57.039278988431533</v>
      </c>
      <c r="F161" s="5116">
        <v>19.830741908593382</v>
      </c>
      <c r="G161" s="5117">
        <v>76.43497272267885</v>
      </c>
      <c r="H161" s="5118">
        <v>2022</v>
      </c>
      <c r="I161" s="5119">
        <v>3423109</v>
      </c>
      <c r="J161" s="2991"/>
      <c r="K161" s="8" t="str">
        <f t="shared" ref="K161" si="109">A161</f>
        <v xml:space="preserve">  URY</v>
      </c>
      <c r="L161" s="8">
        <f t="shared" ref="L161" si="110">H161</f>
        <v>2022</v>
      </c>
      <c r="M161" s="8">
        <f t="shared" ref="M161" si="111">B161</f>
        <v>17.509817509817509</v>
      </c>
      <c r="N161" s="8">
        <f t="shared" si="102"/>
        <v>46.64954294779784</v>
      </c>
      <c r="O161" s="8">
        <f t="shared" ref="O161" si="112">F161</f>
        <v>19.830741908593382</v>
      </c>
      <c r="P161" s="8">
        <f t="shared" ref="P161" si="113">G161</f>
        <v>76.43497272267885</v>
      </c>
      <c r="Q161" s="3798"/>
      <c r="R161" s="8" t="str">
        <f t="shared" si="105"/>
        <v xml:space="preserve">  URY</v>
      </c>
      <c r="S161" s="8">
        <f t="shared" si="106"/>
        <v>2022</v>
      </c>
      <c r="T161" s="8">
        <f t="shared" si="107"/>
        <v>-2.3209243987758725</v>
      </c>
      <c r="U161" s="8">
        <f t="shared" si="108"/>
        <v>-29.78542977488101</v>
      </c>
      <c r="W161" s="8">
        <f>Fact7!P159</f>
        <v>-25.626208196047337</v>
      </c>
    </row>
    <row r="162" spans="1:23">
      <c r="A162" s="5120" t="s">
        <v>1203</v>
      </c>
      <c r="B162" s="5822" t="s">
        <v>1045</v>
      </c>
      <c r="C162" s="5823" t="s">
        <v>1045</v>
      </c>
      <c r="D162" s="5824" t="s">
        <v>1045</v>
      </c>
      <c r="E162" s="5825" t="s">
        <v>1045</v>
      </c>
      <c r="F162" s="5826" t="s">
        <v>1045</v>
      </c>
      <c r="G162" s="5827" t="s">
        <v>1045</v>
      </c>
      <c r="H162" s="5121" t="s">
        <v>1186</v>
      </c>
      <c r="I162" s="5122" t="s">
        <v>1257</v>
      </c>
      <c r="J162" s="2992"/>
      <c r="Q162" s="3799"/>
    </row>
    <row r="163" spans="1:23">
      <c r="A163" s="5123"/>
      <c r="B163" s="5828" t="s">
        <v>1187</v>
      </c>
      <c r="C163" s="5828" t="s">
        <v>1187</v>
      </c>
      <c r="D163" s="5829" t="s">
        <v>1188</v>
      </c>
      <c r="E163" s="5829" t="s">
        <v>1188</v>
      </c>
      <c r="F163" s="5830" t="s">
        <v>1189</v>
      </c>
      <c r="G163" s="5830" t="s">
        <v>1189</v>
      </c>
      <c r="I163" s="5124" t="s">
        <v>1187</v>
      </c>
      <c r="J163" s="2993"/>
      <c r="K163" s="3" t="s">
        <v>1261</v>
      </c>
      <c r="L163" s="8"/>
      <c r="M163" s="8">
        <f>AVERAGE(M146:M161)</f>
        <v>9.5930918568491936</v>
      </c>
      <c r="N163" s="8">
        <f>AVERAGE(N146:N161)</f>
        <v>56.818518701995352</v>
      </c>
      <c r="O163" s="8">
        <f t="shared" ref="O163:P163" si="114">AVERAGE(O146:O161)</f>
        <v>16.325482740379311</v>
      </c>
      <c r="P163" s="8">
        <f t="shared" si="114"/>
        <v>72.136318244115344</v>
      </c>
      <c r="Q163" s="3800"/>
      <c r="R163" s="3" t="s">
        <v>1261</v>
      </c>
      <c r="S163" s="8"/>
      <c r="T163" s="8">
        <f>AVERAGE(T146:T161)</f>
        <v>-6.7323908835301163</v>
      </c>
      <c r="U163" s="8">
        <f t="shared" ref="U163:W163" si="115">AVERAGE(U146:U161)</f>
        <v>-15.317799542120005</v>
      </c>
      <c r="V163" s="8"/>
      <c r="W163" s="8">
        <f t="shared" si="115"/>
        <v>-27.996578235148085</v>
      </c>
    </row>
    <row r="164" spans="1:23" ht="15" thickBot="1">
      <c r="A164" s="5125"/>
      <c r="B164" s="5831" t="s">
        <v>1258</v>
      </c>
      <c r="C164" s="5831" t="s">
        <v>1258</v>
      </c>
      <c r="D164" s="5832" t="s">
        <v>1258</v>
      </c>
      <c r="E164" s="5832" t="s">
        <v>1258</v>
      </c>
      <c r="F164" s="5833" t="s">
        <v>1258</v>
      </c>
      <c r="G164" s="5833" t="s">
        <v>1258</v>
      </c>
      <c r="K164" s="212" t="s">
        <v>1145</v>
      </c>
      <c r="L164" s="85"/>
      <c r="M164" s="85">
        <f>SUMPRODUCT(M146:M161,$I146:$I161)/SUM($I146:$I161)</f>
        <v>9.6926820776659586</v>
      </c>
      <c r="N164" s="85">
        <f>SUMPRODUCT(N146:N161,$I146:$I161)/SUM($I146:$I161)</f>
        <v>58.690463292921734</v>
      </c>
      <c r="O164" s="85">
        <f t="shared" ref="O164" si="116">SUMPRODUCT(O146:O161,$I146:$I161)/SUM($I146:$I161)</f>
        <v>17.263781970094005</v>
      </c>
      <c r="P164" s="85">
        <f>SUMPRODUCT(P146:P161,$I146:$I161)/SUM($I146:$I161)</f>
        <v>74.00964551480503</v>
      </c>
      <c r="R164" s="212" t="s">
        <v>1145</v>
      </c>
      <c r="S164" s="85"/>
      <c r="T164" s="85">
        <f>SUMPRODUCT(T146:T161,$I146:$I161)/SUM($I146:$I161)</f>
        <v>-7.5710998924280473</v>
      </c>
      <c r="U164" s="85">
        <f t="shared" ref="U164:W164" si="117">SUMPRODUCT(U146:U161,$I146:$I161)/SUM($I146:$I161)</f>
        <v>-15.319182221883313</v>
      </c>
      <c r="V164" s="85"/>
      <c r="W164" s="85">
        <f t="shared" si="117"/>
        <v>-28.803691180067727</v>
      </c>
    </row>
    <row r="165" spans="1:23" ht="15" thickTop="1">
      <c r="A165" s="5126"/>
      <c r="B165" s="5127" t="s">
        <v>1259</v>
      </c>
      <c r="C165" s="5128" t="s">
        <v>1260</v>
      </c>
      <c r="D165" s="5129" t="s">
        <v>1259</v>
      </c>
      <c r="E165" s="5130" t="s">
        <v>1260</v>
      </c>
      <c r="F165" s="5131" t="s">
        <v>1259</v>
      </c>
      <c r="G165" s="5132" t="s">
        <v>1260</v>
      </c>
      <c r="L165" s="8"/>
      <c r="M165" s="8"/>
      <c r="N165" s="8"/>
      <c r="O165" s="8"/>
      <c r="P165" s="8"/>
      <c r="S165" s="8"/>
      <c r="T165" s="8"/>
      <c r="U165" s="8"/>
      <c r="V165" s="8"/>
      <c r="W165" s="8"/>
    </row>
    <row r="166" spans="1:23">
      <c r="A166" s="5133"/>
      <c r="B166" s="5134" t="s">
        <v>1222</v>
      </c>
      <c r="C166" s="5135" t="s">
        <v>1222</v>
      </c>
      <c r="D166" s="5136" t="s">
        <v>1222</v>
      </c>
      <c r="E166" s="5137" t="s">
        <v>1222</v>
      </c>
      <c r="F166" s="5138" t="s">
        <v>1222</v>
      </c>
      <c r="G166" s="5139" t="s">
        <v>1222</v>
      </c>
      <c r="L166" s="8"/>
      <c r="M166" s="8"/>
      <c r="N166" s="8"/>
      <c r="O166" s="8"/>
      <c r="P166" s="8"/>
      <c r="S166" s="8"/>
      <c r="T166" s="8"/>
      <c r="U166" s="8"/>
      <c r="V166" s="8"/>
      <c r="W166" s="8"/>
    </row>
    <row r="167" spans="1:23" ht="15" thickBot="1">
      <c r="A167" s="5140"/>
      <c r="B167" s="5141" t="s">
        <v>1187</v>
      </c>
      <c r="C167" s="5142" t="s">
        <v>1187</v>
      </c>
      <c r="D167" s="5143" t="s">
        <v>1187</v>
      </c>
      <c r="E167" s="5144" t="s">
        <v>1187</v>
      </c>
      <c r="F167" s="5145" t="s">
        <v>1187</v>
      </c>
      <c r="G167" s="5146" t="s">
        <v>1187</v>
      </c>
      <c r="K167" s="972" t="str">
        <f>B166</f>
        <v>Acceso a fuente de agua por red</v>
      </c>
      <c r="L167" s="2649"/>
      <c r="M167" s="85"/>
      <c r="N167" s="85"/>
      <c r="O167" s="85"/>
      <c r="P167" s="85"/>
      <c r="R167" s="972" t="str">
        <f>E166</f>
        <v>Acceso a fuente de agua por red</v>
      </c>
      <c r="S167" s="2649"/>
      <c r="T167" s="85"/>
      <c r="U167" s="85"/>
      <c r="V167" s="85"/>
      <c r="W167" s="85"/>
    </row>
    <row r="168" spans="1:23" ht="15" thickTop="1">
      <c r="A168" s="5147" t="s">
        <v>1125</v>
      </c>
      <c r="B168" s="5148"/>
      <c r="C168" s="5149"/>
      <c r="D168" s="5150"/>
      <c r="E168" s="5151"/>
      <c r="F168" s="5152"/>
      <c r="G168" s="5153"/>
      <c r="H168" s="5154"/>
      <c r="I168" s="5155"/>
      <c r="J168" s="2994"/>
      <c r="K168" s="213" t="s">
        <v>904</v>
      </c>
      <c r="L168" s="216" t="s">
        <v>938</v>
      </c>
      <c r="M168" s="2650" t="s">
        <v>1273</v>
      </c>
      <c r="N168" s="2650" t="s">
        <v>1136</v>
      </c>
      <c r="O168" s="2650"/>
      <c r="P168" s="2650"/>
      <c r="Q168" s="3801"/>
      <c r="R168" s="213" t="s">
        <v>904</v>
      </c>
      <c r="S168" s="216" t="s">
        <v>938</v>
      </c>
      <c r="T168" s="2650" t="s">
        <v>1273</v>
      </c>
      <c r="U168" s="2650" t="s">
        <v>1136</v>
      </c>
      <c r="W168" s="76" t="s">
        <v>901</v>
      </c>
    </row>
    <row r="169" spans="1:23">
      <c r="A169" s="5156" t="s">
        <v>1190</v>
      </c>
      <c r="C169" s="5157">
        <v>83.324000861458941</v>
      </c>
      <c r="E169" s="5158">
        <v>84.720890789764766</v>
      </c>
      <c r="G169" s="5159">
        <v>91.235559919487656</v>
      </c>
      <c r="H169" s="5160">
        <v>2022</v>
      </c>
      <c r="I169" s="5161">
        <v>45773884</v>
      </c>
      <c r="J169" s="2995"/>
      <c r="K169" s="8"/>
      <c r="L169" s="8"/>
      <c r="M169" s="8"/>
      <c r="N169" s="8"/>
      <c r="O169" s="8"/>
      <c r="P169" s="8"/>
      <c r="Q169" s="3802"/>
      <c r="R169" s="8"/>
      <c r="S169" s="8"/>
      <c r="T169" s="8"/>
      <c r="U169" s="8"/>
      <c r="W169" s="8"/>
    </row>
    <row r="170" spans="1:23">
      <c r="A170" s="5162" t="s">
        <v>1191</v>
      </c>
      <c r="B170" s="5163">
        <v>15.238835693569008</v>
      </c>
      <c r="C170" s="5164">
        <v>83.756924724477102</v>
      </c>
      <c r="D170" s="5165">
        <v>14.880849928969136</v>
      </c>
      <c r="E170" s="5166">
        <v>83.300056728712178</v>
      </c>
      <c r="F170" s="5167">
        <v>24.267890788241434</v>
      </c>
      <c r="G170" s="5168">
        <v>89.431837248582482</v>
      </c>
      <c r="H170" s="5169">
        <v>2022</v>
      </c>
      <c r="I170" s="5170">
        <v>12388571</v>
      </c>
      <c r="J170" s="2996"/>
      <c r="K170" s="8" t="str">
        <f t="shared" ref="K170:K183" si="118">A170</f>
        <v xml:space="preserve">  BOL</v>
      </c>
      <c r="L170" s="8">
        <f t="shared" ref="L170:L183" si="119">H170</f>
        <v>2022</v>
      </c>
      <c r="M170" s="8">
        <f t="shared" ref="M170:M183" si="120">B170</f>
        <v>15.238835693569008</v>
      </c>
      <c r="N170" s="8">
        <f t="shared" ref="N170:N184" si="121">C170</f>
        <v>83.756924724477102</v>
      </c>
      <c r="O170" s="8">
        <f t="shared" ref="O170:O183" si="122">F170</f>
        <v>24.267890788241434</v>
      </c>
      <c r="P170" s="8">
        <f t="shared" ref="P170:P183" si="123">G170</f>
        <v>89.431837248582482</v>
      </c>
      <c r="Q170" s="3803"/>
      <c r="R170" s="8" t="str">
        <f t="shared" ref="R170:R184" si="124">A170</f>
        <v xml:space="preserve">  BOL</v>
      </c>
      <c r="S170" s="8">
        <f t="shared" ref="S170:S184" si="125">H170*1</f>
        <v>2022</v>
      </c>
      <c r="T170" s="8">
        <f t="shared" ref="T170:T184" si="126">B170-F170</f>
        <v>-9.029055094672426</v>
      </c>
      <c r="U170" s="8">
        <f t="shared" ref="U170:U184" si="127">C170-G170</f>
        <v>-5.6749125241053804</v>
      </c>
      <c r="W170" s="8">
        <f>Fact7!P168</f>
        <v>-43.887281453919471</v>
      </c>
    </row>
    <row r="171" spans="1:23">
      <c r="A171" s="5171" t="s">
        <v>1192</v>
      </c>
      <c r="B171" s="5172">
        <v>35.146573242514208</v>
      </c>
      <c r="C171" s="5173">
        <v>87.694448029151729</v>
      </c>
      <c r="D171" s="5174">
        <v>34.423972737990574</v>
      </c>
      <c r="E171" s="5175">
        <v>90.527748467763871</v>
      </c>
      <c r="F171" s="5176">
        <v>29.869226350895495</v>
      </c>
      <c r="G171" s="5177">
        <v>94.238416405192396</v>
      </c>
      <c r="H171" s="5178">
        <v>2022</v>
      </c>
      <c r="I171" s="5179">
        <v>216422446</v>
      </c>
      <c r="J171" s="2997"/>
      <c r="K171" s="8" t="str">
        <f t="shared" si="118"/>
        <v xml:space="preserve">  BRA</v>
      </c>
      <c r="L171" s="8">
        <f t="shared" si="119"/>
        <v>2022</v>
      </c>
      <c r="M171" s="8">
        <f t="shared" si="120"/>
        <v>35.146573242514208</v>
      </c>
      <c r="N171" s="8">
        <f t="shared" si="121"/>
        <v>87.694448029151729</v>
      </c>
      <c r="O171" s="8">
        <f t="shared" si="122"/>
        <v>29.869226350895495</v>
      </c>
      <c r="P171" s="8">
        <f t="shared" si="123"/>
        <v>94.238416405192396</v>
      </c>
      <c r="Q171" s="3804"/>
      <c r="R171" s="8" t="str">
        <f t="shared" si="124"/>
        <v xml:space="preserve">  BRA</v>
      </c>
      <c r="S171" s="8">
        <f t="shared" si="125"/>
        <v>2022</v>
      </c>
      <c r="T171" s="8">
        <f t="shared" si="126"/>
        <v>5.2773468916187127</v>
      </c>
      <c r="U171" s="8">
        <f t="shared" si="127"/>
        <v>-6.5439683760406666</v>
      </c>
      <c r="W171" s="8">
        <f>Fact7!P169</f>
        <v>-16.293755535611695</v>
      </c>
    </row>
    <row r="172" spans="1:23">
      <c r="A172" s="5180" t="s">
        <v>1193</v>
      </c>
      <c r="B172" s="5181">
        <v>51.529146416776307</v>
      </c>
      <c r="C172" s="5182">
        <v>96.791946227369976</v>
      </c>
      <c r="D172" s="5183">
        <v>54.86525354842744</v>
      </c>
      <c r="E172" s="5184">
        <v>97.232837037200184</v>
      </c>
      <c r="F172" s="5185">
        <v>57.866677020766943</v>
      </c>
      <c r="G172" s="5186">
        <v>98.778784363047606</v>
      </c>
      <c r="H172" s="5187">
        <v>2022</v>
      </c>
      <c r="I172" s="5188">
        <v>19629590</v>
      </c>
      <c r="J172" s="2998"/>
      <c r="K172" s="8" t="str">
        <f t="shared" si="118"/>
        <v xml:space="preserve">  CHL</v>
      </c>
      <c r="L172" s="8">
        <f t="shared" si="119"/>
        <v>2022</v>
      </c>
      <c r="M172" s="8">
        <f t="shared" si="120"/>
        <v>51.529146416776307</v>
      </c>
      <c r="N172" s="8">
        <f t="shared" si="121"/>
        <v>96.791946227369976</v>
      </c>
      <c r="O172" s="8">
        <f t="shared" si="122"/>
        <v>57.866677020766943</v>
      </c>
      <c r="P172" s="8">
        <f t="shared" si="123"/>
        <v>98.778784363047606</v>
      </c>
      <c r="Q172" s="3805"/>
      <c r="R172" s="8" t="str">
        <f t="shared" si="124"/>
        <v xml:space="preserve">  CHL</v>
      </c>
      <c r="S172" s="8">
        <f t="shared" si="125"/>
        <v>2022</v>
      </c>
      <c r="T172" s="8">
        <f t="shared" si="126"/>
        <v>-6.3375306039906363</v>
      </c>
      <c r="U172" s="8">
        <f t="shared" si="127"/>
        <v>-1.9868381356776297</v>
      </c>
      <c r="W172" s="8">
        <f>Fact7!P170</f>
        <v>-5.9376347626139392</v>
      </c>
    </row>
    <row r="173" spans="1:23">
      <c r="A173" s="5189" t="s">
        <v>1194</v>
      </c>
      <c r="B173" s="5190">
        <v>47.960714044036251</v>
      </c>
      <c r="C173" s="5191">
        <v>95.553790311981658</v>
      </c>
      <c r="D173" s="5192">
        <v>55.017265304810437</v>
      </c>
      <c r="E173" s="5193">
        <v>96.688975558444881</v>
      </c>
      <c r="F173" s="5194">
        <v>63.351070760586012</v>
      </c>
      <c r="G173" s="5195">
        <v>99.180674707481245</v>
      </c>
      <c r="H173" s="5196">
        <v>2022</v>
      </c>
      <c r="I173" s="5197">
        <v>52085168</v>
      </c>
      <c r="J173" s="2999"/>
      <c r="K173" s="8" t="str">
        <f t="shared" si="118"/>
        <v xml:space="preserve">  COL</v>
      </c>
      <c r="L173" s="8">
        <f t="shared" si="119"/>
        <v>2022</v>
      </c>
      <c r="M173" s="8">
        <f t="shared" si="120"/>
        <v>47.960714044036251</v>
      </c>
      <c r="N173" s="8">
        <f t="shared" si="121"/>
        <v>95.553790311981658</v>
      </c>
      <c r="O173" s="8">
        <f t="shared" si="122"/>
        <v>63.351070760586012</v>
      </c>
      <c r="P173" s="8">
        <f t="shared" si="123"/>
        <v>99.180674707481245</v>
      </c>
      <c r="Q173" s="3806"/>
      <c r="R173" s="8" t="str">
        <f t="shared" si="124"/>
        <v xml:space="preserve">  COL</v>
      </c>
      <c r="S173" s="8">
        <f t="shared" si="125"/>
        <v>2022</v>
      </c>
      <c r="T173" s="8">
        <f t="shared" si="126"/>
        <v>-15.390356716549761</v>
      </c>
      <c r="U173" s="8">
        <f t="shared" si="127"/>
        <v>-3.6268843954995873</v>
      </c>
      <c r="W173" s="8">
        <f>Fact7!P171</f>
        <v>-22.085535395138649</v>
      </c>
    </row>
    <row r="174" spans="1:23">
      <c r="A174" s="5198" t="s">
        <v>1195</v>
      </c>
      <c r="B174" s="5199">
        <v>83.136682382787257</v>
      </c>
      <c r="C174" s="5200">
        <v>97.538588267597632</v>
      </c>
      <c r="D174" s="5201">
        <v>87.698858529570373</v>
      </c>
      <c r="E174" s="5202">
        <v>98.388335246084367</v>
      </c>
      <c r="F174" s="5203">
        <v>89.794295601728052</v>
      </c>
      <c r="G174" s="5204">
        <v>99.278821773069964</v>
      </c>
      <c r="H174" s="5205">
        <v>2023</v>
      </c>
      <c r="I174" s="5206">
        <v>5212173</v>
      </c>
      <c r="J174" s="3000"/>
      <c r="K174" s="8" t="str">
        <f t="shared" si="118"/>
        <v xml:space="preserve">  CRI</v>
      </c>
      <c r="L174" s="8">
        <f t="shared" si="119"/>
        <v>2023</v>
      </c>
      <c r="M174" s="8">
        <f t="shared" si="120"/>
        <v>83.136682382787257</v>
      </c>
      <c r="N174" s="8">
        <f t="shared" si="121"/>
        <v>97.538588267597632</v>
      </c>
      <c r="O174" s="8">
        <f t="shared" si="122"/>
        <v>89.794295601728052</v>
      </c>
      <c r="P174" s="8">
        <f t="shared" si="123"/>
        <v>99.278821773069964</v>
      </c>
      <c r="Q174" s="3807"/>
      <c r="R174" s="8" t="str">
        <f t="shared" si="124"/>
        <v xml:space="preserve">  CRI</v>
      </c>
      <c r="S174" s="8">
        <f t="shared" si="125"/>
        <v>2023</v>
      </c>
      <c r="T174" s="8">
        <f t="shared" si="126"/>
        <v>-6.6576132189407957</v>
      </c>
      <c r="U174" s="8">
        <f t="shared" si="127"/>
        <v>-1.7402335054723324</v>
      </c>
      <c r="W174" s="8">
        <f>Fact7!P172</f>
        <v>-5.9396793717388761</v>
      </c>
    </row>
    <row r="175" spans="1:23">
      <c r="A175" s="5207" t="s">
        <v>1196</v>
      </c>
      <c r="B175" s="5208">
        <v>70.003085587834548</v>
      </c>
      <c r="C175" s="5209">
        <v>86.550022259887626</v>
      </c>
      <c r="D175" s="5210">
        <v>74.180113274307331</v>
      </c>
      <c r="E175" s="5211">
        <v>88.478486239056267</v>
      </c>
      <c r="F175" s="5212">
        <v>74.639445055507949</v>
      </c>
      <c r="G175" s="5213">
        <v>92.24787826912393</v>
      </c>
      <c r="H175" s="5214">
        <v>2022</v>
      </c>
      <c r="I175" s="5215">
        <v>11332973</v>
      </c>
      <c r="J175" s="3001"/>
      <c r="K175" s="8" t="str">
        <f t="shared" si="118"/>
        <v xml:space="preserve">  DOM</v>
      </c>
      <c r="L175" s="8">
        <f t="shared" si="119"/>
        <v>2022</v>
      </c>
      <c r="M175" s="8">
        <f t="shared" si="120"/>
        <v>70.003085587834548</v>
      </c>
      <c r="N175" s="8">
        <f t="shared" si="121"/>
        <v>86.550022259887626</v>
      </c>
      <c r="O175" s="8">
        <f t="shared" si="122"/>
        <v>74.639445055507949</v>
      </c>
      <c r="P175" s="8">
        <f t="shared" si="123"/>
        <v>92.24787826912393</v>
      </c>
      <c r="Q175" s="3808"/>
      <c r="R175" s="8" t="str">
        <f t="shared" si="124"/>
        <v xml:space="preserve">  DOM</v>
      </c>
      <c r="S175" s="8">
        <f t="shared" si="125"/>
        <v>2022</v>
      </c>
      <c r="T175" s="8">
        <f t="shared" si="126"/>
        <v>-4.636359467673401</v>
      </c>
      <c r="U175" s="8">
        <f t="shared" si="127"/>
        <v>-5.697856009236304</v>
      </c>
      <c r="W175" s="8">
        <f>Fact7!P173</f>
        <v>-7.6750955376823384</v>
      </c>
    </row>
    <row r="176" spans="1:23">
      <c r="A176" s="5216" t="s">
        <v>1197</v>
      </c>
      <c r="B176" s="5217">
        <v>30.566060165281943</v>
      </c>
      <c r="C176" s="5218">
        <v>86.898941017003978</v>
      </c>
      <c r="D176" s="5219">
        <v>47.13215696558624</v>
      </c>
      <c r="E176" s="5220">
        <v>90.265263584534921</v>
      </c>
      <c r="F176" s="5221">
        <v>56.110889647317386</v>
      </c>
      <c r="G176" s="5222">
        <v>96.825928740169758</v>
      </c>
      <c r="H176" s="5223">
        <v>2023</v>
      </c>
      <c r="I176" s="5224">
        <v>18190484</v>
      </c>
      <c r="J176" s="3002"/>
      <c r="K176" s="8" t="str">
        <f t="shared" si="118"/>
        <v xml:space="preserve">  ECU</v>
      </c>
      <c r="L176" s="8">
        <f t="shared" si="119"/>
        <v>2023</v>
      </c>
      <c r="M176" s="8">
        <f t="shared" si="120"/>
        <v>30.566060165281943</v>
      </c>
      <c r="N176" s="8">
        <f t="shared" si="121"/>
        <v>86.898941017003978</v>
      </c>
      <c r="O176" s="8">
        <f t="shared" si="122"/>
        <v>56.110889647317386</v>
      </c>
      <c r="P176" s="8">
        <f t="shared" si="123"/>
        <v>96.825928740169758</v>
      </c>
      <c r="Q176" s="3809"/>
      <c r="R176" s="8" t="str">
        <f t="shared" si="124"/>
        <v xml:space="preserve">  ECU</v>
      </c>
      <c r="S176" s="8">
        <f t="shared" si="125"/>
        <v>2023</v>
      </c>
      <c r="T176" s="8">
        <f t="shared" si="126"/>
        <v>-25.544829482035443</v>
      </c>
      <c r="U176" s="8">
        <f t="shared" si="127"/>
        <v>-9.9269877231657802</v>
      </c>
      <c r="W176" s="8">
        <f>Fact7!P174</f>
        <v>-34.084837261084786</v>
      </c>
    </row>
    <row r="177" spans="1:23">
      <c r="A177" s="5225" t="s">
        <v>1204</v>
      </c>
      <c r="B177" s="5226">
        <v>60.43685974017103</v>
      </c>
      <c r="C177" s="5227">
        <v>85.871176227616203</v>
      </c>
      <c r="D177" s="5228">
        <v>65.994016086624271</v>
      </c>
      <c r="E177" s="5229">
        <v>90.210032092831597</v>
      </c>
      <c r="F177" s="5230">
        <v>73.169251890479515</v>
      </c>
      <c r="G177" s="5231">
        <v>94.870310735644679</v>
      </c>
      <c r="H177" s="5232">
        <v>2022</v>
      </c>
      <c r="I177" s="5233">
        <v>18092026</v>
      </c>
      <c r="J177" s="3003"/>
      <c r="K177" s="8" t="str">
        <f t="shared" si="118"/>
        <v xml:space="preserve">  GTM</v>
      </c>
      <c r="L177" s="8">
        <f t="shared" si="119"/>
        <v>2022</v>
      </c>
      <c r="M177" s="8">
        <f t="shared" si="120"/>
        <v>60.43685974017103</v>
      </c>
      <c r="N177" s="8">
        <f t="shared" si="121"/>
        <v>85.871176227616203</v>
      </c>
      <c r="O177" s="8">
        <f t="shared" si="122"/>
        <v>73.169251890479515</v>
      </c>
      <c r="P177" s="8">
        <f t="shared" si="123"/>
        <v>94.870310735644679</v>
      </c>
      <c r="Q177" s="3810"/>
      <c r="R177" s="8" t="str">
        <f t="shared" si="124"/>
        <v xml:space="preserve">  GTM</v>
      </c>
      <c r="S177" s="8">
        <f t="shared" si="125"/>
        <v>2022</v>
      </c>
      <c r="T177" s="8">
        <f t="shared" si="126"/>
        <v>-12.732392150308485</v>
      </c>
      <c r="U177" s="8">
        <f t="shared" si="127"/>
        <v>-8.9991345080284759</v>
      </c>
      <c r="W177" s="8">
        <f>Fact7!P175</f>
        <v>-17.616185516171527</v>
      </c>
    </row>
    <row r="178" spans="1:23">
      <c r="A178" s="5234" t="s">
        <v>1199</v>
      </c>
      <c r="B178" s="5235">
        <v>74.971588762124654</v>
      </c>
      <c r="C178" s="5236">
        <v>86.528011785574407</v>
      </c>
      <c r="D178" s="5237">
        <v>76.427194022961515</v>
      </c>
      <c r="E178" s="5238">
        <v>90.651475667743981</v>
      </c>
      <c r="F178" s="5239">
        <v>80.359464700044484</v>
      </c>
      <c r="G178" s="5240">
        <v>93.454454120413899</v>
      </c>
      <c r="H178" s="5241">
        <v>2023</v>
      </c>
      <c r="I178" s="5242">
        <v>10593798</v>
      </c>
      <c r="J178" s="3004"/>
      <c r="K178" s="8" t="str">
        <f t="shared" si="118"/>
        <v xml:space="preserve">  HND</v>
      </c>
      <c r="L178" s="8">
        <f t="shared" si="119"/>
        <v>2023</v>
      </c>
      <c r="M178" s="8">
        <f t="shared" si="120"/>
        <v>74.971588762124654</v>
      </c>
      <c r="N178" s="8">
        <f t="shared" si="121"/>
        <v>86.528011785574407</v>
      </c>
      <c r="O178" s="8">
        <f t="shared" si="122"/>
        <v>80.359464700044484</v>
      </c>
      <c r="P178" s="8">
        <f t="shared" si="123"/>
        <v>93.454454120413899</v>
      </c>
      <c r="Q178" s="3811"/>
      <c r="R178" s="8" t="str">
        <f t="shared" si="124"/>
        <v xml:space="preserve">  HND</v>
      </c>
      <c r="S178" s="8">
        <f t="shared" si="125"/>
        <v>2023</v>
      </c>
      <c r="T178" s="8">
        <f t="shared" si="126"/>
        <v>-5.38787593791983</v>
      </c>
      <c r="U178" s="8">
        <f t="shared" si="127"/>
        <v>-6.9264423348394928</v>
      </c>
      <c r="W178" s="8">
        <f>Fact7!P176</f>
        <v>-10.519026143518957</v>
      </c>
    </row>
    <row r="179" spans="1:23">
      <c r="A179" s="5243" t="s">
        <v>1205</v>
      </c>
      <c r="B179" s="5244">
        <v>91.181714034510506</v>
      </c>
      <c r="C179" s="5245">
        <v>96.046483016887464</v>
      </c>
      <c r="D179" s="5246">
        <v>93.468968526405618</v>
      </c>
      <c r="E179" s="5247">
        <v>96.539989741930881</v>
      </c>
      <c r="F179" s="5248">
        <v>93.939049492021567</v>
      </c>
      <c r="G179" s="5249">
        <v>98.552173318786615</v>
      </c>
      <c r="H179" s="5250">
        <v>2022</v>
      </c>
      <c r="I179" s="5251">
        <v>128455567</v>
      </c>
      <c r="J179" s="3005"/>
      <c r="K179" s="8" t="str">
        <f t="shared" si="118"/>
        <v xml:space="preserve">  MEX</v>
      </c>
      <c r="L179" s="8">
        <f t="shared" si="119"/>
        <v>2022</v>
      </c>
      <c r="M179" s="8">
        <f t="shared" si="120"/>
        <v>91.181714034510506</v>
      </c>
      <c r="N179" s="8">
        <f t="shared" si="121"/>
        <v>96.046483016887464</v>
      </c>
      <c r="O179" s="8">
        <f t="shared" si="122"/>
        <v>93.939049492021567</v>
      </c>
      <c r="P179" s="8">
        <f t="shared" si="123"/>
        <v>98.552173318786615</v>
      </c>
      <c r="Q179" s="3812"/>
      <c r="R179" s="8" t="str">
        <f t="shared" si="124"/>
        <v xml:space="preserve">  MEX</v>
      </c>
      <c r="S179" s="8">
        <f t="shared" si="125"/>
        <v>2022</v>
      </c>
      <c r="T179" s="8">
        <f t="shared" si="126"/>
        <v>-2.7573354575110613</v>
      </c>
      <c r="U179" s="8">
        <f t="shared" si="127"/>
        <v>-2.5056903018991505</v>
      </c>
      <c r="W179" s="8">
        <f>Fact7!P177</f>
        <v>-4.2642549778348098</v>
      </c>
    </row>
    <row r="180" spans="1:23">
      <c r="A180" s="5252" t="s">
        <v>1200</v>
      </c>
      <c r="B180" s="5253">
        <v>56.502856701667689</v>
      </c>
      <c r="C180" s="5254">
        <v>95.867428336163869</v>
      </c>
      <c r="D180" s="5255">
        <v>77.398197252778147</v>
      </c>
      <c r="E180" s="5256">
        <v>95.860486638645739</v>
      </c>
      <c r="F180" s="5257">
        <v>87.607236782443096</v>
      </c>
      <c r="G180" s="5258">
        <v>98.343365715546753</v>
      </c>
      <c r="H180" s="5259">
        <v>2022</v>
      </c>
      <c r="I180" s="5260">
        <v>4468087</v>
      </c>
      <c r="J180" s="3006"/>
      <c r="K180" s="8" t="str">
        <f t="shared" si="118"/>
        <v xml:space="preserve">  PAN</v>
      </c>
      <c r="L180" s="8">
        <f t="shared" si="119"/>
        <v>2022</v>
      </c>
      <c r="M180" s="8">
        <f t="shared" si="120"/>
        <v>56.502856701667689</v>
      </c>
      <c r="N180" s="8">
        <f t="shared" si="121"/>
        <v>95.867428336163869</v>
      </c>
      <c r="O180" s="8">
        <f t="shared" si="122"/>
        <v>87.607236782443096</v>
      </c>
      <c r="P180" s="8">
        <f t="shared" si="123"/>
        <v>98.343365715546753</v>
      </c>
      <c r="Q180" s="3813"/>
      <c r="R180" s="8" t="str">
        <f t="shared" si="124"/>
        <v xml:space="preserve">  PAN</v>
      </c>
      <c r="S180" s="8">
        <f t="shared" si="125"/>
        <v>2022</v>
      </c>
      <c r="T180" s="8">
        <f t="shared" si="126"/>
        <v>-31.104380080775407</v>
      </c>
      <c r="U180" s="8">
        <f t="shared" si="127"/>
        <v>-2.4759373793828843</v>
      </c>
      <c r="W180" s="8">
        <f>Fact7!P178</f>
        <v>-28.895715635425205</v>
      </c>
    </row>
    <row r="181" spans="1:23">
      <c r="A181" s="5261" t="s">
        <v>1201</v>
      </c>
      <c r="B181" s="5262">
        <v>70.475255896242231</v>
      </c>
      <c r="C181" s="5263">
        <v>83.571981939929245</v>
      </c>
      <c r="D181" s="5264">
        <v>75.179176521584139</v>
      </c>
      <c r="E181" s="5265">
        <v>87.619667081664687</v>
      </c>
      <c r="F181" s="5266">
        <v>75.344801211187672</v>
      </c>
      <c r="G181" s="5267">
        <v>91.319489242823423</v>
      </c>
      <c r="H181" s="5268">
        <v>2022</v>
      </c>
      <c r="I181" s="5269">
        <v>34352719</v>
      </c>
      <c r="J181" s="3007"/>
      <c r="K181" s="8" t="str">
        <f t="shared" si="118"/>
        <v xml:space="preserve">  PER</v>
      </c>
      <c r="L181" s="8">
        <f t="shared" si="119"/>
        <v>2022</v>
      </c>
      <c r="M181" s="8">
        <f t="shared" si="120"/>
        <v>70.475255896242231</v>
      </c>
      <c r="N181" s="8">
        <f t="shared" si="121"/>
        <v>83.571981939929245</v>
      </c>
      <c r="O181" s="8">
        <f t="shared" si="122"/>
        <v>75.344801211187672</v>
      </c>
      <c r="P181" s="8">
        <f t="shared" si="123"/>
        <v>91.319489242823423</v>
      </c>
      <c r="Q181" s="3814"/>
      <c r="R181" s="8" t="str">
        <f t="shared" si="124"/>
        <v xml:space="preserve">  PER</v>
      </c>
      <c r="S181" s="8">
        <f t="shared" si="125"/>
        <v>2022</v>
      </c>
      <c r="T181" s="8">
        <f t="shared" si="126"/>
        <v>-4.8695453149454409</v>
      </c>
      <c r="U181" s="8">
        <f t="shared" si="127"/>
        <v>-7.7475073028941779</v>
      </c>
      <c r="W181" s="8">
        <f>Fact7!P179</f>
        <v>-12.01842634903042</v>
      </c>
    </row>
    <row r="182" spans="1:23">
      <c r="A182" s="5270" t="s">
        <v>1202</v>
      </c>
      <c r="B182" s="5271">
        <v>76.181676113460753</v>
      </c>
      <c r="C182" s="5272">
        <v>80.672028027709203</v>
      </c>
      <c r="D182" s="5273">
        <v>78.052570867066834</v>
      </c>
      <c r="E182" s="5274">
        <v>88.796000225268912</v>
      </c>
      <c r="F182" s="5275">
        <v>74.229795130269054</v>
      </c>
      <c r="G182" s="5276">
        <v>88.343982826603281</v>
      </c>
      <c r="H182" s="5277">
        <v>2022</v>
      </c>
      <c r="I182" s="5278">
        <v>6861524</v>
      </c>
      <c r="J182" s="3008"/>
      <c r="K182" s="8" t="str">
        <f t="shared" si="118"/>
        <v xml:space="preserve">  PRY</v>
      </c>
      <c r="L182" s="8">
        <f t="shared" si="119"/>
        <v>2022</v>
      </c>
      <c r="M182" s="8">
        <f t="shared" si="120"/>
        <v>76.181676113460753</v>
      </c>
      <c r="N182" s="8">
        <f t="shared" si="121"/>
        <v>80.672028027709203</v>
      </c>
      <c r="O182" s="8">
        <f t="shared" si="122"/>
        <v>74.229795130269054</v>
      </c>
      <c r="P182" s="8">
        <f t="shared" si="123"/>
        <v>88.343982826603281</v>
      </c>
      <c r="Q182" s="3815"/>
      <c r="R182" s="8" t="str">
        <f t="shared" si="124"/>
        <v xml:space="preserve">  PRY</v>
      </c>
      <c r="S182" s="8">
        <f t="shared" si="125"/>
        <v>2022</v>
      </c>
      <c r="T182" s="8">
        <f t="shared" si="126"/>
        <v>1.9518809831916997</v>
      </c>
      <c r="U182" s="8">
        <f t="shared" si="127"/>
        <v>-7.6719547988940775</v>
      </c>
      <c r="W182" s="8">
        <f>Fact7!P180</f>
        <v>-6.9732394951296186</v>
      </c>
    </row>
    <row r="183" spans="1:23">
      <c r="A183" s="5279" t="s">
        <v>1206</v>
      </c>
      <c r="B183" s="5280">
        <v>64.275934473246593</v>
      </c>
      <c r="C183" s="5281">
        <v>79.331155957175127</v>
      </c>
      <c r="D183" s="5282">
        <v>63.526193502589244</v>
      </c>
      <c r="E183" s="5283">
        <v>79.162034468817112</v>
      </c>
      <c r="F183" s="5284">
        <v>65.484216213807059</v>
      </c>
      <c r="G183" s="5285">
        <v>87.194913250717121</v>
      </c>
      <c r="H183" s="5286">
        <v>2023</v>
      </c>
      <c r="I183" s="5287">
        <v>6364943</v>
      </c>
      <c r="J183" s="3009"/>
      <c r="K183" s="8" t="str">
        <f t="shared" si="118"/>
        <v xml:space="preserve">  SLV</v>
      </c>
      <c r="L183" s="8">
        <f t="shared" si="119"/>
        <v>2023</v>
      </c>
      <c r="M183" s="8">
        <f t="shared" si="120"/>
        <v>64.275934473246593</v>
      </c>
      <c r="N183" s="8">
        <f t="shared" si="121"/>
        <v>79.331155957175127</v>
      </c>
      <c r="O183" s="8">
        <f t="shared" si="122"/>
        <v>65.484216213807059</v>
      </c>
      <c r="P183" s="8">
        <f t="shared" si="123"/>
        <v>87.194913250717121</v>
      </c>
      <c r="Q183" s="3816"/>
      <c r="R183" s="8" t="str">
        <f t="shared" si="124"/>
        <v xml:space="preserve">  SLV</v>
      </c>
      <c r="S183" s="8">
        <f t="shared" si="125"/>
        <v>2023</v>
      </c>
      <c r="T183" s="8">
        <f t="shared" si="126"/>
        <v>-1.2082817405604658</v>
      </c>
      <c r="U183" s="8">
        <f t="shared" si="127"/>
        <v>-7.8637572935419939</v>
      </c>
      <c r="W183" s="8">
        <f>Fact7!P181</f>
        <v>-10.727264358324064</v>
      </c>
    </row>
    <row r="184" spans="1:23">
      <c r="A184" s="5288" t="s">
        <v>1207</v>
      </c>
      <c r="B184" s="5289">
        <v>85.955185955185954</v>
      </c>
      <c r="C184" s="5290">
        <v>99.444738233738761</v>
      </c>
      <c r="D184" s="5291">
        <v>80.370089817119364</v>
      </c>
      <c r="E184" s="5292">
        <v>99.687920365886455</v>
      </c>
      <c r="F184" s="5293">
        <v>69.953970497626045</v>
      </c>
      <c r="G184" s="5294">
        <v>99.68329431662319</v>
      </c>
      <c r="H184" s="5295">
        <v>2022</v>
      </c>
      <c r="I184" s="5296">
        <v>3423109</v>
      </c>
      <c r="J184" s="3010"/>
      <c r="K184" s="8" t="str">
        <f t="shared" ref="K184" si="128">A184</f>
        <v xml:space="preserve">  URY</v>
      </c>
      <c r="L184" s="8">
        <f t="shared" ref="L184" si="129">H184</f>
        <v>2022</v>
      </c>
      <c r="M184" s="8">
        <f t="shared" ref="M184" si="130">B184</f>
        <v>85.955185955185954</v>
      </c>
      <c r="N184" s="8">
        <f t="shared" si="121"/>
        <v>99.444738233738761</v>
      </c>
      <c r="O184" s="8">
        <f>F184</f>
        <v>69.953970497626045</v>
      </c>
      <c r="P184" s="8">
        <f t="shared" ref="P184" si="131">G184</f>
        <v>99.68329431662319</v>
      </c>
      <c r="Q184" s="3817"/>
      <c r="R184" s="8" t="str">
        <f t="shared" si="124"/>
        <v xml:space="preserve">  URY</v>
      </c>
      <c r="S184" s="8">
        <f t="shared" si="125"/>
        <v>2022</v>
      </c>
      <c r="T184" s="8">
        <f t="shared" si="126"/>
        <v>16.001215457559908</v>
      </c>
      <c r="U184" s="8">
        <f t="shared" si="127"/>
        <v>-0.23855608288442909</v>
      </c>
      <c r="W184" s="8">
        <f>Fact7!P182</f>
        <v>2.2010062530195</v>
      </c>
    </row>
    <row r="185" spans="1:23">
      <c r="A185" s="5297" t="s">
        <v>1203</v>
      </c>
      <c r="B185" s="5810" t="s">
        <v>1045</v>
      </c>
      <c r="C185" s="5811" t="s">
        <v>1045</v>
      </c>
      <c r="D185" s="5812" t="s">
        <v>1045</v>
      </c>
      <c r="E185" s="5813" t="s">
        <v>1045</v>
      </c>
      <c r="F185" s="5814" t="s">
        <v>1045</v>
      </c>
      <c r="G185" s="5815" t="s">
        <v>1045</v>
      </c>
      <c r="H185" s="5298" t="s">
        <v>1186</v>
      </c>
      <c r="I185" s="5299" t="s">
        <v>1257</v>
      </c>
      <c r="J185" s="3011"/>
      <c r="Q185" s="3818"/>
    </row>
    <row r="186" spans="1:23">
      <c r="A186" s="5300"/>
      <c r="B186" s="5816" t="s">
        <v>1187</v>
      </c>
      <c r="C186" s="5816" t="s">
        <v>1187</v>
      </c>
      <c r="D186" s="5817" t="s">
        <v>1188</v>
      </c>
      <c r="E186" s="5817" t="s">
        <v>1188</v>
      </c>
      <c r="F186" s="5818" t="s">
        <v>1189</v>
      </c>
      <c r="G186" s="5818" t="s">
        <v>1189</v>
      </c>
      <c r="I186" s="5301" t="s">
        <v>1187</v>
      </c>
      <c r="J186" s="3012"/>
      <c r="K186" s="3" t="s">
        <v>1261</v>
      </c>
      <c r="L186" s="8"/>
      <c r="M186" s="8">
        <f>AVERAGE(M169:M184)</f>
        <v>60.904144613960604</v>
      </c>
      <c r="N186" s="8">
        <f>AVERAGE(N169:N184)</f>
        <v>89.474510957484256</v>
      </c>
      <c r="O186" s="8">
        <f t="shared" ref="O186:P186" si="132">AVERAGE(O169:O184)</f>
        <v>67.732485409528124</v>
      </c>
      <c r="P186" s="8">
        <f t="shared" si="132"/>
        <v>94.782955002255079</v>
      </c>
      <c r="Q186" s="3819"/>
      <c r="R186" s="3" t="s">
        <v>1261</v>
      </c>
      <c r="S186" s="8"/>
      <c r="T186" s="8">
        <f>AVERAGE(T169:T184)</f>
        <v>-6.8283407955675219</v>
      </c>
      <c r="U186" s="8">
        <f t="shared" ref="U186:W186" si="133">AVERAGE(U169:U184)</f>
        <v>-5.3084440447708241</v>
      </c>
      <c r="V186" s="8"/>
      <c r="W186" s="8">
        <f t="shared" si="133"/>
        <v>-14.981128369346994</v>
      </c>
    </row>
    <row r="187" spans="1:23" ht="15" thickBot="1">
      <c r="A187" s="5302"/>
      <c r="B187" s="5819" t="s">
        <v>1258</v>
      </c>
      <c r="C187" s="5819" t="s">
        <v>1258</v>
      </c>
      <c r="D187" s="5820" t="s">
        <v>1258</v>
      </c>
      <c r="E187" s="5820" t="s">
        <v>1258</v>
      </c>
      <c r="F187" s="5821" t="s">
        <v>1258</v>
      </c>
      <c r="G187" s="5821" t="s">
        <v>1258</v>
      </c>
      <c r="K187" s="212" t="s">
        <v>1145</v>
      </c>
      <c r="L187" s="85"/>
      <c r="M187" s="85">
        <f>SUMPRODUCT(M169:M184,$I169:$I184)/SUM($I169:$I184)</f>
        <v>51.524744417055189</v>
      </c>
      <c r="N187" s="85">
        <f>SUMPRODUCT(N169:N184,$I169:$I184)/SUM($I169:$I184)</f>
        <v>83.331815527547732</v>
      </c>
      <c r="O187" s="85">
        <f t="shared" ref="O187" si="134">SUMPRODUCT(O169:O184,$I169:$I184)/SUM($I169:$I184)</f>
        <v>53.773658737336262</v>
      </c>
      <c r="P187" s="85">
        <f>SUMPRODUCT(P169:P184,$I169:$I184)/SUM($I169:$I184)</f>
        <v>88.229464377129489</v>
      </c>
      <c r="R187" s="212" t="s">
        <v>1145</v>
      </c>
      <c r="S187" s="85"/>
      <c r="T187" s="85">
        <f>SUMPRODUCT(T169:T184,$I169:$I184)/SUM($I169:$I184)</f>
        <v>-2.2489143202810626</v>
      </c>
      <c r="U187" s="85">
        <f t="shared" ref="U187:W187" si="135">SUMPRODUCT(U169:U184,$I169:$I184)/SUM($I169:$I184)</f>
        <v>-4.8976488495817501</v>
      </c>
      <c r="V187" s="85"/>
      <c r="W187" s="85">
        <f t="shared" si="135"/>
        <v>-12.97632778164599</v>
      </c>
    </row>
    <row r="188" spans="1:23" ht="15" thickTop="1">
      <c r="A188" s="5303"/>
      <c r="B188" s="5304" t="s">
        <v>1259</v>
      </c>
      <c r="C188" s="5305" t="s">
        <v>1260</v>
      </c>
      <c r="D188" s="5306" t="s">
        <v>1259</v>
      </c>
      <c r="E188" s="5307" t="s">
        <v>1260</v>
      </c>
      <c r="F188" s="5308" t="s">
        <v>1259</v>
      </c>
      <c r="G188" s="5309" t="s">
        <v>1260</v>
      </c>
      <c r="L188" s="8"/>
      <c r="M188" s="8"/>
      <c r="N188" s="8"/>
      <c r="O188" s="8"/>
      <c r="P188" s="8"/>
      <c r="S188" s="8"/>
      <c r="T188" s="8"/>
      <c r="U188" s="8"/>
      <c r="V188" s="8"/>
      <c r="W188" s="8"/>
    </row>
    <row r="189" spans="1:23">
      <c r="A189" s="5310"/>
      <c r="B189" s="5311" t="s">
        <v>1223</v>
      </c>
      <c r="C189" s="5312" t="s">
        <v>1223</v>
      </c>
      <c r="D189" s="5313" t="s">
        <v>1223</v>
      </c>
      <c r="E189" s="5314" t="s">
        <v>1223</v>
      </c>
      <c r="F189" s="5315" t="s">
        <v>1223</v>
      </c>
      <c r="G189" s="5316" t="s">
        <v>1223</v>
      </c>
      <c r="L189" s="8"/>
      <c r="M189" s="8"/>
      <c r="N189" s="8"/>
      <c r="O189" s="8"/>
      <c r="P189" s="8"/>
      <c r="S189" s="8"/>
      <c r="T189" s="8"/>
      <c r="U189" s="8"/>
      <c r="V189" s="8"/>
      <c r="W189" s="8"/>
    </row>
    <row r="190" spans="1:23" ht="15" thickBot="1">
      <c r="A190" s="5317"/>
      <c r="B190" s="5318" t="s">
        <v>1187</v>
      </c>
      <c r="C190" s="5319" t="s">
        <v>1187</v>
      </c>
      <c r="D190" s="5320" t="s">
        <v>1187</v>
      </c>
      <c r="E190" s="5321" t="s">
        <v>1187</v>
      </c>
      <c r="F190" s="5322" t="s">
        <v>1187</v>
      </c>
      <c r="G190" s="5323" t="s">
        <v>1187</v>
      </c>
      <c r="K190" s="972" t="str">
        <f>B189</f>
        <v>Cuarto separado y exclusivo para cocinar</v>
      </c>
      <c r="L190" s="2649"/>
      <c r="M190" s="85"/>
      <c r="N190" s="85"/>
      <c r="O190" s="85"/>
      <c r="P190" s="85"/>
      <c r="R190" s="972" t="str">
        <f>E189</f>
        <v>Cuarto separado y exclusivo para cocinar</v>
      </c>
      <c r="S190" s="2649"/>
      <c r="T190" s="85"/>
      <c r="U190" s="85"/>
      <c r="V190" s="85"/>
      <c r="W190" s="85"/>
    </row>
    <row r="191" spans="1:23" ht="15" thickTop="1">
      <c r="A191" s="5324" t="s">
        <v>1125</v>
      </c>
      <c r="B191" s="5325"/>
      <c r="C191" s="5326"/>
      <c r="D191" s="5327"/>
      <c r="E191" s="5328"/>
      <c r="F191" s="5329"/>
      <c r="G191" s="5330"/>
      <c r="H191" s="5331"/>
      <c r="I191" s="5332"/>
      <c r="J191" s="3013"/>
      <c r="K191" s="213" t="s">
        <v>904</v>
      </c>
      <c r="L191" s="216" t="s">
        <v>938</v>
      </c>
      <c r="M191" s="2650" t="s">
        <v>1273</v>
      </c>
      <c r="N191" s="2650" t="s">
        <v>1136</v>
      </c>
      <c r="O191" s="2650"/>
      <c r="P191" s="2650"/>
      <c r="Q191" s="3820"/>
      <c r="R191" s="213" t="s">
        <v>904</v>
      </c>
      <c r="S191" s="216" t="s">
        <v>938</v>
      </c>
      <c r="T191" s="2650" t="s">
        <v>1273</v>
      </c>
      <c r="U191" s="2650" t="s">
        <v>1136</v>
      </c>
      <c r="W191" s="76" t="s">
        <v>901</v>
      </c>
    </row>
    <row r="192" spans="1:23">
      <c r="A192" s="5333" t="s">
        <v>1190</v>
      </c>
      <c r="C192" s="5334">
        <v>90.477391830497695</v>
      </c>
      <c r="E192" s="5335">
        <v>87.162748697567977</v>
      </c>
      <c r="G192" s="5336">
        <v>91.423169733136049</v>
      </c>
      <c r="H192" s="5337">
        <v>2022</v>
      </c>
      <c r="I192" s="5338">
        <v>45773884</v>
      </c>
      <c r="J192" s="3014"/>
      <c r="K192" s="8"/>
      <c r="L192" s="8"/>
      <c r="M192" s="8"/>
      <c r="N192" s="8"/>
      <c r="O192" s="8"/>
      <c r="P192" s="8"/>
      <c r="Q192" s="3821"/>
      <c r="R192" s="8"/>
      <c r="S192" s="8"/>
      <c r="T192" s="8"/>
      <c r="U192" s="8"/>
      <c r="W192" s="8"/>
    </row>
    <row r="193" spans="1:23">
      <c r="A193" s="5339" t="s">
        <v>1191</v>
      </c>
      <c r="B193" s="5340">
        <v>75.886874008208181</v>
      </c>
      <c r="C193" s="5341">
        <v>84.544809314760428</v>
      </c>
      <c r="D193" s="5342">
        <v>75.296802563331653</v>
      </c>
      <c r="E193" s="5343">
        <v>73.399998924168912</v>
      </c>
      <c r="F193" s="5344">
        <v>76.746753140710638</v>
      </c>
      <c r="G193" s="5345">
        <v>81.927550793810653</v>
      </c>
      <c r="H193" s="5346">
        <v>2019</v>
      </c>
      <c r="I193" s="5347">
        <v>12388571</v>
      </c>
      <c r="J193" s="3015"/>
      <c r="K193" s="8" t="str">
        <f t="shared" ref="K193:K202" si="136">A193</f>
        <v xml:space="preserve">  BOL</v>
      </c>
      <c r="L193" s="8">
        <f t="shared" ref="L193:L202" si="137">H193</f>
        <v>2019</v>
      </c>
      <c r="M193" s="8">
        <f t="shared" ref="M193:M202" si="138">B193</f>
        <v>75.886874008208181</v>
      </c>
      <c r="N193" s="8">
        <f t="shared" ref="N193:N202" si="139">C193</f>
        <v>84.544809314760428</v>
      </c>
      <c r="O193" s="8">
        <f t="shared" ref="O193:O202" si="140">F193</f>
        <v>76.746753140710638</v>
      </c>
      <c r="P193" s="8">
        <f t="shared" ref="P193:P202" si="141">G193</f>
        <v>81.927550793810653</v>
      </c>
      <c r="Q193" s="3822"/>
      <c r="R193" s="8" t="str">
        <f t="shared" ref="R193:R202" si="142">A193</f>
        <v xml:space="preserve">  BOL</v>
      </c>
      <c r="S193" s="8">
        <f t="shared" ref="S193:S202" si="143">H193*1</f>
        <v>2019</v>
      </c>
      <c r="T193" s="8">
        <f t="shared" ref="T193:T202" si="144">B193-F193</f>
        <v>-0.8598791325024564</v>
      </c>
      <c r="U193" s="8">
        <f t="shared" ref="U193:U202" si="145">C193-G193</f>
        <v>2.6172585209497754</v>
      </c>
      <c r="W193" s="8">
        <f>Fact7!P191</f>
        <v>-3.3525532348266722</v>
      </c>
    </row>
    <row r="194" spans="1:23">
      <c r="A194" s="5348" t="s">
        <v>1193</v>
      </c>
      <c r="B194" s="5349">
        <v>87.74881663531697</v>
      </c>
      <c r="C194" s="5350">
        <v>89.176247042995328</v>
      </c>
      <c r="D194" s="5351">
        <v>90.977371065541519</v>
      </c>
      <c r="E194" s="5352">
        <v>92.825551044083525</v>
      </c>
      <c r="F194" s="5353">
        <v>91.665445277703142</v>
      </c>
      <c r="G194" s="5354">
        <v>95.662235930352935</v>
      </c>
      <c r="H194" s="5355">
        <v>2013</v>
      </c>
      <c r="I194" s="5356">
        <v>19629590</v>
      </c>
      <c r="J194" s="3016"/>
      <c r="K194" s="8" t="str">
        <f t="shared" si="136"/>
        <v xml:space="preserve">  CHL</v>
      </c>
      <c r="L194" s="8">
        <f t="shared" si="137"/>
        <v>2013</v>
      </c>
      <c r="M194" s="8">
        <f t="shared" si="138"/>
        <v>87.74881663531697</v>
      </c>
      <c r="N194" s="8">
        <f t="shared" si="139"/>
        <v>89.176247042995328</v>
      </c>
      <c r="O194" s="8">
        <f t="shared" si="140"/>
        <v>91.665445277703142</v>
      </c>
      <c r="P194" s="8">
        <f t="shared" si="141"/>
        <v>95.662235930352935</v>
      </c>
      <c r="Q194" s="3823"/>
      <c r="R194" s="8" t="str">
        <f t="shared" si="142"/>
        <v xml:space="preserve">  CHL</v>
      </c>
      <c r="S194" s="8">
        <f t="shared" si="143"/>
        <v>2013</v>
      </c>
      <c r="T194" s="8">
        <f t="shared" si="144"/>
        <v>-3.916628642386172</v>
      </c>
      <c r="U194" s="8">
        <f t="shared" si="145"/>
        <v>-6.4859888873576068</v>
      </c>
      <c r="W194" s="8">
        <f>Fact7!P192</f>
        <v>-6.3787721947899598</v>
      </c>
    </row>
    <row r="195" spans="1:23">
      <c r="A195" s="5357" t="s">
        <v>1194</v>
      </c>
      <c r="B195" s="5358">
        <v>62.895251886875656</v>
      </c>
      <c r="C195" s="5359">
        <v>77.045738522458578</v>
      </c>
      <c r="D195" s="5360">
        <v>75.223368199165492</v>
      </c>
      <c r="E195" s="5361">
        <v>84.008423790004258</v>
      </c>
      <c r="F195" s="5362">
        <v>82.324950748684614</v>
      </c>
      <c r="G195" s="5363">
        <v>91.039714670218174</v>
      </c>
      <c r="H195" s="5364">
        <v>2022</v>
      </c>
      <c r="I195" s="5365">
        <v>52085168</v>
      </c>
      <c r="J195" s="3017"/>
      <c r="K195" s="8" t="str">
        <f t="shared" si="136"/>
        <v xml:space="preserve">  COL</v>
      </c>
      <c r="L195" s="8">
        <f t="shared" si="137"/>
        <v>2022</v>
      </c>
      <c r="M195" s="8">
        <f t="shared" si="138"/>
        <v>62.895251886875656</v>
      </c>
      <c r="N195" s="8">
        <f t="shared" si="139"/>
        <v>77.045738522458578</v>
      </c>
      <c r="O195" s="8">
        <f t="shared" si="140"/>
        <v>82.324950748684614</v>
      </c>
      <c r="P195" s="8">
        <f t="shared" si="141"/>
        <v>91.039714670218174</v>
      </c>
      <c r="Q195" s="3824"/>
      <c r="R195" s="8" t="str">
        <f t="shared" si="142"/>
        <v xml:space="preserve">  COL</v>
      </c>
      <c r="S195" s="8">
        <f t="shared" si="143"/>
        <v>2022</v>
      </c>
      <c r="T195" s="8">
        <f t="shared" si="144"/>
        <v>-19.429698861808959</v>
      </c>
      <c r="U195" s="8">
        <f t="shared" si="145"/>
        <v>-13.993976147759597</v>
      </c>
      <c r="W195" s="8">
        <f>Fact7!P193</f>
        <v>-19.725368939770902</v>
      </c>
    </row>
    <row r="196" spans="1:23">
      <c r="A196" s="5366" t="s">
        <v>1197</v>
      </c>
      <c r="B196" s="5367">
        <v>94.65064109202514</v>
      </c>
      <c r="C196" s="5368">
        <v>91.261065563329637</v>
      </c>
      <c r="D196" s="5369">
        <v>96.484338815621811</v>
      </c>
      <c r="E196" s="5370">
        <v>92.090665988321916</v>
      </c>
      <c r="F196" s="5371">
        <v>96.126695794746354</v>
      </c>
      <c r="G196" s="5372">
        <v>94.85205158988056</v>
      </c>
      <c r="H196" s="5373">
        <v>2023</v>
      </c>
      <c r="I196" s="5374">
        <v>18190484</v>
      </c>
      <c r="J196" s="3018"/>
      <c r="K196" s="8" t="str">
        <f t="shared" si="136"/>
        <v xml:space="preserve">  ECU</v>
      </c>
      <c r="L196" s="8">
        <f t="shared" si="137"/>
        <v>2023</v>
      </c>
      <c r="M196" s="8">
        <f t="shared" si="138"/>
        <v>94.65064109202514</v>
      </c>
      <c r="N196" s="8">
        <f t="shared" si="139"/>
        <v>91.261065563329637</v>
      </c>
      <c r="O196" s="8">
        <f t="shared" si="140"/>
        <v>96.126695794746354</v>
      </c>
      <c r="P196" s="8">
        <f t="shared" si="141"/>
        <v>94.85205158988056</v>
      </c>
      <c r="Q196" s="3825"/>
      <c r="R196" s="8" t="str">
        <f t="shared" si="142"/>
        <v xml:space="preserve">  ECU</v>
      </c>
      <c r="S196" s="8">
        <f t="shared" si="143"/>
        <v>2023</v>
      </c>
      <c r="T196" s="8">
        <f t="shared" si="144"/>
        <v>-1.4760547027212141</v>
      </c>
      <c r="U196" s="8">
        <f t="shared" si="145"/>
        <v>-3.5909860265509224</v>
      </c>
      <c r="W196" s="8">
        <f>Fact7!P194</f>
        <v>-1.862528022330423</v>
      </c>
    </row>
    <row r="197" spans="1:23">
      <c r="A197" s="5375" t="s">
        <v>1204</v>
      </c>
      <c r="B197" s="5376">
        <v>49.351622542323312</v>
      </c>
      <c r="C197" s="5377">
        <v>61.70822185616678</v>
      </c>
      <c r="D197" s="5378">
        <v>48.419038166469896</v>
      </c>
      <c r="E197" s="5379">
        <v>53.508907475441106</v>
      </c>
      <c r="F197" s="5380">
        <v>55.089931870567355</v>
      </c>
      <c r="G197" s="5381">
        <v>64.417268314004644</v>
      </c>
      <c r="H197" s="5382">
        <v>2006</v>
      </c>
      <c r="I197" s="5383">
        <v>18092026</v>
      </c>
      <c r="J197" s="3019"/>
      <c r="K197" s="8" t="str">
        <f t="shared" si="136"/>
        <v xml:space="preserve">  GTM</v>
      </c>
      <c r="L197" s="8">
        <f t="shared" si="137"/>
        <v>2006</v>
      </c>
      <c r="M197" s="8">
        <f t="shared" si="138"/>
        <v>49.351622542323312</v>
      </c>
      <c r="N197" s="8">
        <f t="shared" si="139"/>
        <v>61.70822185616678</v>
      </c>
      <c r="O197" s="8">
        <f t="shared" si="140"/>
        <v>55.089931870567355</v>
      </c>
      <c r="P197" s="8">
        <f t="shared" si="141"/>
        <v>64.417268314004644</v>
      </c>
      <c r="Q197" s="3826"/>
      <c r="R197" s="8" t="str">
        <f t="shared" si="142"/>
        <v xml:space="preserve">  GTM</v>
      </c>
      <c r="S197" s="8">
        <f t="shared" si="143"/>
        <v>2006</v>
      </c>
      <c r="T197" s="8">
        <f t="shared" si="144"/>
        <v>-5.7383093282440427</v>
      </c>
      <c r="U197" s="8">
        <f t="shared" si="145"/>
        <v>-2.7090464578378644</v>
      </c>
      <c r="W197" s="8">
        <f>Fact7!P195</f>
        <v>-9.7563679529550242</v>
      </c>
    </row>
    <row r="198" spans="1:23">
      <c r="A198" s="5384" t="s">
        <v>1199</v>
      </c>
      <c r="B198" s="5385">
        <v>78.737817178984159</v>
      </c>
      <c r="C198" s="5386">
        <v>70.613740336380403</v>
      </c>
      <c r="D198" s="5387">
        <v>78.644939972202607</v>
      </c>
      <c r="E198" s="5388">
        <v>67.701206017363418</v>
      </c>
      <c r="F198" s="5389">
        <v>77.407942820192915</v>
      </c>
      <c r="G198" s="5390">
        <v>75.085133942923918</v>
      </c>
      <c r="H198" s="5391">
        <v>2023</v>
      </c>
      <c r="I198" s="5392">
        <v>10593798</v>
      </c>
      <c r="J198" s="3020"/>
      <c r="K198" s="8" t="str">
        <f t="shared" si="136"/>
        <v xml:space="preserve">  HND</v>
      </c>
      <c r="L198" s="8">
        <f t="shared" si="137"/>
        <v>2023</v>
      </c>
      <c r="M198" s="8">
        <f t="shared" si="138"/>
        <v>78.737817178984159</v>
      </c>
      <c r="N198" s="8">
        <f t="shared" si="139"/>
        <v>70.613740336380403</v>
      </c>
      <c r="O198" s="8">
        <f t="shared" si="140"/>
        <v>77.407942820192915</v>
      </c>
      <c r="P198" s="8">
        <f t="shared" si="141"/>
        <v>75.085133942923918</v>
      </c>
      <c r="Q198" s="3827"/>
      <c r="R198" s="8" t="str">
        <f t="shared" si="142"/>
        <v xml:space="preserve">  HND</v>
      </c>
      <c r="S198" s="8">
        <f t="shared" si="143"/>
        <v>2023</v>
      </c>
      <c r="T198" s="8">
        <f t="shared" si="144"/>
        <v>1.329874358791244</v>
      </c>
      <c r="U198" s="8">
        <f t="shared" si="145"/>
        <v>-4.4713936065435149</v>
      </c>
      <c r="W198" s="8">
        <f>Fact7!P196</f>
        <v>-3.9213434112312484E-2</v>
      </c>
    </row>
    <row r="199" spans="1:23">
      <c r="A199" s="5393" t="s">
        <v>1205</v>
      </c>
      <c r="B199" s="5394">
        <v>85.440537506320325</v>
      </c>
      <c r="C199" s="5395">
        <v>88.615652042270085</v>
      </c>
      <c r="D199" s="5396">
        <v>88.194933034823578</v>
      </c>
      <c r="E199" s="5397">
        <v>92.001114496889841</v>
      </c>
      <c r="F199" s="5398">
        <v>91.655073881354014</v>
      </c>
      <c r="G199" s="5399">
        <v>96.453115552158479</v>
      </c>
      <c r="H199" s="5400">
        <v>2022</v>
      </c>
      <c r="I199" s="5401">
        <v>128455567</v>
      </c>
      <c r="J199" s="3021"/>
      <c r="K199" s="8" t="str">
        <f t="shared" si="136"/>
        <v xml:space="preserve">  MEX</v>
      </c>
      <c r="L199" s="8">
        <f t="shared" si="137"/>
        <v>2022</v>
      </c>
      <c r="M199" s="8">
        <f t="shared" si="138"/>
        <v>85.440537506320325</v>
      </c>
      <c r="N199" s="8">
        <f t="shared" si="139"/>
        <v>88.615652042270085</v>
      </c>
      <c r="O199" s="8">
        <f t="shared" si="140"/>
        <v>91.655073881354014</v>
      </c>
      <c r="P199" s="8">
        <f t="shared" si="141"/>
        <v>96.453115552158479</v>
      </c>
      <c r="Q199" s="3828"/>
      <c r="R199" s="8" t="str">
        <f t="shared" si="142"/>
        <v xml:space="preserve">  MEX</v>
      </c>
      <c r="S199" s="8">
        <f t="shared" si="143"/>
        <v>2022</v>
      </c>
      <c r="T199" s="8">
        <f t="shared" si="144"/>
        <v>-6.2145363750336884</v>
      </c>
      <c r="U199" s="8">
        <f t="shared" si="145"/>
        <v>-7.8374635098883942</v>
      </c>
      <c r="W199" s="8">
        <f>Fact7!P197</f>
        <v>-8.7754544472348215</v>
      </c>
    </row>
    <row r="200" spans="1:23">
      <c r="A200" s="5402" t="s">
        <v>1202</v>
      </c>
      <c r="B200" s="5403">
        <v>84.926265394966947</v>
      </c>
      <c r="C200" s="5404">
        <v>79.769089895692332</v>
      </c>
      <c r="D200" s="5405">
        <v>87.204943071369073</v>
      </c>
      <c r="E200" s="5406">
        <v>87.994418336889652</v>
      </c>
      <c r="F200" s="5407">
        <v>90.586273477268747</v>
      </c>
      <c r="G200" s="5408">
        <v>91.916773290645025</v>
      </c>
      <c r="H200" s="5409">
        <v>2022</v>
      </c>
      <c r="I200" s="5410">
        <v>6861524</v>
      </c>
      <c r="J200" s="3022"/>
      <c r="K200" s="8" t="str">
        <f t="shared" si="136"/>
        <v xml:space="preserve">  PRY</v>
      </c>
      <c r="L200" s="8">
        <f t="shared" si="137"/>
        <v>2022</v>
      </c>
      <c r="M200" s="8">
        <f t="shared" si="138"/>
        <v>84.926265394966947</v>
      </c>
      <c r="N200" s="8">
        <f t="shared" si="139"/>
        <v>79.769089895692332</v>
      </c>
      <c r="O200" s="8">
        <f t="shared" si="140"/>
        <v>90.586273477268747</v>
      </c>
      <c r="P200" s="8">
        <f t="shared" si="141"/>
        <v>91.916773290645025</v>
      </c>
      <c r="Q200" s="3829"/>
      <c r="R200" s="8" t="str">
        <f t="shared" si="142"/>
        <v xml:space="preserve">  PRY</v>
      </c>
      <c r="S200" s="8">
        <f t="shared" si="143"/>
        <v>2022</v>
      </c>
      <c r="T200" s="8">
        <f t="shared" si="144"/>
        <v>-5.6600080823018004</v>
      </c>
      <c r="U200" s="8">
        <f t="shared" si="145"/>
        <v>-12.147683394952693</v>
      </c>
      <c r="W200" s="8">
        <f>Fact7!P198</f>
        <v>-8.0654079652847628</v>
      </c>
    </row>
    <row r="201" spans="1:23">
      <c r="A201" s="5411" t="s">
        <v>1206</v>
      </c>
      <c r="B201" s="5412">
        <v>48.02943299130817</v>
      </c>
      <c r="C201" s="5413">
        <v>30.282081925327621</v>
      </c>
      <c r="D201" s="5414">
        <v>42.556408244502705</v>
      </c>
      <c r="E201" s="5415">
        <v>27.816102651202289</v>
      </c>
      <c r="F201" s="5416">
        <v>41.475745330304029</v>
      </c>
      <c r="G201" s="5417">
        <v>45.101815803620646</v>
      </c>
      <c r="H201" s="5418">
        <v>2007</v>
      </c>
      <c r="I201" s="5419">
        <v>6364943</v>
      </c>
      <c r="J201" s="3023"/>
      <c r="K201" s="8" t="str">
        <f t="shared" si="136"/>
        <v xml:space="preserve">  SLV</v>
      </c>
      <c r="L201" s="8">
        <f t="shared" si="137"/>
        <v>2007</v>
      </c>
      <c r="M201" s="8">
        <f t="shared" si="138"/>
        <v>48.02943299130817</v>
      </c>
      <c r="N201" s="8">
        <f t="shared" si="139"/>
        <v>30.282081925327621</v>
      </c>
      <c r="O201" s="8">
        <f t="shared" si="140"/>
        <v>41.475745330304029</v>
      </c>
      <c r="P201" s="8">
        <f t="shared" si="141"/>
        <v>45.101815803620646</v>
      </c>
      <c r="Q201" s="3830"/>
      <c r="R201" s="8" t="str">
        <f t="shared" si="142"/>
        <v xml:space="preserve">  SLV</v>
      </c>
      <c r="S201" s="8">
        <f t="shared" si="143"/>
        <v>2007</v>
      </c>
      <c r="T201" s="8">
        <f t="shared" si="144"/>
        <v>6.5536876610041404</v>
      </c>
      <c r="U201" s="8">
        <f t="shared" si="145"/>
        <v>-14.819733878293025</v>
      </c>
      <c r="W201" s="8">
        <f>Fact7!P199</f>
        <v>-2.450103953761591</v>
      </c>
    </row>
    <row r="202" spans="1:23">
      <c r="A202" s="5420" t="s">
        <v>1207</v>
      </c>
      <c r="B202" s="5421">
        <v>84.17648417648418</v>
      </c>
      <c r="C202" s="5422">
        <v>89.888192188562371</v>
      </c>
      <c r="D202" s="5423">
        <v>90.94794935613028</v>
      </c>
      <c r="E202" s="5424">
        <v>96.673392520850143</v>
      </c>
      <c r="F202" s="5425">
        <v>96.97727519843427</v>
      </c>
      <c r="G202" s="5426">
        <v>99.358132148050373</v>
      </c>
      <c r="H202" s="5427">
        <v>2022</v>
      </c>
      <c r="I202" s="5428">
        <v>3423109</v>
      </c>
      <c r="J202" s="3024"/>
      <c r="K202" s="8" t="str">
        <f t="shared" si="136"/>
        <v xml:space="preserve">  URY</v>
      </c>
      <c r="L202" s="8">
        <f t="shared" si="137"/>
        <v>2022</v>
      </c>
      <c r="M202" s="8">
        <f t="shared" si="138"/>
        <v>84.17648417648418</v>
      </c>
      <c r="N202" s="8">
        <f t="shared" si="139"/>
        <v>89.888192188562371</v>
      </c>
      <c r="O202" s="8">
        <f t="shared" si="140"/>
        <v>96.97727519843427</v>
      </c>
      <c r="P202" s="8">
        <f t="shared" si="141"/>
        <v>99.358132148050373</v>
      </c>
      <c r="Q202" s="3831"/>
      <c r="R202" s="8" t="str">
        <f t="shared" si="142"/>
        <v xml:space="preserve">  URY</v>
      </c>
      <c r="S202" s="8">
        <f t="shared" si="143"/>
        <v>2022</v>
      </c>
      <c r="T202" s="8">
        <f t="shared" si="144"/>
        <v>-12.80079102195009</v>
      </c>
      <c r="U202" s="8">
        <f t="shared" si="145"/>
        <v>-9.469939959488002</v>
      </c>
      <c r="W202" s="8">
        <f>Fact7!P200</f>
        <v>-9.9254584384810443</v>
      </c>
    </row>
    <row r="203" spans="1:23">
      <c r="K203" s="8"/>
      <c r="L203" s="8"/>
      <c r="M203" s="8"/>
      <c r="N203" s="8"/>
      <c r="O203" s="8"/>
      <c r="P203" s="8"/>
      <c r="R203" s="8"/>
      <c r="S203" s="8"/>
      <c r="T203" s="8"/>
      <c r="U203" s="8"/>
      <c r="W203" s="8"/>
    </row>
    <row r="204" spans="1:23">
      <c r="K204" s="3" t="s">
        <v>1261</v>
      </c>
      <c r="L204" s="8"/>
      <c r="M204" s="8">
        <f>AVERAGE(M192:M202)</f>
        <v>75.184374341281313</v>
      </c>
      <c r="N204" s="8">
        <f>AVERAGE(N192:N202)</f>
        <v>76.290483868794354</v>
      </c>
      <c r="O204" s="8">
        <f t="shared" ref="O204:P204" si="146">AVERAGE(O192:O202)</f>
        <v>80.005608753996597</v>
      </c>
      <c r="P204" s="8">
        <f t="shared" si="146"/>
        <v>83.581379203566527</v>
      </c>
      <c r="R204" s="3" t="s">
        <v>1261</v>
      </c>
      <c r="S204" s="8"/>
      <c r="T204" s="8">
        <f>AVERAGE(T192:T202)</f>
        <v>-4.8212344127153042</v>
      </c>
      <c r="U204" s="8">
        <f t="shared" ref="U204:W204" si="147">AVERAGE(U192:U202)</f>
        <v>-7.290895334772185</v>
      </c>
      <c r="V204" s="8"/>
      <c r="W204" s="8">
        <f t="shared" si="147"/>
        <v>-7.0331228583547514</v>
      </c>
    </row>
    <row r="205" spans="1:23" ht="15" thickBot="1">
      <c r="K205" s="212" t="s">
        <v>1145</v>
      </c>
      <c r="L205" s="85"/>
      <c r="M205" s="85">
        <f>SUMPRODUCT(M192:M202,$I192:$I202)/SUM($I192:$I202)</f>
        <v>66.921123813757561</v>
      </c>
      <c r="N205" s="85">
        <f>SUMPRODUCT(N192:N202,$I192:$I202)/SUM($I192:$I202)</f>
        <v>70.734004976249793</v>
      </c>
      <c r="O205" s="85">
        <f t="shared" ref="O205" si="148">SUMPRODUCT(O192:O202,$I192:$I202)/SUM($I192:$I202)</f>
        <v>73.306988007125668</v>
      </c>
      <c r="P205" s="85">
        <f>SUMPRODUCT(P192:P202,$I192:$I202)/SUM($I192:$I202)</f>
        <v>77.576559943080824</v>
      </c>
      <c r="R205" s="212" t="s">
        <v>1145</v>
      </c>
      <c r="S205" s="85"/>
      <c r="T205" s="85">
        <f>SUMPRODUCT(T192:T202,$I192:$I202)/SUM($I192:$I202)</f>
        <v>-6.3858641933680937</v>
      </c>
      <c r="U205" s="85">
        <f t="shared" ref="U205:W205" si="149">SUMPRODUCT(U192:U202,$I192:$I202)/SUM($I192:$I202)</f>
        <v>-6.8425549668310266</v>
      </c>
      <c r="V205" s="85"/>
      <c r="W205" s="85">
        <f t="shared" si="149"/>
        <v>-8.1934131652380557</v>
      </c>
    </row>
    <row r="206" spans="1:23" ht="15" thickTop="1">
      <c r="K206" s="2648"/>
      <c r="L206" s="8"/>
      <c r="M206" s="13"/>
      <c r="N206" s="13"/>
      <c r="O206" s="13"/>
      <c r="P206" s="13"/>
      <c r="R206" s="2648"/>
      <c r="S206" s="8"/>
      <c r="T206" s="13"/>
      <c r="U206" s="13"/>
      <c r="W206" s="8"/>
    </row>
    <row r="207" spans="1:23">
      <c r="K207" s="3"/>
      <c r="L207" s="8"/>
      <c r="M207" s="8"/>
      <c r="N207" s="8"/>
      <c r="O207" s="8"/>
      <c r="P207" s="8"/>
      <c r="R207" s="3"/>
      <c r="S207" s="8"/>
      <c r="T207" s="8"/>
      <c r="U207" s="8"/>
      <c r="W207" s="8"/>
    </row>
    <row r="208" spans="1:23" ht="15" thickBot="1">
      <c r="A208" s="5429"/>
      <c r="B208" s="5798" t="s">
        <v>1045</v>
      </c>
      <c r="C208" s="5799" t="s">
        <v>1045</v>
      </c>
      <c r="D208" s="5800" t="s">
        <v>1045</v>
      </c>
      <c r="E208" s="5801" t="s">
        <v>1045</v>
      </c>
      <c r="F208" s="5802" t="s">
        <v>1045</v>
      </c>
      <c r="G208" s="5803" t="s">
        <v>1045</v>
      </c>
      <c r="H208" s="5430" t="s">
        <v>1186</v>
      </c>
      <c r="I208" s="5431" t="s">
        <v>1257</v>
      </c>
      <c r="J208" s="3025"/>
      <c r="K208" s="212"/>
      <c r="L208" s="85"/>
      <c r="M208" s="85"/>
      <c r="N208" s="85"/>
      <c r="O208" s="85"/>
      <c r="P208" s="85"/>
      <c r="Q208" s="3832"/>
      <c r="R208" s="212"/>
      <c r="S208" s="85"/>
      <c r="T208" s="85"/>
      <c r="U208" s="85"/>
      <c r="W208" s="85"/>
    </row>
    <row r="209" spans="1:23" ht="15" thickTop="1">
      <c r="A209" s="5432"/>
      <c r="B209" s="5804" t="s">
        <v>1187</v>
      </c>
      <c r="C209" s="5804" t="s">
        <v>1187</v>
      </c>
      <c r="D209" s="5805" t="s">
        <v>1188</v>
      </c>
      <c r="E209" s="5805" t="s">
        <v>1188</v>
      </c>
      <c r="F209" s="5806" t="s">
        <v>1189</v>
      </c>
      <c r="G209" s="5806" t="s">
        <v>1189</v>
      </c>
      <c r="I209" s="5433" t="s">
        <v>1187</v>
      </c>
      <c r="J209" s="3026"/>
      <c r="L209" s="8"/>
      <c r="M209" s="8"/>
      <c r="N209" s="8"/>
      <c r="O209" s="8"/>
      <c r="P209" s="8"/>
      <c r="Q209" s="3833"/>
      <c r="S209" s="8"/>
      <c r="T209" s="8"/>
      <c r="U209" s="8"/>
      <c r="V209" s="8"/>
      <c r="W209" s="8"/>
    </row>
    <row r="210" spans="1:23">
      <c r="A210" s="5434"/>
      <c r="B210" s="5807" t="s">
        <v>1258</v>
      </c>
      <c r="C210" s="5807" t="s">
        <v>1258</v>
      </c>
      <c r="D210" s="5808" t="s">
        <v>1258</v>
      </c>
      <c r="E210" s="5808" t="s">
        <v>1258</v>
      </c>
      <c r="F210" s="5809" t="s">
        <v>1258</v>
      </c>
      <c r="G210" s="5809" t="s">
        <v>1258</v>
      </c>
      <c r="L210" s="8"/>
      <c r="M210" s="8"/>
      <c r="N210" s="8"/>
      <c r="O210" s="8"/>
      <c r="P210" s="8"/>
      <c r="S210" s="8"/>
      <c r="T210" s="8"/>
      <c r="U210" s="8"/>
      <c r="V210" s="8"/>
      <c r="W210" s="8"/>
    </row>
    <row r="211" spans="1:23">
      <c r="A211" s="5435"/>
      <c r="B211" s="5436" t="s">
        <v>1259</v>
      </c>
      <c r="C211" s="5437" t="s">
        <v>1260</v>
      </c>
      <c r="D211" s="5438" t="s">
        <v>1259</v>
      </c>
      <c r="E211" s="5439" t="s">
        <v>1260</v>
      </c>
      <c r="F211" s="5440" t="s">
        <v>1259</v>
      </c>
      <c r="G211" s="5441" t="s">
        <v>1260</v>
      </c>
      <c r="L211" s="8"/>
      <c r="M211" s="8"/>
      <c r="N211" s="8"/>
      <c r="O211" s="8"/>
      <c r="P211" s="8"/>
      <c r="S211" s="8"/>
      <c r="T211" s="8"/>
      <c r="U211" s="8"/>
      <c r="V211" s="8"/>
      <c r="W211" s="8"/>
    </row>
    <row r="212" spans="1:23">
      <c r="A212" s="5442"/>
      <c r="B212" s="5443" t="s">
        <v>1255</v>
      </c>
      <c r="C212" s="5444" t="s">
        <v>1255</v>
      </c>
      <c r="D212" s="5445" t="s">
        <v>1255</v>
      </c>
      <c r="E212" s="5446" t="s">
        <v>1255</v>
      </c>
      <c r="F212" s="5447" t="s">
        <v>1255</v>
      </c>
      <c r="G212" s="5448" t="s">
        <v>1255</v>
      </c>
      <c r="L212" s="8"/>
      <c r="M212" s="8"/>
      <c r="N212" s="8"/>
      <c r="O212" s="8"/>
      <c r="P212" s="8"/>
      <c r="S212" s="8"/>
      <c r="T212" s="8"/>
      <c r="U212" s="8"/>
      <c r="V212" s="8"/>
      <c r="W212" s="8"/>
    </row>
    <row r="213" spans="1:23" ht="15" thickBot="1">
      <c r="A213" s="5449"/>
      <c r="B213" s="5450" t="s">
        <v>1187</v>
      </c>
      <c r="C213" s="5451" t="s">
        <v>1187</v>
      </c>
      <c r="D213" s="5452" t="s">
        <v>1187</v>
      </c>
      <c r="E213" s="5453" t="s">
        <v>1187</v>
      </c>
      <c r="F213" s="5454" t="s">
        <v>1187</v>
      </c>
      <c r="G213" s="5455" t="s">
        <v>1187</v>
      </c>
      <c r="K213" s="972" t="str">
        <f>B212</f>
        <v>aguamejorada_chh</v>
      </c>
      <c r="L213" s="2649"/>
      <c r="M213" s="85"/>
      <c r="N213" s="85"/>
      <c r="O213" s="85"/>
      <c r="P213" s="85"/>
      <c r="R213" s="972" t="str">
        <f>E212</f>
        <v>aguamejorada_chh</v>
      </c>
      <c r="S213" s="2649"/>
      <c r="T213" s="85"/>
      <c r="U213" s="85"/>
      <c r="V213" s="85"/>
      <c r="W213" s="85"/>
    </row>
    <row r="214" spans="1:23" ht="15" thickTop="1">
      <c r="A214" s="5456" t="s">
        <v>1125</v>
      </c>
      <c r="B214" s="5457"/>
      <c r="C214" s="5458"/>
      <c r="D214" s="5459"/>
      <c r="E214" s="5460"/>
      <c r="F214" s="5461"/>
      <c r="G214" s="5462"/>
      <c r="H214" s="5463"/>
      <c r="I214" s="5464"/>
      <c r="J214" s="3027"/>
      <c r="K214" s="213" t="s">
        <v>904</v>
      </c>
      <c r="L214" s="216" t="s">
        <v>938</v>
      </c>
      <c r="M214" s="2650" t="s">
        <v>1273</v>
      </c>
      <c r="N214" s="2650" t="s">
        <v>1136</v>
      </c>
      <c r="O214" s="2650"/>
      <c r="P214" s="2650"/>
      <c r="Q214" s="3834"/>
      <c r="R214" s="213" t="s">
        <v>904</v>
      </c>
      <c r="S214" s="216" t="s">
        <v>938</v>
      </c>
      <c r="T214" s="2650" t="s">
        <v>1273</v>
      </c>
      <c r="U214" s="2650" t="s">
        <v>1136</v>
      </c>
      <c r="W214" s="76" t="s">
        <v>901</v>
      </c>
    </row>
    <row r="215" spans="1:23">
      <c r="A215" s="5465" t="s">
        <v>1190</v>
      </c>
      <c r="C215" s="5466">
        <v>83.324000861458941</v>
      </c>
      <c r="E215" s="5467">
        <v>84.720890789764766</v>
      </c>
      <c r="G215" s="5468">
        <v>91.235559919487656</v>
      </c>
      <c r="H215" s="5469">
        <v>2022</v>
      </c>
      <c r="I215" s="5470">
        <v>45773884</v>
      </c>
      <c r="J215" s="3028"/>
      <c r="K215" s="8"/>
      <c r="L215" s="8"/>
      <c r="M215" s="8"/>
      <c r="N215" s="8"/>
      <c r="O215" s="8"/>
      <c r="P215" s="8"/>
      <c r="Q215" s="3835"/>
      <c r="R215" s="8"/>
      <c r="S215" s="8"/>
      <c r="T215" s="8"/>
      <c r="U215" s="8"/>
      <c r="W215" s="8"/>
    </row>
    <row r="216" spans="1:23">
      <c r="A216" s="5471" t="s">
        <v>1191</v>
      </c>
      <c r="B216" s="5472">
        <v>73.155280527632229</v>
      </c>
      <c r="C216" s="5473">
        <v>96.094932121090665</v>
      </c>
      <c r="D216" s="5474">
        <v>75.541924283893124</v>
      </c>
      <c r="E216" s="5475">
        <v>98.198093354120431</v>
      </c>
      <c r="F216" s="5476">
        <v>79.331360883963569</v>
      </c>
      <c r="G216" s="5477">
        <v>98.867788170149922</v>
      </c>
      <c r="H216" s="5478">
        <v>2022</v>
      </c>
      <c r="I216" s="5479">
        <v>12388571</v>
      </c>
      <c r="J216" s="3029"/>
      <c r="K216" s="8" t="str">
        <f t="shared" ref="K216:K230" si="150">A216</f>
        <v xml:space="preserve">  BOL</v>
      </c>
      <c r="L216" s="8">
        <f t="shared" ref="L216:L230" si="151">H216</f>
        <v>2022</v>
      </c>
      <c r="M216" s="8">
        <f t="shared" ref="M216:M230" si="152">B216</f>
        <v>73.155280527632229</v>
      </c>
      <c r="N216" s="8">
        <f t="shared" ref="N216:N230" si="153">C216</f>
        <v>96.094932121090665</v>
      </c>
      <c r="O216" s="8">
        <f t="shared" ref="O216:O230" si="154">F216</f>
        <v>79.331360883963569</v>
      </c>
      <c r="P216" s="8">
        <f t="shared" ref="P216:P230" si="155">G216</f>
        <v>98.867788170149922</v>
      </c>
      <c r="Q216" s="3836"/>
      <c r="R216" s="8" t="str">
        <f t="shared" ref="R216:R230" si="156">A216</f>
        <v xml:space="preserve">  BOL</v>
      </c>
      <c r="S216" s="8">
        <f t="shared" ref="S216:S230" si="157">H216*1</f>
        <v>2022</v>
      </c>
      <c r="T216" s="8">
        <f t="shared" ref="T216:T230" si="158">B216-F216</f>
        <v>-6.1760803563313402</v>
      </c>
      <c r="U216" s="8">
        <f t="shared" ref="U216:U230" si="159">C216-G216</f>
        <v>-2.7728560490592571</v>
      </c>
      <c r="W216" s="8">
        <f>Fact7!P214</f>
        <v>-16.059444782730054</v>
      </c>
    </row>
    <row r="217" spans="1:23">
      <c r="A217" s="5480" t="s">
        <v>1192</v>
      </c>
      <c r="B217" s="5481">
        <v>65.258482135865293</v>
      </c>
      <c r="C217" s="5482">
        <v>94.989557434435355</v>
      </c>
      <c r="D217" s="5483">
        <v>67.022265238272865</v>
      </c>
      <c r="E217" s="5484">
        <v>96.673965071213118</v>
      </c>
      <c r="F217" s="5485">
        <v>65.959304202746068</v>
      </c>
      <c r="G217" s="5486">
        <v>98.46350431878389</v>
      </c>
      <c r="H217" s="5487">
        <v>2022</v>
      </c>
      <c r="I217" s="5488">
        <v>216422446</v>
      </c>
      <c r="J217" s="3030"/>
      <c r="K217" s="8" t="str">
        <f t="shared" si="150"/>
        <v xml:space="preserve">  BRA</v>
      </c>
      <c r="L217" s="8">
        <f t="shared" si="151"/>
        <v>2022</v>
      </c>
      <c r="M217" s="8">
        <f t="shared" si="152"/>
        <v>65.258482135865293</v>
      </c>
      <c r="N217" s="8">
        <f t="shared" si="153"/>
        <v>94.989557434435355</v>
      </c>
      <c r="O217" s="8">
        <f t="shared" si="154"/>
        <v>65.959304202746068</v>
      </c>
      <c r="P217" s="8">
        <f t="shared" si="155"/>
        <v>98.46350431878389</v>
      </c>
      <c r="Q217" s="3837"/>
      <c r="R217" s="8" t="str">
        <f t="shared" si="156"/>
        <v xml:space="preserve">  BRA</v>
      </c>
      <c r="S217" s="8">
        <f t="shared" si="157"/>
        <v>2022</v>
      </c>
      <c r="T217" s="8">
        <f t="shared" si="158"/>
        <v>-0.7008220668807752</v>
      </c>
      <c r="U217" s="8">
        <f t="shared" si="159"/>
        <v>-3.4739468843485355</v>
      </c>
      <c r="W217" s="8">
        <f>Fact7!P215</f>
        <v>-9.3651380196128287</v>
      </c>
    </row>
    <row r="218" spans="1:23">
      <c r="A218" s="5489" t="s">
        <v>1193</v>
      </c>
      <c r="B218" s="5490">
        <v>61.810273071449672</v>
      </c>
      <c r="C218" s="5491">
        <v>97.995042153814452</v>
      </c>
      <c r="D218" s="5492">
        <v>64.22059651097355</v>
      </c>
      <c r="E218" s="5493">
        <v>98.455498535339075</v>
      </c>
      <c r="F218" s="5494">
        <v>65.935408334851601</v>
      </c>
      <c r="G218" s="5495">
        <v>99.347301078306657</v>
      </c>
      <c r="H218" s="5496">
        <v>2022</v>
      </c>
      <c r="I218" s="5497">
        <v>19629590</v>
      </c>
      <c r="J218" s="3031"/>
      <c r="K218" s="8" t="str">
        <f t="shared" si="150"/>
        <v xml:space="preserve">  CHL</v>
      </c>
      <c r="L218" s="8">
        <f t="shared" si="151"/>
        <v>2022</v>
      </c>
      <c r="M218" s="8">
        <f t="shared" si="152"/>
        <v>61.810273071449672</v>
      </c>
      <c r="N218" s="8">
        <f t="shared" si="153"/>
        <v>97.995042153814452</v>
      </c>
      <c r="O218" s="8">
        <f t="shared" si="154"/>
        <v>65.935408334851601</v>
      </c>
      <c r="P218" s="8">
        <f t="shared" si="155"/>
        <v>99.347301078306657</v>
      </c>
      <c r="Q218" s="3838"/>
      <c r="R218" s="8" t="str">
        <f t="shared" si="156"/>
        <v xml:space="preserve">  CHL</v>
      </c>
      <c r="S218" s="8">
        <f t="shared" si="157"/>
        <v>2022</v>
      </c>
      <c r="T218" s="8">
        <f t="shared" si="158"/>
        <v>-4.1251352634019298</v>
      </c>
      <c r="U218" s="8">
        <f t="shared" si="159"/>
        <v>-1.3522589244922045</v>
      </c>
      <c r="W218" s="8">
        <f>Fact7!P216</f>
        <v>-4.4350908451605875</v>
      </c>
    </row>
    <row r="219" spans="1:23">
      <c r="A219" s="5498" t="s">
        <v>1194</v>
      </c>
      <c r="B219" s="5499">
        <v>51.553483017611882</v>
      </c>
      <c r="C219" s="5500">
        <v>95.822105635931464</v>
      </c>
      <c r="D219" s="5501">
        <v>55.298041499933603</v>
      </c>
      <c r="E219" s="5502">
        <v>96.755925304442641</v>
      </c>
      <c r="F219" s="5503">
        <v>63.6798564495449</v>
      </c>
      <c r="G219" s="5504">
        <v>98.879232882151371</v>
      </c>
      <c r="H219" s="5505">
        <v>2022</v>
      </c>
      <c r="I219" s="5506">
        <v>52085168</v>
      </c>
      <c r="J219" s="3032"/>
      <c r="K219" s="8" t="str">
        <f t="shared" si="150"/>
        <v xml:space="preserve">  COL</v>
      </c>
      <c r="L219" s="8">
        <f t="shared" si="151"/>
        <v>2022</v>
      </c>
      <c r="M219" s="8">
        <f t="shared" si="152"/>
        <v>51.553483017611882</v>
      </c>
      <c r="N219" s="8">
        <f t="shared" si="153"/>
        <v>95.822105635931464</v>
      </c>
      <c r="O219" s="8">
        <f t="shared" si="154"/>
        <v>63.6798564495449</v>
      </c>
      <c r="P219" s="8">
        <f t="shared" si="155"/>
        <v>98.879232882151371</v>
      </c>
      <c r="Q219" s="3839"/>
      <c r="R219" s="8" t="str">
        <f t="shared" si="156"/>
        <v xml:space="preserve">  COL</v>
      </c>
      <c r="S219" s="8">
        <f t="shared" si="157"/>
        <v>2022</v>
      </c>
      <c r="T219" s="8">
        <f t="shared" si="158"/>
        <v>-12.126373431933018</v>
      </c>
      <c r="U219" s="8">
        <f t="shared" si="159"/>
        <v>-3.0571272462199062</v>
      </c>
      <c r="W219" s="8">
        <f>Fact7!P217</f>
        <v>-19.991427253702312</v>
      </c>
    </row>
    <row r="220" spans="1:23">
      <c r="A220" s="5507" t="s">
        <v>1195</v>
      </c>
      <c r="B220" s="5508">
        <v>84.639685996697224</v>
      </c>
      <c r="C220" s="5509">
        <v>98.148547669013681</v>
      </c>
      <c r="D220" s="5510">
        <v>88.124662951644794</v>
      </c>
      <c r="E220" s="5511">
        <v>99.029038037600003</v>
      </c>
      <c r="F220" s="5512">
        <v>90.106198010432209</v>
      </c>
      <c r="G220" s="5513">
        <v>99.358804406429215</v>
      </c>
      <c r="H220" s="5514">
        <v>2023</v>
      </c>
      <c r="I220" s="5515">
        <v>5212173</v>
      </c>
      <c r="J220" s="3033"/>
      <c r="K220" s="8" t="str">
        <f t="shared" si="150"/>
        <v xml:space="preserve">  CRI</v>
      </c>
      <c r="L220" s="8">
        <f t="shared" si="151"/>
        <v>2023</v>
      </c>
      <c r="M220" s="8">
        <f t="shared" si="152"/>
        <v>84.639685996697224</v>
      </c>
      <c r="N220" s="8">
        <f t="shared" si="153"/>
        <v>98.148547669013681</v>
      </c>
      <c r="O220" s="8">
        <f t="shared" si="154"/>
        <v>90.106198010432209</v>
      </c>
      <c r="P220" s="8">
        <f t="shared" si="155"/>
        <v>99.358804406429215</v>
      </c>
      <c r="Q220" s="3840"/>
      <c r="R220" s="8" t="str">
        <f t="shared" si="156"/>
        <v xml:space="preserve">  CRI</v>
      </c>
      <c r="S220" s="8">
        <f t="shared" si="157"/>
        <v>2023</v>
      </c>
      <c r="T220" s="8">
        <f t="shared" si="158"/>
        <v>-5.4665120137349845</v>
      </c>
      <c r="U220" s="8">
        <f t="shared" si="159"/>
        <v>-1.2102567374155342</v>
      </c>
      <c r="W220" s="8">
        <f>Fact7!P218</f>
        <v>-5.0634059769761564</v>
      </c>
    </row>
    <row r="221" spans="1:23">
      <c r="A221" s="5516" t="s">
        <v>1196</v>
      </c>
      <c r="B221" s="5517">
        <v>78.40855923123496</v>
      </c>
      <c r="C221" s="5518">
        <v>92.937735668399924</v>
      </c>
      <c r="D221" s="5519">
        <v>82.894597420065608</v>
      </c>
      <c r="E221" s="5520">
        <v>93.655017828126631</v>
      </c>
      <c r="F221" s="5521">
        <v>82.016267301681381</v>
      </c>
      <c r="G221" s="5522">
        <v>95.109855799887526</v>
      </c>
      <c r="H221" s="5523">
        <v>2022</v>
      </c>
      <c r="I221" s="5524">
        <v>11332973</v>
      </c>
      <c r="J221" s="3034"/>
      <c r="K221" s="8" t="str">
        <f t="shared" si="150"/>
        <v xml:space="preserve">  DOM</v>
      </c>
      <c r="L221" s="8">
        <f t="shared" si="151"/>
        <v>2022</v>
      </c>
      <c r="M221" s="8">
        <f t="shared" si="152"/>
        <v>78.40855923123496</v>
      </c>
      <c r="N221" s="8">
        <f t="shared" si="153"/>
        <v>92.937735668399924</v>
      </c>
      <c r="O221" s="8">
        <f t="shared" si="154"/>
        <v>82.016267301681381</v>
      </c>
      <c r="P221" s="8">
        <f t="shared" si="155"/>
        <v>95.109855799887526</v>
      </c>
      <c r="Q221" s="3841"/>
      <c r="R221" s="8" t="str">
        <f t="shared" si="156"/>
        <v xml:space="preserve">  DOM</v>
      </c>
      <c r="S221" s="8">
        <f t="shared" si="157"/>
        <v>2022</v>
      </c>
      <c r="T221" s="8">
        <f t="shared" si="158"/>
        <v>-3.6077080704464208</v>
      </c>
      <c r="U221" s="8">
        <f t="shared" si="159"/>
        <v>-2.1721201314876026</v>
      </c>
      <c r="W221" s="8">
        <f>Fact7!P219</f>
        <v>-4.2577778796532328</v>
      </c>
    </row>
    <row r="222" spans="1:23">
      <c r="A222" s="5525" t="s">
        <v>1197</v>
      </c>
      <c r="B222" s="5526">
        <v>31.291762488466606</v>
      </c>
      <c r="C222" s="5527">
        <v>94.595283295171953</v>
      </c>
      <c r="D222" s="5528">
        <v>48.514881661274366</v>
      </c>
      <c r="E222" s="5529">
        <v>96.532684832242396</v>
      </c>
      <c r="F222" s="5530">
        <v>57.822151425590377</v>
      </c>
      <c r="G222" s="5531">
        <v>98.654704402675819</v>
      </c>
      <c r="H222" s="5532">
        <v>2023</v>
      </c>
      <c r="I222" s="5533">
        <v>18190484</v>
      </c>
      <c r="J222" s="3035"/>
      <c r="K222" s="8" t="str">
        <f t="shared" si="150"/>
        <v xml:space="preserve">  ECU</v>
      </c>
      <c r="L222" s="8">
        <f t="shared" si="151"/>
        <v>2023</v>
      </c>
      <c r="M222" s="8">
        <f t="shared" si="152"/>
        <v>31.291762488466606</v>
      </c>
      <c r="N222" s="8">
        <f t="shared" si="153"/>
        <v>94.595283295171953</v>
      </c>
      <c r="O222" s="8">
        <f t="shared" si="154"/>
        <v>57.822151425590377</v>
      </c>
      <c r="P222" s="8">
        <f t="shared" si="155"/>
        <v>98.654704402675819</v>
      </c>
      <c r="Q222" s="3842"/>
      <c r="R222" s="8" t="str">
        <f t="shared" si="156"/>
        <v xml:space="preserve">  ECU</v>
      </c>
      <c r="S222" s="8">
        <f t="shared" si="157"/>
        <v>2023</v>
      </c>
      <c r="T222" s="8">
        <f t="shared" si="158"/>
        <v>-26.530388937123771</v>
      </c>
      <c r="U222" s="8">
        <f t="shared" si="159"/>
        <v>-4.0594211075038658</v>
      </c>
      <c r="W222" s="8">
        <f>Fact7!P220</f>
        <v>-32.357447077525222</v>
      </c>
    </row>
    <row r="223" spans="1:23">
      <c r="A223" s="5534" t="s">
        <v>1204</v>
      </c>
      <c r="B223" s="5535">
        <v>68.200865927900054</v>
      </c>
      <c r="C223" s="5536">
        <v>88.662013752217121</v>
      </c>
      <c r="D223" s="5537">
        <v>74.139465518485565</v>
      </c>
      <c r="E223" s="5538">
        <v>92.57894626029784</v>
      </c>
      <c r="F223" s="5539">
        <v>75.320357391968642</v>
      </c>
      <c r="G223" s="5540">
        <v>94.72686211367153</v>
      </c>
      <c r="H223" s="5541">
        <v>2022</v>
      </c>
      <c r="I223" s="5542">
        <v>18092026</v>
      </c>
      <c r="J223" s="3036"/>
      <c r="K223" s="8" t="str">
        <f t="shared" si="150"/>
        <v xml:space="preserve">  GTM</v>
      </c>
      <c r="L223" s="8">
        <f t="shared" si="151"/>
        <v>2022</v>
      </c>
      <c r="M223" s="8">
        <f t="shared" si="152"/>
        <v>68.200865927900054</v>
      </c>
      <c r="N223" s="8">
        <f t="shared" si="153"/>
        <v>88.662013752217121</v>
      </c>
      <c r="O223" s="8">
        <f t="shared" si="154"/>
        <v>75.320357391968642</v>
      </c>
      <c r="P223" s="8">
        <f t="shared" si="155"/>
        <v>94.72686211367153</v>
      </c>
      <c r="Q223" s="3843"/>
      <c r="R223" s="8" t="str">
        <f t="shared" si="156"/>
        <v xml:space="preserve">  GTM</v>
      </c>
      <c r="S223" s="8">
        <f t="shared" si="157"/>
        <v>2022</v>
      </c>
      <c r="T223" s="8">
        <f t="shared" si="158"/>
        <v>-7.119491464068588</v>
      </c>
      <c r="U223" s="8">
        <f t="shared" si="159"/>
        <v>-6.0648483614544091</v>
      </c>
      <c r="W223" s="8">
        <f>Fact7!P221</f>
        <v>-12.158398445377614</v>
      </c>
    </row>
    <row r="224" spans="1:23">
      <c r="A224" s="5543" t="s">
        <v>1199</v>
      </c>
      <c r="B224" s="5544">
        <v>76.056195113687778</v>
      </c>
      <c r="C224" s="5545">
        <v>89.018834704431356</v>
      </c>
      <c r="D224" s="5546">
        <v>77.756407004423039</v>
      </c>
      <c r="E224" s="5547">
        <v>92.706936349573326</v>
      </c>
      <c r="F224" s="5548">
        <v>83.372641613232801</v>
      </c>
      <c r="G224" s="5549">
        <v>94.956329697493175</v>
      </c>
      <c r="H224" s="5550">
        <v>2023</v>
      </c>
      <c r="I224" s="5551">
        <v>10593798</v>
      </c>
      <c r="J224" s="3037"/>
      <c r="K224" s="8" t="str">
        <f t="shared" si="150"/>
        <v xml:space="preserve">  HND</v>
      </c>
      <c r="L224" s="8">
        <f t="shared" si="151"/>
        <v>2023</v>
      </c>
      <c r="M224" s="8">
        <f t="shared" si="152"/>
        <v>76.056195113687778</v>
      </c>
      <c r="N224" s="8">
        <f t="shared" si="153"/>
        <v>89.018834704431356</v>
      </c>
      <c r="O224" s="8">
        <f t="shared" si="154"/>
        <v>83.372641613232801</v>
      </c>
      <c r="P224" s="8">
        <f t="shared" si="155"/>
        <v>94.956329697493175</v>
      </c>
      <c r="Q224" s="3844"/>
      <c r="R224" s="8" t="str">
        <f t="shared" si="156"/>
        <v xml:space="preserve">  HND</v>
      </c>
      <c r="S224" s="8">
        <f t="shared" si="157"/>
        <v>2023</v>
      </c>
      <c r="T224" s="8">
        <f t="shared" si="158"/>
        <v>-7.3164464995450231</v>
      </c>
      <c r="U224" s="8">
        <f t="shared" si="159"/>
        <v>-5.9374949930618186</v>
      </c>
      <c r="W224" s="8">
        <f>Fact7!P222</f>
        <v>-10.81908793615132</v>
      </c>
    </row>
    <row r="225" spans="1:23">
      <c r="A225" s="5552" t="s">
        <v>1205</v>
      </c>
      <c r="B225" s="5553">
        <v>82.137056113077435</v>
      </c>
      <c r="C225" s="5554">
        <v>95.036793031762031</v>
      </c>
      <c r="D225" s="5555">
        <v>87.025620454359299</v>
      </c>
      <c r="E225" s="5556">
        <v>96.91804937104942</v>
      </c>
      <c r="F225" s="5557">
        <v>90.736585219612621</v>
      </c>
      <c r="G225" s="5558">
        <v>98.738987660790585</v>
      </c>
      <c r="H225" s="5559">
        <v>2022</v>
      </c>
      <c r="I225" s="5560">
        <v>128455567</v>
      </c>
      <c r="J225" s="3038"/>
      <c r="K225" s="8" t="str">
        <f t="shared" si="150"/>
        <v xml:space="preserve">  MEX</v>
      </c>
      <c r="L225" s="8">
        <f t="shared" si="151"/>
        <v>2022</v>
      </c>
      <c r="M225" s="8">
        <f t="shared" si="152"/>
        <v>82.137056113077435</v>
      </c>
      <c r="N225" s="8">
        <f t="shared" si="153"/>
        <v>95.036793031762031</v>
      </c>
      <c r="O225" s="8">
        <f t="shared" si="154"/>
        <v>90.736585219612621</v>
      </c>
      <c r="P225" s="8">
        <f t="shared" si="155"/>
        <v>98.738987660790585</v>
      </c>
      <c r="Q225" s="3845"/>
      <c r="R225" s="8" t="str">
        <f t="shared" si="156"/>
        <v xml:space="preserve">  MEX</v>
      </c>
      <c r="S225" s="8">
        <f t="shared" si="157"/>
        <v>2022</v>
      </c>
      <c r="T225" s="8">
        <f t="shared" si="158"/>
        <v>-8.5995291065351864</v>
      </c>
      <c r="U225" s="8">
        <f t="shared" si="159"/>
        <v>-3.7021946290285541</v>
      </c>
      <c r="W225" s="8">
        <f>Fact7!P223</f>
        <v>-9.3873085948668802</v>
      </c>
    </row>
    <row r="226" spans="1:23">
      <c r="A226" s="5561" t="s">
        <v>1200</v>
      </c>
      <c r="B226" s="5562">
        <v>65.987878319950582</v>
      </c>
      <c r="C226" s="5563">
        <v>99.675775822139883</v>
      </c>
      <c r="D226" s="5564">
        <v>83.460450124618177</v>
      </c>
      <c r="E226" s="5565">
        <v>99.89202946053291</v>
      </c>
      <c r="F226" s="5566">
        <v>94.369728847374617</v>
      </c>
      <c r="G226" s="5567">
        <v>99.888955145391293</v>
      </c>
      <c r="H226" s="5568">
        <v>2022</v>
      </c>
      <c r="I226" s="5569">
        <v>4468087</v>
      </c>
      <c r="J226" s="3039"/>
      <c r="K226" s="8" t="str">
        <f t="shared" si="150"/>
        <v xml:space="preserve">  PAN</v>
      </c>
      <c r="L226" s="8">
        <f t="shared" si="151"/>
        <v>2022</v>
      </c>
      <c r="M226" s="8">
        <f t="shared" si="152"/>
        <v>65.987878319950582</v>
      </c>
      <c r="N226" s="8">
        <f t="shared" si="153"/>
        <v>99.675775822139883</v>
      </c>
      <c r="O226" s="8">
        <f t="shared" si="154"/>
        <v>94.369728847374617</v>
      </c>
      <c r="P226" s="8">
        <f t="shared" si="155"/>
        <v>99.888955145391293</v>
      </c>
      <c r="Q226" s="3846"/>
      <c r="R226" s="8" t="str">
        <f t="shared" si="156"/>
        <v xml:space="preserve">  PAN</v>
      </c>
      <c r="S226" s="8">
        <f t="shared" si="157"/>
        <v>2022</v>
      </c>
      <c r="T226" s="8">
        <f t="shared" si="158"/>
        <v>-28.381850527424035</v>
      </c>
      <c r="U226" s="8">
        <f t="shared" si="159"/>
        <v>-0.21317932325140987</v>
      </c>
      <c r="W226" s="8">
        <f>Fact7!P224</f>
        <v>-23.577453740518507</v>
      </c>
    </row>
    <row r="227" spans="1:23">
      <c r="A227" s="5570" t="s">
        <v>1201</v>
      </c>
      <c r="B227" s="5571">
        <v>72.228742412904097</v>
      </c>
      <c r="C227" s="5572">
        <v>94.641898598675994</v>
      </c>
      <c r="D227" s="5573">
        <v>76.690388745155573</v>
      </c>
      <c r="E227" s="5574">
        <v>96.174163616835358</v>
      </c>
      <c r="F227" s="5575">
        <v>77.879506204372774</v>
      </c>
      <c r="G227" s="5576">
        <v>97.698963679823692</v>
      </c>
      <c r="H227" s="5577">
        <v>2022</v>
      </c>
      <c r="I227" s="5578">
        <v>34352719</v>
      </c>
      <c r="J227" s="3040"/>
      <c r="K227" s="8" t="str">
        <f t="shared" si="150"/>
        <v xml:space="preserve">  PER</v>
      </c>
      <c r="L227" s="8">
        <f t="shared" si="151"/>
        <v>2022</v>
      </c>
      <c r="M227" s="8">
        <f t="shared" si="152"/>
        <v>72.228742412904097</v>
      </c>
      <c r="N227" s="8">
        <f t="shared" si="153"/>
        <v>94.641898598675994</v>
      </c>
      <c r="O227" s="8">
        <f t="shared" si="154"/>
        <v>77.879506204372774</v>
      </c>
      <c r="P227" s="8">
        <f t="shared" si="155"/>
        <v>97.698963679823692</v>
      </c>
      <c r="Q227" s="3847"/>
      <c r="R227" s="8" t="str">
        <f t="shared" si="156"/>
        <v xml:space="preserve">  PER</v>
      </c>
      <c r="S227" s="8">
        <f t="shared" si="157"/>
        <v>2022</v>
      </c>
      <c r="T227" s="8">
        <f t="shared" si="158"/>
        <v>-5.6507637914686768</v>
      </c>
      <c r="U227" s="8">
        <f t="shared" si="159"/>
        <v>-3.057065081147698</v>
      </c>
      <c r="W227" s="8">
        <f>Fact7!P225</f>
        <v>-11.341188746573508</v>
      </c>
    </row>
    <row r="228" spans="1:23">
      <c r="A228" s="5579" t="s">
        <v>1202</v>
      </c>
      <c r="B228" s="5580">
        <v>89.78009847817728</v>
      </c>
      <c r="C228" s="5581">
        <v>97.061867983119683</v>
      </c>
      <c r="D228" s="5582">
        <v>92.863093585115237</v>
      </c>
      <c r="E228" s="5583">
        <v>96.76488808515164</v>
      </c>
      <c r="F228" s="5584">
        <v>94.985581383685641</v>
      </c>
      <c r="G228" s="5585">
        <v>99.719132116303683</v>
      </c>
      <c r="H228" s="5586">
        <v>2022</v>
      </c>
      <c r="I228" s="5587">
        <v>6861524</v>
      </c>
      <c r="J228" s="3041"/>
      <c r="K228" s="8" t="str">
        <f t="shared" si="150"/>
        <v xml:space="preserve">  PRY</v>
      </c>
      <c r="L228" s="8">
        <f t="shared" si="151"/>
        <v>2022</v>
      </c>
      <c r="M228" s="8">
        <f t="shared" si="152"/>
        <v>89.78009847817728</v>
      </c>
      <c r="N228" s="8">
        <f t="shared" si="153"/>
        <v>97.061867983119683</v>
      </c>
      <c r="O228" s="8">
        <f t="shared" si="154"/>
        <v>94.985581383685641</v>
      </c>
      <c r="P228" s="8">
        <f t="shared" si="155"/>
        <v>99.719132116303683</v>
      </c>
      <c r="Q228" s="3848"/>
      <c r="R228" s="8" t="str">
        <f t="shared" si="156"/>
        <v xml:space="preserve">  PRY</v>
      </c>
      <c r="S228" s="8">
        <f t="shared" si="157"/>
        <v>2022</v>
      </c>
      <c r="T228" s="8">
        <f t="shared" si="158"/>
        <v>-5.2054829055083616</v>
      </c>
      <c r="U228" s="8">
        <f t="shared" si="159"/>
        <v>-2.6572641331840003</v>
      </c>
      <c r="W228" s="8">
        <f>Fact7!P226</f>
        <v>-6.5799401000070787</v>
      </c>
    </row>
    <row r="229" spans="1:23">
      <c r="A229" s="5588" t="s">
        <v>1206</v>
      </c>
      <c r="B229" s="5589">
        <v>89.028524563718506</v>
      </c>
      <c r="C229" s="5590">
        <v>96.553414286176803</v>
      </c>
      <c r="D229" s="5591">
        <v>88.819081467362508</v>
      </c>
      <c r="E229" s="5592">
        <v>97.062584759368917</v>
      </c>
      <c r="F229" s="5593">
        <v>90.937377187899159</v>
      </c>
      <c r="G229" s="5594">
        <v>98.013227470054659</v>
      </c>
      <c r="H229" s="5595">
        <v>2023</v>
      </c>
      <c r="I229" s="5596">
        <v>6364943</v>
      </c>
      <c r="J229" s="3042"/>
      <c r="K229" s="8" t="str">
        <f t="shared" si="150"/>
        <v xml:space="preserve">  SLV</v>
      </c>
      <c r="L229" s="8">
        <f t="shared" si="151"/>
        <v>2023</v>
      </c>
      <c r="M229" s="8">
        <f t="shared" si="152"/>
        <v>89.028524563718506</v>
      </c>
      <c r="N229" s="8">
        <f t="shared" si="153"/>
        <v>96.553414286176803</v>
      </c>
      <c r="O229" s="8">
        <f t="shared" si="154"/>
        <v>90.937377187899159</v>
      </c>
      <c r="P229" s="8">
        <f t="shared" si="155"/>
        <v>98.013227470054659</v>
      </c>
      <c r="Q229" s="3849"/>
      <c r="R229" s="8" t="str">
        <f t="shared" si="156"/>
        <v xml:space="preserve">  SLV</v>
      </c>
      <c r="S229" s="8">
        <f t="shared" si="157"/>
        <v>2023</v>
      </c>
      <c r="T229" s="8">
        <f t="shared" si="158"/>
        <v>-1.9088526241806534</v>
      </c>
      <c r="U229" s="8">
        <f t="shared" si="159"/>
        <v>-1.4598131838778556</v>
      </c>
      <c r="W229" s="8">
        <f>Fact7!P227</f>
        <v>-3.9118446830835438</v>
      </c>
    </row>
    <row r="230" spans="1:23">
      <c r="A230" s="5597" t="s">
        <v>1207</v>
      </c>
      <c r="B230" s="5598">
        <v>100</v>
      </c>
      <c r="C230" s="5599">
        <v>99.644934652866965</v>
      </c>
      <c r="D230" s="5600">
        <v>99.280380911156797</v>
      </c>
      <c r="E230" s="5601">
        <v>99.826472962066177</v>
      </c>
      <c r="F230" s="5602">
        <v>97.826585964022087</v>
      </c>
      <c r="G230" s="5603">
        <v>99.927088597151609</v>
      </c>
      <c r="H230" s="5604">
        <v>2022</v>
      </c>
      <c r="I230" s="5605">
        <v>3423109</v>
      </c>
      <c r="J230" s="3043"/>
      <c r="K230" s="8" t="str">
        <f t="shared" si="150"/>
        <v xml:space="preserve">  URY</v>
      </c>
      <c r="L230" s="8">
        <f t="shared" si="151"/>
        <v>2022</v>
      </c>
      <c r="M230" s="8">
        <f t="shared" si="152"/>
        <v>100</v>
      </c>
      <c r="N230" s="8">
        <f t="shared" si="153"/>
        <v>99.644934652866965</v>
      </c>
      <c r="O230" s="8">
        <f t="shared" si="154"/>
        <v>97.826585964022087</v>
      </c>
      <c r="P230" s="8">
        <f t="shared" si="155"/>
        <v>99.927088597151609</v>
      </c>
      <c r="Q230" s="3850"/>
      <c r="R230" s="8" t="str">
        <f t="shared" si="156"/>
        <v xml:space="preserve">  URY</v>
      </c>
      <c r="S230" s="8">
        <f t="shared" si="157"/>
        <v>2022</v>
      </c>
      <c r="T230" s="8">
        <f t="shared" si="158"/>
        <v>2.1734140359779133</v>
      </c>
      <c r="U230" s="8">
        <f t="shared" si="159"/>
        <v>-0.28215394428464435</v>
      </c>
      <c r="W230" s="8">
        <f>Fact7!P228</f>
        <v>7.4057903553637061E-2</v>
      </c>
    </row>
    <row r="231" spans="1:23">
      <c r="A231" s="5606" t="s">
        <v>1203</v>
      </c>
      <c r="B231" s="5786" t="s">
        <v>1045</v>
      </c>
      <c r="C231" s="5787" t="s">
        <v>1045</v>
      </c>
      <c r="D231" s="5788" t="s">
        <v>1045</v>
      </c>
      <c r="E231" s="5789" t="s">
        <v>1045</v>
      </c>
      <c r="F231" s="5790" t="s">
        <v>1045</v>
      </c>
      <c r="G231" s="5791" t="s">
        <v>1045</v>
      </c>
      <c r="H231" s="5607" t="s">
        <v>1186</v>
      </c>
      <c r="I231" s="5608" t="s">
        <v>1257</v>
      </c>
      <c r="J231" s="3044"/>
      <c r="Q231" s="3851"/>
    </row>
    <row r="232" spans="1:23">
      <c r="A232" s="5609"/>
      <c r="B232" s="5792" t="s">
        <v>1187</v>
      </c>
      <c r="C232" s="5792" t="s">
        <v>1187</v>
      </c>
      <c r="D232" s="5793" t="s">
        <v>1188</v>
      </c>
      <c r="E232" s="5793" t="s">
        <v>1188</v>
      </c>
      <c r="F232" s="5794" t="s">
        <v>1189</v>
      </c>
      <c r="G232" s="5794" t="s">
        <v>1189</v>
      </c>
      <c r="I232" s="5610" t="s">
        <v>1187</v>
      </c>
      <c r="J232" s="3045"/>
      <c r="K232" s="3" t="s">
        <v>1261</v>
      </c>
      <c r="L232" s="8"/>
      <c r="M232" s="8">
        <f>AVERAGE(M215:M230)</f>
        <v>72.635792493224898</v>
      </c>
      <c r="N232" s="8">
        <f>AVERAGE(N215:N230)</f>
        <v>95.391915787283168</v>
      </c>
      <c r="O232" s="8">
        <f t="shared" ref="O232:P232" si="160">AVERAGE(O215:O230)</f>
        <v>80.68526069473188</v>
      </c>
      <c r="P232" s="8">
        <f t="shared" si="160"/>
        <v>98.156715835937646</v>
      </c>
      <c r="Q232" s="3852"/>
      <c r="R232" s="3" t="s">
        <v>1261</v>
      </c>
      <c r="S232" s="8"/>
      <c r="T232" s="8">
        <f>AVERAGE(T215:T230)</f>
        <v>-8.0494682015069898</v>
      </c>
      <c r="U232" s="8">
        <f t="shared" ref="U232" si="161">AVERAGE(U215:U230)</f>
        <v>-2.7648000486544864</v>
      </c>
      <c r="V232" s="8"/>
      <c r="W232" s="8">
        <f>AVERAGE(W215:W230)</f>
        <v>-11.282059745225679</v>
      </c>
    </row>
    <row r="233" spans="1:23" ht="15" thickBot="1">
      <c r="A233" s="5611"/>
      <c r="B233" s="5795" t="s">
        <v>1258</v>
      </c>
      <c r="C233" s="5795" t="s">
        <v>1258</v>
      </c>
      <c r="D233" s="5796" t="s">
        <v>1258</v>
      </c>
      <c r="E233" s="5796" t="s">
        <v>1258</v>
      </c>
      <c r="F233" s="5797" t="s">
        <v>1258</v>
      </c>
      <c r="G233" s="5797" t="s">
        <v>1258</v>
      </c>
      <c r="K233" s="212" t="s">
        <v>1145</v>
      </c>
      <c r="L233" s="85"/>
      <c r="M233" s="85">
        <f>SUMPRODUCT(M215:M230,$I215:$I230)/SUM($I215:$I230)</f>
        <v>63.537440383256957</v>
      </c>
      <c r="N233" s="85">
        <f>SUMPRODUCT(N215:N230,$I215:$I230)/SUM($I215:$I230)</f>
        <v>87.630798027370872</v>
      </c>
      <c r="O233" s="85">
        <f t="shared" ref="O233:P233" si="162">SUMPRODUCT(O215:O230,$I215:$I230)/SUM($I215:$I230)</f>
        <v>68.869018903613437</v>
      </c>
      <c r="P233" s="85">
        <f t="shared" si="162"/>
        <v>90.762944317744484</v>
      </c>
      <c r="R233" s="212" t="s">
        <v>1145</v>
      </c>
      <c r="S233" s="85"/>
      <c r="T233" s="85">
        <f>SUMPRODUCT(T215:T230,$I215:$I230)/SUM($I215:$I230)</f>
        <v>-5.3315785203564685</v>
      </c>
      <c r="U233" s="85">
        <f t="shared" ref="U233" si="163">SUMPRODUCT(U215:U230,$I215:$I230)/SUM($I215:$I230)</f>
        <v>-3.1321462903736363</v>
      </c>
      <c r="V233" s="85"/>
      <c r="W233" s="85">
        <f>SUMPRODUCT(W215:W230,$I215:$I230)/SUM($I215:$I230)</f>
        <v>-10.313393022537351</v>
      </c>
    </row>
    <row r="234" spans="1:23" ht="15" thickTop="1">
      <c r="A234" s="5612"/>
      <c r="B234" s="5613" t="s">
        <v>1259</v>
      </c>
      <c r="C234" s="5614" t="s">
        <v>1260</v>
      </c>
      <c r="D234" s="5615" t="s">
        <v>1259</v>
      </c>
      <c r="E234" s="5616" t="s">
        <v>1260</v>
      </c>
      <c r="F234" s="5617" t="s">
        <v>1259</v>
      </c>
      <c r="G234" s="5618" t="s">
        <v>1260</v>
      </c>
      <c r="L234" s="8"/>
      <c r="M234" s="8"/>
      <c r="N234" s="8"/>
      <c r="O234" s="8"/>
      <c r="P234" s="8"/>
      <c r="S234" s="8"/>
      <c r="T234" s="8"/>
      <c r="U234" s="8"/>
      <c r="V234" s="8"/>
      <c r="W234" s="8"/>
    </row>
    <row r="235" spans="1:23">
      <c r="A235" s="5619"/>
      <c r="B235" s="5620" t="s">
        <v>1256</v>
      </c>
      <c r="C235" s="5621" t="s">
        <v>1256</v>
      </c>
      <c r="D235" s="5622" t="s">
        <v>1256</v>
      </c>
      <c r="E235" s="5623" t="s">
        <v>1256</v>
      </c>
      <c r="F235" s="5624" t="s">
        <v>1256</v>
      </c>
      <c r="G235" s="5625" t="s">
        <v>1256</v>
      </c>
      <c r="L235" s="8"/>
      <c r="M235" s="8"/>
      <c r="N235" s="8"/>
      <c r="O235" s="8"/>
      <c r="P235" s="8"/>
      <c r="S235" s="8"/>
      <c r="T235" s="8"/>
      <c r="U235" s="8"/>
      <c r="V235" s="8"/>
      <c r="W235" s="8"/>
    </row>
    <row r="236" spans="1:23" ht="15" thickBot="1">
      <c r="A236" s="5626"/>
      <c r="B236" s="5627" t="s">
        <v>1187</v>
      </c>
      <c r="C236" s="5628" t="s">
        <v>1187</v>
      </c>
      <c r="D236" s="5629" t="s">
        <v>1187</v>
      </c>
      <c r="E236" s="5630" t="s">
        <v>1187</v>
      </c>
      <c r="F236" s="5631" t="s">
        <v>1187</v>
      </c>
      <c r="G236" s="5632" t="s">
        <v>1187</v>
      </c>
      <c r="K236" s="972" t="str">
        <f>B235</f>
        <v>cel_chh</v>
      </c>
      <c r="L236" s="2649"/>
      <c r="M236" s="85"/>
      <c r="N236" s="85"/>
      <c r="O236" s="85"/>
      <c r="P236" s="85"/>
      <c r="R236" s="972" t="str">
        <f>E235</f>
        <v>cel_chh</v>
      </c>
      <c r="S236" s="2649"/>
      <c r="T236" s="85"/>
      <c r="U236" s="85"/>
      <c r="V236" s="85"/>
      <c r="W236" s="85"/>
    </row>
    <row r="237" spans="1:23" ht="15" thickTop="1">
      <c r="A237" s="5633" t="s">
        <v>1125</v>
      </c>
      <c r="B237" s="5634"/>
      <c r="C237" s="5635"/>
      <c r="D237" s="5636"/>
      <c r="E237" s="5637"/>
      <c r="F237" s="5638"/>
      <c r="G237" s="5639"/>
      <c r="H237" s="5640"/>
      <c r="I237" s="5641"/>
      <c r="J237" s="3046"/>
      <c r="K237" s="213" t="s">
        <v>904</v>
      </c>
      <c r="L237" s="216" t="s">
        <v>938</v>
      </c>
      <c r="M237" s="2650" t="s">
        <v>1273</v>
      </c>
      <c r="N237" s="2650" t="s">
        <v>1136</v>
      </c>
      <c r="O237" s="2650"/>
      <c r="P237" s="2650"/>
      <c r="Q237" s="3853"/>
      <c r="R237" s="213" t="s">
        <v>904</v>
      </c>
      <c r="S237" s="216" t="s">
        <v>938</v>
      </c>
      <c r="T237" s="2650" t="s">
        <v>1273</v>
      </c>
      <c r="U237" s="2650" t="s">
        <v>1136</v>
      </c>
      <c r="W237" s="76" t="s">
        <v>901</v>
      </c>
    </row>
    <row r="238" spans="1:23">
      <c r="A238" s="5642" t="s">
        <v>1191</v>
      </c>
      <c r="B238" s="5643">
        <v>79.247439531490414</v>
      </c>
      <c r="C238" s="5644">
        <v>90.486827949262477</v>
      </c>
      <c r="D238" s="5645">
        <v>70.544606799669594</v>
      </c>
      <c r="E238" s="5646">
        <v>88.859404318660154</v>
      </c>
      <c r="F238" s="5647">
        <v>82.789474695008821</v>
      </c>
      <c r="G238" s="5648">
        <v>94.095666271882152</v>
      </c>
      <c r="H238" s="5649">
        <v>2022</v>
      </c>
      <c r="I238" s="5650">
        <v>12388571</v>
      </c>
      <c r="J238" s="3047"/>
      <c r="K238" s="8" t="str">
        <f t="shared" ref="K238:K252" si="164">A238</f>
        <v xml:space="preserve">  BOL</v>
      </c>
      <c r="L238" s="8">
        <f t="shared" ref="L238:L252" si="165">H238</f>
        <v>2022</v>
      </c>
      <c r="M238" s="8">
        <f t="shared" ref="M238:M252" si="166">B238</f>
        <v>79.247439531490414</v>
      </c>
      <c r="N238" s="8">
        <f t="shared" ref="N238:N252" si="167">C238</f>
        <v>90.486827949262477</v>
      </c>
      <c r="O238" s="8">
        <f t="shared" ref="O238:O252" si="168">F238</f>
        <v>82.789474695008821</v>
      </c>
      <c r="P238" s="8">
        <f t="shared" ref="P238:P252" si="169">G238</f>
        <v>94.095666271882152</v>
      </c>
      <c r="Q238" s="3854"/>
      <c r="R238" s="8" t="str">
        <f t="shared" ref="R238:R252" si="170">A238</f>
        <v xml:space="preserve">  BOL</v>
      </c>
      <c r="S238" s="8">
        <f t="shared" ref="S238:S252" si="171">H238*1</f>
        <v>2022</v>
      </c>
      <c r="T238" s="8">
        <f t="shared" ref="T238:T252" si="172">B238-F238</f>
        <v>-3.5420351635184062</v>
      </c>
      <c r="U238" s="8">
        <f t="shared" ref="U238:U252" si="173">C238-G238</f>
        <v>-3.6088383226196754</v>
      </c>
      <c r="W238" s="8">
        <f>Fact7!P236</f>
        <v>-9.7435655723059398</v>
      </c>
    </row>
    <row r="239" spans="1:23">
      <c r="A239" s="5651" t="s">
        <v>1192</v>
      </c>
      <c r="B239" s="5652">
        <v>77.338149828641079</v>
      </c>
      <c r="C239" s="5653">
        <v>92.524064726125772</v>
      </c>
      <c r="D239" s="5654">
        <v>87.375832281945989</v>
      </c>
      <c r="E239" s="5655">
        <v>96.128983030181786</v>
      </c>
      <c r="F239" s="5656">
        <v>84.006682873467796</v>
      </c>
      <c r="G239" s="5657">
        <v>95.6614561177025</v>
      </c>
      <c r="H239" s="5658">
        <v>2019</v>
      </c>
      <c r="I239" s="5659">
        <v>216422446</v>
      </c>
      <c r="J239" s="3048"/>
      <c r="K239" s="8" t="str">
        <f t="shared" si="164"/>
        <v xml:space="preserve">  BRA</v>
      </c>
      <c r="L239" s="8">
        <f t="shared" si="165"/>
        <v>2019</v>
      </c>
      <c r="M239" s="8">
        <f t="shared" si="166"/>
        <v>77.338149828641079</v>
      </c>
      <c r="N239" s="8">
        <f t="shared" si="167"/>
        <v>92.524064726125772</v>
      </c>
      <c r="O239" s="8">
        <f t="shared" si="168"/>
        <v>84.006682873467796</v>
      </c>
      <c r="P239" s="8">
        <f t="shared" si="169"/>
        <v>95.6614561177025</v>
      </c>
      <c r="Q239" s="3855"/>
      <c r="R239" s="8" t="str">
        <f t="shared" si="170"/>
        <v xml:space="preserve">  BRA</v>
      </c>
      <c r="S239" s="8">
        <f t="shared" si="171"/>
        <v>2019</v>
      </c>
      <c r="T239" s="8">
        <f t="shared" si="172"/>
        <v>-6.6685330448267166</v>
      </c>
      <c r="U239" s="8">
        <f t="shared" si="173"/>
        <v>-3.1373913915767275</v>
      </c>
      <c r="W239" s="8">
        <f>Fact7!P237</f>
        <v>-7.1711766525373406</v>
      </c>
    </row>
    <row r="240" spans="1:23">
      <c r="A240" s="5660" t="s">
        <v>1193</v>
      </c>
      <c r="B240" s="5661">
        <v>96.104821269558585</v>
      </c>
      <c r="C240" s="5662">
        <v>96.110694558136657</v>
      </c>
      <c r="D240" s="5663">
        <v>97.878239503262336</v>
      </c>
      <c r="E240" s="5664">
        <v>97.565008198202108</v>
      </c>
      <c r="F240" s="5665">
        <v>95.211835104506264</v>
      </c>
      <c r="G240" s="5666">
        <v>97.02268547069518</v>
      </c>
      <c r="H240" s="5667">
        <v>2017</v>
      </c>
      <c r="I240" s="5668">
        <v>19629590</v>
      </c>
      <c r="J240" s="3049"/>
      <c r="K240" s="8" t="str">
        <f t="shared" si="164"/>
        <v xml:space="preserve">  CHL</v>
      </c>
      <c r="L240" s="8">
        <f t="shared" si="165"/>
        <v>2017</v>
      </c>
      <c r="M240" s="8">
        <f t="shared" si="166"/>
        <v>96.104821269558585</v>
      </c>
      <c r="N240" s="8">
        <f t="shared" si="167"/>
        <v>96.110694558136657</v>
      </c>
      <c r="O240" s="8">
        <f t="shared" si="168"/>
        <v>95.211835104506264</v>
      </c>
      <c r="P240" s="8">
        <f t="shared" si="169"/>
        <v>97.02268547069518</v>
      </c>
      <c r="Q240" s="3856"/>
      <c r="R240" s="8" t="str">
        <f t="shared" si="170"/>
        <v xml:space="preserve">  CHL</v>
      </c>
      <c r="S240" s="8">
        <f t="shared" si="171"/>
        <v>2017</v>
      </c>
      <c r="T240" s="8">
        <f t="shared" si="172"/>
        <v>0.89298616505232076</v>
      </c>
      <c r="U240" s="8">
        <f t="shared" si="173"/>
        <v>-0.91199091255852238</v>
      </c>
      <c r="W240" s="8">
        <f>Fact7!P238</f>
        <v>-0.70814704149860574</v>
      </c>
    </row>
    <row r="241" spans="1:23">
      <c r="A241" s="5669" t="s">
        <v>1194</v>
      </c>
      <c r="B241" s="5670">
        <v>83.739721896633569</v>
      </c>
      <c r="C241" s="5671">
        <v>94.460467393573822</v>
      </c>
      <c r="D241" s="5672">
        <v>90.151715807684653</v>
      </c>
      <c r="E241" s="5673">
        <v>96.884697391755608</v>
      </c>
      <c r="F241" s="5674">
        <v>92.091056675284861</v>
      </c>
      <c r="G241" s="5675">
        <v>97.73405200046335</v>
      </c>
      <c r="H241" s="5676">
        <v>2021</v>
      </c>
      <c r="I241" s="5677">
        <v>52085168</v>
      </c>
      <c r="J241" s="3050"/>
      <c r="K241" s="8" t="str">
        <f t="shared" si="164"/>
        <v xml:space="preserve">  COL</v>
      </c>
      <c r="L241" s="8">
        <f t="shared" si="165"/>
        <v>2021</v>
      </c>
      <c r="M241" s="8">
        <f t="shared" si="166"/>
        <v>83.739721896633569</v>
      </c>
      <c r="N241" s="8">
        <f t="shared" si="167"/>
        <v>94.460467393573822</v>
      </c>
      <c r="O241" s="8">
        <f t="shared" si="168"/>
        <v>92.091056675284861</v>
      </c>
      <c r="P241" s="8">
        <f t="shared" si="169"/>
        <v>97.73405200046335</v>
      </c>
      <c r="Q241" s="3857"/>
      <c r="R241" s="8" t="str">
        <f t="shared" si="170"/>
        <v xml:space="preserve">  COL</v>
      </c>
      <c r="S241" s="8">
        <f t="shared" si="171"/>
        <v>2021</v>
      </c>
      <c r="T241" s="8">
        <f t="shared" si="172"/>
        <v>-8.3513347786512924</v>
      </c>
      <c r="U241" s="8">
        <f t="shared" si="173"/>
        <v>-3.2735846068895285</v>
      </c>
      <c r="W241" s="8">
        <f>Fact7!P239</f>
        <v>-7.3031913864326299</v>
      </c>
    </row>
    <row r="242" spans="1:23">
      <c r="A242" s="5678" t="s">
        <v>1195</v>
      </c>
      <c r="B242" s="5679">
        <v>95.443122801139225</v>
      </c>
      <c r="C242" s="5680">
        <v>96.463804499186068</v>
      </c>
      <c r="D242" s="5681">
        <v>97.101384145245376</v>
      </c>
      <c r="E242" s="5682">
        <v>96.256512298025882</v>
      </c>
      <c r="F242" s="5683">
        <v>95.918950171210355</v>
      </c>
      <c r="G242" s="5684">
        <v>97.303544324969707</v>
      </c>
      <c r="H242" s="5685">
        <v>2023</v>
      </c>
      <c r="I242" s="5686">
        <v>5212173</v>
      </c>
      <c r="J242" s="3051"/>
      <c r="K242" s="8" t="str">
        <f t="shared" si="164"/>
        <v xml:space="preserve">  CRI</v>
      </c>
      <c r="L242" s="8">
        <f t="shared" si="165"/>
        <v>2023</v>
      </c>
      <c r="M242" s="8">
        <f t="shared" si="166"/>
        <v>95.443122801139225</v>
      </c>
      <c r="N242" s="8">
        <f t="shared" si="167"/>
        <v>96.463804499186068</v>
      </c>
      <c r="O242" s="8">
        <f t="shared" si="168"/>
        <v>95.918950171210355</v>
      </c>
      <c r="P242" s="8">
        <f t="shared" si="169"/>
        <v>97.303544324969707</v>
      </c>
      <c r="Q242" s="3858"/>
      <c r="R242" s="8" t="str">
        <f t="shared" si="170"/>
        <v xml:space="preserve">  CRI</v>
      </c>
      <c r="S242" s="8">
        <f t="shared" si="171"/>
        <v>2023</v>
      </c>
      <c r="T242" s="8">
        <f t="shared" si="172"/>
        <v>-0.47582737007112996</v>
      </c>
      <c r="U242" s="8">
        <f t="shared" si="173"/>
        <v>-0.83973982578363859</v>
      </c>
      <c r="W242" s="8">
        <f>Fact7!P240</f>
        <v>-0.96557012938403375</v>
      </c>
    </row>
    <row r="243" spans="1:23">
      <c r="A243" s="5687" t="s">
        <v>1196</v>
      </c>
      <c r="B243" s="5688">
        <v>81.748886153205262</v>
      </c>
      <c r="C243" s="5689">
        <v>87.759770915150995</v>
      </c>
      <c r="D243" s="5690">
        <v>90.439955706214874</v>
      </c>
      <c r="E243" s="5691">
        <v>90.715639090395214</v>
      </c>
      <c r="F243" s="5692">
        <v>88.245786076024473</v>
      </c>
      <c r="G243" s="5693">
        <v>93.630141824126312</v>
      </c>
      <c r="H243" s="5694">
        <v>2022</v>
      </c>
      <c r="I243" s="5695">
        <v>11332973</v>
      </c>
      <c r="J243" s="3052"/>
      <c r="K243" s="8" t="str">
        <f t="shared" si="164"/>
        <v xml:space="preserve">  DOM</v>
      </c>
      <c r="L243" s="8">
        <f t="shared" si="165"/>
        <v>2022</v>
      </c>
      <c r="M243" s="8">
        <f t="shared" si="166"/>
        <v>81.748886153205262</v>
      </c>
      <c r="N243" s="8">
        <f t="shared" si="167"/>
        <v>87.759770915150995</v>
      </c>
      <c r="O243" s="8">
        <f t="shared" si="168"/>
        <v>88.245786076024473</v>
      </c>
      <c r="P243" s="8">
        <f t="shared" si="169"/>
        <v>93.630141824126312</v>
      </c>
      <c r="Q243" s="3859"/>
      <c r="R243" s="8" t="str">
        <f t="shared" si="170"/>
        <v xml:space="preserve">  DOM</v>
      </c>
      <c r="S243" s="8">
        <f t="shared" si="171"/>
        <v>2022</v>
      </c>
      <c r="T243" s="8">
        <f t="shared" si="172"/>
        <v>-6.4968999228192104</v>
      </c>
      <c r="U243" s="8">
        <f t="shared" si="173"/>
        <v>-5.8703709089753175</v>
      </c>
      <c r="W243" s="8">
        <f>Fact7!P241</f>
        <v>-6.7380452205979253</v>
      </c>
    </row>
    <row r="244" spans="1:23">
      <c r="A244" s="5696" t="s">
        <v>1197</v>
      </c>
      <c r="B244" s="5697">
        <v>72.684315933368708</v>
      </c>
      <c r="C244" s="5698">
        <v>90.464307612649435</v>
      </c>
      <c r="D244" s="5699">
        <v>81.820075036701184</v>
      </c>
      <c r="E244" s="5700">
        <v>91.688922736339649</v>
      </c>
      <c r="F244" s="5701">
        <v>88.709149676829568</v>
      </c>
      <c r="G244" s="5702">
        <v>94.480030163932099</v>
      </c>
      <c r="H244" s="5703">
        <v>2017</v>
      </c>
      <c r="I244" s="5704">
        <v>18190484</v>
      </c>
      <c r="J244" s="3053"/>
      <c r="K244" s="8" t="str">
        <f t="shared" si="164"/>
        <v xml:space="preserve">  ECU</v>
      </c>
      <c r="L244" s="8">
        <f t="shared" si="165"/>
        <v>2017</v>
      </c>
      <c r="M244" s="8">
        <f t="shared" si="166"/>
        <v>72.684315933368708</v>
      </c>
      <c r="N244" s="8">
        <f t="shared" si="167"/>
        <v>90.464307612649435</v>
      </c>
      <c r="O244" s="8">
        <f t="shared" si="168"/>
        <v>88.709149676829568</v>
      </c>
      <c r="P244" s="8">
        <f t="shared" si="169"/>
        <v>94.480030163932099</v>
      </c>
      <c r="Q244" s="3860"/>
      <c r="R244" s="8" t="str">
        <f t="shared" si="170"/>
        <v xml:space="preserve">  ECU</v>
      </c>
      <c r="S244" s="8">
        <f t="shared" si="171"/>
        <v>2017</v>
      </c>
      <c r="T244" s="8">
        <f t="shared" si="172"/>
        <v>-16.02483374346086</v>
      </c>
      <c r="U244" s="8">
        <f t="shared" si="173"/>
        <v>-4.0157225512826642</v>
      </c>
      <c r="W244" s="8">
        <f>Fact7!P242</f>
        <v>-13.996731159563382</v>
      </c>
    </row>
    <row r="245" spans="1:23">
      <c r="A245" s="5705" t="s">
        <v>1204</v>
      </c>
      <c r="B245" s="5706">
        <v>77.432876674209496</v>
      </c>
      <c r="C245" s="5707">
        <v>84.078346332337148</v>
      </c>
      <c r="D245" s="5708">
        <v>86.155585448395684</v>
      </c>
      <c r="E245" s="5709">
        <v>92.449612449732768</v>
      </c>
      <c r="F245" s="5710">
        <v>88.651476400837012</v>
      </c>
      <c r="G245" s="5711">
        <v>94.145456066245657</v>
      </c>
      <c r="H245" s="5712">
        <v>2022</v>
      </c>
      <c r="I245" s="5713">
        <v>18092026</v>
      </c>
      <c r="J245" s="3054"/>
      <c r="K245" s="8" t="str">
        <f t="shared" si="164"/>
        <v xml:space="preserve">  GTM</v>
      </c>
      <c r="L245" s="8">
        <f t="shared" si="165"/>
        <v>2022</v>
      </c>
      <c r="M245" s="8">
        <f t="shared" si="166"/>
        <v>77.432876674209496</v>
      </c>
      <c r="N245" s="8">
        <f t="shared" si="167"/>
        <v>84.078346332337148</v>
      </c>
      <c r="O245" s="8">
        <f t="shared" si="168"/>
        <v>88.651476400837012</v>
      </c>
      <c r="P245" s="8">
        <f t="shared" si="169"/>
        <v>94.145456066245657</v>
      </c>
      <c r="Q245" s="3861"/>
      <c r="R245" s="8" t="str">
        <f t="shared" si="170"/>
        <v xml:space="preserve">  GTM</v>
      </c>
      <c r="S245" s="8">
        <f t="shared" si="171"/>
        <v>2022</v>
      </c>
      <c r="T245" s="8">
        <f t="shared" si="172"/>
        <v>-11.218599726627517</v>
      </c>
      <c r="U245" s="8">
        <f t="shared" si="173"/>
        <v>-10.067109733908509</v>
      </c>
      <c r="W245" s="8">
        <f>Fact7!P243</f>
        <v>-12.39434051797997</v>
      </c>
    </row>
    <row r="246" spans="1:23">
      <c r="A246" s="5714" t="s">
        <v>1199</v>
      </c>
      <c r="B246" s="5715">
        <v>64.002898730014607</v>
      </c>
      <c r="C246" s="5716">
        <v>79.590877355840291</v>
      </c>
      <c r="D246" s="5717">
        <v>72.715921739655556</v>
      </c>
      <c r="E246" s="5718">
        <v>82.336267062087998</v>
      </c>
      <c r="F246" s="5719">
        <v>81.563016356983724</v>
      </c>
      <c r="G246" s="5720">
        <v>90.465010278275756</v>
      </c>
      <c r="H246" s="5721">
        <v>2023</v>
      </c>
      <c r="I246" s="5722">
        <v>10593798</v>
      </c>
      <c r="J246" s="3055"/>
      <c r="K246" s="8" t="str">
        <f t="shared" si="164"/>
        <v xml:space="preserve">  HND</v>
      </c>
      <c r="L246" s="8">
        <f t="shared" si="165"/>
        <v>2023</v>
      </c>
      <c r="M246" s="8">
        <f t="shared" si="166"/>
        <v>64.002898730014607</v>
      </c>
      <c r="N246" s="8">
        <f t="shared" si="167"/>
        <v>79.590877355840291</v>
      </c>
      <c r="O246" s="8">
        <f t="shared" si="168"/>
        <v>81.563016356983724</v>
      </c>
      <c r="P246" s="8">
        <f t="shared" si="169"/>
        <v>90.465010278275756</v>
      </c>
      <c r="Q246" s="3862"/>
      <c r="R246" s="8" t="str">
        <f t="shared" si="170"/>
        <v xml:space="preserve">  HND</v>
      </c>
      <c r="S246" s="8">
        <f t="shared" si="171"/>
        <v>2023</v>
      </c>
      <c r="T246" s="8">
        <f t="shared" si="172"/>
        <v>-17.560117626969117</v>
      </c>
      <c r="U246" s="8">
        <f t="shared" si="173"/>
        <v>-10.874132922435464</v>
      </c>
      <c r="W246" s="8">
        <f>Fact7!P244</f>
        <v>-18.142362766789006</v>
      </c>
    </row>
    <row r="247" spans="1:23">
      <c r="A247" s="5723" t="s">
        <v>1205</v>
      </c>
      <c r="B247" s="5724">
        <v>72.662593090918435</v>
      </c>
      <c r="C247" s="5725">
        <v>85.061042370109234</v>
      </c>
      <c r="D247" s="5726">
        <v>86.340952192933642</v>
      </c>
      <c r="E247" s="5727">
        <v>92.519386856763219</v>
      </c>
      <c r="F247" s="5728">
        <v>91.020740831557305</v>
      </c>
      <c r="G247" s="5729">
        <v>95.241284586608074</v>
      </c>
      <c r="H247" s="5730">
        <v>2022</v>
      </c>
      <c r="I247" s="5731">
        <v>128455567</v>
      </c>
      <c r="J247" s="3056"/>
      <c r="K247" s="8" t="str">
        <f t="shared" si="164"/>
        <v xml:space="preserve">  MEX</v>
      </c>
      <c r="L247" s="8">
        <f t="shared" si="165"/>
        <v>2022</v>
      </c>
      <c r="M247" s="8">
        <f t="shared" si="166"/>
        <v>72.662593090918435</v>
      </c>
      <c r="N247" s="8">
        <f t="shared" si="167"/>
        <v>85.061042370109234</v>
      </c>
      <c r="O247" s="8">
        <f t="shared" si="168"/>
        <v>91.020740831557305</v>
      </c>
      <c r="P247" s="8">
        <f t="shared" si="169"/>
        <v>95.241284586608074</v>
      </c>
      <c r="Q247" s="3863"/>
      <c r="R247" s="8" t="str">
        <f t="shared" si="170"/>
        <v xml:space="preserve">  MEX</v>
      </c>
      <c r="S247" s="8">
        <f t="shared" si="171"/>
        <v>2022</v>
      </c>
      <c r="T247" s="8">
        <f t="shared" si="172"/>
        <v>-18.35814774063887</v>
      </c>
      <c r="U247" s="8">
        <f t="shared" si="173"/>
        <v>-10.18024221649884</v>
      </c>
      <c r="W247" s="8">
        <f>Fact7!P245</f>
        <v>-16.210566150266686</v>
      </c>
    </row>
    <row r="248" spans="1:23">
      <c r="A248" s="5732" t="s">
        <v>1200</v>
      </c>
      <c r="B248" s="5733">
        <v>55.535872453498669</v>
      </c>
      <c r="C248" s="5734">
        <v>84.827014396623198</v>
      </c>
      <c r="D248" s="5735">
        <v>74.579040193075286</v>
      </c>
      <c r="E248" s="5736">
        <v>89.369855237013908</v>
      </c>
      <c r="F248" s="5737">
        <v>83.51083993718072</v>
      </c>
      <c r="G248" s="5738">
        <v>94.551151750079356</v>
      </c>
      <c r="H248" s="5739">
        <v>2017</v>
      </c>
      <c r="I248" s="5740">
        <v>4468087</v>
      </c>
      <c r="J248" s="3057"/>
      <c r="K248" s="8" t="str">
        <f t="shared" si="164"/>
        <v xml:space="preserve">  PAN</v>
      </c>
      <c r="L248" s="8">
        <f t="shared" si="165"/>
        <v>2017</v>
      </c>
      <c r="M248" s="8">
        <f t="shared" si="166"/>
        <v>55.535872453498669</v>
      </c>
      <c r="N248" s="8">
        <f t="shared" si="167"/>
        <v>84.827014396623198</v>
      </c>
      <c r="O248" s="8">
        <f t="shared" si="168"/>
        <v>83.51083993718072</v>
      </c>
      <c r="P248" s="8">
        <f t="shared" si="169"/>
        <v>94.551151750079356</v>
      </c>
      <c r="Q248" s="3864"/>
      <c r="R248" s="8" t="str">
        <f t="shared" si="170"/>
        <v xml:space="preserve">  PAN</v>
      </c>
      <c r="S248" s="8">
        <f t="shared" si="171"/>
        <v>2017</v>
      </c>
      <c r="T248" s="8">
        <f t="shared" si="172"/>
        <v>-27.97496748368205</v>
      </c>
      <c r="U248" s="8">
        <f t="shared" si="173"/>
        <v>-9.7241373534561575</v>
      </c>
      <c r="W248" s="8">
        <f>Fact7!P246</f>
        <v>-30.185506361098128</v>
      </c>
    </row>
    <row r="249" spans="1:23">
      <c r="A249" s="5741" t="s">
        <v>1201</v>
      </c>
      <c r="B249" s="5742">
        <v>83.004487425117375</v>
      </c>
      <c r="C249" s="5743">
        <v>93.316292954338238</v>
      </c>
      <c r="D249" s="5744">
        <v>85.271573397277734</v>
      </c>
      <c r="E249" s="5745">
        <v>95.000087132103957</v>
      </c>
      <c r="F249" s="5746">
        <v>88.780295814536359</v>
      </c>
      <c r="G249" s="5747">
        <v>97.472327053415469</v>
      </c>
      <c r="H249" s="5748">
        <v>2022</v>
      </c>
      <c r="I249" s="5749">
        <v>34352719</v>
      </c>
      <c r="J249" s="3058"/>
      <c r="K249" s="8" t="str">
        <f t="shared" si="164"/>
        <v xml:space="preserve">  PER</v>
      </c>
      <c r="L249" s="8">
        <f t="shared" si="165"/>
        <v>2022</v>
      </c>
      <c r="M249" s="8">
        <f t="shared" si="166"/>
        <v>83.004487425117375</v>
      </c>
      <c r="N249" s="8">
        <f t="shared" si="167"/>
        <v>93.316292954338238</v>
      </c>
      <c r="O249" s="8">
        <f t="shared" si="168"/>
        <v>88.780295814536359</v>
      </c>
      <c r="P249" s="8">
        <f t="shared" si="169"/>
        <v>97.472327053415469</v>
      </c>
      <c r="Q249" s="3865"/>
      <c r="R249" s="8" t="str">
        <f t="shared" si="170"/>
        <v xml:space="preserve">  PER</v>
      </c>
      <c r="S249" s="8">
        <f t="shared" si="171"/>
        <v>2022</v>
      </c>
      <c r="T249" s="8">
        <f t="shared" si="172"/>
        <v>-5.7758083894189838</v>
      </c>
      <c r="U249" s="8">
        <f t="shared" si="173"/>
        <v>-4.1560340990772318</v>
      </c>
      <c r="W249" s="8">
        <f>Fact7!P247</f>
        <v>-8.0226843122427312</v>
      </c>
    </row>
    <row r="250" spans="1:23">
      <c r="A250" s="5750" t="s">
        <v>1202</v>
      </c>
      <c r="B250" s="5751">
        <v>89.3323576469421</v>
      </c>
      <c r="C250" s="5752">
        <v>92.55195477346922</v>
      </c>
      <c r="D250" s="5753">
        <v>88.300792514899712</v>
      </c>
      <c r="E250" s="5754">
        <v>95.128559718163558</v>
      </c>
      <c r="F250" s="5755">
        <v>95.91564482559744</v>
      </c>
      <c r="G250" s="5756">
        <v>97.847034433899267</v>
      </c>
      <c r="H250" s="5757">
        <v>2022</v>
      </c>
      <c r="I250" s="5758">
        <v>6861524</v>
      </c>
      <c r="J250" s="3059"/>
      <c r="K250" s="8" t="str">
        <f t="shared" si="164"/>
        <v xml:space="preserve">  PRY</v>
      </c>
      <c r="L250" s="8">
        <f t="shared" si="165"/>
        <v>2022</v>
      </c>
      <c r="M250" s="8">
        <f t="shared" si="166"/>
        <v>89.3323576469421</v>
      </c>
      <c r="N250" s="8">
        <f t="shared" si="167"/>
        <v>92.55195477346922</v>
      </c>
      <c r="O250" s="8">
        <f t="shared" si="168"/>
        <v>95.91564482559744</v>
      </c>
      <c r="P250" s="8">
        <f t="shared" si="169"/>
        <v>97.847034433899267</v>
      </c>
      <c r="Q250" s="3866"/>
      <c r="R250" s="8" t="str">
        <f t="shared" si="170"/>
        <v xml:space="preserve">  PRY</v>
      </c>
      <c r="S250" s="8">
        <f t="shared" si="171"/>
        <v>2022</v>
      </c>
      <c r="T250" s="8">
        <f t="shared" si="172"/>
        <v>-6.5832871786553397</v>
      </c>
      <c r="U250" s="8">
        <f t="shared" si="173"/>
        <v>-5.2950796604300479</v>
      </c>
      <c r="W250" s="8">
        <f>Fact7!P248</f>
        <v>-7.0744526702174113</v>
      </c>
    </row>
    <row r="251" spans="1:23">
      <c r="A251" s="5759" t="s">
        <v>1206</v>
      </c>
      <c r="B251" s="5760">
        <v>89.224741396032556</v>
      </c>
      <c r="C251" s="5761">
        <v>93.071760775766805</v>
      </c>
      <c r="D251" s="5762">
        <v>93.68654360514121</v>
      </c>
      <c r="E251" s="5763">
        <v>96.024906421566683</v>
      </c>
      <c r="F251" s="5764">
        <v>96.12681609093876</v>
      </c>
      <c r="G251" s="5765">
        <v>98.377202092267737</v>
      </c>
      <c r="H251" s="5766">
        <v>2023</v>
      </c>
      <c r="I251" s="5767">
        <v>6364943</v>
      </c>
      <c r="J251" s="3060"/>
      <c r="K251" s="8" t="str">
        <f t="shared" si="164"/>
        <v xml:space="preserve">  SLV</v>
      </c>
      <c r="L251" s="8">
        <f t="shared" si="165"/>
        <v>2023</v>
      </c>
      <c r="M251" s="8">
        <f t="shared" si="166"/>
        <v>89.224741396032556</v>
      </c>
      <c r="N251" s="8">
        <f t="shared" si="167"/>
        <v>93.071760775766805</v>
      </c>
      <c r="O251" s="8">
        <f t="shared" si="168"/>
        <v>96.12681609093876</v>
      </c>
      <c r="P251" s="8">
        <f t="shared" si="169"/>
        <v>98.377202092267737</v>
      </c>
      <c r="Q251" s="3867"/>
      <c r="R251" s="8" t="str">
        <f t="shared" si="170"/>
        <v xml:space="preserve">  SLV</v>
      </c>
      <c r="S251" s="8">
        <f t="shared" si="171"/>
        <v>2023</v>
      </c>
      <c r="T251" s="8">
        <f t="shared" si="172"/>
        <v>-6.9020746949062044</v>
      </c>
      <c r="U251" s="8">
        <f t="shared" si="173"/>
        <v>-5.3054413165009322</v>
      </c>
      <c r="W251" s="8">
        <f>Fact7!P249</f>
        <v>-6.9286276707027952</v>
      </c>
    </row>
    <row r="252" spans="1:23">
      <c r="A252" s="5768" t="s">
        <v>1207</v>
      </c>
      <c r="B252" s="5769">
        <v>96.087834427057032</v>
      </c>
      <c r="C252" s="5770">
        <v>95.94315245478036</v>
      </c>
      <c r="D252" s="5771">
        <v>97.987471677995458</v>
      </c>
      <c r="E252" s="5772">
        <v>96.878936090164075</v>
      </c>
      <c r="F252" s="5773">
        <v>95.095604452857714</v>
      </c>
      <c r="G252" s="5774">
        <v>95.591962689930369</v>
      </c>
      <c r="H252" s="5775">
        <v>2019</v>
      </c>
      <c r="I252" s="5776">
        <v>3423109</v>
      </c>
      <c r="J252" s="3061"/>
      <c r="K252" s="8" t="str">
        <f t="shared" si="164"/>
        <v xml:space="preserve">  URY</v>
      </c>
      <c r="L252" s="8">
        <f t="shared" si="165"/>
        <v>2019</v>
      </c>
      <c r="M252" s="8">
        <f t="shared" si="166"/>
        <v>96.087834427057032</v>
      </c>
      <c r="N252" s="8">
        <f t="shared" si="167"/>
        <v>95.94315245478036</v>
      </c>
      <c r="O252" s="8">
        <f t="shared" si="168"/>
        <v>95.095604452857714</v>
      </c>
      <c r="P252" s="8">
        <f t="shared" si="169"/>
        <v>95.591962689930369</v>
      </c>
      <c r="Q252" s="3868"/>
      <c r="R252" s="8" t="str">
        <f t="shared" si="170"/>
        <v xml:space="preserve">  URY</v>
      </c>
      <c r="S252" s="8">
        <f t="shared" si="171"/>
        <v>2019</v>
      </c>
      <c r="T252" s="8">
        <f t="shared" si="172"/>
        <v>0.99222997419931858</v>
      </c>
      <c r="U252" s="8">
        <f t="shared" si="173"/>
        <v>0.35118976484999109</v>
      </c>
      <c r="W252" s="8">
        <f>Fact7!P250</f>
        <v>0.45054265048584341</v>
      </c>
    </row>
    <row r="253" spans="1:23">
      <c r="A253" s="5777" t="s">
        <v>1203</v>
      </c>
      <c r="B253" s="5778"/>
      <c r="C253" s="5779"/>
      <c r="D253" s="5780"/>
      <c r="E253" s="5781"/>
      <c r="F253" s="5782"/>
      <c r="G253" s="5783"/>
      <c r="H253" s="5784">
        <v>2021</v>
      </c>
      <c r="I253" s="5785">
        <v>28838499</v>
      </c>
      <c r="J253" s="2647"/>
      <c r="K253" s="3" t="s">
        <v>1261</v>
      </c>
      <c r="L253" s="8"/>
      <c r="M253" s="8">
        <f>AVERAGE(M238:M252)</f>
        <v>80.906007950521811</v>
      </c>
      <c r="N253" s="8">
        <f>AVERAGE(N238:N252)</f>
        <v>90.447358604489992</v>
      </c>
      <c r="O253" s="8">
        <f t="shared" ref="O253:P253" si="174">AVERAGE(O238:O252)</f>
        <v>89.842491332188075</v>
      </c>
      <c r="P253" s="8">
        <f t="shared" si="174"/>
        <v>95.574600341632873</v>
      </c>
      <c r="Q253" s="3869"/>
      <c r="R253" s="3" t="s">
        <v>1261</v>
      </c>
      <c r="S253" s="8"/>
      <c r="T253" s="8">
        <f>AVERAGE(T238:T252)</f>
        <v>-8.9364833816662728</v>
      </c>
      <c r="U253" s="8">
        <f t="shared" ref="U253" si="175">AVERAGE(U238:U252)</f>
        <v>-5.1272417371428842</v>
      </c>
      <c r="V253" s="8"/>
      <c r="W253" s="8">
        <f>AVERAGE(W238:W252)</f>
        <v>-9.6756283307420485</v>
      </c>
    </row>
    <row r="254" spans="1:23" ht="15" thickBot="1">
      <c r="K254" s="212" t="s">
        <v>1145</v>
      </c>
      <c r="L254" s="85"/>
      <c r="M254" s="85">
        <f>SUMPRODUCT(M238:M252,$I238:$I252)/SUM($I238:$I252)</f>
        <v>78.00322953039111</v>
      </c>
      <c r="N254" s="85">
        <f>SUMPRODUCT(N238:N252,$I238:$I252)/SUM($I238:$I252)</f>
        <v>90.39733792404104</v>
      </c>
      <c r="O254" s="85">
        <f t="shared" ref="O254" si="176">SUMPRODUCT(O238:O252,$I238:$I252)/SUM($I238:$I252)</f>
        <v>87.91150575954866</v>
      </c>
      <c r="P254" s="85">
        <f>SUMPRODUCT(P238:P252,$I238:$I252)/SUM($I238:$I252)</f>
        <v>95.720159105702379</v>
      </c>
      <c r="R254" s="212" t="s">
        <v>1145</v>
      </c>
      <c r="S254" s="85"/>
      <c r="T254" s="85">
        <f>SUMPRODUCT(T238:T252,$I238:$I252)/SUM($I238:$I252)</f>
        <v>-9.9082762291575488</v>
      </c>
      <c r="U254" s="85">
        <f t="shared" ref="U254" si="177">SUMPRODUCT(U238:U252,$I238:$I252)/SUM($I238:$I252)</f>
        <v>-5.32282118166136</v>
      </c>
      <c r="V254" s="85"/>
      <c r="W254" s="85">
        <f>SUMPRODUCT(W238:W252,$I238:$I252)/SUM($I238:$I252)</f>
        <v>-9.8624064266480094</v>
      </c>
    </row>
    <row r="255" spans="1:23" ht="15.5" thickTop="1" thickBot="1">
      <c r="K255" s="212"/>
      <c r="L255" s="85"/>
      <c r="M255" s="85"/>
      <c r="N255" s="85"/>
      <c r="O255" s="85"/>
      <c r="P255" s="85"/>
      <c r="R255" s="212"/>
      <c r="S255" s="85"/>
      <c r="T255" s="85"/>
      <c r="U255" s="85"/>
      <c r="V255" s="85"/>
      <c r="W255" s="85"/>
    </row>
    <row r="256" spans="1:23" ht="15" thickTop="1">
      <c r="L256" s="8"/>
      <c r="M256" s="8"/>
      <c r="N256" s="8"/>
      <c r="O256" s="8"/>
      <c r="P256" s="8"/>
      <c r="S256" s="8"/>
      <c r="T256" s="8"/>
      <c r="U256" s="8"/>
      <c r="V256" s="8"/>
      <c r="W256" s="8"/>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C5A79-6CED-40C1-98F5-97B3095995FD}">
  <dimension ref="A1:AE256"/>
  <sheetViews>
    <sheetView zoomScale="70" zoomScaleNormal="70" workbookViewId="0">
      <selection activeCell="H9" sqref="H9"/>
    </sheetView>
  </sheetViews>
  <sheetFormatPr defaultRowHeight="14.5"/>
  <cols>
    <col min="2" max="7" width="11.453125" style="8" customWidth="1"/>
    <col min="9" max="9" width="11.453125" style="8" customWidth="1"/>
    <col min="26" max="26" width="18.453125" customWidth="1"/>
    <col min="28" max="28" width="14.54296875" customWidth="1"/>
    <col min="29" max="29" width="12.7265625" bestFit="1" customWidth="1"/>
  </cols>
  <sheetData>
    <row r="1" spans="1:31">
      <c r="A1" s="5918" t="s">
        <v>1279</v>
      </c>
      <c r="B1" s="6848" t="s">
        <v>1045</v>
      </c>
      <c r="C1" s="6849" t="s">
        <v>1045</v>
      </c>
      <c r="D1" s="6850" t="s">
        <v>1045</v>
      </c>
      <c r="E1" s="6851" t="s">
        <v>1045</v>
      </c>
      <c r="F1" s="6852" t="s">
        <v>1045</v>
      </c>
      <c r="G1" s="6853" t="s">
        <v>1045</v>
      </c>
      <c r="H1" s="5919" t="s">
        <v>1186</v>
      </c>
      <c r="I1" s="5920" t="s">
        <v>1257</v>
      </c>
      <c r="Q1" s="3672"/>
    </row>
    <row r="2" spans="1:31">
      <c r="A2" s="5921"/>
      <c r="B2" s="6854" t="s">
        <v>1187</v>
      </c>
      <c r="C2" s="6854" t="s">
        <v>1187</v>
      </c>
      <c r="D2" s="6855" t="s">
        <v>1188</v>
      </c>
      <c r="E2" s="6855" t="s">
        <v>1188</v>
      </c>
      <c r="F2" s="6856" t="s">
        <v>1189</v>
      </c>
      <c r="G2" s="6856" t="s">
        <v>1189</v>
      </c>
      <c r="I2" s="5922" t="s">
        <v>1187</v>
      </c>
      <c r="Q2" s="3673"/>
      <c r="AB2" s="76"/>
      <c r="AD2" s="76"/>
    </row>
    <row r="3" spans="1:31">
      <c r="A3" s="5923"/>
      <c r="B3" s="6857" t="s">
        <v>1258</v>
      </c>
      <c r="C3" s="6857" t="s">
        <v>1258</v>
      </c>
      <c r="D3" s="6858" t="s">
        <v>1258</v>
      </c>
      <c r="E3" s="6858" t="s">
        <v>1258</v>
      </c>
      <c r="F3" s="6859" t="s">
        <v>1258</v>
      </c>
      <c r="G3" s="6859" t="s">
        <v>1258</v>
      </c>
      <c r="I3"/>
      <c r="AB3" s="115"/>
    </row>
    <row r="4" spans="1:31">
      <c r="A4" s="5924"/>
      <c r="B4" s="5925" t="s">
        <v>1259</v>
      </c>
      <c r="C4" s="5926" t="s">
        <v>1260</v>
      </c>
      <c r="D4" s="5927" t="s">
        <v>1259</v>
      </c>
      <c r="E4" s="5928" t="s">
        <v>1260</v>
      </c>
      <c r="F4" s="5929" t="s">
        <v>1259</v>
      </c>
      <c r="G4" s="5930" t="s">
        <v>1260</v>
      </c>
      <c r="I4" s="3872"/>
      <c r="K4" s="76" t="s">
        <v>1259</v>
      </c>
      <c r="M4" s="76" t="s">
        <v>900</v>
      </c>
      <c r="N4" s="76" t="s">
        <v>900</v>
      </c>
      <c r="O4" t="s">
        <v>1102</v>
      </c>
      <c r="P4" t="s">
        <v>1102</v>
      </c>
      <c r="R4" s="76" t="s">
        <v>1274</v>
      </c>
      <c r="AB4" s="76" t="s">
        <v>900</v>
      </c>
      <c r="AC4" t="s">
        <v>1102</v>
      </c>
      <c r="AD4" s="76" t="s">
        <v>900</v>
      </c>
      <c r="AE4" t="s">
        <v>1102</v>
      </c>
    </row>
    <row r="5" spans="1:31">
      <c r="A5" s="5931"/>
      <c r="B5" s="5932" t="s">
        <v>1215</v>
      </c>
      <c r="C5" s="5933" t="s">
        <v>1215</v>
      </c>
      <c r="D5" s="5934" t="s">
        <v>1215</v>
      </c>
      <c r="E5" s="5935" t="s">
        <v>1215</v>
      </c>
      <c r="F5" s="5936" t="s">
        <v>1215</v>
      </c>
      <c r="G5" s="5937" t="s">
        <v>1215</v>
      </c>
      <c r="I5" s="3873"/>
      <c r="M5" s="115"/>
      <c r="T5" s="115"/>
      <c r="AB5" s="2650" t="s">
        <v>1273</v>
      </c>
      <c r="AC5" s="2650" t="s">
        <v>1273</v>
      </c>
      <c r="AD5" s="2650" t="s">
        <v>1136</v>
      </c>
      <c r="AE5" s="2650" t="s">
        <v>1136</v>
      </c>
    </row>
    <row r="6" spans="1:31" ht="15" thickBot="1">
      <c r="A6" s="5938"/>
      <c r="B6" s="5939" t="s">
        <v>1187</v>
      </c>
      <c r="C6" s="5940" t="s">
        <v>1187</v>
      </c>
      <c r="D6" s="5941" t="s">
        <v>1187</v>
      </c>
      <c r="E6" s="5942" t="s">
        <v>1187</v>
      </c>
      <c r="F6" s="5943" t="s">
        <v>1187</v>
      </c>
      <c r="G6" s="5944" t="s">
        <v>1187</v>
      </c>
      <c r="I6" s="3874"/>
      <c r="K6" s="972" t="str">
        <f>B5</f>
        <v>El hogar posee refrigerador o heladera</v>
      </c>
      <c r="L6" s="2649"/>
      <c r="M6" s="85"/>
      <c r="N6" s="85"/>
      <c r="O6" s="85"/>
      <c r="P6" s="85"/>
      <c r="R6" s="972" t="str">
        <f>E5</f>
        <v>El hogar posee refrigerador o heladera</v>
      </c>
      <c r="S6" s="2649"/>
      <c r="T6" s="85"/>
      <c r="U6" s="85"/>
      <c r="Z6" s="3870" t="s">
        <v>1270</v>
      </c>
      <c r="AA6" s="2655" t="s">
        <v>1222</v>
      </c>
      <c r="AB6" s="8">
        <f>M71</f>
        <v>132267.35723975496</v>
      </c>
      <c r="AC6" s="8">
        <f>O71</f>
        <v>565796.51962191891</v>
      </c>
      <c r="AD6" s="8">
        <f>N71</f>
        <v>1208626.2596039732</v>
      </c>
      <c r="AE6" s="8">
        <f t="shared" ref="AE6" si="0">P71</f>
        <v>20196416.968044933</v>
      </c>
    </row>
    <row r="7" spans="1:31" ht="15" thickTop="1">
      <c r="A7" s="5945" t="s">
        <v>1125</v>
      </c>
      <c r="B7" s="5946"/>
      <c r="C7" s="5947"/>
      <c r="D7" s="5948"/>
      <c r="E7" s="5949"/>
      <c r="F7" s="5950"/>
      <c r="G7" s="5951"/>
      <c r="H7" s="5952"/>
      <c r="I7" s="5953"/>
      <c r="K7" s="213" t="s">
        <v>904</v>
      </c>
      <c r="L7" s="216" t="s">
        <v>938</v>
      </c>
      <c r="M7" s="2650" t="s">
        <v>1273</v>
      </c>
      <c r="N7" s="2650" t="s">
        <v>1136</v>
      </c>
      <c r="O7" s="2650" t="s">
        <v>1273</v>
      </c>
      <c r="P7" s="2650" t="s">
        <v>1136</v>
      </c>
      <c r="Q7" s="3674"/>
      <c r="R7" s="213" t="s">
        <v>904</v>
      </c>
      <c r="S7" s="216" t="s">
        <v>938</v>
      </c>
      <c r="T7" s="2650" t="s">
        <v>1273</v>
      </c>
      <c r="U7" s="2650" t="s">
        <v>1136</v>
      </c>
      <c r="W7" s="76" t="s">
        <v>901</v>
      </c>
      <c r="Z7" s="3870" t="s">
        <v>1267</v>
      </c>
      <c r="AA7" s="2655" t="s">
        <v>1219</v>
      </c>
      <c r="AB7" s="8">
        <f>M47</f>
        <v>468253.27106164175</v>
      </c>
      <c r="AC7" s="8">
        <f>O47</f>
        <v>1614906.3379224879</v>
      </c>
      <c r="AD7" s="8">
        <f>N47</f>
        <v>1528544.6764673686</v>
      </c>
      <c r="AE7" s="8">
        <f t="shared" ref="AE7" si="1">P47</f>
        <v>21788005.341934938</v>
      </c>
    </row>
    <row r="8" spans="1:31">
      <c r="A8" s="5954" t="s">
        <v>1191</v>
      </c>
      <c r="B8" s="5955">
        <v>41469.510042190552</v>
      </c>
      <c r="C8" s="5956">
        <v>35103.110401153564</v>
      </c>
      <c r="D8" s="5957">
        <v>62226.570360183716</v>
      </c>
      <c r="E8" s="5958">
        <v>116657.77714729309</v>
      </c>
      <c r="F8" s="5959">
        <v>323932.29549026489</v>
      </c>
      <c r="G8" s="5960">
        <v>1818000.4495372772</v>
      </c>
      <c r="H8" s="5961">
        <v>2022</v>
      </c>
      <c r="I8" s="5962">
        <v>12388571</v>
      </c>
      <c r="K8" s="8" t="str">
        <f>A8</f>
        <v xml:space="preserve">  BOL</v>
      </c>
      <c r="L8" s="8">
        <f>H8</f>
        <v>2022</v>
      </c>
      <c r="M8" s="8">
        <f>B8</f>
        <v>41469.510042190552</v>
      </c>
      <c r="N8" s="8">
        <f>C8</f>
        <v>35103.110401153564</v>
      </c>
      <c r="O8" s="8">
        <f>F8</f>
        <v>323932.29549026489</v>
      </c>
      <c r="P8" s="8">
        <f>G8</f>
        <v>1818000.4495372772</v>
      </c>
      <c r="Q8" s="3675"/>
      <c r="R8" s="8" t="str">
        <f t="shared" ref="R8:R21" si="2">A8</f>
        <v xml:space="preserve">  BOL</v>
      </c>
      <c r="S8" s="8">
        <f t="shared" ref="S8:S21" si="3">H8*1</f>
        <v>2022</v>
      </c>
      <c r="T8" s="8">
        <f t="shared" ref="T8:U21" si="4">B8-F8</f>
        <v>-282462.78544807434</v>
      </c>
      <c r="U8" s="8">
        <f t="shared" si="4"/>
        <v>-1782897.3391361237</v>
      </c>
      <c r="W8" s="8">
        <f>Fact7!P6</f>
        <v>-41.036244391137785</v>
      </c>
      <c r="Z8" s="3870" t="s">
        <v>1266</v>
      </c>
      <c r="AA8" s="2655" t="s">
        <v>1256</v>
      </c>
      <c r="AB8" s="8">
        <f>M117</f>
        <v>1171980.7623100162</v>
      </c>
      <c r="AC8" s="8">
        <f>O117</f>
        <v>2897471.3262936333</v>
      </c>
      <c r="AD8" s="8">
        <f>N117</f>
        <v>2151745.1230060859</v>
      </c>
      <c r="AE8" s="8">
        <f t="shared" ref="AE8" si="5">P117</f>
        <v>25047662.779390585</v>
      </c>
    </row>
    <row r="9" spans="1:31">
      <c r="A9" s="5963" t="s">
        <v>1192</v>
      </c>
      <c r="B9" s="5964">
        <v>2048759.6656227112</v>
      </c>
      <c r="C9" s="5965">
        <v>4359882.7804832458</v>
      </c>
      <c r="D9" s="5966">
        <v>1811963.9942598343</v>
      </c>
      <c r="E9" s="5967">
        <v>8331964.7019052505</v>
      </c>
      <c r="F9" s="5968">
        <v>4846364.5360889435</v>
      </c>
      <c r="G9" s="5969">
        <v>48232918.366676331</v>
      </c>
      <c r="H9" s="5970">
        <v>2019</v>
      </c>
      <c r="I9" s="5971">
        <v>216422446</v>
      </c>
      <c r="K9" s="8" t="str">
        <f t="shared" ref="K9:K21" si="6">A9</f>
        <v xml:space="preserve">  BRA</v>
      </c>
      <c r="L9" s="8">
        <f t="shared" ref="L9:L21" si="7">H9</f>
        <v>2019</v>
      </c>
      <c r="M9" s="8">
        <f t="shared" ref="M9:N21" si="8">B9</f>
        <v>2048759.6656227112</v>
      </c>
      <c r="N9" s="8">
        <f t="shared" si="8"/>
        <v>4359882.7804832458</v>
      </c>
      <c r="O9" s="8">
        <f t="shared" ref="O9:P21" si="9">F9</f>
        <v>4846364.5360889435</v>
      </c>
      <c r="P9" s="8">
        <f t="shared" si="9"/>
        <v>48232918.366676331</v>
      </c>
      <c r="Q9" s="3676"/>
      <c r="R9" s="8" t="str">
        <f t="shared" si="2"/>
        <v xml:space="preserve">  BRA</v>
      </c>
      <c r="S9" s="8">
        <f t="shared" si="3"/>
        <v>2019</v>
      </c>
      <c r="T9" s="8">
        <f t="shared" si="4"/>
        <v>-2797604.8704662323</v>
      </c>
      <c r="U9" s="8">
        <f t="shared" si="4"/>
        <v>-43873035.586193085</v>
      </c>
      <c r="W9" s="8">
        <f>Fact7!P7</f>
        <v>-5.4871305181501384</v>
      </c>
      <c r="Z9" s="3871" t="s">
        <v>1262</v>
      </c>
      <c r="AA9" s="2655" t="s">
        <v>1215</v>
      </c>
      <c r="AB9" s="8">
        <f>M24</f>
        <v>1153204.5525870165</v>
      </c>
      <c r="AC9" s="8">
        <f>O24</f>
        <v>3033553.5941207884</v>
      </c>
      <c r="AD9" s="8">
        <f>N24</f>
        <v>2142820.2014765982</v>
      </c>
      <c r="AE9" s="8">
        <f t="shared" ref="AE9" si="10">P24</f>
        <v>25689061.64434617</v>
      </c>
    </row>
    <row r="10" spans="1:31">
      <c r="A10" s="5972" t="s">
        <v>1193</v>
      </c>
      <c r="B10" s="5973">
        <v>40843</v>
      </c>
      <c r="C10" s="5974">
        <v>138942</v>
      </c>
      <c r="D10" s="5975">
        <v>120878</v>
      </c>
      <c r="E10" s="5976">
        <v>434617</v>
      </c>
      <c r="F10" s="5977">
        <v>457800</v>
      </c>
      <c r="G10" s="5978">
        <v>3796373</v>
      </c>
      <c r="H10" s="5979">
        <v>2013</v>
      </c>
      <c r="I10" s="5980">
        <v>19629590</v>
      </c>
      <c r="K10" s="8" t="str">
        <f t="shared" si="6"/>
        <v xml:space="preserve">  CHL</v>
      </c>
      <c r="L10" s="8">
        <f t="shared" si="7"/>
        <v>2013</v>
      </c>
      <c r="M10" s="8">
        <f t="shared" si="8"/>
        <v>40843</v>
      </c>
      <c r="N10" s="8">
        <f t="shared" si="8"/>
        <v>138942</v>
      </c>
      <c r="O10" s="8">
        <f t="shared" si="9"/>
        <v>457800</v>
      </c>
      <c r="P10" s="8">
        <f t="shared" si="9"/>
        <v>3796373</v>
      </c>
      <c r="Q10" s="3677"/>
      <c r="R10" s="8" t="str">
        <f t="shared" si="2"/>
        <v xml:space="preserve">  CHL</v>
      </c>
      <c r="S10" s="8">
        <f t="shared" si="3"/>
        <v>2013</v>
      </c>
      <c r="T10" s="8">
        <f t="shared" si="4"/>
        <v>-416957</v>
      </c>
      <c r="U10" s="8">
        <f t="shared" si="4"/>
        <v>-3657431</v>
      </c>
      <c r="W10" s="8">
        <f>Fact7!P8</f>
        <v>-8.5241337199296083</v>
      </c>
    </row>
    <row r="11" spans="1:31">
      <c r="A11" s="5981" t="s">
        <v>1194</v>
      </c>
      <c r="B11" s="5982">
        <v>663881.79212188721</v>
      </c>
      <c r="C11" s="5983">
        <v>1093257.9942855835</v>
      </c>
      <c r="D11" s="5984">
        <v>664389.17515563965</v>
      </c>
      <c r="E11" s="5985">
        <v>1955796.0263280869</v>
      </c>
      <c r="F11" s="5986">
        <v>997198.55696105957</v>
      </c>
      <c r="G11" s="5987">
        <v>7703475.7615966797</v>
      </c>
      <c r="H11" s="5988">
        <v>2021</v>
      </c>
      <c r="I11" s="5989">
        <v>52085168</v>
      </c>
      <c r="K11" s="8" t="str">
        <f t="shared" si="6"/>
        <v xml:space="preserve">  COL</v>
      </c>
      <c r="L11" s="8">
        <f t="shared" si="7"/>
        <v>2021</v>
      </c>
      <c r="M11" s="8">
        <f t="shared" si="8"/>
        <v>663881.79212188721</v>
      </c>
      <c r="N11" s="8">
        <f t="shared" si="8"/>
        <v>1093257.9942855835</v>
      </c>
      <c r="O11" s="8">
        <f t="shared" si="9"/>
        <v>997198.55696105957</v>
      </c>
      <c r="P11" s="8">
        <f t="shared" si="9"/>
        <v>7703475.7615966797</v>
      </c>
      <c r="Q11" s="3678"/>
      <c r="R11" s="8" t="str">
        <f t="shared" si="2"/>
        <v xml:space="preserve">  COL</v>
      </c>
      <c r="S11" s="8">
        <f t="shared" si="3"/>
        <v>2021</v>
      </c>
      <c r="T11" s="8">
        <f t="shared" si="4"/>
        <v>-333316.76483917236</v>
      </c>
      <c r="U11" s="8">
        <f t="shared" si="4"/>
        <v>-6610217.7673110962</v>
      </c>
      <c r="W11" s="8">
        <f>Fact7!P9</f>
        <v>-23.653201411787293</v>
      </c>
    </row>
    <row r="12" spans="1:31">
      <c r="A12" s="5990" t="s">
        <v>1195</v>
      </c>
      <c r="B12" s="5991">
        <v>34590</v>
      </c>
      <c r="C12" s="5992">
        <v>46103</v>
      </c>
      <c r="D12" s="5993">
        <v>82688</v>
      </c>
      <c r="E12" s="5994">
        <v>114254</v>
      </c>
      <c r="F12" s="5995">
        <v>334691</v>
      </c>
      <c r="G12" s="5996">
        <v>1089437</v>
      </c>
      <c r="H12" s="5997">
        <v>2023</v>
      </c>
      <c r="I12" s="5998">
        <v>5212173</v>
      </c>
      <c r="K12" s="8" t="str">
        <f t="shared" si="6"/>
        <v xml:space="preserve">  CRI</v>
      </c>
      <c r="L12" s="8">
        <f t="shared" si="7"/>
        <v>2023</v>
      </c>
      <c r="M12" s="8">
        <f t="shared" si="8"/>
        <v>34590</v>
      </c>
      <c r="N12" s="8">
        <f t="shared" si="8"/>
        <v>46103</v>
      </c>
      <c r="O12" s="8">
        <f t="shared" si="9"/>
        <v>334691</v>
      </c>
      <c r="P12" s="8">
        <f t="shared" si="9"/>
        <v>1089437</v>
      </c>
      <c r="Q12" s="3679"/>
      <c r="R12" s="8" t="str">
        <f t="shared" si="2"/>
        <v xml:space="preserve">  CRI</v>
      </c>
      <c r="S12" s="8">
        <f t="shared" si="3"/>
        <v>2023</v>
      </c>
      <c r="T12" s="8">
        <f t="shared" si="4"/>
        <v>-300101</v>
      </c>
      <c r="U12" s="8">
        <f t="shared" si="4"/>
        <v>-1043334</v>
      </c>
      <c r="W12" s="8">
        <f>Fact7!P10</f>
        <v>-9.1679162839086104</v>
      </c>
    </row>
    <row r="13" spans="1:31">
      <c r="A13" s="5999" t="s">
        <v>1196</v>
      </c>
      <c r="B13" s="6000">
        <v>53451.799545288086</v>
      </c>
      <c r="C13" s="6001">
        <v>157295.84184265137</v>
      </c>
      <c r="D13" s="6002">
        <v>110624.58972167969</v>
      </c>
      <c r="E13" s="6003">
        <v>414710.1432800293</v>
      </c>
      <c r="F13" s="6004">
        <v>329479.63597106934</v>
      </c>
      <c r="G13" s="6005">
        <v>2096121.0541381836</v>
      </c>
      <c r="H13" s="6006">
        <v>2022</v>
      </c>
      <c r="I13" s="6007">
        <v>11332973</v>
      </c>
      <c r="K13" s="8" t="str">
        <f t="shared" si="6"/>
        <v xml:space="preserve">  DOM</v>
      </c>
      <c r="L13" s="8">
        <f t="shared" si="7"/>
        <v>2022</v>
      </c>
      <c r="M13" s="8">
        <f t="shared" si="8"/>
        <v>53451.799545288086</v>
      </c>
      <c r="N13" s="8">
        <f t="shared" si="8"/>
        <v>157295.84184265137</v>
      </c>
      <c r="O13" s="8">
        <f t="shared" si="9"/>
        <v>329479.63597106934</v>
      </c>
      <c r="P13" s="8">
        <f t="shared" si="9"/>
        <v>2096121.0541381836</v>
      </c>
      <c r="Q13" s="3680"/>
      <c r="R13" s="8" t="str">
        <f t="shared" si="2"/>
        <v xml:space="preserve">  DOM</v>
      </c>
      <c r="S13" s="8">
        <f t="shared" si="3"/>
        <v>2022</v>
      </c>
      <c r="T13" s="8">
        <f t="shared" si="4"/>
        <v>-276027.83642578125</v>
      </c>
      <c r="U13" s="8">
        <f t="shared" si="4"/>
        <v>-1938825.2122955322</v>
      </c>
      <c r="W13" s="8">
        <f>Fact7!P11</f>
        <v>-8.4652908948125116</v>
      </c>
    </row>
    <row r="14" spans="1:31">
      <c r="A14" s="6008" t="s">
        <v>1197</v>
      </c>
      <c r="B14" s="6009">
        <v>140213.29532337189</v>
      </c>
      <c r="C14" s="6010">
        <v>136650.77705192566</v>
      </c>
      <c r="D14" s="6011">
        <v>236615.76084709167</v>
      </c>
      <c r="E14" s="6012">
        <v>418347.09737014771</v>
      </c>
      <c r="F14" s="6013">
        <v>536346.64656925201</v>
      </c>
      <c r="G14" s="6014">
        <v>2252895.9088869095</v>
      </c>
      <c r="H14" s="6015">
        <v>2017</v>
      </c>
      <c r="I14" s="6016">
        <v>18190484</v>
      </c>
      <c r="K14" s="8" t="str">
        <f t="shared" si="6"/>
        <v xml:space="preserve">  ECU</v>
      </c>
      <c r="L14" s="8">
        <f t="shared" si="7"/>
        <v>2017</v>
      </c>
      <c r="M14" s="8">
        <f t="shared" si="8"/>
        <v>140213.29532337189</v>
      </c>
      <c r="N14" s="8">
        <f t="shared" si="8"/>
        <v>136650.77705192566</v>
      </c>
      <c r="O14" s="8">
        <f t="shared" si="9"/>
        <v>536346.64656925201</v>
      </c>
      <c r="P14" s="8">
        <f t="shared" si="9"/>
        <v>2252895.9088869095</v>
      </c>
      <c r="Q14" s="3681"/>
      <c r="R14" s="8" t="str">
        <f t="shared" si="2"/>
        <v xml:space="preserve">  ECU</v>
      </c>
      <c r="S14" s="8">
        <f t="shared" si="3"/>
        <v>2017</v>
      </c>
      <c r="T14" s="8">
        <f t="shared" si="4"/>
        <v>-396133.35124588013</v>
      </c>
      <c r="U14" s="8">
        <f t="shared" si="4"/>
        <v>-2116245.1318349838</v>
      </c>
      <c r="W14" s="8">
        <f>Fact7!P12</f>
        <v>-30.665529163919643</v>
      </c>
    </row>
    <row r="15" spans="1:31">
      <c r="A15" s="6017" t="s">
        <v>1204</v>
      </c>
      <c r="B15" s="6018">
        <v>23345</v>
      </c>
      <c r="C15" s="6019">
        <v>23498</v>
      </c>
      <c r="D15" s="6020">
        <v>50015</v>
      </c>
      <c r="E15" s="6021">
        <v>67667.166656494141</v>
      </c>
      <c r="F15" s="6022">
        <v>177002.3835144043</v>
      </c>
      <c r="G15" s="6023">
        <v>683806.01745605469</v>
      </c>
      <c r="H15" s="6024">
        <v>2006</v>
      </c>
      <c r="I15" s="6025">
        <v>18092026</v>
      </c>
      <c r="K15" s="8" t="str">
        <f t="shared" si="6"/>
        <v xml:space="preserve">  GTM</v>
      </c>
      <c r="L15" s="8">
        <f t="shared" si="7"/>
        <v>2006</v>
      </c>
      <c r="M15" s="8">
        <f t="shared" si="8"/>
        <v>23345</v>
      </c>
      <c r="N15" s="8">
        <f t="shared" si="8"/>
        <v>23498</v>
      </c>
      <c r="O15" s="8">
        <f t="shared" si="9"/>
        <v>177002.3835144043</v>
      </c>
      <c r="P15" s="8">
        <f t="shared" si="9"/>
        <v>683806.01745605469</v>
      </c>
      <c r="Q15" s="3682"/>
      <c r="R15" s="8" t="str">
        <f t="shared" si="2"/>
        <v xml:space="preserve">  GTM</v>
      </c>
      <c r="S15" s="8">
        <f t="shared" si="3"/>
        <v>2006</v>
      </c>
      <c r="T15" s="8">
        <f t="shared" si="4"/>
        <v>-153657.3835144043</v>
      </c>
      <c r="U15" s="8">
        <f t="shared" si="4"/>
        <v>-660308.01745605469</v>
      </c>
      <c r="W15" s="8">
        <f>Fact7!P13</f>
        <v>-50.500717103969805</v>
      </c>
    </row>
    <row r="16" spans="1:31">
      <c r="A16" s="6026" t="s">
        <v>1199</v>
      </c>
      <c r="B16" s="6027">
        <v>216891.16525268555</v>
      </c>
      <c r="C16" s="6028">
        <v>219180.41458129883</v>
      </c>
      <c r="D16" s="6029">
        <v>163508.89071655273</v>
      </c>
      <c r="E16" s="6030">
        <v>266804.93238830566</v>
      </c>
      <c r="F16" s="6031">
        <v>231520.96298217773</v>
      </c>
      <c r="G16" s="6032">
        <v>742000.50538635254</v>
      </c>
      <c r="H16" s="6033">
        <v>2023</v>
      </c>
      <c r="I16" s="6034">
        <v>10593798</v>
      </c>
      <c r="K16" s="8" t="str">
        <f t="shared" si="6"/>
        <v xml:space="preserve">  HND</v>
      </c>
      <c r="L16" s="8">
        <f t="shared" si="7"/>
        <v>2023</v>
      </c>
      <c r="M16" s="8">
        <f t="shared" si="8"/>
        <v>216891.16525268555</v>
      </c>
      <c r="N16" s="8">
        <f t="shared" si="8"/>
        <v>219180.41458129883</v>
      </c>
      <c r="O16" s="8">
        <f t="shared" si="9"/>
        <v>231520.96298217773</v>
      </c>
      <c r="P16" s="8">
        <f t="shared" si="9"/>
        <v>742000.50538635254</v>
      </c>
      <c r="Q16" s="3683"/>
      <c r="R16" s="8" t="str">
        <f t="shared" si="2"/>
        <v xml:space="preserve">  HND</v>
      </c>
      <c r="S16" s="8">
        <f t="shared" si="3"/>
        <v>2023</v>
      </c>
      <c r="T16" s="8">
        <f t="shared" si="4"/>
        <v>-14629.797729492188</v>
      </c>
      <c r="U16" s="8">
        <f t="shared" si="4"/>
        <v>-522820.09080505371</v>
      </c>
      <c r="W16" s="8">
        <f>Fact7!P14</f>
        <v>-30.572530157572601</v>
      </c>
    </row>
    <row r="17" spans="1:31">
      <c r="A17" s="6035" t="s">
        <v>1205</v>
      </c>
      <c r="B17" s="6036">
        <v>1078675</v>
      </c>
      <c r="C17" s="6037">
        <v>1128120</v>
      </c>
      <c r="D17" s="6038">
        <v>1878836</v>
      </c>
      <c r="E17" s="6039">
        <v>3886229</v>
      </c>
      <c r="F17" s="6040">
        <v>3907476</v>
      </c>
      <c r="G17" s="6041">
        <v>21660981</v>
      </c>
      <c r="H17" s="6042">
        <v>2022</v>
      </c>
      <c r="I17" s="6043">
        <v>128455567</v>
      </c>
      <c r="K17" s="8" t="str">
        <f t="shared" si="6"/>
        <v xml:space="preserve">  MEX</v>
      </c>
      <c r="L17" s="8">
        <f t="shared" si="7"/>
        <v>2022</v>
      </c>
      <c r="M17" s="8">
        <f t="shared" si="8"/>
        <v>1078675</v>
      </c>
      <c r="N17" s="8">
        <f t="shared" si="8"/>
        <v>1128120</v>
      </c>
      <c r="O17" s="8">
        <f t="shared" si="9"/>
        <v>3907476</v>
      </c>
      <c r="P17" s="8">
        <f t="shared" si="9"/>
        <v>21660981</v>
      </c>
      <c r="Q17" s="3684"/>
      <c r="R17" s="8" t="str">
        <f t="shared" si="2"/>
        <v xml:space="preserve">  MEX</v>
      </c>
      <c r="S17" s="8">
        <f t="shared" si="3"/>
        <v>2022</v>
      </c>
      <c r="T17" s="8">
        <f t="shared" si="4"/>
        <v>-2828801</v>
      </c>
      <c r="U17" s="8">
        <f t="shared" si="4"/>
        <v>-20532861</v>
      </c>
      <c r="W17" s="8">
        <f>Fact7!P15</f>
        <v>-24.981351483938525</v>
      </c>
    </row>
    <row r="18" spans="1:31">
      <c r="A18" s="6044" t="s">
        <v>1201</v>
      </c>
      <c r="B18" s="6045">
        <v>32341.703413963318</v>
      </c>
      <c r="C18" s="6046">
        <v>219319.72614562511</v>
      </c>
      <c r="D18" s="6047">
        <v>80978.269733428955</v>
      </c>
      <c r="E18" s="6048">
        <v>793094.11135900021</v>
      </c>
      <c r="F18" s="6049">
        <v>208682.20791721344</v>
      </c>
      <c r="G18" s="6050">
        <v>3912410.4060486555</v>
      </c>
      <c r="H18" s="6051">
        <v>2022</v>
      </c>
      <c r="I18" s="6052">
        <v>34352719</v>
      </c>
      <c r="K18" s="8" t="str">
        <f t="shared" si="6"/>
        <v xml:space="preserve">  PER</v>
      </c>
      <c r="L18" s="8">
        <f t="shared" si="7"/>
        <v>2022</v>
      </c>
      <c r="M18" s="8">
        <f t="shared" si="8"/>
        <v>32341.703413963318</v>
      </c>
      <c r="N18" s="8">
        <f t="shared" si="8"/>
        <v>219319.72614562511</v>
      </c>
      <c r="O18" s="8">
        <f t="shared" si="9"/>
        <v>208682.20791721344</v>
      </c>
      <c r="P18" s="8">
        <f t="shared" si="9"/>
        <v>3912410.4060486555</v>
      </c>
      <c r="Q18" s="3685"/>
      <c r="R18" s="8" t="str">
        <f t="shared" si="2"/>
        <v xml:space="preserve">  PER</v>
      </c>
      <c r="S18" s="8">
        <f t="shared" si="3"/>
        <v>2022</v>
      </c>
      <c r="T18" s="8">
        <f t="shared" si="4"/>
        <v>-176340.50450325012</v>
      </c>
      <c r="U18" s="8">
        <f t="shared" si="4"/>
        <v>-3693090.6799030304</v>
      </c>
      <c r="W18" s="8">
        <f>Fact7!P16</f>
        <v>-39.029293158307112</v>
      </c>
    </row>
    <row r="19" spans="1:31">
      <c r="A19" s="6053" t="s">
        <v>1202</v>
      </c>
      <c r="B19" s="6054">
        <v>130181</v>
      </c>
      <c r="C19" s="6055">
        <v>53332</v>
      </c>
      <c r="D19" s="6056">
        <v>158447</v>
      </c>
      <c r="E19" s="6057">
        <v>150964</v>
      </c>
      <c r="F19" s="6058">
        <v>370244</v>
      </c>
      <c r="G19" s="6059">
        <v>1001387</v>
      </c>
      <c r="H19" s="6060">
        <v>2022</v>
      </c>
      <c r="I19" s="6061">
        <v>6861524</v>
      </c>
      <c r="K19" s="8" t="str">
        <f t="shared" si="6"/>
        <v xml:space="preserve">  PRY</v>
      </c>
      <c r="L19" s="8">
        <f t="shared" si="7"/>
        <v>2022</v>
      </c>
      <c r="M19" s="8">
        <f t="shared" si="8"/>
        <v>130181</v>
      </c>
      <c r="N19" s="8">
        <f t="shared" si="8"/>
        <v>53332</v>
      </c>
      <c r="O19" s="8">
        <f t="shared" si="9"/>
        <v>370244</v>
      </c>
      <c r="P19" s="8">
        <f t="shared" si="9"/>
        <v>1001387</v>
      </c>
      <c r="Q19" s="3686"/>
      <c r="R19" s="8" t="str">
        <f t="shared" si="2"/>
        <v xml:space="preserve">  PRY</v>
      </c>
      <c r="S19" s="8">
        <f t="shared" si="3"/>
        <v>2022</v>
      </c>
      <c r="T19" s="8">
        <f t="shared" si="4"/>
        <v>-240063</v>
      </c>
      <c r="U19" s="8">
        <f t="shared" si="4"/>
        <v>-948055</v>
      </c>
      <c r="W19" s="8">
        <f>Fact7!P17</f>
        <v>-13.875688349381235</v>
      </c>
    </row>
    <row r="20" spans="1:31">
      <c r="A20" s="6062" t="s">
        <v>1206</v>
      </c>
      <c r="B20" s="6063">
        <v>114612.0914888382</v>
      </c>
      <c r="C20" s="6064">
        <v>92064.635408401489</v>
      </c>
      <c r="D20" s="6065">
        <v>123000.42117214203</v>
      </c>
      <c r="E20" s="6066">
        <v>166124.68576812744</v>
      </c>
      <c r="F20" s="6067">
        <v>243708.9960899353</v>
      </c>
      <c r="G20" s="6068">
        <v>771895.50766944885</v>
      </c>
      <c r="H20" s="6069">
        <v>2023</v>
      </c>
      <c r="I20" s="6070">
        <v>6364943</v>
      </c>
      <c r="K20" s="8" t="str">
        <f t="shared" si="6"/>
        <v xml:space="preserve">  SLV</v>
      </c>
      <c r="L20" s="8">
        <f t="shared" si="7"/>
        <v>2023</v>
      </c>
      <c r="M20" s="8">
        <f t="shared" si="8"/>
        <v>114612.0914888382</v>
      </c>
      <c r="N20" s="8">
        <f t="shared" si="8"/>
        <v>92064.635408401489</v>
      </c>
      <c r="O20" s="8">
        <f t="shared" si="9"/>
        <v>243708.9960899353</v>
      </c>
      <c r="P20" s="8">
        <f t="shared" si="9"/>
        <v>771895.50766944885</v>
      </c>
      <c r="Q20" s="3687"/>
      <c r="R20" s="8" t="str">
        <f t="shared" si="2"/>
        <v xml:space="preserve">  SLV</v>
      </c>
      <c r="S20" s="8">
        <f t="shared" si="3"/>
        <v>2023</v>
      </c>
      <c r="T20" s="8">
        <f t="shared" si="4"/>
        <v>-129096.90460109711</v>
      </c>
      <c r="U20" s="8">
        <f t="shared" si="4"/>
        <v>-679830.87226104736</v>
      </c>
      <c r="W20" s="8">
        <f>Fact7!P18</f>
        <v>-10.488238668060532</v>
      </c>
      <c r="Z20" s="3064"/>
      <c r="AA20" s="3065"/>
      <c r="AB20" s="3065"/>
      <c r="AC20" s="3065"/>
      <c r="AD20" s="3065"/>
      <c r="AE20" s="3064"/>
    </row>
    <row r="21" spans="1:31">
      <c r="A21" s="6071" t="s">
        <v>1207</v>
      </c>
      <c r="B21" s="6072">
        <v>3954</v>
      </c>
      <c r="C21" s="6073">
        <v>24228</v>
      </c>
      <c r="D21" s="6074">
        <v>18148</v>
      </c>
      <c r="E21" s="6075">
        <v>71693</v>
      </c>
      <c r="F21" s="6076">
        <v>163684</v>
      </c>
      <c r="G21" s="6077">
        <v>962178</v>
      </c>
      <c r="H21" s="6078">
        <v>2022</v>
      </c>
      <c r="I21" s="6079">
        <v>3423109</v>
      </c>
      <c r="K21" s="8" t="str">
        <f t="shared" si="6"/>
        <v xml:space="preserve">  URY</v>
      </c>
      <c r="L21" s="8">
        <f t="shared" si="7"/>
        <v>2022</v>
      </c>
      <c r="M21" s="8">
        <f t="shared" si="8"/>
        <v>3954</v>
      </c>
      <c r="N21" s="8">
        <f t="shared" si="8"/>
        <v>24228</v>
      </c>
      <c r="O21" s="8">
        <f t="shared" si="9"/>
        <v>163684</v>
      </c>
      <c r="P21" s="8">
        <f t="shared" si="9"/>
        <v>962178</v>
      </c>
      <c r="Q21" s="3687"/>
      <c r="R21" s="8" t="str">
        <f t="shared" si="2"/>
        <v xml:space="preserve">  URY</v>
      </c>
      <c r="S21" s="8">
        <f t="shared" si="3"/>
        <v>2022</v>
      </c>
      <c r="T21" s="8">
        <f t="shared" si="4"/>
        <v>-159730</v>
      </c>
      <c r="U21" s="8">
        <f t="shared" si="4"/>
        <v>-937950</v>
      </c>
      <c r="W21" s="8">
        <f>Fact7!P19</f>
        <v>-7.6849273115811201</v>
      </c>
      <c r="Z21" s="3064"/>
      <c r="AA21" s="3065" t="s">
        <v>1275</v>
      </c>
      <c r="AB21" s="3069" t="s">
        <v>1141</v>
      </c>
      <c r="AC21" s="3069" t="s">
        <v>1102</v>
      </c>
      <c r="AD21" s="3065" t="s">
        <v>1276</v>
      </c>
      <c r="AE21" s="3064"/>
    </row>
    <row r="22" spans="1:31">
      <c r="A22" s="6080" t="s">
        <v>1203</v>
      </c>
      <c r="B22" s="6081"/>
      <c r="C22" s="6082"/>
      <c r="D22" s="6083"/>
      <c r="E22" s="6084"/>
      <c r="F22" s="6085"/>
      <c r="G22" s="6086"/>
      <c r="H22" s="6087">
        <v>2021</v>
      </c>
      <c r="I22" s="6088">
        <v>28838499</v>
      </c>
      <c r="K22" s="2648"/>
      <c r="L22" s="8"/>
      <c r="M22" s="13"/>
      <c r="N22" s="13"/>
      <c r="O22" s="13"/>
      <c r="P22" s="13"/>
      <c r="Q22" s="3687"/>
      <c r="R22" s="2648"/>
      <c r="S22" s="8"/>
      <c r="T22" s="13"/>
      <c r="U22" s="13"/>
      <c r="W22" s="8"/>
      <c r="Z22" s="3064"/>
      <c r="AA22" s="76" t="s">
        <v>1273</v>
      </c>
      <c r="AB22" s="3066">
        <f>AG26</f>
        <v>0</v>
      </c>
      <c r="AC22" s="3066">
        <f>AH26</f>
        <v>0</v>
      </c>
      <c r="AD22" s="3066">
        <v>48.421040759704958</v>
      </c>
      <c r="AE22" s="3064"/>
    </row>
    <row r="23" spans="1:31">
      <c r="K23" s="3" t="s">
        <v>1261</v>
      </c>
      <c r="L23" s="8"/>
      <c r="M23" s="8">
        <f t="shared" ref="M23:O23" si="11">AVERAGE(M8:M21)</f>
        <v>330229.21591506683</v>
      </c>
      <c r="N23" s="8">
        <f>AVERAGE(N8:N21)</f>
        <v>551927.02001427754</v>
      </c>
      <c r="O23" s="8">
        <f t="shared" si="11"/>
        <v>937723.65868459432</v>
      </c>
      <c r="P23" s="8">
        <f>AVERAGE(P8:P21)</f>
        <v>6908848.5698139919</v>
      </c>
      <c r="Q23" s="3687"/>
      <c r="R23" s="3" t="s">
        <v>1261</v>
      </c>
      <c r="S23" s="8"/>
      <c r="T23" s="8">
        <f>AVERAGE(T8:T22)</f>
        <v>-607494.44276952744</v>
      </c>
      <c r="U23" s="8">
        <f>AVERAGE(U8:U22)</f>
        <v>-6356921.5497997152</v>
      </c>
      <c r="W23" s="8">
        <f>Fact7!P21</f>
        <v>-20.750797887743005</v>
      </c>
      <c r="Z23" s="3064"/>
      <c r="AA23" s="76" t="s">
        <v>1136</v>
      </c>
      <c r="AB23" s="3066">
        <f>AJ26</f>
        <v>0</v>
      </c>
      <c r="AC23" s="3066">
        <f>AK26</f>
        <v>0</v>
      </c>
      <c r="AD23" s="3066"/>
      <c r="AE23" s="3064"/>
    </row>
    <row r="24" spans="1:31" ht="15" thickBot="1">
      <c r="A24" s="6089"/>
      <c r="B24" s="6836" t="s">
        <v>1045</v>
      </c>
      <c r="C24" s="6837" t="s">
        <v>1045</v>
      </c>
      <c r="D24" s="6838" t="s">
        <v>1045</v>
      </c>
      <c r="E24" s="6839" t="s">
        <v>1045</v>
      </c>
      <c r="F24" s="6840" t="s">
        <v>1045</v>
      </c>
      <c r="G24" s="6841" t="s">
        <v>1045</v>
      </c>
      <c r="H24" s="6090" t="s">
        <v>1186</v>
      </c>
      <c r="I24" s="6091" t="s">
        <v>1257</v>
      </c>
      <c r="K24" s="212" t="s">
        <v>1145</v>
      </c>
      <c r="L24" s="85"/>
      <c r="M24" s="85">
        <f t="shared" ref="M24:O24" si="12">SUMPRODUCT(M8:M21,$I8:$I21)/SUM($I8:$I21)</f>
        <v>1153204.5525870165</v>
      </c>
      <c r="N24" s="85">
        <f>SUMPRODUCT(N8:N21,$I8:$I21)/SUM($I8:$I21)</f>
        <v>2142820.2014765982</v>
      </c>
      <c r="O24" s="85">
        <f t="shared" si="12"/>
        <v>3033553.5941207884</v>
      </c>
      <c r="P24" s="85">
        <f>SUMPRODUCT(P8:P21,$I8:$I21)/SUM($I8:$I21)</f>
        <v>25689061.64434617</v>
      </c>
      <c r="Q24" s="3687"/>
      <c r="R24" s="212" t="s">
        <v>1145</v>
      </c>
      <c r="S24" s="85"/>
      <c r="T24" s="85">
        <f>SUMPRODUCT(T8:T22,$I8:$I22)/SUM($I8:$I22)</f>
        <v>-1785587.9207426719</v>
      </c>
      <c r="U24" s="85">
        <f>SUMPRODUCT(U8:U22,$I8:$I22)/SUM($I8:$I22)</f>
        <v>-22359616.94908721</v>
      </c>
      <c r="W24" s="85">
        <f>SUMPRODUCT(W8:W22,$I8:$I22)/SUM($I8:$I22)</f>
        <v>-17.077228616303124</v>
      </c>
      <c r="Z24" s="3064"/>
      <c r="AA24" s="3064"/>
      <c r="AB24" s="3066"/>
      <c r="AC24" s="3066"/>
      <c r="AD24" s="3066"/>
      <c r="AE24" s="3064"/>
    </row>
    <row r="25" spans="1:31" ht="15" thickTop="1">
      <c r="A25" s="6092"/>
      <c r="B25" s="6842" t="s">
        <v>1187</v>
      </c>
      <c r="C25" s="6842" t="s">
        <v>1187</v>
      </c>
      <c r="D25" s="6843" t="s">
        <v>1188</v>
      </c>
      <c r="E25" s="6843" t="s">
        <v>1188</v>
      </c>
      <c r="F25" s="6844" t="s">
        <v>1189</v>
      </c>
      <c r="G25" s="6844" t="s">
        <v>1189</v>
      </c>
      <c r="I25" s="6093" t="s">
        <v>1187</v>
      </c>
      <c r="L25" s="8"/>
      <c r="M25" s="8"/>
      <c r="N25" s="8"/>
      <c r="O25" s="8"/>
      <c r="P25" s="8"/>
      <c r="Q25" s="3687"/>
      <c r="S25" s="8"/>
      <c r="T25" s="8"/>
      <c r="U25" s="8"/>
      <c r="W25" s="8"/>
      <c r="Z25" s="3064"/>
      <c r="AA25" s="3065"/>
      <c r="AB25" s="3067"/>
      <c r="AC25" s="3067"/>
      <c r="AD25" s="3067"/>
      <c r="AE25" s="3064"/>
    </row>
    <row r="26" spans="1:31">
      <c r="A26" s="6094"/>
      <c r="B26" s="6845" t="s">
        <v>1258</v>
      </c>
      <c r="C26" s="6845" t="s">
        <v>1258</v>
      </c>
      <c r="D26" s="6846" t="s">
        <v>1258</v>
      </c>
      <c r="E26" s="6846" t="s">
        <v>1258</v>
      </c>
      <c r="F26" s="6847" t="s">
        <v>1258</v>
      </c>
      <c r="G26" s="6847" t="s">
        <v>1258</v>
      </c>
      <c r="I26"/>
      <c r="L26" s="8"/>
      <c r="M26" s="8"/>
      <c r="N26" s="8"/>
      <c r="O26" s="8"/>
      <c r="P26" s="8"/>
      <c r="Q26" s="3687"/>
      <c r="S26" s="8"/>
      <c r="T26" s="8"/>
      <c r="U26" s="8"/>
      <c r="Z26" s="3064"/>
      <c r="AA26" s="3064"/>
      <c r="AB26" s="3064"/>
      <c r="AC26" s="3064"/>
      <c r="AD26" s="3064"/>
      <c r="AE26" s="3064"/>
    </row>
    <row r="27" spans="1:31">
      <c r="A27" s="6095"/>
      <c r="B27" s="6096" t="s">
        <v>1259</v>
      </c>
      <c r="C27" s="6097" t="s">
        <v>1260</v>
      </c>
      <c r="D27" s="6098" t="s">
        <v>1259</v>
      </c>
      <c r="E27" s="6099" t="s">
        <v>1260</v>
      </c>
      <c r="F27" s="6100" t="s">
        <v>1259</v>
      </c>
      <c r="G27" s="6101" t="s">
        <v>1260</v>
      </c>
      <c r="I27" s="3875"/>
      <c r="L27" s="8"/>
      <c r="M27" s="8"/>
      <c r="N27" s="8"/>
      <c r="O27" s="8"/>
      <c r="P27" s="8"/>
      <c r="S27" s="8"/>
      <c r="T27" s="8"/>
      <c r="U27" s="8"/>
      <c r="Z27" s="3064"/>
      <c r="AA27" s="3064"/>
      <c r="AB27" s="3064"/>
      <c r="AC27" s="3064"/>
      <c r="AD27" s="3064"/>
      <c r="AE27" s="3064"/>
    </row>
    <row r="28" spans="1:31">
      <c r="A28" s="6102"/>
      <c r="B28" s="6103" t="s">
        <v>1219</v>
      </c>
      <c r="C28" s="6104" t="s">
        <v>1219</v>
      </c>
      <c r="D28" s="6105" t="s">
        <v>1219</v>
      </c>
      <c r="E28" s="6106" t="s">
        <v>1219</v>
      </c>
      <c r="F28" s="6107" t="s">
        <v>1219</v>
      </c>
      <c r="G28" s="6108" t="s">
        <v>1219</v>
      </c>
      <c r="I28" s="3876"/>
      <c r="L28" s="8"/>
      <c r="M28" s="8"/>
      <c r="N28" s="8"/>
      <c r="O28" s="8"/>
      <c r="P28" s="8"/>
      <c r="S28" s="8"/>
      <c r="T28" s="8"/>
      <c r="U28" s="8"/>
      <c r="V28" s="8"/>
      <c r="W28" s="8"/>
      <c r="Z28" s="3064"/>
      <c r="AA28" s="3064"/>
      <c r="AB28" s="3068" t="s">
        <v>1277</v>
      </c>
      <c r="AC28" s="3064"/>
      <c r="AD28" s="3064"/>
      <c r="AE28" s="3064"/>
    </row>
    <row r="29" spans="1:31" ht="15" thickBot="1">
      <c r="A29" s="6109"/>
      <c r="B29" s="6110" t="s">
        <v>1187</v>
      </c>
      <c r="C29" s="6111" t="s">
        <v>1187</v>
      </c>
      <c r="D29" s="6112" t="s">
        <v>1187</v>
      </c>
      <c r="E29" s="6113" t="s">
        <v>1187</v>
      </c>
      <c r="F29" s="6114" t="s">
        <v>1187</v>
      </c>
      <c r="G29" s="6115" t="s">
        <v>1187</v>
      </c>
      <c r="I29" s="3877"/>
      <c r="K29" s="972" t="str">
        <f>B28</f>
        <v>El hogar posee conexión a internet</v>
      </c>
      <c r="L29" s="2649"/>
      <c r="M29" s="85"/>
      <c r="N29" s="85"/>
      <c r="O29" s="85"/>
      <c r="P29" s="85"/>
      <c r="R29" s="972" t="str">
        <f>E28</f>
        <v>El hogar posee conexión a internet</v>
      </c>
      <c r="S29" s="2649"/>
      <c r="T29" s="85"/>
      <c r="U29" s="85"/>
      <c r="Z29" s="3064"/>
      <c r="AA29" s="3064"/>
      <c r="AB29" s="3064"/>
      <c r="AC29" s="3064"/>
      <c r="AD29" s="3064"/>
      <c r="AE29" s="3064"/>
    </row>
    <row r="30" spans="1:31" ht="15" thickTop="1">
      <c r="A30" s="6116" t="s">
        <v>1125</v>
      </c>
      <c r="B30" s="6117"/>
      <c r="C30" s="6118"/>
      <c r="D30" s="6119"/>
      <c r="E30" s="6120"/>
      <c r="F30" s="6121"/>
      <c r="G30" s="6122"/>
      <c r="H30" s="6123"/>
      <c r="I30" s="6124"/>
      <c r="K30" s="213" t="s">
        <v>904</v>
      </c>
      <c r="L30" s="216" t="s">
        <v>938</v>
      </c>
      <c r="M30" s="2650" t="s">
        <v>1273</v>
      </c>
      <c r="N30" s="2650" t="s">
        <v>1136</v>
      </c>
      <c r="O30" s="2650"/>
      <c r="P30" s="2650"/>
      <c r="Q30" s="3688"/>
      <c r="R30" s="213" t="s">
        <v>904</v>
      </c>
      <c r="S30" s="216" t="s">
        <v>938</v>
      </c>
      <c r="T30" s="2650" t="s">
        <v>1273</v>
      </c>
      <c r="U30" s="2650" t="s">
        <v>1136</v>
      </c>
      <c r="W30" s="76" t="s">
        <v>901</v>
      </c>
      <c r="Z30" s="3064"/>
      <c r="AA30" s="3064"/>
      <c r="AB30" s="3064"/>
      <c r="AC30" s="3064"/>
      <c r="AD30" s="3064"/>
      <c r="AE30" s="3064"/>
    </row>
    <row r="31" spans="1:31">
      <c r="A31" s="6125" t="s">
        <v>1191</v>
      </c>
      <c r="B31" s="6126">
        <v>72444.663679122925</v>
      </c>
      <c r="C31" s="6127">
        <v>44366.965288162231</v>
      </c>
      <c r="D31" s="6128">
        <v>72701.512590408325</v>
      </c>
      <c r="E31" s="6129">
        <v>130056.02691650391</v>
      </c>
      <c r="F31" s="6130">
        <v>305223.56008720398</v>
      </c>
      <c r="G31" s="6131">
        <v>1961812.7385749817</v>
      </c>
      <c r="H31" s="6132">
        <v>2022</v>
      </c>
      <c r="I31" s="6133">
        <v>12388571</v>
      </c>
      <c r="K31" s="8" t="str">
        <f t="shared" ref="K31:K44" si="13">A31</f>
        <v xml:space="preserve">  BOL</v>
      </c>
      <c r="L31" s="8">
        <f t="shared" ref="L31:L44" si="14">H31</f>
        <v>2022</v>
      </c>
      <c r="M31" s="8">
        <f t="shared" ref="M31:N44" si="15">B31</f>
        <v>72444.663679122925</v>
      </c>
      <c r="N31" s="8">
        <f t="shared" si="15"/>
        <v>44366.965288162231</v>
      </c>
      <c r="O31" s="8">
        <f t="shared" ref="O31:P44" si="16">F31</f>
        <v>305223.56008720398</v>
      </c>
      <c r="P31" s="8">
        <f t="shared" si="16"/>
        <v>1961812.7385749817</v>
      </c>
      <c r="Q31" s="3689"/>
      <c r="R31" s="8" t="str">
        <f t="shared" ref="R31:R44" si="17">A31</f>
        <v xml:space="preserve">  BOL</v>
      </c>
      <c r="S31" s="8">
        <f t="shared" ref="S31:S44" si="18">H31*1</f>
        <v>2022</v>
      </c>
      <c r="T31" s="8">
        <f t="shared" ref="T31:U44" si="19">B31-F31</f>
        <v>-232778.89640808105</v>
      </c>
      <c r="U31" s="8">
        <f t="shared" si="19"/>
        <v>-1917445.7732868195</v>
      </c>
      <c r="W31" s="8">
        <f>Fact7!P29</f>
        <v>-10.194951168858088</v>
      </c>
      <c r="Z31" s="3064"/>
      <c r="AA31" s="3064"/>
      <c r="AB31" s="3064"/>
      <c r="AC31" s="3064"/>
      <c r="AD31" s="3064"/>
      <c r="AE31" s="3064"/>
    </row>
    <row r="32" spans="1:31">
      <c r="A32" s="6134" t="s">
        <v>1192</v>
      </c>
      <c r="B32" s="6135">
        <v>966516.49238586426</v>
      </c>
      <c r="C32" s="6136">
        <v>3374815.1248435974</v>
      </c>
      <c r="D32" s="6137">
        <v>1079587.5801076889</v>
      </c>
      <c r="E32" s="6138">
        <v>6932313.9500732422</v>
      </c>
      <c r="F32" s="6139">
        <v>2664476.2992591858</v>
      </c>
      <c r="G32" s="6140">
        <v>41838797.197011948</v>
      </c>
      <c r="H32" s="6141">
        <v>2019</v>
      </c>
      <c r="I32" s="6142">
        <v>216422446</v>
      </c>
      <c r="K32" s="8" t="str">
        <f t="shared" si="13"/>
        <v xml:space="preserve">  BRA</v>
      </c>
      <c r="L32" s="8">
        <f t="shared" si="14"/>
        <v>2019</v>
      </c>
      <c r="M32" s="8">
        <f t="shared" si="15"/>
        <v>966516.49238586426</v>
      </c>
      <c r="N32" s="8">
        <f t="shared" si="15"/>
        <v>3374815.1248435974</v>
      </c>
      <c r="O32" s="8">
        <f t="shared" si="16"/>
        <v>2664476.2992591858</v>
      </c>
      <c r="P32" s="8">
        <f t="shared" si="16"/>
        <v>41838797.197011948</v>
      </c>
      <c r="Q32" s="3690"/>
      <c r="R32" s="8" t="str">
        <f t="shared" si="17"/>
        <v xml:space="preserve">  BRA</v>
      </c>
      <c r="S32" s="8">
        <f t="shared" si="18"/>
        <v>2019</v>
      </c>
      <c r="T32" s="8">
        <f t="shared" si="19"/>
        <v>-1697959.8068733215</v>
      </c>
      <c r="U32" s="8">
        <f t="shared" si="19"/>
        <v>-38463982.07216835</v>
      </c>
      <c r="W32" s="8">
        <f>Fact7!P30</f>
        <v>-28.312817774615795</v>
      </c>
      <c r="Z32" s="3064"/>
      <c r="AA32" s="3064"/>
      <c r="AB32" s="3064"/>
      <c r="AC32" s="3064"/>
      <c r="AD32" s="3064"/>
      <c r="AE32" s="3064"/>
    </row>
    <row r="33" spans="1:31">
      <c r="A33" s="6143" t="s">
        <v>1193</v>
      </c>
      <c r="B33" s="6144">
        <v>17965</v>
      </c>
      <c r="C33" s="6145">
        <v>87339</v>
      </c>
      <c r="D33" s="6146">
        <v>58029</v>
      </c>
      <c r="E33" s="6147">
        <v>303282</v>
      </c>
      <c r="F33" s="6148">
        <v>302026</v>
      </c>
      <c r="G33" s="6149">
        <v>3540205</v>
      </c>
      <c r="H33" s="6150">
        <v>2017</v>
      </c>
      <c r="I33" s="6151">
        <v>19629590</v>
      </c>
      <c r="K33" s="8" t="str">
        <f t="shared" si="13"/>
        <v xml:space="preserve">  CHL</v>
      </c>
      <c r="L33" s="8">
        <f t="shared" si="14"/>
        <v>2017</v>
      </c>
      <c r="M33" s="8">
        <f t="shared" si="15"/>
        <v>17965</v>
      </c>
      <c r="N33" s="8">
        <f t="shared" si="15"/>
        <v>87339</v>
      </c>
      <c r="O33" s="8">
        <f t="shared" si="16"/>
        <v>302026</v>
      </c>
      <c r="P33" s="8">
        <f t="shared" si="16"/>
        <v>3540205</v>
      </c>
      <c r="Q33" s="3691"/>
      <c r="R33" s="8" t="str">
        <f t="shared" si="17"/>
        <v xml:space="preserve">  CHL</v>
      </c>
      <c r="S33" s="8">
        <f t="shared" si="18"/>
        <v>2017</v>
      </c>
      <c r="T33" s="8">
        <f t="shared" si="19"/>
        <v>-284061</v>
      </c>
      <c r="U33" s="8">
        <f t="shared" si="19"/>
        <v>-3452866</v>
      </c>
      <c r="W33" s="8">
        <f>Fact7!P31</f>
        <v>-17.796637871546331</v>
      </c>
      <c r="Z33" s="3064"/>
      <c r="AA33" s="3064"/>
      <c r="AB33" s="3064"/>
      <c r="AC33" s="3064"/>
      <c r="AD33" s="3064"/>
      <c r="AE33" s="3064"/>
    </row>
    <row r="34" spans="1:31">
      <c r="A34" s="6152" t="s">
        <v>1194</v>
      </c>
      <c r="B34" s="6153">
        <v>89846.792030334473</v>
      </c>
      <c r="C34" s="6154">
        <v>482686.39353370667</v>
      </c>
      <c r="D34" s="6155">
        <v>128741.11846160889</v>
      </c>
      <c r="E34" s="6156">
        <v>1121210.0643434525</v>
      </c>
      <c r="F34" s="6157">
        <v>314447.76992797852</v>
      </c>
      <c r="G34" s="6158">
        <v>5940978.5321998596</v>
      </c>
      <c r="H34" s="6159">
        <v>2021</v>
      </c>
      <c r="I34" s="6160">
        <v>52085168</v>
      </c>
      <c r="K34" s="8" t="str">
        <f t="shared" si="13"/>
        <v xml:space="preserve">  COL</v>
      </c>
      <c r="L34" s="8">
        <f t="shared" si="14"/>
        <v>2021</v>
      </c>
      <c r="M34" s="8">
        <f t="shared" si="15"/>
        <v>89846.792030334473</v>
      </c>
      <c r="N34" s="8">
        <f t="shared" si="15"/>
        <v>482686.39353370667</v>
      </c>
      <c r="O34" s="8">
        <f t="shared" si="16"/>
        <v>314447.76992797852</v>
      </c>
      <c r="P34" s="8">
        <f t="shared" si="16"/>
        <v>5940978.5321998596</v>
      </c>
      <c r="Q34" s="3692"/>
      <c r="R34" s="8" t="str">
        <f t="shared" si="17"/>
        <v xml:space="preserve">  COL</v>
      </c>
      <c r="S34" s="8">
        <f t="shared" si="18"/>
        <v>2021</v>
      </c>
      <c r="T34" s="8">
        <f t="shared" si="19"/>
        <v>-224600.97789764404</v>
      </c>
      <c r="U34" s="8">
        <f t="shared" si="19"/>
        <v>-5458292.138666153</v>
      </c>
      <c r="W34" s="8">
        <f>Fact7!P32</f>
        <v>-16.665988699085251</v>
      </c>
      <c r="Z34" s="3064"/>
      <c r="AA34" s="3064"/>
      <c r="AB34" s="3064"/>
      <c r="AC34" s="3064"/>
      <c r="AD34" s="3064"/>
      <c r="AE34" s="3064"/>
    </row>
    <row r="35" spans="1:31">
      <c r="A35" s="6161" t="s">
        <v>1195</v>
      </c>
      <c r="B35" s="6162">
        <v>26504</v>
      </c>
      <c r="C35" s="6163">
        <v>37724</v>
      </c>
      <c r="D35" s="6164">
        <v>65634</v>
      </c>
      <c r="E35" s="6165">
        <v>90109</v>
      </c>
      <c r="F35" s="6166">
        <v>270857</v>
      </c>
      <c r="G35" s="6167">
        <v>969044</v>
      </c>
      <c r="H35" s="6168">
        <v>2023</v>
      </c>
      <c r="I35" s="6169">
        <v>5212173</v>
      </c>
      <c r="K35" s="8" t="str">
        <f t="shared" si="13"/>
        <v xml:space="preserve">  CRI</v>
      </c>
      <c r="L35" s="8">
        <f t="shared" si="14"/>
        <v>2023</v>
      </c>
      <c r="M35" s="8">
        <f t="shared" si="15"/>
        <v>26504</v>
      </c>
      <c r="N35" s="8">
        <f t="shared" si="15"/>
        <v>37724</v>
      </c>
      <c r="O35" s="8">
        <f t="shared" si="16"/>
        <v>270857</v>
      </c>
      <c r="P35" s="8">
        <f t="shared" si="16"/>
        <v>969044</v>
      </c>
      <c r="Q35" s="3693"/>
      <c r="R35" s="8" t="str">
        <f t="shared" si="17"/>
        <v xml:space="preserve">  CRI</v>
      </c>
      <c r="S35" s="8">
        <f t="shared" si="18"/>
        <v>2023</v>
      </c>
      <c r="T35" s="8">
        <f t="shared" si="19"/>
        <v>-244353</v>
      </c>
      <c r="U35" s="8">
        <f t="shared" si="19"/>
        <v>-931320</v>
      </c>
      <c r="W35" s="8">
        <f>Fact7!P33</f>
        <v>-32.242109273062759</v>
      </c>
      <c r="Z35" s="3064"/>
      <c r="AA35" s="3064"/>
      <c r="AB35" s="3064"/>
      <c r="AC35" s="3064"/>
      <c r="AD35" s="3064"/>
      <c r="AE35" s="3064"/>
    </row>
    <row r="36" spans="1:31">
      <c r="A36" s="6170" t="s">
        <v>1196</v>
      </c>
      <c r="B36" s="6171">
        <v>12162.821258544922</v>
      </c>
      <c r="C36" s="6172">
        <v>42094.793594360352</v>
      </c>
      <c r="D36" s="6173">
        <v>37205.840103149414</v>
      </c>
      <c r="E36" s="6174">
        <v>118765.70063781738</v>
      </c>
      <c r="F36" s="6175">
        <v>135343.9817199707</v>
      </c>
      <c r="G36" s="6176">
        <v>1075562.5694580078</v>
      </c>
      <c r="H36" s="6177">
        <v>2022</v>
      </c>
      <c r="I36" s="6178">
        <v>11332973</v>
      </c>
      <c r="K36" s="8" t="str">
        <f t="shared" si="13"/>
        <v xml:space="preserve">  DOM</v>
      </c>
      <c r="L36" s="8">
        <f t="shared" si="14"/>
        <v>2022</v>
      </c>
      <c r="M36" s="8">
        <f t="shared" si="15"/>
        <v>12162.821258544922</v>
      </c>
      <c r="N36" s="8">
        <f t="shared" si="15"/>
        <v>42094.793594360352</v>
      </c>
      <c r="O36" s="8">
        <f t="shared" si="16"/>
        <v>135343.9817199707</v>
      </c>
      <c r="P36" s="8">
        <f t="shared" si="16"/>
        <v>1075562.5694580078</v>
      </c>
      <c r="Q36" s="3694"/>
      <c r="R36" s="8" t="str">
        <f t="shared" si="17"/>
        <v xml:space="preserve">  DOM</v>
      </c>
      <c r="S36" s="8">
        <f t="shared" si="18"/>
        <v>2022</v>
      </c>
      <c r="T36" s="8">
        <f t="shared" si="19"/>
        <v>-123181.16046142578</v>
      </c>
      <c r="U36" s="8">
        <f t="shared" si="19"/>
        <v>-1033467.7758636475</v>
      </c>
      <c r="W36" s="8">
        <f>Fact7!P34</f>
        <v>-17.479354813284054</v>
      </c>
      <c r="Z36" s="3064"/>
      <c r="AA36" s="3064"/>
      <c r="AB36" s="3064"/>
      <c r="AC36" s="3064"/>
      <c r="AD36" s="3064"/>
      <c r="AE36" s="3064"/>
    </row>
    <row r="37" spans="1:31">
      <c r="A37" s="6179" t="s">
        <v>1197</v>
      </c>
      <c r="B37" s="6180">
        <v>14203.495314598083</v>
      </c>
      <c r="C37" s="6181">
        <v>34785.282608032227</v>
      </c>
      <c r="D37" s="6182">
        <v>31480.415254592896</v>
      </c>
      <c r="E37" s="6183">
        <v>121114.06892299652</v>
      </c>
      <c r="F37" s="6184">
        <v>179498.43230342865</v>
      </c>
      <c r="G37" s="6185">
        <v>1297373.203045845</v>
      </c>
      <c r="H37" s="6186">
        <v>2017</v>
      </c>
      <c r="I37" s="6187">
        <v>18190484</v>
      </c>
      <c r="K37" s="8" t="str">
        <f t="shared" si="13"/>
        <v xml:space="preserve">  ECU</v>
      </c>
      <c r="L37" s="8">
        <f t="shared" si="14"/>
        <v>2017</v>
      </c>
      <c r="M37" s="8">
        <f t="shared" si="15"/>
        <v>14203.495314598083</v>
      </c>
      <c r="N37" s="8">
        <f t="shared" si="15"/>
        <v>34785.282608032227</v>
      </c>
      <c r="O37" s="8">
        <f t="shared" si="16"/>
        <v>179498.43230342865</v>
      </c>
      <c r="P37" s="8">
        <f t="shared" si="16"/>
        <v>1297373.203045845</v>
      </c>
      <c r="Q37" s="3695"/>
      <c r="R37" s="8" t="str">
        <f t="shared" si="17"/>
        <v xml:space="preserve">  ECU</v>
      </c>
      <c r="S37" s="8">
        <f t="shared" si="18"/>
        <v>2017</v>
      </c>
      <c r="T37" s="8">
        <f t="shared" si="19"/>
        <v>-165294.93698883057</v>
      </c>
      <c r="U37" s="8">
        <f t="shared" si="19"/>
        <v>-1262587.9204378128</v>
      </c>
      <c r="W37" s="8">
        <f>Fact7!P35</f>
        <v>-21.323587662931338</v>
      </c>
      <c r="Z37" s="3064"/>
      <c r="AA37" s="3064"/>
      <c r="AB37" s="3064"/>
      <c r="AC37" s="3064"/>
      <c r="AD37" s="3064"/>
      <c r="AE37" s="3064"/>
    </row>
    <row r="38" spans="1:31">
      <c r="A38" s="6188" t="s">
        <v>1204</v>
      </c>
      <c r="B38" s="6189">
        <v>82509</v>
      </c>
      <c r="C38" s="6190">
        <v>91647</v>
      </c>
      <c r="D38" s="6191">
        <v>86932</v>
      </c>
      <c r="E38" s="6192">
        <v>133741</v>
      </c>
      <c r="F38" s="6193">
        <v>271071</v>
      </c>
      <c r="G38" s="6194">
        <v>748383</v>
      </c>
      <c r="H38" s="6195">
        <v>2022</v>
      </c>
      <c r="I38" s="6196">
        <v>18092026</v>
      </c>
      <c r="K38" s="8" t="str">
        <f t="shared" si="13"/>
        <v xml:space="preserve">  GTM</v>
      </c>
      <c r="L38" s="8">
        <f t="shared" si="14"/>
        <v>2022</v>
      </c>
      <c r="M38" s="8">
        <f t="shared" si="15"/>
        <v>82509</v>
      </c>
      <c r="N38" s="8">
        <f t="shared" si="15"/>
        <v>91647</v>
      </c>
      <c r="O38" s="8">
        <f t="shared" si="16"/>
        <v>271071</v>
      </c>
      <c r="P38" s="8">
        <f t="shared" si="16"/>
        <v>748383</v>
      </c>
      <c r="Q38" s="3696"/>
      <c r="R38" s="8" t="str">
        <f t="shared" si="17"/>
        <v xml:space="preserve">  GTM</v>
      </c>
      <c r="S38" s="8">
        <f t="shared" si="18"/>
        <v>2022</v>
      </c>
      <c r="T38" s="8">
        <f t="shared" si="19"/>
        <v>-188562</v>
      </c>
      <c r="U38" s="8">
        <f t="shared" si="19"/>
        <v>-656736</v>
      </c>
      <c r="W38" s="8">
        <f>Fact7!P46</f>
        <v>-17.559417903989395</v>
      </c>
      <c r="Z38" s="3064"/>
      <c r="AA38" s="3064"/>
      <c r="AB38" s="3064"/>
      <c r="AC38" s="3064"/>
      <c r="AD38" s="3064"/>
      <c r="AE38" s="3064"/>
    </row>
    <row r="39" spans="1:31">
      <c r="A39" s="6197" t="s">
        <v>1199</v>
      </c>
      <c r="B39" s="6198">
        <v>130287.16676330566</v>
      </c>
      <c r="C39" s="6199">
        <v>156715.27438354492</v>
      </c>
      <c r="D39" s="6200">
        <v>114360.88903808594</v>
      </c>
      <c r="E39" s="6201">
        <v>181146.04130554199</v>
      </c>
      <c r="F39" s="6202">
        <v>180263.43075561523</v>
      </c>
      <c r="G39" s="6203">
        <v>612603.54483032227</v>
      </c>
      <c r="H39" s="6204">
        <v>2023</v>
      </c>
      <c r="I39" s="6205">
        <v>10593798</v>
      </c>
      <c r="K39" s="8" t="str">
        <f t="shared" si="13"/>
        <v xml:space="preserve">  HND</v>
      </c>
      <c r="L39" s="8">
        <f t="shared" si="14"/>
        <v>2023</v>
      </c>
      <c r="M39" s="8">
        <f t="shared" si="15"/>
        <v>130287.16676330566</v>
      </c>
      <c r="N39" s="8">
        <f t="shared" si="15"/>
        <v>156715.27438354492</v>
      </c>
      <c r="O39" s="8">
        <f t="shared" si="16"/>
        <v>180263.43075561523</v>
      </c>
      <c r="P39" s="8">
        <f t="shared" si="16"/>
        <v>612603.54483032227</v>
      </c>
      <c r="Q39" s="3697"/>
      <c r="R39" s="8" t="str">
        <f t="shared" si="17"/>
        <v xml:space="preserve">  HND</v>
      </c>
      <c r="S39" s="8">
        <f t="shared" si="18"/>
        <v>2023</v>
      </c>
      <c r="T39" s="8">
        <f t="shared" si="19"/>
        <v>-49976.26399230957</v>
      </c>
      <c r="U39" s="8">
        <f t="shared" si="19"/>
        <v>-455888.27044677734</v>
      </c>
      <c r="W39" s="8">
        <f>Fact7!P37</f>
        <v>-26.8187971751594</v>
      </c>
      <c r="Z39" s="3064"/>
      <c r="AA39" s="3064"/>
      <c r="AB39" s="3064"/>
      <c r="AC39" s="3064"/>
      <c r="AD39" s="3064"/>
      <c r="AE39" s="3064"/>
    </row>
    <row r="40" spans="1:31">
      <c r="A40" s="6206" t="s">
        <v>1205</v>
      </c>
      <c r="B40" s="6207">
        <v>267099</v>
      </c>
      <c r="C40" s="6208">
        <v>486870</v>
      </c>
      <c r="D40" s="6209">
        <v>687727</v>
      </c>
      <c r="E40" s="6210">
        <v>2311207</v>
      </c>
      <c r="F40" s="6211">
        <v>1966913</v>
      </c>
      <c r="G40" s="6212">
        <v>17035045</v>
      </c>
      <c r="H40" s="6213">
        <v>2022</v>
      </c>
      <c r="I40" s="6214">
        <v>128455567</v>
      </c>
      <c r="K40" s="8" t="str">
        <f t="shared" si="13"/>
        <v xml:space="preserve">  MEX</v>
      </c>
      <c r="L40" s="8">
        <f t="shared" si="14"/>
        <v>2022</v>
      </c>
      <c r="M40" s="8">
        <f t="shared" si="15"/>
        <v>267099</v>
      </c>
      <c r="N40" s="8">
        <f t="shared" si="15"/>
        <v>486870</v>
      </c>
      <c r="O40" s="8">
        <f t="shared" si="16"/>
        <v>1966913</v>
      </c>
      <c r="P40" s="8">
        <f t="shared" si="16"/>
        <v>17035045</v>
      </c>
      <c r="Q40" s="3698"/>
      <c r="R40" s="8" t="str">
        <f t="shared" si="17"/>
        <v xml:space="preserve">  MEX</v>
      </c>
      <c r="S40" s="8">
        <f t="shared" si="18"/>
        <v>2022</v>
      </c>
      <c r="T40" s="8">
        <f t="shared" si="19"/>
        <v>-1699814</v>
      </c>
      <c r="U40" s="8">
        <f t="shared" si="19"/>
        <v>-16548175</v>
      </c>
      <c r="W40" s="8">
        <f>Fact7!P38</f>
        <v>-34.077386212074828</v>
      </c>
      <c r="Z40" s="3064"/>
      <c r="AA40" s="3064"/>
      <c r="AB40" s="3064"/>
      <c r="AC40" s="3064"/>
      <c r="AD40" s="3064"/>
      <c r="AE40" s="3064"/>
    </row>
    <row r="41" spans="1:31">
      <c r="A41" s="6215" t="s">
        <v>1200</v>
      </c>
      <c r="B41" s="6216">
        <v>22158</v>
      </c>
      <c r="C41" s="6217">
        <v>16951</v>
      </c>
      <c r="D41" s="6218">
        <v>30058</v>
      </c>
      <c r="E41" s="6219">
        <v>43188</v>
      </c>
      <c r="F41" s="6220">
        <v>163143</v>
      </c>
      <c r="G41" s="6221">
        <v>792505</v>
      </c>
      <c r="H41" s="6222">
        <v>2022</v>
      </c>
      <c r="I41" s="6223">
        <v>4468087</v>
      </c>
      <c r="K41" s="8" t="str">
        <f t="shared" si="13"/>
        <v xml:space="preserve">  PAN</v>
      </c>
      <c r="L41" s="8">
        <f t="shared" si="14"/>
        <v>2022</v>
      </c>
      <c r="M41" s="8">
        <f t="shared" si="15"/>
        <v>22158</v>
      </c>
      <c r="N41" s="8">
        <f t="shared" si="15"/>
        <v>16951</v>
      </c>
      <c r="O41" s="8">
        <f t="shared" si="16"/>
        <v>163143</v>
      </c>
      <c r="P41" s="8">
        <f t="shared" si="16"/>
        <v>792505</v>
      </c>
      <c r="Q41" s="3699"/>
      <c r="R41" s="8" t="str">
        <f t="shared" si="17"/>
        <v xml:space="preserve">  PAN</v>
      </c>
      <c r="S41" s="8">
        <f t="shared" si="18"/>
        <v>2022</v>
      </c>
      <c r="T41" s="8">
        <f t="shared" si="19"/>
        <v>-140985</v>
      </c>
      <c r="U41" s="8">
        <f t="shared" si="19"/>
        <v>-775554</v>
      </c>
      <c r="W41" s="8">
        <f>Fact7!P39</f>
        <v>-11.56849374146686</v>
      </c>
      <c r="Z41" s="3064"/>
      <c r="AA41" s="3064"/>
      <c r="AB41" s="3064"/>
      <c r="AC41" s="3064"/>
      <c r="AD41" s="3064"/>
      <c r="AE41" s="3064"/>
    </row>
    <row r="42" spans="1:31">
      <c r="A42" s="6224" t="s">
        <v>1201</v>
      </c>
      <c r="B42" s="6225">
        <v>54363.74423122406</v>
      </c>
      <c r="C42" s="6226">
        <v>198517.99864172935</v>
      </c>
      <c r="D42" s="6227">
        <v>112960.48408985138</v>
      </c>
      <c r="E42" s="6228">
        <v>729155.82131016254</v>
      </c>
      <c r="F42" s="6229">
        <v>258353.04169464111</v>
      </c>
      <c r="G42" s="6230">
        <v>4167103.2565090656</v>
      </c>
      <c r="H42" s="6231">
        <v>2022</v>
      </c>
      <c r="I42" s="6232">
        <v>34352719</v>
      </c>
      <c r="K42" s="8" t="str">
        <f t="shared" si="13"/>
        <v xml:space="preserve">  PER</v>
      </c>
      <c r="L42" s="8">
        <f t="shared" si="14"/>
        <v>2022</v>
      </c>
      <c r="M42" s="8">
        <f t="shared" si="15"/>
        <v>54363.74423122406</v>
      </c>
      <c r="N42" s="8">
        <f t="shared" si="15"/>
        <v>198517.99864172935</v>
      </c>
      <c r="O42" s="8">
        <f t="shared" si="16"/>
        <v>258353.04169464111</v>
      </c>
      <c r="P42" s="8">
        <f t="shared" si="16"/>
        <v>4167103.2565090656</v>
      </c>
      <c r="Q42" s="3700"/>
      <c r="R42" s="8" t="str">
        <f t="shared" si="17"/>
        <v xml:space="preserve">  PER</v>
      </c>
      <c r="S42" s="8">
        <f t="shared" si="18"/>
        <v>2022</v>
      </c>
      <c r="T42" s="8">
        <f t="shared" si="19"/>
        <v>-203989.29746341705</v>
      </c>
      <c r="U42" s="8">
        <f t="shared" si="19"/>
        <v>-3968585.2578673363</v>
      </c>
      <c r="W42" s="8">
        <f>Fact7!P40</f>
        <v>-40.004710414485913</v>
      </c>
      <c r="Z42" s="3064"/>
      <c r="AA42" s="3064"/>
      <c r="AB42" s="3064"/>
      <c r="AC42" s="3064"/>
      <c r="AD42" s="3064"/>
      <c r="AE42" s="3064"/>
    </row>
    <row r="43" spans="1:31">
      <c r="A43" s="6233" t="s">
        <v>1202</v>
      </c>
      <c r="B43" s="6234">
        <v>8879</v>
      </c>
      <c r="C43" s="6235">
        <v>17055</v>
      </c>
      <c r="D43" s="6236">
        <v>16822</v>
      </c>
      <c r="E43" s="6237">
        <v>63252</v>
      </c>
      <c r="F43" s="6238">
        <v>123681</v>
      </c>
      <c r="G43" s="6239">
        <v>792594</v>
      </c>
      <c r="H43" s="6240">
        <v>2022</v>
      </c>
      <c r="I43" s="6241">
        <v>6861524</v>
      </c>
      <c r="K43" s="8" t="str">
        <f t="shared" si="13"/>
        <v xml:space="preserve">  PRY</v>
      </c>
      <c r="L43" s="8">
        <f t="shared" si="14"/>
        <v>2022</v>
      </c>
      <c r="M43" s="8">
        <f t="shared" si="15"/>
        <v>8879</v>
      </c>
      <c r="N43" s="8">
        <f t="shared" si="15"/>
        <v>17055</v>
      </c>
      <c r="O43" s="8">
        <f t="shared" si="16"/>
        <v>123681</v>
      </c>
      <c r="P43" s="8">
        <f t="shared" si="16"/>
        <v>792594</v>
      </c>
      <c r="Q43" s="3701"/>
      <c r="R43" s="8" t="str">
        <f t="shared" si="17"/>
        <v xml:space="preserve">  PRY</v>
      </c>
      <c r="S43" s="8">
        <f t="shared" si="18"/>
        <v>2022</v>
      </c>
      <c r="T43" s="8">
        <f t="shared" si="19"/>
        <v>-114802</v>
      </c>
      <c r="U43" s="8">
        <f t="shared" si="19"/>
        <v>-775539</v>
      </c>
      <c r="W43" s="8">
        <f>Fact7!P41</f>
        <v>-17.489311514339903</v>
      </c>
      <c r="Z43" s="3064"/>
      <c r="AA43" s="3064"/>
      <c r="AB43" s="3064"/>
      <c r="AC43" s="3064"/>
      <c r="AD43" s="3064"/>
      <c r="AE43" s="3064"/>
    </row>
    <row r="44" spans="1:31">
      <c r="A44" s="6242" t="s">
        <v>1206</v>
      </c>
      <c r="B44" s="6243">
        <v>14089.471231460571</v>
      </c>
      <c r="C44" s="6244">
        <v>38860.609708786011</v>
      </c>
      <c r="D44" s="6245">
        <v>15545.186893463135</v>
      </c>
      <c r="E44" s="6246">
        <v>86621.83962059021</v>
      </c>
      <c r="F44" s="6247">
        <v>56103.878018379211</v>
      </c>
      <c r="G44" s="6248">
        <v>494247.81736755371</v>
      </c>
      <c r="H44" s="6249">
        <v>2023</v>
      </c>
      <c r="I44" s="6250">
        <v>6364943</v>
      </c>
      <c r="K44" s="8" t="str">
        <f t="shared" si="13"/>
        <v xml:space="preserve">  SLV</v>
      </c>
      <c r="L44" s="8">
        <f t="shared" si="14"/>
        <v>2023</v>
      </c>
      <c r="M44" s="8">
        <f t="shared" si="15"/>
        <v>14089.471231460571</v>
      </c>
      <c r="N44" s="8">
        <f t="shared" si="15"/>
        <v>38860.609708786011</v>
      </c>
      <c r="O44" s="8">
        <f t="shared" si="16"/>
        <v>56103.878018379211</v>
      </c>
      <c r="P44" s="8">
        <f t="shared" si="16"/>
        <v>494247.81736755371</v>
      </c>
      <c r="Q44" s="3702"/>
      <c r="R44" s="8" t="str">
        <f t="shared" si="17"/>
        <v xml:space="preserve">  SLV</v>
      </c>
      <c r="S44" s="8">
        <f t="shared" si="18"/>
        <v>2023</v>
      </c>
      <c r="T44" s="8">
        <f t="shared" si="19"/>
        <v>-42014.40678691864</v>
      </c>
      <c r="U44" s="8">
        <f t="shared" si="19"/>
        <v>-455387.2076587677</v>
      </c>
      <c r="W44" s="8">
        <f>Fact7!P42</f>
        <v>-44.728041925057354</v>
      </c>
      <c r="Z44" s="3064"/>
      <c r="AA44" s="3064"/>
      <c r="AB44" s="3064"/>
      <c r="AC44" s="3064"/>
      <c r="AD44" s="3064"/>
      <c r="AE44" s="3064"/>
    </row>
    <row r="45" spans="1:31">
      <c r="A45" s="6251" t="s">
        <v>1207</v>
      </c>
      <c r="B45" s="6252">
        <v>1275</v>
      </c>
      <c r="C45" s="6253">
        <v>10576</v>
      </c>
      <c r="D45" s="6254">
        <v>6823</v>
      </c>
      <c r="E45" s="6255">
        <v>39230</v>
      </c>
      <c r="F45" s="6256">
        <v>104935</v>
      </c>
      <c r="G45" s="6257">
        <v>792444</v>
      </c>
      <c r="H45" s="6258">
        <v>2022</v>
      </c>
      <c r="I45" s="6259">
        <v>3423109</v>
      </c>
      <c r="Q45" s="3703"/>
      <c r="W45" s="8"/>
      <c r="Z45" s="3064"/>
      <c r="AA45" s="3064"/>
      <c r="AB45" s="3064"/>
      <c r="AC45" s="3064"/>
      <c r="AD45" s="3064"/>
      <c r="AE45" s="3064"/>
    </row>
    <row r="46" spans="1:31">
      <c r="A46" s="6260" t="s">
        <v>1203</v>
      </c>
      <c r="B46" s="6261"/>
      <c r="C46" s="6262"/>
      <c r="D46" s="6263"/>
      <c r="E46" s="6264"/>
      <c r="F46" s="6265"/>
      <c r="G46" s="6266"/>
      <c r="H46" s="6267">
        <v>2021</v>
      </c>
      <c r="I46" s="6268">
        <v>28838499</v>
      </c>
      <c r="K46" s="3" t="s">
        <v>1261</v>
      </c>
      <c r="L46" s="8"/>
      <c r="M46" s="8">
        <f>AVERAGE(M31:M44)</f>
        <v>127073.47477817535</v>
      </c>
      <c r="N46" s="8">
        <f>AVERAGE(N31:N44)</f>
        <v>365030.60304299422</v>
      </c>
      <c r="O46" s="8">
        <f t="shared" ref="O46:P46" si="20">AVERAGE(O31:O44)</f>
        <v>513671.52812617167</v>
      </c>
      <c r="P46" s="8">
        <f t="shared" si="20"/>
        <v>5804732.4899283992</v>
      </c>
      <c r="R46" s="3" t="s">
        <v>1261</v>
      </c>
      <c r="S46" s="8"/>
      <c r="T46" s="8">
        <f>AVERAGE(T31:T44)</f>
        <v>-386598.05334799632</v>
      </c>
      <c r="U46" s="8">
        <f t="shared" ref="U46:W46" si="21">AVERAGE(U31:U44)</f>
        <v>-5439701.8868854046</v>
      </c>
      <c r="V46" s="8"/>
      <c r="W46" s="8">
        <f t="shared" si="21"/>
        <v>-24.018686153568378</v>
      </c>
      <c r="Z46" s="3064"/>
      <c r="AA46" s="3064"/>
      <c r="AB46" s="3064"/>
      <c r="AC46" s="3064"/>
      <c r="AD46" s="3064"/>
      <c r="AE46" s="3064"/>
    </row>
    <row r="47" spans="1:31" ht="15" thickBot="1">
      <c r="A47" s="6269"/>
      <c r="B47" s="6824" t="s">
        <v>1045</v>
      </c>
      <c r="C47" s="6825" t="s">
        <v>1045</v>
      </c>
      <c r="D47" s="6826" t="s">
        <v>1045</v>
      </c>
      <c r="E47" s="6827" t="s">
        <v>1045</v>
      </c>
      <c r="F47" s="6828" t="s">
        <v>1045</v>
      </c>
      <c r="G47" s="6829" t="s">
        <v>1045</v>
      </c>
      <c r="H47" s="6270" t="s">
        <v>1186</v>
      </c>
      <c r="I47" s="6271" t="s">
        <v>1257</v>
      </c>
      <c r="K47" s="212" t="s">
        <v>1145</v>
      </c>
      <c r="L47" s="85"/>
      <c r="M47" s="85">
        <f>SUMPRODUCT(M31:M44,$I31:$I44)/SUM($I31:$I44)</f>
        <v>468253.27106164175</v>
      </c>
      <c r="N47" s="85">
        <f>SUMPRODUCT(N31:N44,$I31:$I44)/SUM($I31:$I44)</f>
        <v>1528544.6764673686</v>
      </c>
      <c r="O47" s="85">
        <f t="shared" ref="O47" si="22">SUMPRODUCT(O31:O44,$I31:$I44)/SUM($I31:$I44)</f>
        <v>1614906.3379224879</v>
      </c>
      <c r="P47" s="85">
        <f>SUMPRODUCT(P31:P44,$I31:$I44)/SUM($I31:$I44)</f>
        <v>21788005.341934938</v>
      </c>
      <c r="Q47" s="3704"/>
      <c r="R47" s="212" t="s">
        <v>1145</v>
      </c>
      <c r="S47" s="85"/>
      <c r="T47" s="85">
        <f>SUMPRODUCT(T31:T44,$I31:$I44)/SUM($I31:$I44)</f>
        <v>-1146653.066860846</v>
      </c>
      <c r="U47" s="85">
        <f t="shared" ref="U47:W47" si="23">SUMPRODUCT(U31:U44,$I31:$I44)/SUM($I31:$I44)</f>
        <v>-20259460.665467575</v>
      </c>
      <c r="V47" s="85"/>
      <c r="W47" s="85">
        <f t="shared" si="23"/>
        <v>-27.615269306117639</v>
      </c>
      <c r="Z47" s="3064"/>
      <c r="AA47" s="3064"/>
      <c r="AB47" s="3064"/>
      <c r="AC47" s="3064"/>
      <c r="AD47" s="3064"/>
      <c r="AE47" s="3064"/>
    </row>
    <row r="48" spans="1:31" ht="15" thickTop="1">
      <c r="A48" s="6272"/>
      <c r="B48" s="6830" t="s">
        <v>1187</v>
      </c>
      <c r="C48" s="6830" t="s">
        <v>1187</v>
      </c>
      <c r="D48" s="6831" t="s">
        <v>1188</v>
      </c>
      <c r="E48" s="6831" t="s">
        <v>1188</v>
      </c>
      <c r="F48" s="6832" t="s">
        <v>1189</v>
      </c>
      <c r="G48" s="6832" t="s">
        <v>1189</v>
      </c>
      <c r="I48" s="6273" t="s">
        <v>1187</v>
      </c>
      <c r="L48" s="8"/>
      <c r="M48" s="8"/>
      <c r="N48" s="8"/>
      <c r="O48" s="8"/>
      <c r="P48" s="8"/>
      <c r="Q48" s="3705"/>
      <c r="S48" s="8"/>
      <c r="T48" s="8"/>
      <c r="U48" s="8"/>
      <c r="V48" s="8"/>
      <c r="W48" s="8"/>
    </row>
    <row r="49" spans="1:23">
      <c r="A49" s="6274"/>
      <c r="B49" s="6833" t="s">
        <v>1258</v>
      </c>
      <c r="C49" s="6833" t="s">
        <v>1258</v>
      </c>
      <c r="D49" s="6834" t="s">
        <v>1258</v>
      </c>
      <c r="E49" s="6834" t="s">
        <v>1258</v>
      </c>
      <c r="F49" s="6835" t="s">
        <v>1258</v>
      </c>
      <c r="G49" s="6835" t="s">
        <v>1258</v>
      </c>
      <c r="I49"/>
      <c r="L49" s="8"/>
      <c r="M49" s="8"/>
      <c r="N49" s="8"/>
      <c r="O49" s="8"/>
      <c r="P49" s="8"/>
      <c r="S49" s="8"/>
      <c r="T49" s="8"/>
      <c r="U49" s="8"/>
      <c r="V49" s="8"/>
      <c r="W49" s="8"/>
    </row>
    <row r="50" spans="1:23">
      <c r="A50" s="6275"/>
      <c r="B50" s="6276" t="s">
        <v>1259</v>
      </c>
      <c r="C50" s="6277" t="s">
        <v>1260</v>
      </c>
      <c r="D50" s="6278" t="s">
        <v>1259</v>
      </c>
      <c r="E50" s="6279" t="s">
        <v>1260</v>
      </c>
      <c r="F50" s="6280" t="s">
        <v>1259</v>
      </c>
      <c r="G50" s="6281" t="s">
        <v>1260</v>
      </c>
      <c r="I50" s="3878"/>
      <c r="L50" s="8"/>
      <c r="M50" s="8"/>
      <c r="N50" s="8"/>
      <c r="O50" s="8"/>
      <c r="P50" s="8"/>
      <c r="S50" s="8"/>
      <c r="T50" s="8"/>
      <c r="U50" s="8"/>
      <c r="V50" s="8"/>
      <c r="W50" s="8"/>
    </row>
    <row r="51" spans="1:23">
      <c r="A51" s="6282"/>
      <c r="B51" s="6283" t="s">
        <v>1221</v>
      </c>
      <c r="C51" s="6284" t="s">
        <v>1221</v>
      </c>
      <c r="D51" s="6285" t="s">
        <v>1221</v>
      </c>
      <c r="E51" s="6286" t="s">
        <v>1221</v>
      </c>
      <c r="F51" s="6287" t="s">
        <v>1221</v>
      </c>
      <c r="G51" s="6288" t="s">
        <v>1221</v>
      </c>
      <c r="I51" s="3879"/>
      <c r="L51" s="8"/>
      <c r="M51" s="8"/>
      <c r="N51" s="8"/>
      <c r="O51" s="8"/>
      <c r="P51" s="8"/>
      <c r="S51" s="8"/>
      <c r="T51" s="8"/>
      <c r="U51" s="8"/>
      <c r="V51" s="8"/>
      <c r="W51" s="8"/>
    </row>
    <row r="52" spans="1:23" ht="15" thickBot="1">
      <c r="A52" s="6289"/>
      <c r="B52" s="6290" t="s">
        <v>1187</v>
      </c>
      <c r="C52" s="6291" t="s">
        <v>1187</v>
      </c>
      <c r="D52" s="6292" t="s">
        <v>1187</v>
      </c>
      <c r="E52" s="6293" t="s">
        <v>1187</v>
      </c>
      <c r="F52" s="6294" t="s">
        <v>1187</v>
      </c>
      <c r="G52" s="6295" t="s">
        <v>1187</v>
      </c>
      <c r="I52" s="3880"/>
      <c r="K52" s="972" t="str">
        <f>B51</f>
        <v>sanred_ch</v>
      </c>
      <c r="L52" s="2649"/>
      <c r="M52" s="85"/>
      <c r="N52" s="85"/>
      <c r="O52" s="85"/>
      <c r="P52" s="85"/>
      <c r="R52" s="972" t="str">
        <f>E51</f>
        <v>sanred_ch</v>
      </c>
      <c r="S52" s="2649"/>
      <c r="T52" s="85"/>
      <c r="U52" s="85"/>
      <c r="V52" s="85"/>
      <c r="W52" s="85"/>
    </row>
    <row r="53" spans="1:23" ht="15" thickTop="1">
      <c r="A53" s="6296" t="s">
        <v>1125</v>
      </c>
      <c r="B53" s="6297"/>
      <c r="C53" s="6298"/>
      <c r="D53" s="6299"/>
      <c r="E53" s="6300"/>
      <c r="F53" s="6301"/>
      <c r="G53" s="6302"/>
      <c r="H53" s="6303"/>
      <c r="I53" s="6304"/>
      <c r="K53" s="213" t="s">
        <v>904</v>
      </c>
      <c r="L53" s="216" t="s">
        <v>938</v>
      </c>
      <c r="M53" s="2650" t="s">
        <v>1273</v>
      </c>
      <c r="N53" s="2650" t="s">
        <v>1136</v>
      </c>
      <c r="O53" s="2650"/>
      <c r="P53" s="2650"/>
      <c r="Q53" s="3706"/>
      <c r="R53" s="213" t="s">
        <v>904</v>
      </c>
      <c r="S53" s="216" t="s">
        <v>938</v>
      </c>
      <c r="T53" s="2650" t="s">
        <v>1273</v>
      </c>
      <c r="U53" s="2650" t="s">
        <v>1136</v>
      </c>
      <c r="W53" s="76" t="s">
        <v>901</v>
      </c>
    </row>
    <row r="54" spans="1:23">
      <c r="A54" s="6305" t="s">
        <v>1190</v>
      </c>
      <c r="C54" s="6306">
        <v>285006</v>
      </c>
      <c r="E54" s="6307">
        <v>459546</v>
      </c>
      <c r="G54" s="6308">
        <v>5412958</v>
      </c>
      <c r="H54" s="6309">
        <v>2022</v>
      </c>
      <c r="I54" s="6310">
        <v>45773884</v>
      </c>
      <c r="K54" s="8" t="str">
        <f t="shared" ref="K54:K68" si="24">A54</f>
        <v xml:space="preserve">  ARG</v>
      </c>
      <c r="L54" s="8">
        <f t="shared" ref="L54:L68" si="25">H54</f>
        <v>2022</v>
      </c>
      <c r="M54" s="8">
        <f t="shared" ref="M54:N68" si="26">B54</f>
        <v>0</v>
      </c>
      <c r="N54" s="8">
        <f t="shared" si="26"/>
        <v>285006</v>
      </c>
      <c r="O54" s="8">
        <f t="shared" ref="O54:P68" si="27">F54</f>
        <v>0</v>
      </c>
      <c r="P54" s="8">
        <f t="shared" si="27"/>
        <v>5412958</v>
      </c>
      <c r="Q54" s="3707"/>
      <c r="R54" s="8" t="str">
        <f t="shared" ref="R54:R68" si="28">A54</f>
        <v xml:space="preserve">  ARG</v>
      </c>
      <c r="S54" s="8">
        <f t="shared" ref="S54:S68" si="29">H54*1</f>
        <v>2022</v>
      </c>
      <c r="T54" s="8">
        <f t="shared" ref="T54:U68" si="30">B54-F54</f>
        <v>0</v>
      </c>
      <c r="U54" s="8">
        <f t="shared" si="30"/>
        <v>-5127952</v>
      </c>
      <c r="W54" s="8">
        <f>Fact7!P52</f>
        <v>-8.611934448733054</v>
      </c>
    </row>
    <row r="55" spans="1:23">
      <c r="A55" s="6311" t="s">
        <v>1191</v>
      </c>
      <c r="B55" s="6312">
        <v>11430.643280029297</v>
      </c>
      <c r="C55" s="6313">
        <v>36053.916799545288</v>
      </c>
      <c r="D55" s="6314">
        <v>15870.434204101563</v>
      </c>
      <c r="E55" s="6315">
        <v>117469.72887611389</v>
      </c>
      <c r="F55" s="6316">
        <v>83300.564491271973</v>
      </c>
      <c r="G55" s="6317">
        <v>1697990.4522571564</v>
      </c>
      <c r="H55" s="6318">
        <v>2022</v>
      </c>
      <c r="I55" s="6319">
        <v>12388571</v>
      </c>
      <c r="K55" s="8" t="str">
        <f t="shared" si="24"/>
        <v xml:space="preserve">  BOL</v>
      </c>
      <c r="L55" s="8">
        <f t="shared" si="25"/>
        <v>2022</v>
      </c>
      <c r="M55" s="8">
        <f t="shared" si="26"/>
        <v>11430.643280029297</v>
      </c>
      <c r="N55" s="8">
        <f t="shared" si="26"/>
        <v>36053.916799545288</v>
      </c>
      <c r="O55" s="8">
        <f t="shared" si="27"/>
        <v>83300.564491271973</v>
      </c>
      <c r="P55" s="8">
        <f t="shared" si="27"/>
        <v>1697990.4522571564</v>
      </c>
      <c r="Q55" s="3708"/>
      <c r="R55" s="8" t="str">
        <f t="shared" si="28"/>
        <v xml:space="preserve">  BOL</v>
      </c>
      <c r="S55" s="8">
        <f t="shared" si="29"/>
        <v>2022</v>
      </c>
      <c r="T55" s="8">
        <f t="shared" si="30"/>
        <v>-71869.921211242676</v>
      </c>
      <c r="U55" s="8">
        <f t="shared" si="30"/>
        <v>-1661936.5354576111</v>
      </c>
      <c r="W55" s="8">
        <f>Fact7!P53</f>
        <v>-26.491433032340748</v>
      </c>
    </row>
    <row r="56" spans="1:23">
      <c r="A56" s="6320" t="s">
        <v>1192</v>
      </c>
      <c r="B56" s="6321">
        <v>60302.600950241089</v>
      </c>
      <c r="C56" s="6322">
        <v>2120222.9270401001</v>
      </c>
      <c r="D56" s="6323">
        <v>89340.751998901367</v>
      </c>
      <c r="E56" s="6324">
        <v>5754721.2511444092</v>
      </c>
      <c r="F56" s="6325">
        <v>230849.79682254791</v>
      </c>
      <c r="G56" s="6326">
        <v>37457687.019356728</v>
      </c>
      <c r="H56" s="6327">
        <v>2022</v>
      </c>
      <c r="I56" s="6328">
        <v>216422446</v>
      </c>
      <c r="K56" s="8" t="str">
        <f t="shared" si="24"/>
        <v xml:space="preserve">  BRA</v>
      </c>
      <c r="L56" s="8">
        <f t="shared" si="25"/>
        <v>2022</v>
      </c>
      <c r="M56" s="8">
        <f t="shared" si="26"/>
        <v>60302.600950241089</v>
      </c>
      <c r="N56" s="8">
        <f t="shared" si="26"/>
        <v>2120222.9270401001</v>
      </c>
      <c r="O56" s="8">
        <f t="shared" si="27"/>
        <v>230849.79682254791</v>
      </c>
      <c r="P56" s="8">
        <f t="shared" si="27"/>
        <v>37457687.019356728</v>
      </c>
      <c r="Q56" s="3709"/>
      <c r="R56" s="8" t="str">
        <f t="shared" si="28"/>
        <v xml:space="preserve">  BRA</v>
      </c>
      <c r="S56" s="8">
        <f t="shared" si="29"/>
        <v>2022</v>
      </c>
      <c r="T56" s="8">
        <f t="shared" si="30"/>
        <v>-170547.19587230682</v>
      </c>
      <c r="U56" s="8">
        <f t="shared" si="30"/>
        <v>-35337464.092316628</v>
      </c>
      <c r="W56" s="8">
        <f>Fact7!P54</f>
        <v>-17.361502039791194</v>
      </c>
    </row>
    <row r="57" spans="1:23">
      <c r="A57" s="6329" t="s">
        <v>1193</v>
      </c>
      <c r="B57" s="6330">
        <v>4363</v>
      </c>
      <c r="C57" s="6331">
        <v>152873</v>
      </c>
      <c r="D57" s="6332">
        <v>11597</v>
      </c>
      <c r="E57" s="6333">
        <v>338451</v>
      </c>
      <c r="F57" s="6334">
        <v>95849</v>
      </c>
      <c r="G57" s="6335">
        <v>5373093</v>
      </c>
      <c r="H57" s="6336">
        <v>2022</v>
      </c>
      <c r="I57" s="6337">
        <v>19629590</v>
      </c>
      <c r="K57" s="8" t="str">
        <f t="shared" si="24"/>
        <v xml:space="preserve">  CHL</v>
      </c>
      <c r="L57" s="8">
        <f t="shared" si="25"/>
        <v>2022</v>
      </c>
      <c r="M57" s="8">
        <f t="shared" si="26"/>
        <v>4363</v>
      </c>
      <c r="N57" s="8">
        <f t="shared" si="26"/>
        <v>152873</v>
      </c>
      <c r="O57" s="8">
        <f t="shared" si="27"/>
        <v>95849</v>
      </c>
      <c r="P57" s="8">
        <f t="shared" si="27"/>
        <v>5373093</v>
      </c>
      <c r="Q57" s="3710"/>
      <c r="R57" s="8" t="str">
        <f t="shared" si="28"/>
        <v xml:space="preserve">  CHL</v>
      </c>
      <c r="S57" s="8">
        <f t="shared" si="29"/>
        <v>2022</v>
      </c>
      <c r="T57" s="8">
        <f t="shared" si="30"/>
        <v>-91486</v>
      </c>
      <c r="U57" s="8">
        <f t="shared" si="30"/>
        <v>-5220220</v>
      </c>
      <c r="W57" s="8">
        <f>Fact7!P55</f>
        <v>-24.159564354155798</v>
      </c>
    </row>
    <row r="58" spans="1:23">
      <c r="A58" s="6338" t="s">
        <v>1194</v>
      </c>
      <c r="B58" s="6339">
        <v>103995.43188285828</v>
      </c>
      <c r="C58" s="6340">
        <v>1205704.7880358696</v>
      </c>
      <c r="D58" s="6341">
        <v>113524.16508579254</v>
      </c>
      <c r="E58" s="6342">
        <v>1822648.1390266418</v>
      </c>
      <c r="F58" s="6343">
        <v>256689.09879589081</v>
      </c>
      <c r="G58" s="6344">
        <v>9184442.5392150879</v>
      </c>
      <c r="H58" s="6345">
        <v>2022</v>
      </c>
      <c r="I58" s="6346">
        <v>52085168</v>
      </c>
      <c r="K58" s="8" t="str">
        <f t="shared" si="24"/>
        <v xml:space="preserve">  COL</v>
      </c>
      <c r="L58" s="8">
        <f t="shared" si="25"/>
        <v>2022</v>
      </c>
      <c r="M58" s="8">
        <f t="shared" si="26"/>
        <v>103995.43188285828</v>
      </c>
      <c r="N58" s="8">
        <f t="shared" si="26"/>
        <v>1205704.7880358696</v>
      </c>
      <c r="O58" s="8">
        <f t="shared" si="27"/>
        <v>256689.09879589081</v>
      </c>
      <c r="P58" s="8">
        <f t="shared" si="27"/>
        <v>9184442.5392150879</v>
      </c>
      <c r="Q58" s="3711"/>
      <c r="R58" s="8" t="str">
        <f t="shared" si="28"/>
        <v xml:space="preserve">  COL</v>
      </c>
      <c r="S58" s="8">
        <f t="shared" si="29"/>
        <v>2022</v>
      </c>
      <c r="T58" s="8">
        <f t="shared" si="30"/>
        <v>-152693.66691303253</v>
      </c>
      <c r="U58" s="8">
        <f t="shared" si="30"/>
        <v>-7978737.7511792183</v>
      </c>
      <c r="W58" s="8">
        <f>Fact7!P56</f>
        <v>-15.97546009491661</v>
      </c>
    </row>
    <row r="59" spans="1:23">
      <c r="A59" s="6347" t="s">
        <v>1195</v>
      </c>
      <c r="B59" s="6348">
        <v>5724</v>
      </c>
      <c r="C59" s="6349">
        <v>11655</v>
      </c>
      <c r="D59" s="6350">
        <v>8016</v>
      </c>
      <c r="E59" s="6351">
        <v>34214</v>
      </c>
      <c r="F59" s="6352">
        <v>39234</v>
      </c>
      <c r="G59" s="6353">
        <v>403736</v>
      </c>
      <c r="H59" s="6354">
        <v>2023</v>
      </c>
      <c r="I59" s="6355">
        <v>5212173</v>
      </c>
      <c r="K59" s="8" t="str">
        <f t="shared" si="24"/>
        <v xml:space="preserve">  CRI</v>
      </c>
      <c r="L59" s="8">
        <f t="shared" si="25"/>
        <v>2023</v>
      </c>
      <c r="M59" s="8">
        <f t="shared" si="26"/>
        <v>5724</v>
      </c>
      <c r="N59" s="8">
        <f t="shared" si="26"/>
        <v>11655</v>
      </c>
      <c r="O59" s="8">
        <f t="shared" si="27"/>
        <v>39234</v>
      </c>
      <c r="P59" s="8">
        <f t="shared" si="27"/>
        <v>403736</v>
      </c>
      <c r="Q59" s="3712"/>
      <c r="R59" s="8" t="str">
        <f t="shared" si="28"/>
        <v xml:space="preserve">  CRI</v>
      </c>
      <c r="S59" s="8">
        <f t="shared" si="29"/>
        <v>2023</v>
      </c>
      <c r="T59" s="8">
        <f t="shared" si="30"/>
        <v>-33510</v>
      </c>
      <c r="U59" s="8">
        <f t="shared" si="30"/>
        <v>-392081</v>
      </c>
      <c r="W59" s="8">
        <f>Fact7!P57</f>
        <v>-10.766589785882715</v>
      </c>
    </row>
    <row r="60" spans="1:23">
      <c r="A60" s="6356" t="s">
        <v>1196</v>
      </c>
      <c r="B60" s="6357">
        <v>704.42208862304688</v>
      </c>
      <c r="C60" s="6358">
        <v>42173.811798095703</v>
      </c>
      <c r="D60" s="6359">
        <v>2160.9039154052734</v>
      </c>
      <c r="E60" s="6360">
        <v>98827.639801025391</v>
      </c>
      <c r="F60" s="6361">
        <v>13952.735260009766</v>
      </c>
      <c r="G60" s="6362">
        <v>716041.2177734375</v>
      </c>
      <c r="H60" s="6363">
        <v>2022</v>
      </c>
      <c r="I60" s="6364">
        <v>11332973</v>
      </c>
      <c r="K60" s="8" t="str">
        <f t="shared" si="24"/>
        <v xml:space="preserve">  DOM</v>
      </c>
      <c r="L60" s="8">
        <f t="shared" si="25"/>
        <v>2022</v>
      </c>
      <c r="M60" s="8">
        <f t="shared" si="26"/>
        <v>704.42208862304688</v>
      </c>
      <c r="N60" s="8">
        <f t="shared" si="26"/>
        <v>42173.811798095703</v>
      </c>
      <c r="O60" s="8">
        <f t="shared" si="27"/>
        <v>13952.735260009766</v>
      </c>
      <c r="P60" s="8">
        <f t="shared" si="27"/>
        <v>716041.2177734375</v>
      </c>
      <c r="Q60" s="3713"/>
      <c r="R60" s="8" t="str">
        <f t="shared" si="28"/>
        <v xml:space="preserve">  DOM</v>
      </c>
      <c r="S60" s="8">
        <f t="shared" si="29"/>
        <v>2022</v>
      </c>
      <c r="T60" s="8">
        <f t="shared" si="30"/>
        <v>-13248.313171386719</v>
      </c>
      <c r="U60" s="8">
        <f t="shared" si="30"/>
        <v>-673867.4059753418</v>
      </c>
      <c r="W60" s="8">
        <f>Fact7!P58</f>
        <v>-33.047647839817195</v>
      </c>
    </row>
    <row r="61" spans="1:23">
      <c r="A61" s="6365" t="s">
        <v>1197</v>
      </c>
      <c r="B61" s="6366">
        <v>35127.042526245117</v>
      </c>
      <c r="C61" s="6367">
        <v>147297.36824035645</v>
      </c>
      <c r="D61" s="6368">
        <v>64585.907348632813</v>
      </c>
      <c r="E61" s="6369">
        <v>434704.38843536377</v>
      </c>
      <c r="F61" s="6370">
        <v>228958.36015319824</v>
      </c>
      <c r="G61" s="6371">
        <v>2228281.191988945</v>
      </c>
      <c r="H61" s="6372">
        <v>2023</v>
      </c>
      <c r="I61" s="6373">
        <v>18190484</v>
      </c>
      <c r="K61" s="8" t="str">
        <f t="shared" si="24"/>
        <v xml:space="preserve">  ECU</v>
      </c>
      <c r="L61" s="8">
        <f t="shared" si="25"/>
        <v>2023</v>
      </c>
      <c r="M61" s="8">
        <f t="shared" si="26"/>
        <v>35127.042526245117</v>
      </c>
      <c r="N61" s="8">
        <f t="shared" si="26"/>
        <v>147297.36824035645</v>
      </c>
      <c r="O61" s="8">
        <f t="shared" si="27"/>
        <v>228958.36015319824</v>
      </c>
      <c r="P61" s="8">
        <f t="shared" si="27"/>
        <v>2228281.191988945</v>
      </c>
      <c r="Q61" s="3714"/>
      <c r="R61" s="8" t="str">
        <f t="shared" si="28"/>
        <v xml:space="preserve">  ECU</v>
      </c>
      <c r="S61" s="8">
        <f t="shared" si="29"/>
        <v>2023</v>
      </c>
      <c r="T61" s="8">
        <f t="shared" si="30"/>
        <v>-193831.31762695313</v>
      </c>
      <c r="U61" s="8">
        <f t="shared" si="30"/>
        <v>-2080983.8237485886</v>
      </c>
      <c r="W61" s="8">
        <f>Fact7!P59</f>
        <v>-16.649286981811052</v>
      </c>
    </row>
    <row r="62" spans="1:23">
      <c r="A62" s="6374" t="s">
        <v>1204</v>
      </c>
      <c r="B62" s="6375">
        <v>137718</v>
      </c>
      <c r="C62" s="6376">
        <v>213289</v>
      </c>
      <c r="D62" s="6377">
        <v>102119</v>
      </c>
      <c r="E62" s="6378">
        <v>250585</v>
      </c>
      <c r="F62" s="6379">
        <v>274092</v>
      </c>
      <c r="G62" s="6380">
        <v>984856</v>
      </c>
      <c r="H62" s="6381">
        <v>2022</v>
      </c>
      <c r="I62" s="6382">
        <v>18092026</v>
      </c>
      <c r="K62" s="8" t="str">
        <f t="shared" si="24"/>
        <v xml:space="preserve">  GTM</v>
      </c>
      <c r="L62" s="8">
        <f t="shared" si="25"/>
        <v>2022</v>
      </c>
      <c r="M62" s="8">
        <f t="shared" si="26"/>
        <v>137718</v>
      </c>
      <c r="N62" s="8">
        <f t="shared" si="26"/>
        <v>213289</v>
      </c>
      <c r="O62" s="8">
        <f t="shared" si="27"/>
        <v>274092</v>
      </c>
      <c r="P62" s="8">
        <f t="shared" si="27"/>
        <v>984856</v>
      </c>
      <c r="Q62" s="3715"/>
      <c r="R62" s="8" t="str">
        <f t="shared" si="28"/>
        <v xml:space="preserve">  GTM</v>
      </c>
      <c r="S62" s="8">
        <f t="shared" si="29"/>
        <v>2022</v>
      </c>
      <c r="T62" s="8">
        <f t="shared" si="30"/>
        <v>-136374</v>
      </c>
      <c r="U62" s="8">
        <f t="shared" si="30"/>
        <v>-771567</v>
      </c>
      <c r="W62" s="8">
        <f>Fact7!P60</f>
        <v>-8.0250619387578581</v>
      </c>
    </row>
    <row r="63" spans="1:23">
      <c r="A63" s="6383" t="s">
        <v>1199</v>
      </c>
      <c r="B63" s="6384">
        <v>13301.197784423828</v>
      </c>
      <c r="C63" s="6385">
        <v>156546.62763977051</v>
      </c>
      <c r="D63" s="6386">
        <v>10223.108947753906</v>
      </c>
      <c r="E63" s="6387">
        <v>189685.88673400879</v>
      </c>
      <c r="F63" s="6388">
        <v>23747.430145263672</v>
      </c>
      <c r="G63" s="6389">
        <v>552406.52200317383</v>
      </c>
      <c r="H63" s="6390">
        <v>2023</v>
      </c>
      <c r="I63" s="6391">
        <v>10593798</v>
      </c>
      <c r="K63" s="8" t="str">
        <f t="shared" si="24"/>
        <v xml:space="preserve">  HND</v>
      </c>
      <c r="L63" s="8">
        <f t="shared" si="25"/>
        <v>2023</v>
      </c>
      <c r="M63" s="8">
        <f t="shared" si="26"/>
        <v>13301.197784423828</v>
      </c>
      <c r="N63" s="8">
        <f t="shared" si="26"/>
        <v>156546.62763977051</v>
      </c>
      <c r="O63" s="8">
        <f t="shared" si="27"/>
        <v>23747.430145263672</v>
      </c>
      <c r="P63" s="8">
        <f t="shared" si="27"/>
        <v>552406.52200317383</v>
      </c>
      <c r="Q63" s="3716"/>
      <c r="R63" s="8" t="str">
        <f t="shared" si="28"/>
        <v xml:space="preserve">  HND</v>
      </c>
      <c r="S63" s="8">
        <f t="shared" si="29"/>
        <v>2023</v>
      </c>
      <c r="T63" s="8">
        <f t="shared" si="30"/>
        <v>-10446.232360839844</v>
      </c>
      <c r="U63" s="8">
        <f t="shared" si="30"/>
        <v>-395859.89436340332</v>
      </c>
      <c r="W63" s="8">
        <f>Fact7!P61</f>
        <v>-27.772930480774257</v>
      </c>
    </row>
    <row r="64" spans="1:23">
      <c r="A64" s="6392" t="s">
        <v>1205</v>
      </c>
      <c r="B64" s="6393">
        <v>411832</v>
      </c>
      <c r="C64" s="6394">
        <v>1186103</v>
      </c>
      <c r="D64" s="6395">
        <v>820487</v>
      </c>
      <c r="E64" s="6396">
        <v>3806969</v>
      </c>
      <c r="F64" s="6397">
        <v>1943883</v>
      </c>
      <c r="G64" s="6398">
        <v>21082302</v>
      </c>
      <c r="H64" s="6399">
        <v>2022</v>
      </c>
      <c r="I64" s="6400">
        <v>128455567</v>
      </c>
      <c r="K64" s="8" t="str">
        <f t="shared" si="24"/>
        <v xml:space="preserve">  MEX</v>
      </c>
      <c r="L64" s="8">
        <f t="shared" si="25"/>
        <v>2022</v>
      </c>
      <c r="M64" s="8">
        <f t="shared" si="26"/>
        <v>411832</v>
      </c>
      <c r="N64" s="8">
        <f t="shared" si="26"/>
        <v>1186103</v>
      </c>
      <c r="O64" s="8">
        <f t="shared" si="27"/>
        <v>1943883</v>
      </c>
      <c r="P64" s="8">
        <f t="shared" si="27"/>
        <v>21082302</v>
      </c>
      <c r="Q64" s="3717"/>
      <c r="R64" s="8" t="str">
        <f t="shared" si="28"/>
        <v xml:space="preserve">  MEX</v>
      </c>
      <c r="S64" s="8">
        <f t="shared" si="29"/>
        <v>2022</v>
      </c>
      <c r="T64" s="8">
        <f t="shared" si="30"/>
        <v>-1532051</v>
      </c>
      <c r="U64" s="8">
        <f t="shared" si="30"/>
        <v>-19896199</v>
      </c>
      <c r="W64" s="8">
        <f>Fact7!P62</f>
        <v>-26.350291498659647</v>
      </c>
    </row>
    <row r="65" spans="1:23">
      <c r="A65" s="6401" t="s">
        <v>1200</v>
      </c>
      <c r="B65" s="6402">
        <v>444</v>
      </c>
      <c r="C65" s="6403">
        <v>7537</v>
      </c>
      <c r="D65" s="6404">
        <v>367</v>
      </c>
      <c r="E65" s="6405">
        <v>14370</v>
      </c>
      <c r="F65" s="6406">
        <v>8129</v>
      </c>
      <c r="G65" s="6407">
        <v>426205</v>
      </c>
      <c r="H65" s="6408">
        <v>2022</v>
      </c>
      <c r="I65" s="6409">
        <v>4468087</v>
      </c>
      <c r="K65" s="8" t="str">
        <f t="shared" si="24"/>
        <v xml:space="preserve">  PAN</v>
      </c>
      <c r="L65" s="8">
        <f t="shared" si="25"/>
        <v>2022</v>
      </c>
      <c r="M65" s="8">
        <f t="shared" si="26"/>
        <v>444</v>
      </c>
      <c r="N65" s="8">
        <f t="shared" si="26"/>
        <v>7537</v>
      </c>
      <c r="O65" s="8">
        <f t="shared" si="27"/>
        <v>8129</v>
      </c>
      <c r="P65" s="8">
        <f t="shared" si="27"/>
        <v>426205</v>
      </c>
      <c r="Q65" s="3718"/>
      <c r="R65" s="8" t="str">
        <f t="shared" si="28"/>
        <v xml:space="preserve">  PAN</v>
      </c>
      <c r="S65" s="8">
        <f t="shared" si="29"/>
        <v>2022</v>
      </c>
      <c r="T65" s="8">
        <f t="shared" si="30"/>
        <v>-7685</v>
      </c>
      <c r="U65" s="8">
        <f t="shared" si="30"/>
        <v>-418668</v>
      </c>
      <c r="W65" s="8">
        <f>Fact7!P63</f>
        <v>-11.841532039946797</v>
      </c>
    </row>
    <row r="66" spans="1:23">
      <c r="A66" s="6410" t="s">
        <v>1201</v>
      </c>
      <c r="B66" s="6411">
        <v>91738.706899642944</v>
      </c>
      <c r="C66" s="6412">
        <v>400437.96247017384</v>
      </c>
      <c r="D66" s="6413">
        <v>150914.1109828949</v>
      </c>
      <c r="E66" s="6414">
        <v>1245573.9560147524</v>
      </c>
      <c r="F66" s="6415">
        <v>238119.2839012146</v>
      </c>
      <c r="G66" s="6416">
        <v>5006380.4118839502</v>
      </c>
      <c r="H66" s="6417">
        <v>2022</v>
      </c>
      <c r="I66" s="6418">
        <v>34352719</v>
      </c>
      <c r="K66" s="8" t="str">
        <f t="shared" si="24"/>
        <v xml:space="preserve">  PER</v>
      </c>
      <c r="L66" s="8">
        <f t="shared" si="25"/>
        <v>2022</v>
      </c>
      <c r="M66" s="8">
        <f t="shared" si="26"/>
        <v>91738.706899642944</v>
      </c>
      <c r="N66" s="8">
        <f t="shared" si="26"/>
        <v>400437.96247017384</v>
      </c>
      <c r="O66" s="8">
        <f t="shared" si="27"/>
        <v>238119.2839012146</v>
      </c>
      <c r="P66" s="8">
        <f t="shared" si="27"/>
        <v>5006380.4118839502</v>
      </c>
      <c r="Q66" s="3719"/>
      <c r="R66" s="8" t="str">
        <f t="shared" si="28"/>
        <v xml:space="preserve">  PER</v>
      </c>
      <c r="S66" s="8">
        <f t="shared" si="29"/>
        <v>2022</v>
      </c>
      <c r="T66" s="8">
        <f t="shared" si="30"/>
        <v>-146380.57700157166</v>
      </c>
      <c r="U66" s="8">
        <f t="shared" si="30"/>
        <v>-4605942.4494137764</v>
      </c>
      <c r="W66" s="8">
        <f>Fact7!P64</f>
        <v>-3.7562399408513012</v>
      </c>
    </row>
    <row r="67" spans="1:23">
      <c r="A67" s="6419" t="s">
        <v>1202</v>
      </c>
      <c r="C67" s="6420">
        <v>3031</v>
      </c>
      <c r="E67" s="6421">
        <v>12617</v>
      </c>
      <c r="G67" s="6422">
        <v>176872</v>
      </c>
      <c r="H67" s="6423">
        <v>2022</v>
      </c>
      <c r="I67" s="6424">
        <v>6861524</v>
      </c>
      <c r="K67" s="8" t="str">
        <f t="shared" si="24"/>
        <v xml:space="preserve">  PRY</v>
      </c>
      <c r="L67" s="8">
        <f t="shared" si="25"/>
        <v>2022</v>
      </c>
      <c r="M67" s="8">
        <f t="shared" si="26"/>
        <v>0</v>
      </c>
      <c r="N67" s="8">
        <f t="shared" si="26"/>
        <v>3031</v>
      </c>
      <c r="O67" s="8">
        <f t="shared" si="27"/>
        <v>0</v>
      </c>
      <c r="P67" s="8">
        <f t="shared" si="27"/>
        <v>176872</v>
      </c>
      <c r="Q67" s="3720"/>
      <c r="R67" s="8" t="str">
        <f t="shared" si="28"/>
        <v xml:space="preserve">  PRY</v>
      </c>
      <c r="S67" s="8">
        <f t="shared" si="29"/>
        <v>2022</v>
      </c>
      <c r="T67" s="8">
        <f t="shared" si="30"/>
        <v>0</v>
      </c>
      <c r="U67" s="8">
        <f t="shared" si="30"/>
        <v>-173841</v>
      </c>
      <c r="W67" s="8">
        <f>Fact7!P65</f>
        <v>-9.5037083598845324</v>
      </c>
    </row>
    <row r="68" spans="1:23">
      <c r="A68" s="6425" t="s">
        <v>1206</v>
      </c>
      <c r="B68" s="6426">
        <v>1222.1522407531738</v>
      </c>
      <c r="C68" s="6427">
        <v>46531.755546569824</v>
      </c>
      <c r="D68" s="6428">
        <v>2936.4005317687988</v>
      </c>
      <c r="E68" s="6429">
        <v>84247.165234565735</v>
      </c>
      <c r="F68" s="6430">
        <v>7154.2913837432861</v>
      </c>
      <c r="G68" s="6431">
        <v>535677.59986209869</v>
      </c>
      <c r="H68" s="6432">
        <v>2023</v>
      </c>
      <c r="I68" s="6433">
        <v>6364943</v>
      </c>
      <c r="K68" s="8" t="str">
        <f t="shared" si="24"/>
        <v xml:space="preserve">  SLV</v>
      </c>
      <c r="L68" s="8">
        <f t="shared" si="25"/>
        <v>2023</v>
      </c>
      <c r="M68" s="8">
        <f t="shared" si="26"/>
        <v>1222.1522407531738</v>
      </c>
      <c r="N68" s="8">
        <f t="shared" si="26"/>
        <v>46531.755546569824</v>
      </c>
      <c r="O68" s="8">
        <f t="shared" si="27"/>
        <v>7154.2913837432861</v>
      </c>
      <c r="P68" s="8">
        <f t="shared" si="27"/>
        <v>535677.59986209869</v>
      </c>
      <c r="Q68" s="3721"/>
      <c r="R68" s="8" t="str">
        <f t="shared" si="28"/>
        <v xml:space="preserve">  SLV</v>
      </c>
      <c r="S68" s="8">
        <f t="shared" si="29"/>
        <v>2023</v>
      </c>
      <c r="T68" s="8">
        <f t="shared" si="30"/>
        <v>-5932.1391429901123</v>
      </c>
      <c r="U68" s="8">
        <f t="shared" si="30"/>
        <v>-489145.84431552887</v>
      </c>
      <c r="W68" s="8">
        <f>Fact7!P66</f>
        <v>-46.783828534053704</v>
      </c>
    </row>
    <row r="69" spans="1:23">
      <c r="A69" s="6434" t="s">
        <v>1207</v>
      </c>
      <c r="B69" s="6435">
        <v>758</v>
      </c>
      <c r="C69" s="6436">
        <v>12350</v>
      </c>
      <c r="D69" s="6437">
        <v>4406</v>
      </c>
      <c r="E69" s="6438">
        <v>42403</v>
      </c>
      <c r="F69" s="6439">
        <v>32829</v>
      </c>
      <c r="G69" s="6440">
        <v>741167</v>
      </c>
      <c r="H69" s="6441">
        <v>2022</v>
      </c>
      <c r="I69" s="6442">
        <v>3423109</v>
      </c>
      <c r="Q69" s="3722"/>
    </row>
    <row r="70" spans="1:23">
      <c r="A70" s="6443" t="s">
        <v>1203</v>
      </c>
      <c r="B70" s="6812" t="s">
        <v>1045</v>
      </c>
      <c r="C70" s="6813" t="s">
        <v>1045</v>
      </c>
      <c r="D70" s="6814" t="s">
        <v>1045</v>
      </c>
      <c r="E70" s="6815" t="s">
        <v>1045</v>
      </c>
      <c r="F70" s="6816" t="s">
        <v>1045</v>
      </c>
      <c r="G70" s="6817" t="s">
        <v>1045</v>
      </c>
      <c r="H70" s="6444" t="s">
        <v>1186</v>
      </c>
      <c r="I70" s="6445" t="s">
        <v>1257</v>
      </c>
      <c r="K70" s="3" t="s">
        <v>1261</v>
      </c>
      <c r="L70" s="8"/>
      <c r="M70" s="8">
        <f>AVERAGE(M54:M68)</f>
        <v>58526.879843521121</v>
      </c>
      <c r="N70" s="8">
        <f>AVERAGE(N54:N68)</f>
        <v>400964.21050469874</v>
      </c>
      <c r="O70" s="8">
        <f t="shared" ref="O70:P70" si="31">AVERAGE(O54:O68)</f>
        <v>229597.23739687601</v>
      </c>
      <c r="P70" s="8">
        <f t="shared" si="31"/>
        <v>6082595.2636227049</v>
      </c>
      <c r="Q70" s="3723"/>
      <c r="R70" s="3" t="s">
        <v>1261</v>
      </c>
      <c r="S70" s="8"/>
      <c r="T70" s="8">
        <f>AVERAGE(T54:T68)</f>
        <v>-171070.3575533549</v>
      </c>
      <c r="U70" s="8">
        <f t="shared" ref="U70:W70" si="32">AVERAGE(U54:U68)</f>
        <v>-5681631.0531180063</v>
      </c>
      <c r="V70" s="8"/>
      <c r="W70" s="8">
        <f t="shared" si="32"/>
        <v>-19.1398007580251</v>
      </c>
    </row>
    <row r="71" spans="1:23" ht="15" thickBot="1">
      <c r="A71" s="6446"/>
      <c r="B71" s="6818" t="s">
        <v>1187</v>
      </c>
      <c r="C71" s="6818" t="s">
        <v>1187</v>
      </c>
      <c r="D71" s="6819" t="s">
        <v>1188</v>
      </c>
      <c r="E71" s="6819" t="s">
        <v>1188</v>
      </c>
      <c r="F71" s="6820" t="s">
        <v>1189</v>
      </c>
      <c r="G71" s="6820" t="s">
        <v>1189</v>
      </c>
      <c r="I71" s="6447" t="s">
        <v>1187</v>
      </c>
      <c r="K71" s="212" t="s">
        <v>1145</v>
      </c>
      <c r="L71" s="85"/>
      <c r="M71" s="85">
        <f>SUMPRODUCT(M54:M68,$I54:$I68)/SUM($I54:$I68)</f>
        <v>132267.35723975496</v>
      </c>
      <c r="N71" s="85">
        <f>SUMPRODUCT(N54:N68,$I54:$I68)/SUM($I54:$I68)</f>
        <v>1208626.2596039732</v>
      </c>
      <c r="O71" s="85">
        <f t="shared" ref="O71" si="33">SUMPRODUCT(O54:O68,$I54:$I68)/SUM($I54:$I68)</f>
        <v>565796.51962191891</v>
      </c>
      <c r="P71" s="85">
        <f>SUMPRODUCT(P54:P68,$I54:$I68)/SUM($I54:$I68)</f>
        <v>20196416.968044933</v>
      </c>
      <c r="Q71" s="3724"/>
      <c r="R71" s="212" t="s">
        <v>1145</v>
      </c>
      <c r="S71" s="85"/>
      <c r="T71" s="85">
        <f>SUMPRODUCT(T54:T68,$I54:$I68)/SUM($I54:$I68)</f>
        <v>-433529.16238216392</v>
      </c>
      <c r="U71" s="85">
        <f t="shared" ref="U71:W71" si="34">SUMPRODUCT(U54:U68,$I54:$I68)/SUM($I54:$I68)</f>
        <v>-18987790.708440963</v>
      </c>
      <c r="V71" s="85"/>
      <c r="W71" s="85">
        <f t="shared" si="34"/>
        <v>-18.448635824613429</v>
      </c>
    </row>
    <row r="72" spans="1:23" ht="15" thickTop="1">
      <c r="A72" s="6448"/>
      <c r="B72" s="6821" t="s">
        <v>1258</v>
      </c>
      <c r="C72" s="6821" t="s">
        <v>1258</v>
      </c>
      <c r="D72" s="6822" t="s">
        <v>1258</v>
      </c>
      <c r="E72" s="6822" t="s">
        <v>1258</v>
      </c>
      <c r="F72" s="6823" t="s">
        <v>1258</v>
      </c>
      <c r="G72" s="6823" t="s">
        <v>1258</v>
      </c>
      <c r="I72"/>
      <c r="K72" s="3063"/>
      <c r="L72" s="3062"/>
      <c r="M72" s="3062"/>
      <c r="N72" s="3062"/>
      <c r="O72" s="3062"/>
      <c r="P72" s="3062"/>
      <c r="R72" s="3063"/>
      <c r="S72" s="3062"/>
      <c r="T72" s="3062"/>
      <c r="U72" s="3062"/>
      <c r="V72" s="3062"/>
      <c r="W72" s="3062"/>
    </row>
    <row r="73" spans="1:23">
      <c r="A73" s="6449"/>
      <c r="B73" s="6450" t="s">
        <v>1259</v>
      </c>
      <c r="C73" s="6451" t="s">
        <v>1260</v>
      </c>
      <c r="D73" s="6452" t="s">
        <v>1259</v>
      </c>
      <c r="E73" s="6453" t="s">
        <v>1260</v>
      </c>
      <c r="F73" s="6454" t="s">
        <v>1259</v>
      </c>
      <c r="G73" s="6455" t="s">
        <v>1260</v>
      </c>
      <c r="I73" s="3881"/>
      <c r="L73" s="8"/>
      <c r="M73" s="8"/>
      <c r="N73" s="8"/>
      <c r="O73" s="8"/>
      <c r="P73" s="8"/>
      <c r="S73" s="8"/>
      <c r="T73" s="8"/>
      <c r="U73" s="8"/>
      <c r="V73" s="8"/>
      <c r="W73" s="8"/>
    </row>
    <row r="74" spans="1:23">
      <c r="A74" s="6456"/>
      <c r="B74" s="6457" t="s">
        <v>1222</v>
      </c>
      <c r="C74" s="6458" t="s">
        <v>1222</v>
      </c>
      <c r="D74" s="6459" t="s">
        <v>1222</v>
      </c>
      <c r="E74" s="6460" t="s">
        <v>1222</v>
      </c>
      <c r="F74" s="6461" t="s">
        <v>1222</v>
      </c>
      <c r="G74" s="6462" t="s">
        <v>1222</v>
      </c>
      <c r="I74" s="3882"/>
      <c r="L74" s="8"/>
      <c r="M74" s="8"/>
      <c r="N74" s="8"/>
      <c r="O74" s="8"/>
      <c r="P74" s="8"/>
      <c r="S74" s="8"/>
      <c r="T74" s="8"/>
      <c r="U74" s="8"/>
      <c r="V74" s="8"/>
      <c r="W74" s="8"/>
    </row>
    <row r="75" spans="1:23" ht="15" thickBot="1">
      <c r="A75" s="6463"/>
      <c r="B75" s="6464" t="s">
        <v>1187</v>
      </c>
      <c r="C75" s="6465" t="s">
        <v>1187</v>
      </c>
      <c r="D75" s="6466" t="s">
        <v>1187</v>
      </c>
      <c r="E75" s="6467" t="s">
        <v>1187</v>
      </c>
      <c r="F75" s="6468" t="s">
        <v>1187</v>
      </c>
      <c r="G75" s="6469" t="s">
        <v>1187</v>
      </c>
      <c r="I75" s="3883"/>
      <c r="K75" s="972" t="str">
        <f>B74</f>
        <v>Acceso a fuente de agua por red</v>
      </c>
      <c r="L75" s="2649"/>
      <c r="M75" s="85"/>
      <c r="N75" s="85"/>
      <c r="O75" s="85"/>
      <c r="P75" s="85"/>
      <c r="R75" s="972" t="str">
        <f>E74</f>
        <v>Acceso a fuente de agua por red</v>
      </c>
      <c r="S75" s="2649"/>
      <c r="T75" s="85"/>
      <c r="U75" s="85"/>
      <c r="V75" s="85"/>
      <c r="W75" s="85"/>
    </row>
    <row r="76" spans="1:23" ht="15" thickTop="1">
      <c r="A76" s="6470" t="s">
        <v>1125</v>
      </c>
      <c r="B76" s="6471"/>
      <c r="C76" s="6472"/>
      <c r="D76" s="6473"/>
      <c r="E76" s="6474"/>
      <c r="F76" s="6475"/>
      <c r="G76" s="6476"/>
      <c r="H76" s="6477"/>
      <c r="I76" s="6478"/>
      <c r="K76" s="213" t="s">
        <v>904</v>
      </c>
      <c r="L76" s="216" t="s">
        <v>938</v>
      </c>
      <c r="M76" s="2650" t="s">
        <v>1273</v>
      </c>
      <c r="N76" s="2650" t="s">
        <v>1136</v>
      </c>
      <c r="O76" s="2650"/>
      <c r="P76" s="2650"/>
      <c r="Q76" s="3725"/>
      <c r="R76" s="213" t="s">
        <v>904</v>
      </c>
      <c r="S76" s="216" t="s">
        <v>938</v>
      </c>
      <c r="T76" s="2650" t="s">
        <v>1273</v>
      </c>
      <c r="U76" s="2650" t="s">
        <v>1136</v>
      </c>
      <c r="W76" s="76" t="s">
        <v>901</v>
      </c>
    </row>
    <row r="77" spans="1:23">
      <c r="A77" s="6479" t="s">
        <v>1190</v>
      </c>
      <c r="C77" s="6480">
        <v>406242</v>
      </c>
      <c r="E77" s="6481">
        <v>654873</v>
      </c>
      <c r="G77" s="6482">
        <v>6604669</v>
      </c>
      <c r="H77" s="6483">
        <v>2022</v>
      </c>
      <c r="I77" s="6484">
        <v>45773884</v>
      </c>
      <c r="K77" s="8" t="str">
        <f t="shared" ref="K77:K91" si="35">A77</f>
        <v xml:space="preserve">  ARG</v>
      </c>
      <c r="L77" s="8">
        <f t="shared" ref="L77:L91" si="36">H77</f>
        <v>2022</v>
      </c>
      <c r="M77" s="8">
        <f t="shared" ref="M77:N91" si="37">B77</f>
        <v>0</v>
      </c>
      <c r="N77" s="8">
        <f t="shared" si="37"/>
        <v>406242</v>
      </c>
      <c r="O77" s="8">
        <f t="shared" ref="O77:P91" si="38">F77</f>
        <v>0</v>
      </c>
      <c r="P77" s="8">
        <f t="shared" si="38"/>
        <v>6604669</v>
      </c>
      <c r="Q77" s="3726"/>
      <c r="R77" s="8" t="str">
        <f t="shared" ref="R77:R91" si="39">A77</f>
        <v xml:space="preserve">  ARG</v>
      </c>
      <c r="S77" s="8">
        <f t="shared" ref="S77:S91" si="40">H77*1</f>
        <v>2022</v>
      </c>
      <c r="T77" s="8">
        <f t="shared" ref="T77:U91" si="41">B77-F77</f>
        <v>0</v>
      </c>
      <c r="U77" s="8">
        <f t="shared" si="41"/>
        <v>-6198427</v>
      </c>
      <c r="W77" s="8">
        <f>Fact7!P75</f>
        <v>-28.855656109670726</v>
      </c>
    </row>
    <row r="78" spans="1:23">
      <c r="A78" s="6485" t="s">
        <v>1191</v>
      </c>
      <c r="B78" s="6486">
        <v>28867.519714355469</v>
      </c>
      <c r="C78" s="6487">
        <v>49174.431949615479</v>
      </c>
      <c r="D78" s="6488">
        <v>33754.767925262451</v>
      </c>
      <c r="E78" s="6489">
        <v>158515.01885986328</v>
      </c>
      <c r="F78" s="6490">
        <v>156380.39181518555</v>
      </c>
      <c r="G78" s="6491">
        <v>2088133.8701629639</v>
      </c>
      <c r="H78" s="6492">
        <v>2022</v>
      </c>
      <c r="I78" s="6493">
        <v>12388571</v>
      </c>
      <c r="K78" s="8" t="str">
        <f t="shared" si="35"/>
        <v xml:space="preserve">  BOL</v>
      </c>
      <c r="L78" s="8">
        <f t="shared" si="36"/>
        <v>2022</v>
      </c>
      <c r="M78" s="8">
        <f t="shared" si="37"/>
        <v>28867.519714355469</v>
      </c>
      <c r="N78" s="8">
        <f t="shared" si="37"/>
        <v>49174.431949615479</v>
      </c>
      <c r="O78" s="8">
        <f t="shared" si="38"/>
        <v>156380.39181518555</v>
      </c>
      <c r="P78" s="8">
        <f t="shared" si="38"/>
        <v>2088133.8701629639</v>
      </c>
      <c r="Q78" s="3727"/>
      <c r="R78" s="8" t="str">
        <f t="shared" si="39"/>
        <v xml:space="preserve">  BOL</v>
      </c>
      <c r="S78" s="8">
        <f t="shared" si="40"/>
        <v>2022</v>
      </c>
      <c r="T78" s="8">
        <f t="shared" si="41"/>
        <v>-127512.87210083008</v>
      </c>
      <c r="U78" s="8">
        <f t="shared" si="41"/>
        <v>-2038959.4382133484</v>
      </c>
      <c r="W78" s="8">
        <f>Fact7!P76</f>
        <v>-38.626286881101421</v>
      </c>
    </row>
    <row r="79" spans="1:23">
      <c r="A79" s="6494" t="s">
        <v>1192</v>
      </c>
      <c r="B79" s="6495">
        <v>620368.76266860962</v>
      </c>
      <c r="C79" s="6496">
        <v>3563652.3770141602</v>
      </c>
      <c r="D79" s="6497">
        <v>722430.73696804047</v>
      </c>
      <c r="E79" s="6498">
        <v>8358158.8791980743</v>
      </c>
      <c r="F79" s="6499">
        <v>1589500.7850370407</v>
      </c>
      <c r="G79" s="6500">
        <v>47364433.633185387</v>
      </c>
      <c r="H79" s="6501">
        <v>2022</v>
      </c>
      <c r="I79" s="6502">
        <v>216422446</v>
      </c>
      <c r="K79" s="8" t="str">
        <f t="shared" si="35"/>
        <v xml:space="preserve">  BRA</v>
      </c>
      <c r="L79" s="8">
        <f t="shared" si="36"/>
        <v>2022</v>
      </c>
      <c r="M79" s="8">
        <f t="shared" si="37"/>
        <v>620368.76266860962</v>
      </c>
      <c r="N79" s="8">
        <f t="shared" si="37"/>
        <v>3563652.3770141602</v>
      </c>
      <c r="O79" s="8">
        <f t="shared" si="38"/>
        <v>1589500.7850370407</v>
      </c>
      <c r="P79" s="8">
        <f t="shared" si="38"/>
        <v>47364433.633185387</v>
      </c>
      <c r="Q79" s="3728"/>
      <c r="R79" s="8" t="str">
        <f t="shared" si="39"/>
        <v xml:space="preserve">  BRA</v>
      </c>
      <c r="S79" s="8">
        <f t="shared" si="40"/>
        <v>2022</v>
      </c>
      <c r="T79" s="8">
        <f t="shared" si="41"/>
        <v>-969132.02236843109</v>
      </c>
      <c r="U79" s="8">
        <f t="shared" si="41"/>
        <v>-43800781.256171227</v>
      </c>
      <c r="W79" s="8">
        <f>Fact7!P77</f>
        <v>-20.014167592659803</v>
      </c>
    </row>
    <row r="80" spans="1:23">
      <c r="A80" s="6503" t="s">
        <v>1193</v>
      </c>
      <c r="B80" s="6504">
        <v>19191</v>
      </c>
      <c r="C80" s="6505">
        <v>159698</v>
      </c>
      <c r="D80" s="6506">
        <v>43873</v>
      </c>
      <c r="E80" s="6507">
        <v>353173</v>
      </c>
      <c r="F80" s="6508">
        <v>387488</v>
      </c>
      <c r="G80" s="6509">
        <v>5510252</v>
      </c>
      <c r="H80" s="6510">
        <v>2022</v>
      </c>
      <c r="I80" s="6511">
        <v>19629590</v>
      </c>
      <c r="K80" s="8" t="str">
        <f t="shared" si="35"/>
        <v xml:space="preserve">  CHL</v>
      </c>
      <c r="L80" s="8">
        <f t="shared" si="36"/>
        <v>2022</v>
      </c>
      <c r="M80" s="8">
        <f t="shared" si="37"/>
        <v>19191</v>
      </c>
      <c r="N80" s="8">
        <f t="shared" si="37"/>
        <v>159698</v>
      </c>
      <c r="O80" s="8">
        <f t="shared" si="38"/>
        <v>387488</v>
      </c>
      <c r="P80" s="8">
        <f t="shared" si="38"/>
        <v>5510252</v>
      </c>
      <c r="Q80" s="3729"/>
      <c r="R80" s="8" t="str">
        <f t="shared" si="39"/>
        <v xml:space="preserve">  CHL</v>
      </c>
      <c r="S80" s="8">
        <f t="shared" si="40"/>
        <v>2022</v>
      </c>
      <c r="T80" s="8">
        <f t="shared" si="41"/>
        <v>-368297</v>
      </c>
      <c r="U80" s="8">
        <f t="shared" si="41"/>
        <v>-5350554</v>
      </c>
      <c r="W80" s="8">
        <f>Fact7!P78</f>
        <v>-33.765020822271225</v>
      </c>
    </row>
    <row r="81" spans="1:23">
      <c r="A81" s="6512" t="s">
        <v>1194</v>
      </c>
      <c r="B81" s="6513">
        <v>650389.37735939026</v>
      </c>
      <c r="C81" s="6514">
        <v>1390811.023396492</v>
      </c>
      <c r="D81" s="6515">
        <v>534853.11663627625</v>
      </c>
      <c r="E81" s="6516">
        <v>1998293.640891552</v>
      </c>
      <c r="F81" s="6517">
        <v>863758.43537330627</v>
      </c>
      <c r="G81" s="6518">
        <v>9423661.7291822433</v>
      </c>
      <c r="H81" s="6519">
        <v>2022</v>
      </c>
      <c r="I81" s="6520">
        <v>52085168</v>
      </c>
      <c r="K81" s="8" t="str">
        <f t="shared" si="35"/>
        <v xml:space="preserve">  COL</v>
      </c>
      <c r="L81" s="8">
        <f t="shared" si="36"/>
        <v>2022</v>
      </c>
      <c r="M81" s="8">
        <f t="shared" si="37"/>
        <v>650389.37735939026</v>
      </c>
      <c r="N81" s="8">
        <f t="shared" si="37"/>
        <v>1390811.023396492</v>
      </c>
      <c r="O81" s="8">
        <f t="shared" si="38"/>
        <v>863758.43537330627</v>
      </c>
      <c r="P81" s="8">
        <f t="shared" si="38"/>
        <v>9423661.7291822433</v>
      </c>
      <c r="Q81" s="3730"/>
      <c r="R81" s="8" t="str">
        <f t="shared" si="39"/>
        <v xml:space="preserve">  COL</v>
      </c>
      <c r="S81" s="8">
        <f t="shared" si="40"/>
        <v>2022</v>
      </c>
      <c r="T81" s="8">
        <f t="shared" si="41"/>
        <v>-213369.05801391602</v>
      </c>
      <c r="U81" s="8">
        <f t="shared" si="41"/>
        <v>-8032850.7057857513</v>
      </c>
      <c r="W81" s="8">
        <f>Fact7!P79</f>
        <v>-34.040474981444362</v>
      </c>
    </row>
    <row r="82" spans="1:23">
      <c r="A82" s="6521" t="s">
        <v>1195</v>
      </c>
      <c r="B82" s="6522">
        <v>34737</v>
      </c>
      <c r="C82" s="6523">
        <v>49732</v>
      </c>
      <c r="D82" s="6524">
        <v>78059</v>
      </c>
      <c r="E82" s="6525">
        <v>119165</v>
      </c>
      <c r="F82" s="6526">
        <v>320712</v>
      </c>
      <c r="G82" s="6527">
        <v>1115888</v>
      </c>
      <c r="H82" s="6528">
        <v>2023</v>
      </c>
      <c r="I82" s="6529">
        <v>5212173</v>
      </c>
      <c r="K82" s="8" t="str">
        <f t="shared" si="35"/>
        <v xml:space="preserve">  CRI</v>
      </c>
      <c r="L82" s="8">
        <f t="shared" si="36"/>
        <v>2023</v>
      </c>
      <c r="M82" s="8">
        <f t="shared" si="37"/>
        <v>34737</v>
      </c>
      <c r="N82" s="8">
        <f t="shared" si="37"/>
        <v>49732</v>
      </c>
      <c r="O82" s="8">
        <f t="shared" si="38"/>
        <v>320712</v>
      </c>
      <c r="P82" s="8">
        <f t="shared" si="38"/>
        <v>1115888</v>
      </c>
      <c r="Q82" s="3731"/>
      <c r="R82" s="8" t="str">
        <f t="shared" si="39"/>
        <v xml:space="preserve">  CRI</v>
      </c>
      <c r="S82" s="8">
        <f t="shared" si="40"/>
        <v>2023</v>
      </c>
      <c r="T82" s="8">
        <f t="shared" si="41"/>
        <v>-285975</v>
      </c>
      <c r="U82" s="8">
        <f t="shared" si="41"/>
        <v>-1066156</v>
      </c>
      <c r="W82" s="8">
        <f>Fact7!P80</f>
        <v>-5.5858216510649719</v>
      </c>
    </row>
    <row r="83" spans="1:23">
      <c r="A83" s="6530" t="s">
        <v>1196</v>
      </c>
      <c r="B83" s="6531">
        <v>49584.168380737305</v>
      </c>
      <c r="C83" s="6532">
        <v>160340.35624694824</v>
      </c>
      <c r="D83" s="6533">
        <v>97159.932769775391</v>
      </c>
      <c r="E83" s="6534">
        <v>398449.90013122559</v>
      </c>
      <c r="F83" s="6535">
        <v>294480.27192687988</v>
      </c>
      <c r="G83" s="6536">
        <v>2101412.0625762939</v>
      </c>
      <c r="H83" s="6537">
        <v>2022</v>
      </c>
      <c r="I83" s="6538">
        <v>11332973</v>
      </c>
      <c r="K83" s="8" t="str">
        <f t="shared" si="35"/>
        <v xml:space="preserve">  DOM</v>
      </c>
      <c r="L83" s="8">
        <f t="shared" si="36"/>
        <v>2022</v>
      </c>
      <c r="M83" s="8">
        <f t="shared" si="37"/>
        <v>49584.168380737305</v>
      </c>
      <c r="N83" s="8">
        <f t="shared" si="37"/>
        <v>160340.35624694824</v>
      </c>
      <c r="O83" s="8">
        <f t="shared" si="38"/>
        <v>294480.27192687988</v>
      </c>
      <c r="P83" s="8">
        <f t="shared" si="38"/>
        <v>2101412.0625762939</v>
      </c>
      <c r="Q83" s="3732"/>
      <c r="R83" s="8" t="str">
        <f t="shared" si="39"/>
        <v xml:space="preserve">  DOM</v>
      </c>
      <c r="S83" s="8">
        <f t="shared" si="40"/>
        <v>2022</v>
      </c>
      <c r="T83" s="8">
        <f t="shared" si="41"/>
        <v>-244896.10354614258</v>
      </c>
      <c r="U83" s="8">
        <f t="shared" si="41"/>
        <v>-1941071.7063293457</v>
      </c>
      <c r="W83" s="8">
        <f>Fact7!P81</f>
        <v>-37.647342504862102</v>
      </c>
    </row>
    <row r="84" spans="1:23">
      <c r="A84" s="6539" t="s">
        <v>1197</v>
      </c>
      <c r="B84" s="6540">
        <v>103444.00712585449</v>
      </c>
      <c r="C84" s="6541">
        <v>197791.47278594971</v>
      </c>
      <c r="D84" s="6542">
        <v>184443.49071121216</v>
      </c>
      <c r="E84" s="6543">
        <v>597957.7553062439</v>
      </c>
      <c r="F84" s="6544">
        <v>448356.1143951416</v>
      </c>
      <c r="G84" s="6545">
        <v>2534214.2944231033</v>
      </c>
      <c r="H84" s="6546">
        <v>2023</v>
      </c>
      <c r="I84" s="6547">
        <v>18190484</v>
      </c>
      <c r="K84" s="8" t="str">
        <f t="shared" si="35"/>
        <v xml:space="preserve">  ECU</v>
      </c>
      <c r="L84" s="8">
        <f t="shared" si="36"/>
        <v>2023</v>
      </c>
      <c r="M84" s="8">
        <f t="shared" si="37"/>
        <v>103444.00712585449</v>
      </c>
      <c r="N84" s="8">
        <f t="shared" si="37"/>
        <v>197791.47278594971</v>
      </c>
      <c r="O84" s="8">
        <f t="shared" si="38"/>
        <v>448356.1143951416</v>
      </c>
      <c r="P84" s="8">
        <f t="shared" si="38"/>
        <v>2534214.2944231033</v>
      </c>
      <c r="Q84" s="3733"/>
      <c r="R84" s="8" t="str">
        <f t="shared" si="39"/>
        <v xml:space="preserve">  ECU</v>
      </c>
      <c r="S84" s="8">
        <f t="shared" si="40"/>
        <v>2023</v>
      </c>
      <c r="T84" s="8">
        <f t="shared" si="41"/>
        <v>-344912.10726928711</v>
      </c>
      <c r="U84" s="8">
        <f t="shared" si="41"/>
        <v>-2336422.8216371536</v>
      </c>
      <c r="W84" s="8">
        <f>Fact7!P82</f>
        <v>-17.572426731047486</v>
      </c>
    </row>
    <row r="85" spans="1:23">
      <c r="A85" s="6548" t="s">
        <v>1204</v>
      </c>
      <c r="B85" s="6549">
        <v>477812</v>
      </c>
      <c r="C85" s="6550">
        <v>282736</v>
      </c>
      <c r="D85" s="6551">
        <v>356664</v>
      </c>
      <c r="E85" s="6552">
        <v>299924</v>
      </c>
      <c r="F85" s="6553">
        <v>660872</v>
      </c>
      <c r="G85" s="6554">
        <v>1134222</v>
      </c>
      <c r="H85" s="6555">
        <v>2022</v>
      </c>
      <c r="I85" s="6556">
        <v>18092026</v>
      </c>
      <c r="K85" s="8" t="str">
        <f t="shared" si="35"/>
        <v xml:space="preserve">  GTM</v>
      </c>
      <c r="L85" s="8">
        <f t="shared" si="36"/>
        <v>2022</v>
      </c>
      <c r="M85" s="8">
        <f t="shared" si="37"/>
        <v>477812</v>
      </c>
      <c r="N85" s="8">
        <f t="shared" si="37"/>
        <v>282736</v>
      </c>
      <c r="O85" s="8">
        <f t="shared" si="38"/>
        <v>660872</v>
      </c>
      <c r="P85" s="8">
        <f t="shared" si="38"/>
        <v>1134222</v>
      </c>
      <c r="Q85" s="3734"/>
      <c r="R85" s="8" t="str">
        <f t="shared" si="39"/>
        <v xml:space="preserve">  GTM</v>
      </c>
      <c r="S85" s="8">
        <f t="shared" si="40"/>
        <v>2022</v>
      </c>
      <c r="T85" s="8">
        <f t="shared" si="41"/>
        <v>-183060</v>
      </c>
      <c r="U85" s="8">
        <f t="shared" si="41"/>
        <v>-851486</v>
      </c>
      <c r="W85" s="8">
        <f>Fact7!P83</f>
        <v>-19.96762743792566</v>
      </c>
    </row>
    <row r="86" spans="1:23">
      <c r="A86" s="6557" t="s">
        <v>1199</v>
      </c>
      <c r="B86" s="6558">
        <v>359064.72413635254</v>
      </c>
      <c r="C86" s="6559">
        <v>248250.94143676758</v>
      </c>
      <c r="D86" s="6560">
        <v>203666.03274536133</v>
      </c>
      <c r="E86" s="6561">
        <v>292324.50415039063</v>
      </c>
      <c r="F86" s="6562">
        <v>248643.99409484863</v>
      </c>
      <c r="G86" s="6563">
        <v>752678.46762084961</v>
      </c>
      <c r="H86" s="6564">
        <v>2023</v>
      </c>
      <c r="I86" s="6565">
        <v>10593798</v>
      </c>
      <c r="K86" s="8" t="str">
        <f t="shared" si="35"/>
        <v xml:space="preserve">  HND</v>
      </c>
      <c r="L86" s="8">
        <f t="shared" si="36"/>
        <v>2023</v>
      </c>
      <c r="M86" s="8">
        <f t="shared" si="37"/>
        <v>359064.72413635254</v>
      </c>
      <c r="N86" s="8">
        <f t="shared" si="37"/>
        <v>248250.94143676758</v>
      </c>
      <c r="O86" s="8">
        <f t="shared" si="38"/>
        <v>248643.99409484863</v>
      </c>
      <c r="P86" s="8">
        <f t="shared" si="38"/>
        <v>752678.46762084961</v>
      </c>
      <c r="Q86" s="3735"/>
      <c r="R86" s="8" t="str">
        <f t="shared" si="39"/>
        <v xml:space="preserve">  HND</v>
      </c>
      <c r="S86" s="8">
        <f t="shared" si="40"/>
        <v>2023</v>
      </c>
      <c r="T86" s="8">
        <f t="shared" si="41"/>
        <v>110420.73004150391</v>
      </c>
      <c r="U86" s="8">
        <f t="shared" si="41"/>
        <v>-504427.52618408203</v>
      </c>
      <c r="W86" s="8">
        <f>Fact7!P84</f>
        <v>-31.266406126625391</v>
      </c>
    </row>
    <row r="87" spans="1:23">
      <c r="A87" s="6566" t="s">
        <v>1205</v>
      </c>
      <c r="B87" s="6567">
        <v>1310873</v>
      </c>
      <c r="C87" s="6568">
        <v>1350597</v>
      </c>
      <c r="D87" s="6569">
        <v>1936520</v>
      </c>
      <c r="E87" s="6570">
        <v>4184187</v>
      </c>
      <c r="F87" s="6571">
        <v>3809871</v>
      </c>
      <c r="G87" s="6572">
        <v>22316435</v>
      </c>
      <c r="H87" s="6573">
        <v>2022</v>
      </c>
      <c r="I87" s="6574">
        <v>128455567</v>
      </c>
      <c r="K87" s="8" t="str">
        <f t="shared" si="35"/>
        <v xml:space="preserve">  MEX</v>
      </c>
      <c r="L87" s="8">
        <f t="shared" si="36"/>
        <v>2022</v>
      </c>
      <c r="M87" s="8">
        <f t="shared" si="37"/>
        <v>1310873</v>
      </c>
      <c r="N87" s="8">
        <f t="shared" si="37"/>
        <v>1350597</v>
      </c>
      <c r="O87" s="8">
        <f t="shared" si="38"/>
        <v>3809871</v>
      </c>
      <c r="P87" s="8">
        <f t="shared" si="38"/>
        <v>22316435</v>
      </c>
      <c r="Q87" s="3736"/>
      <c r="R87" s="8" t="str">
        <f t="shared" si="39"/>
        <v xml:space="preserve">  MEX</v>
      </c>
      <c r="S87" s="8">
        <f t="shared" si="40"/>
        <v>2022</v>
      </c>
      <c r="T87" s="8">
        <f t="shared" si="41"/>
        <v>-2498998</v>
      </c>
      <c r="U87" s="8">
        <f t="shared" si="41"/>
        <v>-20965838</v>
      </c>
      <c r="W87" s="8">
        <f>Fact7!P85</f>
        <v>-34.767655652453485</v>
      </c>
    </row>
    <row r="88" spans="1:23">
      <c r="A88" s="6575" t="s">
        <v>1200</v>
      </c>
      <c r="B88" s="6576">
        <v>29273</v>
      </c>
      <c r="C88" s="6577">
        <v>18628</v>
      </c>
      <c r="D88" s="6578">
        <v>41302</v>
      </c>
      <c r="E88" s="6579">
        <v>49719</v>
      </c>
      <c r="F88" s="6580">
        <v>193209</v>
      </c>
      <c r="G88" s="6581">
        <v>837795</v>
      </c>
      <c r="H88" s="6582">
        <v>2022</v>
      </c>
      <c r="I88" s="6583">
        <v>4468087</v>
      </c>
      <c r="K88" s="8" t="str">
        <f t="shared" si="35"/>
        <v xml:space="preserve">  PAN</v>
      </c>
      <c r="L88" s="8">
        <f t="shared" si="36"/>
        <v>2022</v>
      </c>
      <c r="M88" s="8">
        <f t="shared" si="37"/>
        <v>29273</v>
      </c>
      <c r="N88" s="8">
        <f t="shared" si="37"/>
        <v>18628</v>
      </c>
      <c r="O88" s="8">
        <f t="shared" si="38"/>
        <v>193209</v>
      </c>
      <c r="P88" s="8">
        <f t="shared" si="38"/>
        <v>837795</v>
      </c>
      <c r="Q88" s="3737"/>
      <c r="R88" s="8" t="str">
        <f t="shared" si="39"/>
        <v xml:space="preserve">  PAN</v>
      </c>
      <c r="S88" s="8">
        <f t="shared" si="40"/>
        <v>2022</v>
      </c>
      <c r="T88" s="8">
        <f t="shared" si="41"/>
        <v>-163936</v>
      </c>
      <c r="U88" s="8">
        <f t="shared" si="41"/>
        <v>-819167</v>
      </c>
      <c r="W88" s="8">
        <f>Fact7!P86</f>
        <v>-31.120517222070795</v>
      </c>
    </row>
    <row r="89" spans="1:23">
      <c r="A89" s="6584" t="s">
        <v>1201</v>
      </c>
      <c r="B89" s="6585">
        <v>367915.25662136078</v>
      </c>
      <c r="C89" s="6586">
        <v>464603.13320791721</v>
      </c>
      <c r="D89" s="6587">
        <v>552640.95843696594</v>
      </c>
      <c r="E89" s="6588">
        <v>1383725.0225101709</v>
      </c>
      <c r="F89" s="6589">
        <v>645554.21485328674</v>
      </c>
      <c r="G89" s="6590">
        <v>5251025.406493783</v>
      </c>
      <c r="H89" s="6591">
        <v>2022</v>
      </c>
      <c r="I89" s="6592">
        <v>34352719</v>
      </c>
      <c r="K89" s="8" t="str">
        <f t="shared" si="35"/>
        <v xml:space="preserve">  PER</v>
      </c>
      <c r="L89" s="8">
        <f t="shared" si="36"/>
        <v>2022</v>
      </c>
      <c r="M89" s="8">
        <f t="shared" si="37"/>
        <v>367915.25662136078</v>
      </c>
      <c r="N89" s="8">
        <f t="shared" si="37"/>
        <v>464603.13320791721</v>
      </c>
      <c r="O89" s="8">
        <f t="shared" si="38"/>
        <v>645554.21485328674</v>
      </c>
      <c r="P89" s="8">
        <f t="shared" si="38"/>
        <v>5251025.406493783</v>
      </c>
      <c r="Q89" s="3738"/>
      <c r="R89" s="8" t="str">
        <f t="shared" si="39"/>
        <v xml:space="preserve">  PER</v>
      </c>
      <c r="S89" s="8">
        <f t="shared" si="40"/>
        <v>2022</v>
      </c>
      <c r="T89" s="8">
        <f t="shared" si="41"/>
        <v>-277638.95823192596</v>
      </c>
      <c r="U89" s="8">
        <f t="shared" si="41"/>
        <v>-4786422.2732858658</v>
      </c>
      <c r="W89" s="8">
        <f>Fact7!P87</f>
        <v>-34.674041854488912</v>
      </c>
    </row>
    <row r="90" spans="1:23">
      <c r="A90" s="6593" t="s">
        <v>1202</v>
      </c>
      <c r="B90" s="6594">
        <v>122846</v>
      </c>
      <c r="C90" s="6595">
        <v>50658</v>
      </c>
      <c r="D90" s="6596">
        <v>146155</v>
      </c>
      <c r="E90" s="6597">
        <v>141904</v>
      </c>
      <c r="F90" s="6598">
        <v>296021</v>
      </c>
      <c r="G90" s="6599">
        <v>912793</v>
      </c>
      <c r="H90" s="6600">
        <v>2022</v>
      </c>
      <c r="I90" s="6601">
        <v>6861524</v>
      </c>
      <c r="K90" s="8" t="str">
        <f t="shared" si="35"/>
        <v xml:space="preserve">  PRY</v>
      </c>
      <c r="L90" s="8">
        <f t="shared" si="36"/>
        <v>2022</v>
      </c>
      <c r="M90" s="8">
        <f t="shared" si="37"/>
        <v>122846</v>
      </c>
      <c r="N90" s="8">
        <f t="shared" si="37"/>
        <v>50658</v>
      </c>
      <c r="O90" s="8">
        <f t="shared" si="38"/>
        <v>296021</v>
      </c>
      <c r="P90" s="8">
        <f t="shared" si="38"/>
        <v>912793</v>
      </c>
      <c r="Q90" s="3739"/>
      <c r="R90" s="8" t="str">
        <f t="shared" si="39"/>
        <v xml:space="preserve">  PRY</v>
      </c>
      <c r="S90" s="8">
        <f t="shared" si="40"/>
        <v>2022</v>
      </c>
      <c r="T90" s="8">
        <f t="shared" si="41"/>
        <v>-173175</v>
      </c>
      <c r="U90" s="8">
        <f t="shared" si="41"/>
        <v>-862135</v>
      </c>
      <c r="W90" s="8">
        <f>Fact7!P88</f>
        <v>0</v>
      </c>
    </row>
    <row r="91" spans="1:23">
      <c r="A91" s="6602" t="s">
        <v>1206</v>
      </c>
      <c r="B91" s="6603">
        <v>104376.51995658875</v>
      </c>
      <c r="C91" s="6604">
        <v>93252.004251480103</v>
      </c>
      <c r="D91" s="6605">
        <v>110777.25021839142</v>
      </c>
      <c r="E91" s="6606">
        <v>165221.49725246429</v>
      </c>
      <c r="F91" s="6607">
        <v>213253.13342285156</v>
      </c>
      <c r="G91" s="6608">
        <v>766298.41037082672</v>
      </c>
      <c r="H91" s="6609">
        <v>2023</v>
      </c>
      <c r="I91" s="6610">
        <v>6364943</v>
      </c>
      <c r="K91" s="8" t="str">
        <f t="shared" si="35"/>
        <v xml:space="preserve">  SLV</v>
      </c>
      <c r="L91" s="8">
        <f t="shared" si="36"/>
        <v>2023</v>
      </c>
      <c r="M91" s="8">
        <f t="shared" si="37"/>
        <v>104376.51995658875</v>
      </c>
      <c r="N91" s="8">
        <f t="shared" si="37"/>
        <v>93252.004251480103</v>
      </c>
      <c r="O91" s="8">
        <f t="shared" si="38"/>
        <v>213253.13342285156</v>
      </c>
      <c r="P91" s="8">
        <f t="shared" si="38"/>
        <v>766298.41037082672</v>
      </c>
      <c r="Q91" s="3740"/>
      <c r="R91" s="8" t="str">
        <f t="shared" si="39"/>
        <v xml:space="preserve">  SLV</v>
      </c>
      <c r="S91" s="8">
        <f t="shared" si="40"/>
        <v>2023</v>
      </c>
      <c r="T91" s="8">
        <f t="shared" si="41"/>
        <v>-108876.61346626282</v>
      </c>
      <c r="U91" s="8">
        <f t="shared" si="41"/>
        <v>-673046.40611934662</v>
      </c>
      <c r="W91" s="8">
        <f>Fact7!P89</f>
        <v>0</v>
      </c>
    </row>
    <row r="92" spans="1:23">
      <c r="A92" s="6611" t="s">
        <v>1207</v>
      </c>
      <c r="B92" s="6612">
        <v>3721</v>
      </c>
      <c r="C92" s="6613">
        <v>26327</v>
      </c>
      <c r="D92" s="6614">
        <v>14854</v>
      </c>
      <c r="E92" s="6615">
        <v>74108</v>
      </c>
      <c r="F92" s="6616">
        <v>115806</v>
      </c>
      <c r="G92" s="6617">
        <v>966599</v>
      </c>
      <c r="H92" s="6618">
        <v>2022</v>
      </c>
      <c r="I92" s="6619">
        <v>3423109</v>
      </c>
      <c r="Q92" s="3741"/>
    </row>
    <row r="93" spans="1:23">
      <c r="A93" s="6620" t="s">
        <v>1203</v>
      </c>
      <c r="B93" s="6800" t="s">
        <v>1045</v>
      </c>
      <c r="C93" s="6801" t="s">
        <v>1045</v>
      </c>
      <c r="D93" s="6802" t="s">
        <v>1045</v>
      </c>
      <c r="E93" s="6803" t="s">
        <v>1045</v>
      </c>
      <c r="F93" s="6804" t="s">
        <v>1045</v>
      </c>
      <c r="G93" s="6805" t="s">
        <v>1045</v>
      </c>
      <c r="H93" s="6621" t="s">
        <v>1186</v>
      </c>
      <c r="I93" s="6622" t="s">
        <v>1257</v>
      </c>
      <c r="K93" s="3" t="s">
        <v>1261</v>
      </c>
      <c r="L93" s="8"/>
      <c r="M93" s="8">
        <f>AVERAGE(M77:M91)</f>
        <v>285249.48906421661</v>
      </c>
      <c r="N93" s="8">
        <f>AVERAGE(N77:N91)</f>
        <v>565744.44935262203</v>
      </c>
      <c r="O93" s="8">
        <f t="shared" ref="O93:P93" si="42">AVERAGE(O77:O91)</f>
        <v>675206.68939456937</v>
      </c>
      <c r="P93" s="8">
        <f t="shared" si="42"/>
        <v>7247594.1249343632</v>
      </c>
      <c r="Q93" s="3742"/>
      <c r="R93" s="3" t="s">
        <v>1261</v>
      </c>
      <c r="S93" s="8"/>
      <c r="T93" s="8">
        <f>AVERAGE(T77:T91)</f>
        <v>-389957.20033035276</v>
      </c>
      <c r="U93" s="8">
        <f t="shared" ref="U93:W93" si="43">AVERAGE(U77:U91)</f>
        <v>-6681849.6755817411</v>
      </c>
      <c r="V93" s="8"/>
      <c r="W93" s="8">
        <f t="shared" si="43"/>
        <v>-24.526896371179092</v>
      </c>
    </row>
    <row r="94" spans="1:23" ht="15" thickBot="1">
      <c r="A94" s="6623"/>
      <c r="B94" s="6806" t="s">
        <v>1187</v>
      </c>
      <c r="C94" s="6806" t="s">
        <v>1187</v>
      </c>
      <c r="D94" s="6807" t="s">
        <v>1188</v>
      </c>
      <c r="E94" s="6807" t="s">
        <v>1188</v>
      </c>
      <c r="F94" s="6808" t="s">
        <v>1189</v>
      </c>
      <c r="G94" s="6808" t="s">
        <v>1189</v>
      </c>
      <c r="I94" s="6624" t="s">
        <v>1187</v>
      </c>
      <c r="K94" s="212" t="s">
        <v>1145</v>
      </c>
      <c r="L94" s="85"/>
      <c r="M94" s="85">
        <f>SUMPRODUCT(M77:M91,$I77:$I91)/SUM($I77:$I91)</f>
        <v>621138.32498569798</v>
      </c>
      <c r="N94" s="85">
        <f>SUMPRODUCT(N77:N91,$I77:$I91)/SUM($I77:$I91)</f>
        <v>1812752.8901854332</v>
      </c>
      <c r="O94" s="85">
        <f t="shared" ref="O94" si="44">SUMPRODUCT(O77:O91,$I77:$I91)/SUM($I77:$I91)</f>
        <v>1596206.0131242489</v>
      </c>
      <c r="P94" s="85">
        <f>SUMPRODUCT(P77:P91,$I77:$I91)/SUM($I77:$I91)</f>
        <v>24302773.931127626</v>
      </c>
      <c r="Q94" s="3743"/>
      <c r="R94" s="212" t="s">
        <v>1145</v>
      </c>
      <c r="S94" s="85"/>
      <c r="T94" s="85">
        <f>SUMPRODUCT(T77:T91,$I77:$I91)/SUM($I77:$I91)</f>
        <v>-975067.68813855096</v>
      </c>
      <c r="U94" s="85">
        <f t="shared" ref="U94:W94" si="45">SUMPRODUCT(U77:U91,$I77:$I91)/SUM($I77:$I91)</f>
        <v>-22490021.040942203</v>
      </c>
      <c r="V94" s="85"/>
      <c r="W94" s="85">
        <f t="shared" si="45"/>
        <v>-26.821809625830969</v>
      </c>
    </row>
    <row r="95" spans="1:23" ht="15" thickTop="1">
      <c r="A95" s="6625"/>
      <c r="B95" s="6809" t="s">
        <v>1258</v>
      </c>
      <c r="C95" s="6809" t="s">
        <v>1258</v>
      </c>
      <c r="D95" s="6810" t="s">
        <v>1258</v>
      </c>
      <c r="E95" s="6810" t="s">
        <v>1258</v>
      </c>
      <c r="F95" s="6811" t="s">
        <v>1258</v>
      </c>
      <c r="G95" s="6811" t="s">
        <v>1258</v>
      </c>
      <c r="I95"/>
      <c r="K95" s="3063"/>
      <c r="L95" s="3062"/>
      <c r="M95" s="3062"/>
      <c r="N95" s="3062"/>
      <c r="O95" s="3062"/>
      <c r="P95" s="3062"/>
      <c r="R95" s="3063"/>
      <c r="S95" s="3062"/>
      <c r="T95" s="3062"/>
      <c r="U95" s="3062"/>
      <c r="V95" s="3062"/>
      <c r="W95" s="3062"/>
    </row>
    <row r="96" spans="1:23">
      <c r="A96" s="6626"/>
      <c r="B96" s="6627" t="s">
        <v>1259</v>
      </c>
      <c r="C96" s="6628" t="s">
        <v>1260</v>
      </c>
      <c r="D96" s="6629" t="s">
        <v>1259</v>
      </c>
      <c r="E96" s="6630" t="s">
        <v>1260</v>
      </c>
      <c r="F96" s="6631" t="s">
        <v>1259</v>
      </c>
      <c r="G96" s="6632" t="s">
        <v>1260</v>
      </c>
      <c r="I96" s="3884"/>
      <c r="L96" s="8"/>
      <c r="M96" s="8"/>
      <c r="N96" s="8"/>
      <c r="O96" s="8"/>
      <c r="P96" s="8"/>
      <c r="S96" s="8"/>
      <c r="T96" s="8"/>
      <c r="U96" s="8"/>
      <c r="V96" s="8"/>
      <c r="W96" s="8"/>
    </row>
    <row r="97" spans="1:23">
      <c r="A97" s="6633"/>
      <c r="B97" s="6634" t="s">
        <v>1256</v>
      </c>
      <c r="C97" s="6635" t="s">
        <v>1256</v>
      </c>
      <c r="D97" s="6636" t="s">
        <v>1256</v>
      </c>
      <c r="E97" s="6637" t="s">
        <v>1256</v>
      </c>
      <c r="F97" s="6638" t="s">
        <v>1256</v>
      </c>
      <c r="G97" s="6639" t="s">
        <v>1256</v>
      </c>
      <c r="I97" s="3885"/>
      <c r="L97" s="8"/>
      <c r="M97" s="8"/>
      <c r="N97" s="8"/>
      <c r="O97" s="8"/>
      <c r="P97" s="8"/>
      <c r="S97" s="8"/>
      <c r="T97" s="8"/>
      <c r="U97" s="8"/>
      <c r="V97" s="8"/>
      <c r="W97" s="8"/>
    </row>
    <row r="98" spans="1:23" ht="15" thickBot="1">
      <c r="A98" s="6640"/>
      <c r="B98" s="6641" t="s">
        <v>1187</v>
      </c>
      <c r="C98" s="6642" t="s">
        <v>1187</v>
      </c>
      <c r="D98" s="6643" t="s">
        <v>1187</v>
      </c>
      <c r="E98" s="6644" t="s">
        <v>1187</v>
      </c>
      <c r="F98" s="6645" t="s">
        <v>1187</v>
      </c>
      <c r="G98" s="6646" t="s">
        <v>1187</v>
      </c>
      <c r="I98" s="3886"/>
      <c r="K98" s="972" t="str">
        <f>B97</f>
        <v>cel_chh</v>
      </c>
      <c r="L98" s="2649"/>
      <c r="M98" s="85"/>
      <c r="N98" s="85"/>
      <c r="O98" s="85"/>
      <c r="P98" s="85"/>
      <c r="R98" s="972" t="str">
        <f>E97</f>
        <v>cel_chh</v>
      </c>
      <c r="S98" s="2649"/>
      <c r="T98" s="85"/>
      <c r="U98" s="85"/>
      <c r="V98" s="85"/>
      <c r="W98" s="85"/>
    </row>
    <row r="99" spans="1:23" ht="15" thickTop="1">
      <c r="A99" s="6647" t="s">
        <v>1125</v>
      </c>
      <c r="B99" s="6648"/>
      <c r="C99" s="6649"/>
      <c r="D99" s="6650"/>
      <c r="E99" s="6651"/>
      <c r="F99" s="6652"/>
      <c r="G99" s="6653"/>
      <c r="H99" s="6654"/>
      <c r="I99" s="6655"/>
      <c r="K99" s="213" t="s">
        <v>904</v>
      </c>
      <c r="L99" s="216" t="s">
        <v>938</v>
      </c>
      <c r="M99" s="2650" t="s">
        <v>1273</v>
      </c>
      <c r="N99" s="2650" t="s">
        <v>1136</v>
      </c>
      <c r="O99" s="2650"/>
      <c r="P99" s="2650"/>
      <c r="Q99" s="3744"/>
      <c r="R99" s="213" t="s">
        <v>904</v>
      </c>
      <c r="S99" s="216" t="s">
        <v>938</v>
      </c>
      <c r="T99" s="2650" t="s">
        <v>1273</v>
      </c>
      <c r="U99" s="2650" t="s">
        <v>1136</v>
      </c>
      <c r="W99" s="76" t="s">
        <v>901</v>
      </c>
    </row>
    <row r="100" spans="1:23">
      <c r="A100" s="6656" t="s">
        <v>1191</v>
      </c>
      <c r="B100" s="6657">
        <v>150121.50987052917</v>
      </c>
      <c r="C100" s="6658">
        <v>53125.617708206177</v>
      </c>
      <c r="D100" s="6659">
        <v>160018.87273025513</v>
      </c>
      <c r="E100" s="6660">
        <v>169094.12435722351</v>
      </c>
      <c r="F100" s="6661">
        <v>533488.90531730652</v>
      </c>
      <c r="G100" s="6662">
        <v>2197029.0874347687</v>
      </c>
      <c r="H100" s="6663">
        <v>2022</v>
      </c>
      <c r="I100" s="6664">
        <v>12388571</v>
      </c>
      <c r="K100" s="8" t="str">
        <f t="shared" ref="K100:K114" si="46">A100</f>
        <v xml:space="preserve">  BOL</v>
      </c>
      <c r="L100" s="8">
        <f t="shared" ref="L100:L114" si="47">H100</f>
        <v>2022</v>
      </c>
      <c r="M100" s="8">
        <f t="shared" ref="M100:N114" si="48">B100</f>
        <v>150121.50987052917</v>
      </c>
      <c r="N100" s="8">
        <f t="shared" si="48"/>
        <v>53125.617708206177</v>
      </c>
      <c r="O100" s="8">
        <f t="shared" ref="O100:P114" si="49">F100</f>
        <v>533488.90531730652</v>
      </c>
      <c r="P100" s="8">
        <f t="shared" si="49"/>
        <v>2197029.0874347687</v>
      </c>
      <c r="Q100" s="3745"/>
      <c r="R100" s="8" t="str">
        <f t="shared" ref="R100:R114" si="50">A100</f>
        <v xml:space="preserve">  BOL</v>
      </c>
      <c r="S100" s="8">
        <f t="shared" ref="S100:S114" si="51">H100*1</f>
        <v>2022</v>
      </c>
      <c r="T100" s="8">
        <f t="shared" ref="T100:U114" si="52">B100-F100</f>
        <v>-383367.39544677734</v>
      </c>
      <c r="U100" s="8">
        <f t="shared" si="52"/>
        <v>-2143903.4697265625</v>
      </c>
      <c r="W100" s="8">
        <f>Fact7!P98</f>
        <v>-29.019423445373114</v>
      </c>
    </row>
    <row r="101" spans="1:23">
      <c r="A101" s="6665" t="s">
        <v>1192</v>
      </c>
      <c r="B101" s="6666">
        <v>1793332.6170349121</v>
      </c>
      <c r="C101" s="6667">
        <v>4202362.3495063782</v>
      </c>
      <c r="D101" s="6668">
        <v>1676287.3550157547</v>
      </c>
      <c r="E101" s="6669">
        <v>8119799.7108545303</v>
      </c>
      <c r="F101" s="6670">
        <v>4250835.0045394897</v>
      </c>
      <c r="G101" s="6671">
        <v>46501837.063033104</v>
      </c>
      <c r="H101" s="6672">
        <v>2019</v>
      </c>
      <c r="I101" s="6673">
        <v>216422446</v>
      </c>
      <c r="K101" s="8" t="str">
        <f t="shared" si="46"/>
        <v xml:space="preserve">  BRA</v>
      </c>
      <c r="L101" s="8">
        <f t="shared" si="47"/>
        <v>2019</v>
      </c>
      <c r="M101" s="8">
        <f t="shared" si="48"/>
        <v>1793332.6170349121</v>
      </c>
      <c r="N101" s="8">
        <f t="shared" si="48"/>
        <v>4202362.3495063782</v>
      </c>
      <c r="O101" s="8">
        <f t="shared" si="49"/>
        <v>4250835.0045394897</v>
      </c>
      <c r="P101" s="8">
        <f t="shared" si="49"/>
        <v>46501837.063033104</v>
      </c>
      <c r="Q101" s="3746"/>
      <c r="R101" s="8" t="str">
        <f t="shared" si="50"/>
        <v xml:space="preserve">  BRA</v>
      </c>
      <c r="S101" s="8">
        <f t="shared" si="51"/>
        <v>2019</v>
      </c>
      <c r="T101" s="8">
        <f t="shared" si="52"/>
        <v>-2457502.3875045776</v>
      </c>
      <c r="U101" s="8">
        <f t="shared" si="52"/>
        <v>-42299474.713526726</v>
      </c>
      <c r="W101" s="8">
        <f>Fact7!P99</f>
        <v>-19.640772330150341</v>
      </c>
    </row>
    <row r="102" spans="1:23">
      <c r="A102" s="6674" t="s">
        <v>1193</v>
      </c>
      <c r="B102" s="6675">
        <v>37774</v>
      </c>
      <c r="C102" s="6676">
        <v>139719</v>
      </c>
      <c r="D102" s="6677">
        <v>117910</v>
      </c>
      <c r="E102" s="6678">
        <v>426643</v>
      </c>
      <c r="F102" s="6679">
        <v>539714</v>
      </c>
      <c r="G102" s="6680">
        <v>4305990</v>
      </c>
      <c r="H102" s="6681">
        <v>2017</v>
      </c>
      <c r="I102" s="6682">
        <v>19629590</v>
      </c>
      <c r="K102" s="8" t="str">
        <f t="shared" si="46"/>
        <v xml:space="preserve">  CHL</v>
      </c>
      <c r="L102" s="8">
        <f t="shared" si="47"/>
        <v>2017</v>
      </c>
      <c r="M102" s="8">
        <f t="shared" si="48"/>
        <v>37774</v>
      </c>
      <c r="N102" s="8">
        <f t="shared" si="48"/>
        <v>139719</v>
      </c>
      <c r="O102" s="8">
        <f t="shared" si="49"/>
        <v>539714</v>
      </c>
      <c r="P102" s="8">
        <f t="shared" si="49"/>
        <v>4305990</v>
      </c>
      <c r="Q102" s="3747"/>
      <c r="R102" s="8" t="str">
        <f t="shared" si="50"/>
        <v xml:space="preserve">  CHL</v>
      </c>
      <c r="S102" s="8">
        <f t="shared" si="51"/>
        <v>2017</v>
      </c>
      <c r="T102" s="8">
        <f t="shared" si="52"/>
        <v>-501940</v>
      </c>
      <c r="U102" s="8">
        <f t="shared" si="52"/>
        <v>-4166271</v>
      </c>
      <c r="W102" s="8">
        <f>Fact7!P100</f>
        <v>-19.747785626351707</v>
      </c>
    </row>
    <row r="103" spans="1:23">
      <c r="A103" s="6683" t="s">
        <v>1194</v>
      </c>
      <c r="B103" s="6684">
        <v>995470.66750335693</v>
      </c>
      <c r="C103" s="6685">
        <v>1398296.9460124969</v>
      </c>
      <c r="D103" s="6686">
        <v>846134.428855896</v>
      </c>
      <c r="E103" s="6687">
        <v>2258296.7716836929</v>
      </c>
      <c r="F103" s="6688">
        <v>1182547.4430999756</v>
      </c>
      <c r="G103" s="6689">
        <v>8247543.3605289459</v>
      </c>
      <c r="H103" s="6690">
        <v>2021</v>
      </c>
      <c r="I103" s="6691">
        <v>52085168</v>
      </c>
      <c r="K103" s="8" t="str">
        <f t="shared" si="46"/>
        <v xml:space="preserve">  COL</v>
      </c>
      <c r="L103" s="8">
        <f t="shared" si="47"/>
        <v>2021</v>
      </c>
      <c r="M103" s="8">
        <f t="shared" si="48"/>
        <v>995470.66750335693</v>
      </c>
      <c r="N103" s="8">
        <f t="shared" si="48"/>
        <v>1398296.9460124969</v>
      </c>
      <c r="O103" s="8">
        <f t="shared" si="49"/>
        <v>1182547.4430999756</v>
      </c>
      <c r="P103" s="8">
        <f t="shared" si="49"/>
        <v>8247543.3605289459</v>
      </c>
      <c r="Q103" s="3748"/>
      <c r="R103" s="8" t="str">
        <f t="shared" si="50"/>
        <v xml:space="preserve">  COL</v>
      </c>
      <c r="S103" s="8">
        <f t="shared" si="51"/>
        <v>2021</v>
      </c>
      <c r="T103" s="8">
        <f t="shared" si="52"/>
        <v>-187076.77559661865</v>
      </c>
      <c r="U103" s="8">
        <f t="shared" si="52"/>
        <v>-6849246.414516449</v>
      </c>
      <c r="W103" s="8">
        <f>Fact7!P101</f>
        <v>-42.886561100583961</v>
      </c>
    </row>
    <row r="104" spans="1:23">
      <c r="A104" s="6692" t="s">
        <v>1195</v>
      </c>
      <c r="B104" s="6693">
        <v>39879</v>
      </c>
      <c r="C104" s="6694">
        <v>49184</v>
      </c>
      <c r="D104" s="6695">
        <v>86428</v>
      </c>
      <c r="E104" s="6696">
        <v>116583</v>
      </c>
      <c r="F104" s="6697">
        <v>342587</v>
      </c>
      <c r="G104" s="6698">
        <v>1093686</v>
      </c>
      <c r="H104" s="6699">
        <v>2023</v>
      </c>
      <c r="I104" s="6700">
        <v>5212173</v>
      </c>
      <c r="K104" s="8" t="str">
        <f t="shared" si="46"/>
        <v xml:space="preserve">  CRI</v>
      </c>
      <c r="L104" s="8">
        <f t="shared" si="47"/>
        <v>2023</v>
      </c>
      <c r="M104" s="8">
        <f t="shared" si="48"/>
        <v>39879</v>
      </c>
      <c r="N104" s="8">
        <f t="shared" si="48"/>
        <v>49184</v>
      </c>
      <c r="O104" s="8">
        <f t="shared" si="49"/>
        <v>342587</v>
      </c>
      <c r="P104" s="8">
        <f t="shared" si="49"/>
        <v>1093686</v>
      </c>
      <c r="Q104" s="3749"/>
      <c r="R104" s="8" t="str">
        <f t="shared" si="50"/>
        <v xml:space="preserve">  CRI</v>
      </c>
      <c r="S104" s="8">
        <f t="shared" si="51"/>
        <v>2023</v>
      </c>
      <c r="T104" s="8">
        <f t="shared" si="52"/>
        <v>-302708</v>
      </c>
      <c r="U104" s="8">
        <f t="shared" si="52"/>
        <v>-1044502</v>
      </c>
      <c r="W104" s="8">
        <f>Fact7!P102</f>
        <v>-14.478064000136442</v>
      </c>
    </row>
    <row r="105" spans="1:23">
      <c r="A105" s="6701" t="s">
        <v>1196</v>
      </c>
      <c r="B105" s="6702">
        <v>57903.883834838867</v>
      </c>
      <c r="C105" s="6703">
        <v>162581.50564575195</v>
      </c>
      <c r="D105" s="6704">
        <v>118456.81582641602</v>
      </c>
      <c r="E105" s="6705">
        <v>408524.59024047852</v>
      </c>
      <c r="F105" s="6706">
        <v>348162.32972717285</v>
      </c>
      <c r="G105" s="6707">
        <v>2132900.107208252</v>
      </c>
      <c r="H105" s="6708">
        <v>2022</v>
      </c>
      <c r="I105" s="6709">
        <v>11332973</v>
      </c>
      <c r="K105" s="8" t="str">
        <f t="shared" si="46"/>
        <v xml:space="preserve">  DOM</v>
      </c>
      <c r="L105" s="8">
        <f t="shared" si="47"/>
        <v>2022</v>
      </c>
      <c r="M105" s="8">
        <f t="shared" si="48"/>
        <v>57903.883834838867</v>
      </c>
      <c r="N105" s="8">
        <f t="shared" si="48"/>
        <v>162581.50564575195</v>
      </c>
      <c r="O105" s="8">
        <f t="shared" si="49"/>
        <v>348162.32972717285</v>
      </c>
      <c r="P105" s="8">
        <f t="shared" si="49"/>
        <v>2132900.107208252</v>
      </c>
      <c r="Q105" s="3750"/>
      <c r="R105" s="8" t="str">
        <f t="shared" si="50"/>
        <v xml:space="preserve">  DOM</v>
      </c>
      <c r="S105" s="8">
        <f t="shared" si="51"/>
        <v>2022</v>
      </c>
      <c r="T105" s="8">
        <f t="shared" si="52"/>
        <v>-290258.44589233398</v>
      </c>
      <c r="U105" s="8">
        <f t="shared" si="52"/>
        <v>-1970318.6015625</v>
      </c>
      <c r="W105" s="8">
        <f>Fact7!P103</f>
        <v>-24.122124994970601</v>
      </c>
    </row>
    <row r="106" spans="1:23">
      <c r="A106" s="6710" t="s">
        <v>1197</v>
      </c>
      <c r="B106" s="6711">
        <v>220631.38011741638</v>
      </c>
      <c r="C106" s="6712">
        <v>160214.19424152374</v>
      </c>
      <c r="D106" s="6713">
        <v>303109.11068820953</v>
      </c>
      <c r="E106" s="6714">
        <v>457657.64125347137</v>
      </c>
      <c r="F106" s="6715">
        <v>606065.42583465576</v>
      </c>
      <c r="G106" s="6716">
        <v>2340062.1541461945</v>
      </c>
      <c r="H106" s="6717">
        <v>2017</v>
      </c>
      <c r="I106" s="6718">
        <v>18190484</v>
      </c>
      <c r="K106" s="8" t="str">
        <f t="shared" si="46"/>
        <v xml:space="preserve">  ECU</v>
      </c>
      <c r="L106" s="8">
        <f t="shared" si="47"/>
        <v>2017</v>
      </c>
      <c r="M106" s="8">
        <f t="shared" si="48"/>
        <v>220631.38011741638</v>
      </c>
      <c r="N106" s="8">
        <f t="shared" si="48"/>
        <v>160214.19424152374</v>
      </c>
      <c r="O106" s="8">
        <f t="shared" si="49"/>
        <v>606065.42583465576</v>
      </c>
      <c r="P106" s="8">
        <f t="shared" si="49"/>
        <v>2340062.1541461945</v>
      </c>
      <c r="Q106" s="3751"/>
      <c r="R106" s="8" t="str">
        <f t="shared" si="50"/>
        <v xml:space="preserve">  ECU</v>
      </c>
      <c r="S106" s="8">
        <f t="shared" si="51"/>
        <v>2017</v>
      </c>
      <c r="T106" s="8">
        <f t="shared" si="52"/>
        <v>-385434.04571723938</v>
      </c>
      <c r="U106" s="8">
        <f t="shared" si="52"/>
        <v>-2179847.9599046707</v>
      </c>
      <c r="W106" s="8">
        <f>Fact7!P104</f>
        <v>-36.544466854700076</v>
      </c>
    </row>
    <row r="107" spans="1:23">
      <c r="A107" s="6719" t="s">
        <v>1204</v>
      </c>
      <c r="B107" s="6720">
        <v>612182</v>
      </c>
      <c r="C107" s="6721">
        <v>276833</v>
      </c>
      <c r="D107" s="6722">
        <v>465627</v>
      </c>
      <c r="E107" s="6723">
        <v>307370</v>
      </c>
      <c r="F107" s="6724">
        <v>800709</v>
      </c>
      <c r="G107" s="6725">
        <v>1125556</v>
      </c>
      <c r="H107" s="6726">
        <v>2022</v>
      </c>
      <c r="I107" s="6727">
        <v>18092026</v>
      </c>
      <c r="K107" s="8" t="str">
        <f t="shared" si="46"/>
        <v xml:space="preserve">  GTM</v>
      </c>
      <c r="L107" s="8">
        <f t="shared" si="47"/>
        <v>2022</v>
      </c>
      <c r="M107" s="8">
        <f t="shared" si="48"/>
        <v>612182</v>
      </c>
      <c r="N107" s="8">
        <f t="shared" si="48"/>
        <v>276833</v>
      </c>
      <c r="O107" s="8">
        <f t="shared" si="49"/>
        <v>800709</v>
      </c>
      <c r="P107" s="8">
        <f t="shared" si="49"/>
        <v>1125556</v>
      </c>
      <c r="Q107" s="3752"/>
      <c r="R107" s="8" t="str">
        <f t="shared" si="50"/>
        <v xml:space="preserve">  GTM</v>
      </c>
      <c r="S107" s="8">
        <f t="shared" si="51"/>
        <v>2022</v>
      </c>
      <c r="T107" s="8">
        <f t="shared" si="52"/>
        <v>-188527</v>
      </c>
      <c r="U107" s="8">
        <f t="shared" si="52"/>
        <v>-848723</v>
      </c>
      <c r="W107" s="8">
        <f>Fact7!P105</f>
        <v>-33.022426411439426</v>
      </c>
    </row>
    <row r="108" spans="1:23">
      <c r="A108" s="6728" t="s">
        <v>1199</v>
      </c>
      <c r="B108" s="6729">
        <v>309030.99034118652</v>
      </c>
      <c r="C108" s="6730">
        <v>230518.53060913086</v>
      </c>
      <c r="D108" s="6731">
        <v>194911.81983947754</v>
      </c>
      <c r="E108" s="6732">
        <v>265759.55186462402</v>
      </c>
      <c r="F108" s="6733">
        <v>253699.76774597168</v>
      </c>
      <c r="G108" s="6734">
        <v>730623.47596740723</v>
      </c>
      <c r="H108" s="6735">
        <v>2023</v>
      </c>
      <c r="I108" s="6736">
        <v>10593798</v>
      </c>
      <c r="K108" s="8" t="str">
        <f t="shared" si="46"/>
        <v xml:space="preserve">  HND</v>
      </c>
      <c r="L108" s="8">
        <f t="shared" si="47"/>
        <v>2023</v>
      </c>
      <c r="M108" s="8">
        <f t="shared" si="48"/>
        <v>309030.99034118652</v>
      </c>
      <c r="N108" s="8">
        <f t="shared" si="48"/>
        <v>230518.53060913086</v>
      </c>
      <c r="O108" s="8">
        <f t="shared" si="49"/>
        <v>253699.76774597168</v>
      </c>
      <c r="P108" s="8">
        <f t="shared" si="49"/>
        <v>730623.47596740723</v>
      </c>
      <c r="Q108" s="3753"/>
      <c r="R108" s="8" t="str">
        <f t="shared" si="50"/>
        <v xml:space="preserve">  HND</v>
      </c>
      <c r="S108" s="8">
        <f t="shared" si="51"/>
        <v>2023</v>
      </c>
      <c r="T108" s="8">
        <f t="shared" si="52"/>
        <v>55331.222595214844</v>
      </c>
      <c r="U108" s="8">
        <f t="shared" si="52"/>
        <v>-500104.94535827637</v>
      </c>
      <c r="W108" s="8">
        <f>Fact7!P106</f>
        <v>-33.949847330749826</v>
      </c>
    </row>
    <row r="109" spans="1:23">
      <c r="A109" s="6737" t="s">
        <v>1205</v>
      </c>
      <c r="B109" s="6738">
        <v>1271817</v>
      </c>
      <c r="C109" s="6739">
        <v>1258587</v>
      </c>
      <c r="D109" s="6740">
        <v>2055532</v>
      </c>
      <c r="E109" s="6741">
        <v>4137442</v>
      </c>
      <c r="F109" s="6742">
        <v>4068385</v>
      </c>
      <c r="G109" s="6743">
        <v>21842140</v>
      </c>
      <c r="H109" s="6744">
        <v>2022</v>
      </c>
      <c r="I109" s="6745">
        <v>128455567</v>
      </c>
      <c r="K109" s="8" t="str">
        <f t="shared" si="46"/>
        <v xml:space="preserve">  MEX</v>
      </c>
      <c r="L109" s="8">
        <f t="shared" si="47"/>
        <v>2022</v>
      </c>
      <c r="M109" s="8">
        <f t="shared" si="48"/>
        <v>1271817</v>
      </c>
      <c r="N109" s="8">
        <f t="shared" si="48"/>
        <v>1258587</v>
      </c>
      <c r="O109" s="8">
        <f t="shared" si="49"/>
        <v>4068385</v>
      </c>
      <c r="P109" s="8">
        <f t="shared" si="49"/>
        <v>21842140</v>
      </c>
      <c r="Q109" s="3754"/>
      <c r="R109" s="8" t="str">
        <f t="shared" si="50"/>
        <v xml:space="preserve">  MEX</v>
      </c>
      <c r="S109" s="8">
        <f t="shared" si="51"/>
        <v>2022</v>
      </c>
      <c r="T109" s="8">
        <f t="shared" si="52"/>
        <v>-2796568</v>
      </c>
      <c r="U109" s="8">
        <f t="shared" si="52"/>
        <v>-20583553</v>
      </c>
      <c r="W109" s="8">
        <f>Fact7!P107</f>
        <v>-45.998902727362562</v>
      </c>
    </row>
    <row r="110" spans="1:23">
      <c r="A110" s="6746" t="s">
        <v>1200</v>
      </c>
      <c r="B110" s="6747">
        <v>26961</v>
      </c>
      <c r="C110" s="6748">
        <v>11254</v>
      </c>
      <c r="D110" s="6749">
        <v>40172</v>
      </c>
      <c r="E110" s="6750">
        <v>31485</v>
      </c>
      <c r="F110" s="6751">
        <v>185050</v>
      </c>
      <c r="G110" s="6752">
        <v>700052</v>
      </c>
      <c r="H110" s="6753">
        <v>2017</v>
      </c>
      <c r="I110" s="6754">
        <v>4468087</v>
      </c>
      <c r="K110" s="8" t="str">
        <f t="shared" si="46"/>
        <v xml:space="preserve">  PAN</v>
      </c>
      <c r="L110" s="8">
        <f t="shared" si="47"/>
        <v>2017</v>
      </c>
      <c r="M110" s="8">
        <f t="shared" si="48"/>
        <v>26961</v>
      </c>
      <c r="N110" s="8">
        <f t="shared" si="48"/>
        <v>11254</v>
      </c>
      <c r="O110" s="8">
        <f t="shared" si="49"/>
        <v>185050</v>
      </c>
      <c r="P110" s="8">
        <f t="shared" si="49"/>
        <v>700052</v>
      </c>
      <c r="Q110" s="3755"/>
      <c r="R110" s="8" t="str">
        <f t="shared" si="50"/>
        <v xml:space="preserve">  PAN</v>
      </c>
      <c r="S110" s="8">
        <f t="shared" si="51"/>
        <v>2017</v>
      </c>
      <c r="T110" s="8">
        <f t="shared" si="52"/>
        <v>-158089</v>
      </c>
      <c r="U110" s="8">
        <f t="shared" si="52"/>
        <v>-688798</v>
      </c>
      <c r="W110" s="8">
        <f>Fact7!P108</f>
        <v>-34.210728974046653</v>
      </c>
    </row>
    <row r="111" spans="1:23">
      <c r="A111" s="6755" t="s">
        <v>1201</v>
      </c>
      <c r="B111" s="6756">
        <v>433323.96460819244</v>
      </c>
      <c r="C111" s="6757">
        <v>518774.84630072117</v>
      </c>
      <c r="D111" s="6758">
        <v>626830.01104927063</v>
      </c>
      <c r="E111" s="6759">
        <v>1500279.5842949152</v>
      </c>
      <c r="F111" s="6760">
        <v>760669.52513885498</v>
      </c>
      <c r="G111" s="6761">
        <v>5604824.008887887</v>
      </c>
      <c r="H111" s="6762">
        <v>2022</v>
      </c>
      <c r="I111" s="6763">
        <v>34352719</v>
      </c>
      <c r="K111" s="8" t="str">
        <f t="shared" si="46"/>
        <v xml:space="preserve">  PER</v>
      </c>
      <c r="L111" s="8">
        <f t="shared" si="47"/>
        <v>2022</v>
      </c>
      <c r="M111" s="8">
        <f t="shared" si="48"/>
        <v>433323.96460819244</v>
      </c>
      <c r="N111" s="8">
        <f t="shared" si="48"/>
        <v>518774.84630072117</v>
      </c>
      <c r="O111" s="8">
        <f t="shared" si="49"/>
        <v>760669.52513885498</v>
      </c>
      <c r="P111" s="8">
        <f t="shared" si="49"/>
        <v>5604824.008887887</v>
      </c>
      <c r="Q111" s="3756"/>
      <c r="R111" s="8" t="str">
        <f t="shared" si="50"/>
        <v xml:space="preserve">  PER</v>
      </c>
      <c r="S111" s="8">
        <f t="shared" si="51"/>
        <v>2022</v>
      </c>
      <c r="T111" s="8">
        <f t="shared" si="52"/>
        <v>-327345.56053066254</v>
      </c>
      <c r="U111" s="8">
        <f t="shared" si="52"/>
        <v>-5086049.1625871658</v>
      </c>
      <c r="W111" s="8">
        <f>Fact7!P109</f>
        <v>-43.52279591672351</v>
      </c>
    </row>
    <row r="112" spans="1:23">
      <c r="A112" s="6764" t="s">
        <v>1202</v>
      </c>
      <c r="B112" s="6765">
        <v>144052</v>
      </c>
      <c r="C112" s="6766">
        <v>58118</v>
      </c>
      <c r="D112" s="6767">
        <v>165345</v>
      </c>
      <c r="E112" s="6768">
        <v>152024</v>
      </c>
      <c r="F112" s="6769">
        <v>382502</v>
      </c>
      <c r="G112" s="6770">
        <v>1010981</v>
      </c>
      <c r="H112" s="6771">
        <v>2022</v>
      </c>
      <c r="I112" s="6772">
        <v>6861524</v>
      </c>
      <c r="K112" s="8" t="str">
        <f t="shared" si="46"/>
        <v xml:space="preserve">  PRY</v>
      </c>
      <c r="L112" s="8">
        <f t="shared" si="47"/>
        <v>2022</v>
      </c>
      <c r="M112" s="8">
        <f t="shared" si="48"/>
        <v>144052</v>
      </c>
      <c r="N112" s="8">
        <f t="shared" si="48"/>
        <v>58118</v>
      </c>
      <c r="O112" s="8">
        <f t="shared" si="49"/>
        <v>382502</v>
      </c>
      <c r="P112" s="8">
        <f t="shared" si="49"/>
        <v>1010981</v>
      </c>
      <c r="Q112" s="3757"/>
      <c r="R112" s="8" t="str">
        <f t="shared" si="50"/>
        <v xml:space="preserve">  PRY</v>
      </c>
      <c r="S112" s="8">
        <f t="shared" si="51"/>
        <v>2022</v>
      </c>
      <c r="T112" s="8">
        <f t="shared" si="52"/>
        <v>-238450</v>
      </c>
      <c r="U112" s="8">
        <f t="shared" si="52"/>
        <v>-952863</v>
      </c>
      <c r="W112" s="8">
        <f>Fact7!P110</f>
        <v>-52.409822933552299</v>
      </c>
    </row>
    <row r="113" spans="1:23">
      <c r="A113" s="6773" t="s">
        <v>1206</v>
      </c>
      <c r="B113" s="6774">
        <v>144890.43336772919</v>
      </c>
      <c r="C113" s="6775">
        <v>109403.77871513367</v>
      </c>
      <c r="D113" s="6776">
        <v>163370.99880886078</v>
      </c>
      <c r="E113" s="6777">
        <v>200416.51176548004</v>
      </c>
      <c r="F113" s="6778">
        <v>313042.53028583527</v>
      </c>
      <c r="G113" s="6779">
        <v>864572.14956188202</v>
      </c>
      <c r="H113" s="6780">
        <v>2023</v>
      </c>
      <c r="I113" s="6781">
        <v>6364943</v>
      </c>
      <c r="K113" s="8" t="str">
        <f t="shared" si="46"/>
        <v xml:space="preserve">  SLV</v>
      </c>
      <c r="L113" s="8">
        <f t="shared" si="47"/>
        <v>2023</v>
      </c>
      <c r="M113" s="8">
        <f t="shared" si="48"/>
        <v>144890.43336772919</v>
      </c>
      <c r="N113" s="8">
        <f t="shared" si="48"/>
        <v>109403.77871513367</v>
      </c>
      <c r="O113" s="8">
        <f t="shared" si="49"/>
        <v>313042.53028583527</v>
      </c>
      <c r="P113" s="8">
        <f t="shared" si="49"/>
        <v>864572.14956188202</v>
      </c>
      <c r="Q113" s="3758"/>
      <c r="R113" s="8" t="str">
        <f t="shared" si="50"/>
        <v xml:space="preserve">  SLV</v>
      </c>
      <c r="S113" s="8">
        <f t="shared" si="51"/>
        <v>2023</v>
      </c>
      <c r="T113" s="8">
        <f t="shared" si="52"/>
        <v>-168152.09691810608</v>
      </c>
      <c r="U113" s="8">
        <f t="shared" si="52"/>
        <v>-755168.37084674835</v>
      </c>
      <c r="W113" s="8">
        <f>Fact7!P111</f>
        <v>-26.776622425346964</v>
      </c>
    </row>
    <row r="114" spans="1:23">
      <c r="A114" s="6782" t="s">
        <v>1207</v>
      </c>
      <c r="B114" s="6783">
        <v>3807</v>
      </c>
      <c r="C114" s="6784">
        <v>18565</v>
      </c>
      <c r="D114" s="6785">
        <v>14704</v>
      </c>
      <c r="E114" s="6786">
        <v>59225</v>
      </c>
      <c r="F114" s="6787">
        <v>164271</v>
      </c>
      <c r="G114" s="6788">
        <v>931168</v>
      </c>
      <c r="H114" s="6789">
        <v>2019</v>
      </c>
      <c r="I114" s="6790">
        <v>3423109</v>
      </c>
      <c r="K114" s="8" t="str">
        <f t="shared" si="46"/>
        <v xml:space="preserve">  URY</v>
      </c>
      <c r="L114" s="8">
        <f t="shared" si="47"/>
        <v>2019</v>
      </c>
      <c r="M114" s="8">
        <f t="shared" si="48"/>
        <v>3807</v>
      </c>
      <c r="N114" s="8">
        <f t="shared" si="48"/>
        <v>18565</v>
      </c>
      <c r="O114" s="8">
        <f t="shared" si="49"/>
        <v>164271</v>
      </c>
      <c r="P114" s="8">
        <f t="shared" si="49"/>
        <v>931168</v>
      </c>
      <c r="Q114" s="3759"/>
      <c r="R114" s="8" t="str">
        <f t="shared" si="50"/>
        <v xml:space="preserve">  URY</v>
      </c>
      <c r="S114" s="8">
        <f t="shared" si="51"/>
        <v>2019</v>
      </c>
      <c r="T114" s="8">
        <f t="shared" si="52"/>
        <v>-160464</v>
      </c>
      <c r="U114" s="8">
        <f t="shared" si="52"/>
        <v>-912603</v>
      </c>
      <c r="W114" s="8">
        <f>Fact7!P112</f>
        <v>-40.575660047295287</v>
      </c>
    </row>
    <row r="115" spans="1:23">
      <c r="A115" s="6791" t="s">
        <v>1203</v>
      </c>
      <c r="B115" s="6792"/>
      <c r="C115" s="6793"/>
      <c r="D115" s="6794"/>
      <c r="E115" s="6795"/>
      <c r="F115" s="6796"/>
      <c r="G115" s="6797"/>
      <c r="H115" s="6798">
        <v>2021</v>
      </c>
      <c r="I115" s="6799">
        <v>28838499</v>
      </c>
      <c r="Q115" s="3760"/>
    </row>
    <row r="116" spans="1:23">
      <c r="K116" s="3" t="s">
        <v>1261</v>
      </c>
      <c r="L116" s="8"/>
      <c r="M116" s="8">
        <f>AVERAGE(M100:M114)</f>
        <v>416078.49644521077</v>
      </c>
      <c r="N116" s="8">
        <f>AVERAGE(N100:N114)</f>
        <v>576502.51791595621</v>
      </c>
      <c r="O116" s="8">
        <f t="shared" ref="O116:P116" si="53">AVERAGE(O100:O114)</f>
        <v>982115.26211261749</v>
      </c>
      <c r="P116" s="8">
        <f t="shared" si="53"/>
        <v>6641930.9604512295</v>
      </c>
      <c r="Q116" s="3761"/>
      <c r="R116" s="3" t="s">
        <v>1261</v>
      </c>
      <c r="S116" s="8"/>
      <c r="T116" s="8">
        <f>AVERAGE(T100:T114)</f>
        <v>-566036.76566740673</v>
      </c>
      <c r="U116" s="8">
        <f t="shared" ref="U116:W116" si="54">AVERAGE(U100:U114)</f>
        <v>-6065428.4425352728</v>
      </c>
      <c r="V116" s="8"/>
      <c r="W116" s="8">
        <f t="shared" si="54"/>
        <v>-33.127067007918853</v>
      </c>
    </row>
    <row r="117" spans="1:23" ht="15" thickBot="1">
      <c r="K117" s="212" t="s">
        <v>1145</v>
      </c>
      <c r="L117" s="85"/>
      <c r="M117" s="85">
        <f>SUMPRODUCT(M100:M114,$I100:$I114)/SUM($I100:$I114)</f>
        <v>1171980.7623100162</v>
      </c>
      <c r="N117" s="85">
        <f>SUMPRODUCT(N100:N114,$I100:$I114)/SUM($I100:$I114)</f>
        <v>2151745.1230060859</v>
      </c>
      <c r="O117" s="85">
        <f t="shared" ref="O117" si="55">SUMPRODUCT(O100:O114,$I100:$I114)/SUM($I100:$I114)</f>
        <v>2897471.3262936333</v>
      </c>
      <c r="P117" s="85">
        <f>SUMPRODUCT(P100:P114,$I100:$I114)/SUM($I100:$I114)</f>
        <v>25047662.779390585</v>
      </c>
      <c r="Q117" s="3762"/>
      <c r="R117" s="212" t="s">
        <v>1145</v>
      </c>
      <c r="S117" s="85"/>
      <c r="T117" s="85">
        <f>SUMPRODUCT(T100:T114,$I100:$I114)/SUM($I100:$I114)</f>
        <v>-1725490.5639836171</v>
      </c>
      <c r="U117" s="85">
        <f t="shared" ref="U117:W117" si="56">SUMPRODUCT(U100:U114,$I100:$I114)/SUM($I100:$I114)</f>
        <v>-22895917.656384502</v>
      </c>
      <c r="V117" s="85"/>
      <c r="W117" s="85">
        <f t="shared" si="56"/>
        <v>-31.810360393809834</v>
      </c>
    </row>
    <row r="118" spans="1:23" ht="15" thickTop="1">
      <c r="L118" s="8"/>
      <c r="M118" s="8"/>
      <c r="N118" s="8"/>
      <c r="O118" s="8"/>
      <c r="P118" s="8"/>
      <c r="S118" s="8"/>
      <c r="T118" s="8"/>
      <c r="U118" s="8"/>
      <c r="V118" s="8"/>
      <c r="W118" s="8"/>
    </row>
    <row r="119" spans="1:23">
      <c r="L119" s="8"/>
      <c r="M119" s="8"/>
      <c r="N119" s="8"/>
      <c r="O119" s="8"/>
      <c r="P119" s="8"/>
      <c r="S119" s="8"/>
      <c r="T119" s="8"/>
      <c r="U119" s="8"/>
      <c r="V119" s="8"/>
      <c r="W119" s="8"/>
    </row>
    <row r="120" spans="1:23" ht="15" thickBot="1">
      <c r="K120" s="972"/>
      <c r="L120" s="8"/>
      <c r="M120" s="8"/>
      <c r="N120" s="8"/>
      <c r="O120" s="8"/>
      <c r="P120" s="8"/>
      <c r="S120" s="8"/>
      <c r="T120" s="8"/>
      <c r="U120" s="8"/>
      <c r="V120" s="8"/>
      <c r="W120" s="8"/>
    </row>
    <row r="121" spans="1:23" ht="15.5" thickTop="1" thickBot="1">
      <c r="K121" s="972">
        <f>E120</f>
        <v>0</v>
      </c>
      <c r="L121" s="2649"/>
      <c r="M121" s="85"/>
      <c r="N121" s="85"/>
      <c r="O121" s="85"/>
      <c r="P121" s="85"/>
      <c r="R121" s="972">
        <f>E120</f>
        <v>0</v>
      </c>
      <c r="S121" s="2649"/>
      <c r="T121" s="85"/>
      <c r="U121" s="85"/>
      <c r="V121" s="85"/>
      <c r="W121" s="85"/>
    </row>
    <row r="122" spans="1:23" ht="15" thickTop="1">
      <c r="K122" s="213" t="s">
        <v>904</v>
      </c>
      <c r="L122" s="216" t="s">
        <v>938</v>
      </c>
      <c r="M122" s="2650" t="s">
        <v>1273</v>
      </c>
      <c r="N122" s="2650" t="s">
        <v>1136</v>
      </c>
      <c r="O122" s="2650"/>
      <c r="P122" s="2650"/>
      <c r="Q122" s="3763"/>
      <c r="R122" s="213" t="s">
        <v>904</v>
      </c>
      <c r="S122" s="216" t="s">
        <v>938</v>
      </c>
      <c r="T122" s="2650" t="s">
        <v>1273</v>
      </c>
      <c r="U122" s="2650" t="s">
        <v>1136</v>
      </c>
      <c r="W122" s="76" t="s">
        <v>901</v>
      </c>
    </row>
    <row r="123" spans="1:23">
      <c r="K123" s="8">
        <f t="shared" ref="K123:K137" si="57">A123</f>
        <v>0</v>
      </c>
      <c r="L123" s="8">
        <f t="shared" ref="L123:L137" si="58">H123</f>
        <v>0</v>
      </c>
      <c r="M123" s="8">
        <f t="shared" ref="M123:N137" si="59">B123</f>
        <v>0</v>
      </c>
      <c r="N123" s="8">
        <f t="shared" si="59"/>
        <v>0</v>
      </c>
      <c r="O123" s="8">
        <f t="shared" ref="O123:P137" si="60">F123</f>
        <v>0</v>
      </c>
      <c r="P123" s="8">
        <f t="shared" si="60"/>
        <v>0</v>
      </c>
      <c r="Q123" s="3764"/>
      <c r="R123" s="8">
        <f t="shared" ref="R123:R137" si="61">A123</f>
        <v>0</v>
      </c>
      <c r="S123" s="8">
        <f t="shared" ref="S123:S137" si="62">H123*1</f>
        <v>0</v>
      </c>
      <c r="T123" s="8">
        <f t="shared" ref="T123:U137" si="63">B123-F123</f>
        <v>0</v>
      </c>
      <c r="U123" s="8">
        <f t="shared" si="63"/>
        <v>0</v>
      </c>
      <c r="W123" s="8">
        <f>Fact7!P121</f>
        <v>-10.960401836943959</v>
      </c>
    </row>
    <row r="124" spans="1:23">
      <c r="K124" s="8">
        <f t="shared" si="57"/>
        <v>0</v>
      </c>
      <c r="L124" s="8">
        <f t="shared" si="58"/>
        <v>0</v>
      </c>
      <c r="M124" s="8">
        <f t="shared" si="59"/>
        <v>0</v>
      </c>
      <c r="N124" s="8">
        <f t="shared" si="59"/>
        <v>0</v>
      </c>
      <c r="O124" s="8">
        <f t="shared" si="60"/>
        <v>0</v>
      </c>
      <c r="P124" s="8">
        <f t="shared" si="60"/>
        <v>0</v>
      </c>
      <c r="Q124" s="3765"/>
      <c r="R124" s="8">
        <f t="shared" si="61"/>
        <v>0</v>
      </c>
      <c r="S124" s="8">
        <f t="shared" si="62"/>
        <v>0</v>
      </c>
      <c r="T124" s="8">
        <f t="shared" si="63"/>
        <v>0</v>
      </c>
      <c r="U124" s="8">
        <f t="shared" si="63"/>
        <v>0</v>
      </c>
      <c r="W124" s="8">
        <f>Fact7!P122</f>
        <v>-0.95006712744077504</v>
      </c>
    </row>
    <row r="125" spans="1:23">
      <c r="K125" s="8">
        <f t="shared" si="57"/>
        <v>0</v>
      </c>
      <c r="L125" s="8">
        <f t="shared" si="58"/>
        <v>0</v>
      </c>
      <c r="M125" s="8">
        <f t="shared" si="59"/>
        <v>0</v>
      </c>
      <c r="N125" s="8">
        <f t="shared" si="59"/>
        <v>0</v>
      </c>
      <c r="O125" s="8">
        <f t="shared" si="60"/>
        <v>0</v>
      </c>
      <c r="P125" s="8">
        <f t="shared" si="60"/>
        <v>0</v>
      </c>
      <c r="Q125" s="3766"/>
      <c r="R125" s="8">
        <f t="shared" si="61"/>
        <v>0</v>
      </c>
      <c r="S125" s="8">
        <f t="shared" si="62"/>
        <v>0</v>
      </c>
      <c r="T125" s="8">
        <f t="shared" si="63"/>
        <v>0</v>
      </c>
      <c r="U125" s="8">
        <f t="shared" si="63"/>
        <v>0</v>
      </c>
      <c r="W125" s="8">
        <f>Fact7!P123</f>
        <v>-0.89914791021067231</v>
      </c>
    </row>
    <row r="126" spans="1:23">
      <c r="K126" s="8">
        <f t="shared" si="57"/>
        <v>0</v>
      </c>
      <c r="L126" s="8">
        <f t="shared" si="58"/>
        <v>0</v>
      </c>
      <c r="M126" s="8">
        <f t="shared" si="59"/>
        <v>0</v>
      </c>
      <c r="N126" s="8">
        <f t="shared" si="59"/>
        <v>0</v>
      </c>
      <c r="O126" s="8">
        <f t="shared" si="60"/>
        <v>0</v>
      </c>
      <c r="P126" s="8">
        <f t="shared" si="60"/>
        <v>0</v>
      </c>
      <c r="Q126" s="3767"/>
      <c r="R126" s="8">
        <f t="shared" si="61"/>
        <v>0</v>
      </c>
      <c r="S126" s="8">
        <f t="shared" si="62"/>
        <v>0</v>
      </c>
      <c r="T126" s="8">
        <f t="shared" si="63"/>
        <v>0</v>
      </c>
      <c r="U126" s="8">
        <f t="shared" si="63"/>
        <v>0</v>
      </c>
      <c r="W126" s="8">
        <f>Fact7!P124</f>
        <v>-3.7336999845386885</v>
      </c>
    </row>
    <row r="127" spans="1:23">
      <c r="K127" s="8">
        <f t="shared" si="57"/>
        <v>0</v>
      </c>
      <c r="L127" s="8">
        <f t="shared" si="58"/>
        <v>0</v>
      </c>
      <c r="M127" s="8">
        <f t="shared" si="59"/>
        <v>0</v>
      </c>
      <c r="N127" s="8">
        <f t="shared" si="59"/>
        <v>0</v>
      </c>
      <c r="O127" s="8">
        <f t="shared" si="60"/>
        <v>0</v>
      </c>
      <c r="P127" s="8">
        <f t="shared" si="60"/>
        <v>0</v>
      </c>
      <c r="Q127" s="3768"/>
      <c r="R127" s="8">
        <f t="shared" si="61"/>
        <v>0</v>
      </c>
      <c r="S127" s="8">
        <f t="shared" si="62"/>
        <v>0</v>
      </c>
      <c r="T127" s="8">
        <f t="shared" si="63"/>
        <v>0</v>
      </c>
      <c r="U127" s="8">
        <f t="shared" si="63"/>
        <v>0</v>
      </c>
      <c r="W127" s="8">
        <f>Fact7!P125</f>
        <v>-0.77333408597657183</v>
      </c>
    </row>
    <row r="128" spans="1:23">
      <c r="K128" s="8">
        <f t="shared" si="57"/>
        <v>0</v>
      </c>
      <c r="L128" s="8">
        <f t="shared" si="58"/>
        <v>0</v>
      </c>
      <c r="M128" s="8">
        <f t="shared" si="59"/>
        <v>0</v>
      </c>
      <c r="N128" s="8">
        <f t="shared" si="59"/>
        <v>0</v>
      </c>
      <c r="O128" s="8">
        <f t="shared" si="60"/>
        <v>0</v>
      </c>
      <c r="P128" s="8">
        <f t="shared" si="60"/>
        <v>0</v>
      </c>
      <c r="Q128" s="3769"/>
      <c r="R128" s="8">
        <f t="shared" si="61"/>
        <v>0</v>
      </c>
      <c r="S128" s="8">
        <f t="shared" si="62"/>
        <v>0</v>
      </c>
      <c r="T128" s="8">
        <f t="shared" si="63"/>
        <v>0</v>
      </c>
      <c r="U128" s="8">
        <f t="shared" si="63"/>
        <v>0</v>
      </c>
      <c r="W128" s="8">
        <f>Fact7!P126</f>
        <v>-0.9880816591145134</v>
      </c>
    </row>
    <row r="129" spans="11:23">
      <c r="K129" s="8">
        <f t="shared" si="57"/>
        <v>0</v>
      </c>
      <c r="L129" s="8">
        <f t="shared" si="58"/>
        <v>0</v>
      </c>
      <c r="M129" s="8">
        <f t="shared" si="59"/>
        <v>0</v>
      </c>
      <c r="N129" s="8">
        <f t="shared" si="59"/>
        <v>0</v>
      </c>
      <c r="O129" s="8">
        <f t="shared" si="60"/>
        <v>0</v>
      </c>
      <c r="P129" s="8">
        <f t="shared" si="60"/>
        <v>0</v>
      </c>
      <c r="Q129" s="3770"/>
      <c r="R129" s="8">
        <f t="shared" si="61"/>
        <v>0</v>
      </c>
      <c r="S129" s="8">
        <f t="shared" si="62"/>
        <v>0</v>
      </c>
      <c r="T129" s="8">
        <f t="shared" si="63"/>
        <v>0</v>
      </c>
      <c r="U129" s="8">
        <f t="shared" si="63"/>
        <v>0</v>
      </c>
      <c r="W129" s="8">
        <f>Fact7!P127</f>
        <v>-5.9564693567415361</v>
      </c>
    </row>
    <row r="130" spans="11:23">
      <c r="K130" s="8">
        <f t="shared" si="57"/>
        <v>0</v>
      </c>
      <c r="L130" s="8">
        <f t="shared" si="58"/>
        <v>0</v>
      </c>
      <c r="M130" s="8">
        <f t="shared" si="59"/>
        <v>0</v>
      </c>
      <c r="N130" s="8">
        <f t="shared" si="59"/>
        <v>0</v>
      </c>
      <c r="O130" s="8">
        <f t="shared" si="60"/>
        <v>0</v>
      </c>
      <c r="P130" s="8">
        <f t="shared" si="60"/>
        <v>0</v>
      </c>
      <c r="Q130" s="3771"/>
      <c r="R130" s="8">
        <f t="shared" si="61"/>
        <v>0</v>
      </c>
      <c r="S130" s="8">
        <f t="shared" si="62"/>
        <v>0</v>
      </c>
      <c r="T130" s="8">
        <f t="shared" si="63"/>
        <v>0</v>
      </c>
      <c r="U130" s="8">
        <f t="shared" si="63"/>
        <v>0</v>
      </c>
      <c r="W130" s="8">
        <f>Fact7!P128</f>
        <v>-12.621773687218166</v>
      </c>
    </row>
    <row r="131" spans="11:23">
      <c r="K131" s="8">
        <f t="shared" si="57"/>
        <v>0</v>
      </c>
      <c r="L131" s="8">
        <f t="shared" si="58"/>
        <v>0</v>
      </c>
      <c r="M131" s="8">
        <f t="shared" si="59"/>
        <v>0</v>
      </c>
      <c r="N131" s="8">
        <f t="shared" si="59"/>
        <v>0</v>
      </c>
      <c r="O131" s="8">
        <f t="shared" si="60"/>
        <v>0</v>
      </c>
      <c r="P131" s="8">
        <f t="shared" si="60"/>
        <v>0</v>
      </c>
      <c r="Q131" s="3772"/>
      <c r="R131" s="8">
        <f t="shared" si="61"/>
        <v>0</v>
      </c>
      <c r="S131" s="8">
        <f t="shared" si="62"/>
        <v>0</v>
      </c>
      <c r="T131" s="8">
        <f t="shared" si="63"/>
        <v>0</v>
      </c>
      <c r="U131" s="8">
        <f t="shared" si="63"/>
        <v>0</v>
      </c>
      <c r="W131" s="8">
        <f>Fact7!P129</f>
        <v>-14.054751045387505</v>
      </c>
    </row>
    <row r="132" spans="11:23">
      <c r="K132" s="8">
        <f t="shared" si="57"/>
        <v>0</v>
      </c>
      <c r="L132" s="8">
        <f t="shared" si="58"/>
        <v>0</v>
      </c>
      <c r="M132" s="8">
        <f t="shared" si="59"/>
        <v>0</v>
      </c>
      <c r="N132" s="8">
        <f t="shared" si="59"/>
        <v>0</v>
      </c>
      <c r="O132" s="8">
        <f t="shared" si="60"/>
        <v>0</v>
      </c>
      <c r="P132" s="8">
        <f t="shared" si="60"/>
        <v>0</v>
      </c>
      <c r="Q132" s="3773"/>
      <c r="R132" s="8">
        <f t="shared" si="61"/>
        <v>0</v>
      </c>
      <c r="S132" s="8">
        <f t="shared" si="62"/>
        <v>0</v>
      </c>
      <c r="T132" s="8">
        <f t="shared" si="63"/>
        <v>0</v>
      </c>
      <c r="U132" s="8">
        <f t="shared" si="63"/>
        <v>0</v>
      </c>
      <c r="W132" s="8">
        <f>Fact7!P130</f>
        <v>-2.7257149403602341</v>
      </c>
    </row>
    <row r="133" spans="11:23">
      <c r="K133" s="8">
        <f t="shared" si="57"/>
        <v>0</v>
      </c>
      <c r="L133" s="8">
        <f t="shared" si="58"/>
        <v>0</v>
      </c>
      <c r="M133" s="8">
        <f t="shared" si="59"/>
        <v>0</v>
      </c>
      <c r="N133" s="8">
        <f t="shared" si="59"/>
        <v>0</v>
      </c>
      <c r="O133" s="8">
        <f t="shared" si="60"/>
        <v>0</v>
      </c>
      <c r="P133" s="8">
        <f t="shared" si="60"/>
        <v>0</v>
      </c>
      <c r="Q133" s="3774"/>
      <c r="R133" s="8">
        <f t="shared" si="61"/>
        <v>0</v>
      </c>
      <c r="S133" s="8">
        <f t="shared" si="62"/>
        <v>0</v>
      </c>
      <c r="T133" s="8">
        <f t="shared" si="63"/>
        <v>0</v>
      </c>
      <c r="U133" s="8">
        <f t="shared" si="63"/>
        <v>0</v>
      </c>
      <c r="W133" s="8">
        <f>Fact7!P131</f>
        <v>-41.8216162975136</v>
      </c>
    </row>
    <row r="134" spans="11:23">
      <c r="K134" s="8">
        <f t="shared" si="57"/>
        <v>0</v>
      </c>
      <c r="L134" s="8">
        <f t="shared" si="58"/>
        <v>0</v>
      </c>
      <c r="M134" s="8">
        <f t="shared" si="59"/>
        <v>0</v>
      </c>
      <c r="N134" s="8">
        <f t="shared" si="59"/>
        <v>0</v>
      </c>
      <c r="O134" s="8">
        <f t="shared" si="60"/>
        <v>0</v>
      </c>
      <c r="P134" s="8">
        <f t="shared" si="60"/>
        <v>0</v>
      </c>
      <c r="Q134" s="3775"/>
      <c r="R134" s="8">
        <f t="shared" si="61"/>
        <v>0</v>
      </c>
      <c r="S134" s="8">
        <f t="shared" si="62"/>
        <v>0</v>
      </c>
      <c r="T134" s="8">
        <f t="shared" si="63"/>
        <v>0</v>
      </c>
      <c r="U134" s="8">
        <f t="shared" si="63"/>
        <v>0</v>
      </c>
      <c r="W134" s="8">
        <f>Fact7!P132</f>
        <v>-8.3544670035832667</v>
      </c>
    </row>
    <row r="135" spans="11:23">
      <c r="K135" s="8">
        <f t="shared" si="57"/>
        <v>0</v>
      </c>
      <c r="L135" s="8">
        <f t="shared" si="58"/>
        <v>0</v>
      </c>
      <c r="M135" s="8">
        <f t="shared" si="59"/>
        <v>0</v>
      </c>
      <c r="N135" s="8">
        <f t="shared" si="59"/>
        <v>0</v>
      </c>
      <c r="O135" s="8">
        <f t="shared" si="60"/>
        <v>0</v>
      </c>
      <c r="P135" s="8">
        <f t="shared" si="60"/>
        <v>0</v>
      </c>
      <c r="Q135" s="3776"/>
      <c r="R135" s="8">
        <f t="shared" si="61"/>
        <v>0</v>
      </c>
      <c r="S135" s="8">
        <f t="shared" si="62"/>
        <v>0</v>
      </c>
      <c r="T135" s="8">
        <f t="shared" si="63"/>
        <v>0</v>
      </c>
      <c r="U135" s="8">
        <f t="shared" si="63"/>
        <v>0</v>
      </c>
      <c r="W135" s="8">
        <f>Fact7!P133</f>
        <v>-1.4110644901157485</v>
      </c>
    </row>
    <row r="136" spans="11:23">
      <c r="K136" s="8">
        <f t="shared" si="57"/>
        <v>0</v>
      </c>
      <c r="L136" s="8">
        <f t="shared" si="58"/>
        <v>0</v>
      </c>
      <c r="M136" s="8">
        <f t="shared" si="59"/>
        <v>0</v>
      </c>
      <c r="N136" s="8">
        <f t="shared" si="59"/>
        <v>0</v>
      </c>
      <c r="O136" s="8">
        <f t="shared" si="60"/>
        <v>0</v>
      </c>
      <c r="P136" s="8">
        <f t="shared" si="60"/>
        <v>0</v>
      </c>
      <c r="Q136" s="3777"/>
      <c r="R136" s="8">
        <f t="shared" si="61"/>
        <v>0</v>
      </c>
      <c r="S136" s="8">
        <f t="shared" si="62"/>
        <v>0</v>
      </c>
      <c r="T136" s="8">
        <f t="shared" si="63"/>
        <v>0</v>
      </c>
      <c r="U136" s="8">
        <f t="shared" si="63"/>
        <v>0</v>
      </c>
      <c r="W136" s="8">
        <f>Fact7!P134</f>
        <v>-1.8875520248456326</v>
      </c>
    </row>
    <row r="137" spans="11:23">
      <c r="K137" s="8">
        <f t="shared" si="57"/>
        <v>0</v>
      </c>
      <c r="L137" s="8">
        <f t="shared" si="58"/>
        <v>0</v>
      </c>
      <c r="M137" s="8">
        <f t="shared" si="59"/>
        <v>0</v>
      </c>
      <c r="N137" s="8">
        <f t="shared" si="59"/>
        <v>0</v>
      </c>
      <c r="O137" s="8">
        <f t="shared" si="60"/>
        <v>0</v>
      </c>
      <c r="P137" s="8">
        <f t="shared" si="60"/>
        <v>0</v>
      </c>
      <c r="Q137" s="3778"/>
      <c r="R137" s="8">
        <f t="shared" si="61"/>
        <v>0</v>
      </c>
      <c r="S137" s="8">
        <f t="shared" si="62"/>
        <v>0</v>
      </c>
      <c r="T137" s="8">
        <f t="shared" si="63"/>
        <v>0</v>
      </c>
      <c r="U137" s="8">
        <f t="shared" si="63"/>
        <v>0</v>
      </c>
      <c r="W137" s="8">
        <f>Fact7!P135</f>
        <v>0.17947767415606108</v>
      </c>
    </row>
    <row r="138" spans="11:23">
      <c r="K138" s="3" t="s">
        <v>1261</v>
      </c>
      <c r="L138" s="8"/>
      <c r="M138" s="8">
        <f>AVERAGE(M123:M137)</f>
        <v>0</v>
      </c>
      <c r="N138" s="8">
        <f>AVERAGE(N123:N137)</f>
        <v>0</v>
      </c>
      <c r="O138" s="8">
        <f t="shared" ref="O138:P138" si="64">AVERAGE(O123:O137)</f>
        <v>0</v>
      </c>
      <c r="P138" s="8">
        <f t="shared" si="64"/>
        <v>0</v>
      </c>
      <c r="Q138" s="3779"/>
      <c r="R138" s="3" t="s">
        <v>1261</v>
      </c>
      <c r="S138" s="8"/>
      <c r="T138" s="8">
        <f>AVERAGE(T123:T137)</f>
        <v>0</v>
      </c>
      <c r="U138" s="8">
        <f t="shared" ref="U138:W138" si="65">AVERAGE(U123:U137)</f>
        <v>0</v>
      </c>
      <c r="V138" s="8"/>
      <c r="W138" s="8">
        <f t="shared" si="65"/>
        <v>-7.1305775850556534</v>
      </c>
    </row>
    <row r="139" spans="11:23" ht="15" thickBot="1">
      <c r="K139" s="212" t="s">
        <v>1145</v>
      </c>
      <c r="L139" s="85"/>
      <c r="M139" s="85" t="e">
        <f>SUMPRODUCT(M123:M137,$I123:$I137)/SUM($I123:$I137)</f>
        <v>#DIV/0!</v>
      </c>
      <c r="N139" s="85" t="e">
        <f>SUMPRODUCT(N123:N137,$I123:$I137)/SUM($I123:$I137)</f>
        <v>#DIV/0!</v>
      </c>
      <c r="O139" s="85" t="e">
        <f t="shared" ref="O139" si="66">SUMPRODUCT(O123:O137,$I123:$I137)/SUM($I123:$I137)</f>
        <v>#DIV/0!</v>
      </c>
      <c r="P139" s="85" t="e">
        <f>SUMPRODUCT(P123:P137,$I123:$I137)/SUM($I123:$I137)</f>
        <v>#DIV/0!</v>
      </c>
      <c r="Q139" s="3780"/>
      <c r="R139" s="212" t="s">
        <v>1145</v>
      </c>
      <c r="S139" s="85"/>
      <c r="T139" s="85" t="e">
        <f>SUMPRODUCT(T123:T137,$I123:$I137)/SUM($I123:$I137)</f>
        <v>#DIV/0!</v>
      </c>
      <c r="U139" s="85" t="e">
        <f t="shared" ref="U139:W139" si="67">SUMPRODUCT(U123:U137,$I123:$I137)/SUM($I123:$I137)</f>
        <v>#DIV/0!</v>
      </c>
      <c r="V139" s="85"/>
      <c r="W139" s="85" t="e">
        <f t="shared" si="67"/>
        <v>#DIV/0!</v>
      </c>
    </row>
    <row r="140" spans="11:23" ht="15.5" thickTop="1" thickBot="1">
      <c r="K140" s="212"/>
      <c r="L140" s="85"/>
      <c r="M140" s="85"/>
      <c r="N140" s="85"/>
      <c r="O140" s="85"/>
      <c r="P140" s="85"/>
      <c r="Q140" s="3781"/>
      <c r="R140" s="212"/>
      <c r="S140" s="85"/>
      <c r="T140" s="85"/>
      <c r="U140" s="85"/>
      <c r="V140" s="85"/>
      <c r="W140" s="85"/>
    </row>
    <row r="141" spans="11:23" ht="15" thickTop="1">
      <c r="L141" s="8"/>
      <c r="M141" s="8"/>
      <c r="N141" s="8"/>
      <c r="O141" s="8"/>
      <c r="P141" s="8"/>
      <c r="S141" s="8"/>
      <c r="T141" s="8"/>
      <c r="U141" s="8"/>
      <c r="V141" s="8"/>
      <c r="W141" s="8"/>
    </row>
    <row r="142" spans="11:23">
      <c r="L142" s="8"/>
      <c r="M142" s="8"/>
      <c r="N142" s="8"/>
      <c r="O142" s="8"/>
      <c r="P142" s="8"/>
      <c r="S142" s="8"/>
      <c r="T142" s="8"/>
      <c r="U142" s="8"/>
      <c r="V142" s="8"/>
      <c r="W142" s="8"/>
    </row>
    <row r="143" spans="11:23">
      <c r="L143" s="8"/>
      <c r="M143" s="8"/>
      <c r="N143" s="8"/>
      <c r="O143" s="8"/>
      <c r="P143" s="8"/>
      <c r="S143" s="8"/>
      <c r="T143" s="8"/>
      <c r="U143" s="8"/>
      <c r="V143" s="8"/>
      <c r="W143" s="8"/>
    </row>
    <row r="144" spans="11:23" ht="15" thickBot="1">
      <c r="K144" s="972">
        <f>B143</f>
        <v>0</v>
      </c>
      <c r="L144" s="2649"/>
      <c r="M144" s="85"/>
      <c r="N144" s="85"/>
      <c r="O144" s="85"/>
      <c r="P144" s="85"/>
      <c r="R144" s="972">
        <f>E143</f>
        <v>0</v>
      </c>
      <c r="S144" s="2649"/>
      <c r="T144" s="85"/>
      <c r="U144" s="85"/>
      <c r="V144" s="85"/>
      <c r="W144" s="85"/>
    </row>
    <row r="145" spans="11:23" ht="15" thickTop="1">
      <c r="K145" s="213" t="s">
        <v>904</v>
      </c>
      <c r="L145" s="216" t="s">
        <v>938</v>
      </c>
      <c r="M145" s="2650" t="s">
        <v>1273</v>
      </c>
      <c r="N145" s="2650" t="s">
        <v>1136</v>
      </c>
      <c r="O145" s="2650"/>
      <c r="P145" s="2650"/>
      <c r="Q145" s="3782"/>
      <c r="R145" s="213" t="s">
        <v>904</v>
      </c>
      <c r="S145" s="216" t="s">
        <v>938</v>
      </c>
      <c r="T145" s="2650" t="s">
        <v>1273</v>
      </c>
      <c r="U145" s="2650" t="s">
        <v>1136</v>
      </c>
      <c r="W145" s="76" t="s">
        <v>901</v>
      </c>
    </row>
    <row r="146" spans="11:23">
      <c r="K146" s="8">
        <f t="shared" ref="K146:K161" si="68">A146</f>
        <v>0</v>
      </c>
      <c r="L146" s="8">
        <f t="shared" ref="L146:L161" si="69">H146</f>
        <v>0</v>
      </c>
      <c r="M146" s="8">
        <f t="shared" ref="M146:N161" si="70">B146</f>
        <v>0</v>
      </c>
      <c r="N146" s="8">
        <f t="shared" si="70"/>
        <v>0</v>
      </c>
      <c r="O146" s="8">
        <f t="shared" ref="O146:P161" si="71">F146</f>
        <v>0</v>
      </c>
      <c r="P146" s="8">
        <f t="shared" si="71"/>
        <v>0</v>
      </c>
      <c r="Q146" s="3783"/>
      <c r="R146" s="8">
        <f t="shared" ref="R146:R161" si="72">A146</f>
        <v>0</v>
      </c>
      <c r="S146" s="8">
        <f t="shared" ref="S146:S161" si="73">H146*1</f>
        <v>0</v>
      </c>
      <c r="T146" s="8">
        <f t="shared" ref="T146:U161" si="74">B146-F146</f>
        <v>0</v>
      </c>
      <c r="U146" s="8">
        <f t="shared" si="74"/>
        <v>0</v>
      </c>
      <c r="W146" s="8">
        <f>Fact7!P144</f>
        <v>-16.316132357685774</v>
      </c>
    </row>
    <row r="147" spans="11:23">
      <c r="K147" s="8">
        <f t="shared" si="68"/>
        <v>0</v>
      </c>
      <c r="L147" s="8">
        <f t="shared" si="69"/>
        <v>0</v>
      </c>
      <c r="M147" s="8">
        <f t="shared" si="70"/>
        <v>0</v>
      </c>
      <c r="N147" s="8">
        <f t="shared" si="70"/>
        <v>0</v>
      </c>
      <c r="O147" s="8">
        <f t="shared" si="71"/>
        <v>0</v>
      </c>
      <c r="P147" s="8">
        <f t="shared" si="71"/>
        <v>0</v>
      </c>
      <c r="Q147" s="3784"/>
      <c r="R147" s="8">
        <f t="shared" si="72"/>
        <v>0</v>
      </c>
      <c r="S147" s="8">
        <f t="shared" si="73"/>
        <v>0</v>
      </c>
      <c r="T147" s="8">
        <f t="shared" si="74"/>
        <v>0</v>
      </c>
      <c r="U147" s="8">
        <f t="shared" si="74"/>
        <v>0</v>
      </c>
      <c r="W147" s="8">
        <f>Fact7!P145</f>
        <v>-40.653465272871429</v>
      </c>
    </row>
    <row r="148" spans="11:23">
      <c r="K148" s="8">
        <f t="shared" si="68"/>
        <v>0</v>
      </c>
      <c r="L148" s="8">
        <f t="shared" si="69"/>
        <v>0</v>
      </c>
      <c r="M148" s="8">
        <f t="shared" si="70"/>
        <v>0</v>
      </c>
      <c r="N148" s="8">
        <f t="shared" si="70"/>
        <v>0</v>
      </c>
      <c r="O148" s="8">
        <f t="shared" si="71"/>
        <v>0</v>
      </c>
      <c r="P148" s="8">
        <f t="shared" si="71"/>
        <v>0</v>
      </c>
      <c r="Q148" s="3785"/>
      <c r="R148" s="8">
        <f t="shared" si="72"/>
        <v>0</v>
      </c>
      <c r="S148" s="8">
        <f t="shared" si="73"/>
        <v>0</v>
      </c>
      <c r="T148" s="8">
        <f t="shared" si="74"/>
        <v>0</v>
      </c>
      <c r="U148" s="8">
        <f t="shared" si="74"/>
        <v>0</v>
      </c>
      <c r="W148" s="8">
        <f>Fact7!P146</f>
        <v>-30.397917072691442</v>
      </c>
    </row>
    <row r="149" spans="11:23">
      <c r="K149" s="8">
        <f t="shared" si="68"/>
        <v>0</v>
      </c>
      <c r="L149" s="8">
        <f t="shared" si="69"/>
        <v>0</v>
      </c>
      <c r="M149" s="8">
        <f t="shared" si="70"/>
        <v>0</v>
      </c>
      <c r="N149" s="8">
        <f t="shared" si="70"/>
        <v>0</v>
      </c>
      <c r="O149" s="8">
        <f t="shared" si="71"/>
        <v>0</v>
      </c>
      <c r="P149" s="8">
        <f t="shared" si="71"/>
        <v>0</v>
      </c>
      <c r="Q149" s="3786"/>
      <c r="R149" s="8">
        <f t="shared" si="72"/>
        <v>0</v>
      </c>
      <c r="S149" s="8">
        <f t="shared" si="73"/>
        <v>0</v>
      </c>
      <c r="T149" s="8">
        <f t="shared" si="74"/>
        <v>0</v>
      </c>
      <c r="U149" s="8">
        <f t="shared" si="74"/>
        <v>0</v>
      </c>
      <c r="W149" s="8">
        <f>Fact7!P147</f>
        <v>-9.7815723008541653</v>
      </c>
    </row>
    <row r="150" spans="11:23">
      <c r="K150" s="8">
        <f t="shared" si="68"/>
        <v>0</v>
      </c>
      <c r="L150" s="8">
        <f t="shared" si="69"/>
        <v>0</v>
      </c>
      <c r="M150" s="8">
        <f t="shared" si="70"/>
        <v>0</v>
      </c>
      <c r="N150" s="8">
        <f t="shared" si="70"/>
        <v>0</v>
      </c>
      <c r="O150" s="8">
        <f t="shared" si="71"/>
        <v>0</v>
      </c>
      <c r="P150" s="8">
        <f t="shared" si="71"/>
        <v>0</v>
      </c>
      <c r="Q150" s="3787"/>
      <c r="R150" s="8">
        <f t="shared" si="72"/>
        <v>0</v>
      </c>
      <c r="S150" s="8">
        <f t="shared" si="73"/>
        <v>0</v>
      </c>
      <c r="T150" s="8">
        <f t="shared" si="74"/>
        <v>0</v>
      </c>
      <c r="U150" s="8">
        <f t="shared" si="74"/>
        <v>0</v>
      </c>
      <c r="W150" s="8">
        <f>Fact7!P148</f>
        <v>-40.313464915888709</v>
      </c>
    </row>
    <row r="151" spans="11:23">
      <c r="K151" s="8">
        <f t="shared" si="68"/>
        <v>0</v>
      </c>
      <c r="L151" s="8">
        <f t="shared" si="69"/>
        <v>0</v>
      </c>
      <c r="M151" s="8">
        <f t="shared" si="70"/>
        <v>0</v>
      </c>
      <c r="N151" s="8">
        <f t="shared" si="70"/>
        <v>0</v>
      </c>
      <c r="O151" s="8">
        <f t="shared" si="71"/>
        <v>0</v>
      </c>
      <c r="P151" s="8">
        <f t="shared" si="71"/>
        <v>0</v>
      </c>
      <c r="Q151" s="3788"/>
      <c r="R151" s="8">
        <f t="shared" si="72"/>
        <v>0</v>
      </c>
      <c r="S151" s="8">
        <f t="shared" si="73"/>
        <v>0</v>
      </c>
      <c r="T151" s="8">
        <f t="shared" si="74"/>
        <v>0</v>
      </c>
      <c r="U151" s="8">
        <f t="shared" si="74"/>
        <v>0</v>
      </c>
      <c r="W151" s="8">
        <f>Fact7!P149</f>
        <v>-11.173598631896532</v>
      </c>
    </row>
    <row r="152" spans="11:23">
      <c r="K152" s="8">
        <f t="shared" si="68"/>
        <v>0</v>
      </c>
      <c r="L152" s="8">
        <f t="shared" si="69"/>
        <v>0</v>
      </c>
      <c r="M152" s="8">
        <f t="shared" si="70"/>
        <v>0</v>
      </c>
      <c r="N152" s="8">
        <f t="shared" si="70"/>
        <v>0</v>
      </c>
      <c r="O152" s="8">
        <f t="shared" si="71"/>
        <v>0</v>
      </c>
      <c r="P152" s="8">
        <f t="shared" si="71"/>
        <v>0</v>
      </c>
      <c r="Q152" s="3789"/>
      <c r="R152" s="8">
        <f t="shared" si="72"/>
        <v>0</v>
      </c>
      <c r="S152" s="8">
        <f t="shared" si="73"/>
        <v>0</v>
      </c>
      <c r="T152" s="8">
        <f t="shared" si="74"/>
        <v>0</v>
      </c>
      <c r="U152" s="8">
        <f t="shared" si="74"/>
        <v>0</v>
      </c>
      <c r="W152" s="8">
        <f>Fact7!P150</f>
        <v>-10.571083795725176</v>
      </c>
    </row>
    <row r="153" spans="11:23">
      <c r="K153" s="8">
        <f t="shared" si="68"/>
        <v>0</v>
      </c>
      <c r="L153" s="8">
        <f t="shared" si="69"/>
        <v>0</v>
      </c>
      <c r="M153" s="8">
        <f t="shared" si="70"/>
        <v>0</v>
      </c>
      <c r="N153" s="8">
        <f t="shared" si="70"/>
        <v>0</v>
      </c>
      <c r="O153" s="8">
        <f t="shared" si="71"/>
        <v>0</v>
      </c>
      <c r="P153" s="8">
        <f t="shared" si="71"/>
        <v>0</v>
      </c>
      <c r="Q153" s="3790"/>
      <c r="R153" s="8">
        <f t="shared" si="72"/>
        <v>0</v>
      </c>
      <c r="S153" s="8">
        <f t="shared" si="73"/>
        <v>0</v>
      </c>
      <c r="T153" s="8">
        <f t="shared" si="74"/>
        <v>0</v>
      </c>
      <c r="U153" s="8">
        <f t="shared" si="74"/>
        <v>0</v>
      </c>
      <c r="W153" s="8">
        <f>Fact7!P151</f>
        <v>-39.697765257106298</v>
      </c>
    </row>
    <row r="154" spans="11:23">
      <c r="K154" s="8">
        <f t="shared" si="68"/>
        <v>0</v>
      </c>
      <c r="L154" s="8">
        <f t="shared" si="69"/>
        <v>0</v>
      </c>
      <c r="M154" s="8">
        <f t="shared" si="70"/>
        <v>0</v>
      </c>
      <c r="N154" s="8">
        <f t="shared" si="70"/>
        <v>0</v>
      </c>
      <c r="O154" s="8">
        <f t="shared" si="71"/>
        <v>0</v>
      </c>
      <c r="P154" s="8">
        <f t="shared" si="71"/>
        <v>0</v>
      </c>
      <c r="Q154" s="3791"/>
      <c r="R154" s="8">
        <f t="shared" si="72"/>
        <v>0</v>
      </c>
      <c r="S154" s="8">
        <f t="shared" si="73"/>
        <v>0</v>
      </c>
      <c r="T154" s="8">
        <f t="shared" si="74"/>
        <v>0</v>
      </c>
      <c r="U154" s="8">
        <f t="shared" si="74"/>
        <v>0</v>
      </c>
      <c r="W154" s="8">
        <f>Fact7!P152</f>
        <v>-28.64130005038238</v>
      </c>
    </row>
    <row r="155" spans="11:23">
      <c r="K155" s="8">
        <f t="shared" si="68"/>
        <v>0</v>
      </c>
      <c r="L155" s="8">
        <f t="shared" si="69"/>
        <v>0</v>
      </c>
      <c r="M155" s="8">
        <f t="shared" si="70"/>
        <v>0</v>
      </c>
      <c r="N155" s="8">
        <f t="shared" si="70"/>
        <v>0</v>
      </c>
      <c r="O155" s="8">
        <f t="shared" si="71"/>
        <v>0</v>
      </c>
      <c r="P155" s="8">
        <f t="shared" si="71"/>
        <v>0</v>
      </c>
      <c r="Q155" s="3792"/>
      <c r="R155" s="8">
        <f t="shared" si="72"/>
        <v>0</v>
      </c>
      <c r="S155" s="8">
        <f t="shared" si="73"/>
        <v>0</v>
      </c>
      <c r="T155" s="8">
        <f t="shared" si="74"/>
        <v>0</v>
      </c>
      <c r="U155" s="8">
        <f t="shared" si="74"/>
        <v>0</v>
      </c>
      <c r="W155" s="8">
        <f>Fact7!P153</f>
        <v>-29.51541002649806</v>
      </c>
    </row>
    <row r="156" spans="11:23">
      <c r="K156" s="8">
        <f t="shared" si="68"/>
        <v>0</v>
      </c>
      <c r="L156" s="8">
        <f t="shared" si="69"/>
        <v>0</v>
      </c>
      <c r="M156" s="8">
        <f t="shared" si="70"/>
        <v>0</v>
      </c>
      <c r="N156" s="8">
        <f t="shared" si="70"/>
        <v>0</v>
      </c>
      <c r="O156" s="8">
        <f t="shared" si="71"/>
        <v>0</v>
      </c>
      <c r="P156" s="8">
        <f t="shared" si="71"/>
        <v>0</v>
      </c>
      <c r="Q156" s="3793"/>
      <c r="R156" s="8">
        <f t="shared" si="72"/>
        <v>0</v>
      </c>
      <c r="S156" s="8">
        <f t="shared" si="73"/>
        <v>0</v>
      </c>
      <c r="T156" s="8">
        <f t="shared" si="74"/>
        <v>0</v>
      </c>
      <c r="U156" s="8">
        <f t="shared" si="74"/>
        <v>0</v>
      </c>
      <c r="W156" s="8">
        <f>Fact7!P154</f>
        <v>-34.554620215953818</v>
      </c>
    </row>
    <row r="157" spans="11:23">
      <c r="K157" s="8">
        <f t="shared" si="68"/>
        <v>0</v>
      </c>
      <c r="L157" s="8">
        <f t="shared" si="69"/>
        <v>0</v>
      </c>
      <c r="M157" s="8">
        <f t="shared" si="70"/>
        <v>0</v>
      </c>
      <c r="N157" s="8">
        <f t="shared" si="70"/>
        <v>0</v>
      </c>
      <c r="O157" s="8">
        <f t="shared" si="71"/>
        <v>0</v>
      </c>
      <c r="P157" s="8">
        <f t="shared" si="71"/>
        <v>0</v>
      </c>
      <c r="Q157" s="3794"/>
      <c r="R157" s="8">
        <f t="shared" si="72"/>
        <v>0</v>
      </c>
      <c r="S157" s="8">
        <f t="shared" si="73"/>
        <v>0</v>
      </c>
      <c r="T157" s="8">
        <f t="shared" si="74"/>
        <v>0</v>
      </c>
      <c r="U157" s="8">
        <f t="shared" si="74"/>
        <v>0</v>
      </c>
      <c r="W157" s="8">
        <f>Fact7!P155</f>
        <v>-29.296173144782443</v>
      </c>
    </row>
    <row r="158" spans="11:23">
      <c r="K158" s="8">
        <f t="shared" si="68"/>
        <v>0</v>
      </c>
      <c r="L158" s="8">
        <f t="shared" si="69"/>
        <v>0</v>
      </c>
      <c r="M158" s="8">
        <f t="shared" si="70"/>
        <v>0</v>
      </c>
      <c r="N158" s="8">
        <f t="shared" si="70"/>
        <v>0</v>
      </c>
      <c r="O158" s="8">
        <f t="shared" si="71"/>
        <v>0</v>
      </c>
      <c r="P158" s="8">
        <f t="shared" si="71"/>
        <v>0</v>
      </c>
      <c r="Q158" s="3795"/>
      <c r="R158" s="8">
        <f t="shared" si="72"/>
        <v>0</v>
      </c>
      <c r="S158" s="8">
        <f t="shared" si="73"/>
        <v>0</v>
      </c>
      <c r="T158" s="8">
        <f t="shared" si="74"/>
        <v>0</v>
      </c>
      <c r="U158" s="8">
        <f t="shared" si="74"/>
        <v>0</v>
      </c>
      <c r="W158" s="8">
        <f>Fact7!P156</f>
        <v>-33.721007811246665</v>
      </c>
    </row>
    <row r="159" spans="11:23">
      <c r="K159" s="8">
        <f t="shared" si="68"/>
        <v>0</v>
      </c>
      <c r="L159" s="8">
        <f t="shared" si="69"/>
        <v>0</v>
      </c>
      <c r="M159" s="8">
        <f t="shared" si="70"/>
        <v>0</v>
      </c>
      <c r="N159" s="8">
        <f t="shared" si="70"/>
        <v>0</v>
      </c>
      <c r="O159" s="8">
        <f t="shared" si="71"/>
        <v>0</v>
      </c>
      <c r="P159" s="8">
        <f t="shared" si="71"/>
        <v>0</v>
      </c>
      <c r="Q159" s="3796"/>
      <c r="R159" s="8">
        <f t="shared" si="72"/>
        <v>0</v>
      </c>
      <c r="S159" s="8">
        <f t="shared" si="73"/>
        <v>0</v>
      </c>
      <c r="T159" s="8">
        <f t="shared" si="74"/>
        <v>0</v>
      </c>
      <c r="U159" s="8">
        <f t="shared" si="74"/>
        <v>0</v>
      </c>
      <c r="W159" s="8">
        <f>Fact7!P163</f>
        <v>-10.998429576513567</v>
      </c>
    </row>
    <row r="160" spans="11:23">
      <c r="K160" s="8">
        <f t="shared" si="68"/>
        <v>0</v>
      </c>
      <c r="L160" s="8">
        <f t="shared" si="69"/>
        <v>0</v>
      </c>
      <c r="M160" s="8">
        <f t="shared" si="70"/>
        <v>0</v>
      </c>
      <c r="N160" s="8">
        <f t="shared" si="70"/>
        <v>0</v>
      </c>
      <c r="O160" s="8">
        <f t="shared" si="71"/>
        <v>0</v>
      </c>
      <c r="P160" s="8">
        <f t="shared" si="71"/>
        <v>0</v>
      </c>
      <c r="Q160" s="3797"/>
      <c r="R160" s="8">
        <f t="shared" si="72"/>
        <v>0</v>
      </c>
      <c r="S160" s="8">
        <f t="shared" si="73"/>
        <v>0</v>
      </c>
      <c r="T160" s="8">
        <f t="shared" si="74"/>
        <v>0</v>
      </c>
      <c r="U160" s="8">
        <f t="shared" si="74"/>
        <v>0</v>
      </c>
      <c r="W160" s="8">
        <f>Fact7!P158</f>
        <v>-28.008508600128764</v>
      </c>
    </row>
    <row r="161" spans="11:23">
      <c r="K161" s="8">
        <f t="shared" si="68"/>
        <v>0</v>
      </c>
      <c r="L161" s="8">
        <f t="shared" si="69"/>
        <v>0</v>
      </c>
      <c r="M161" s="8">
        <f t="shared" si="70"/>
        <v>0</v>
      </c>
      <c r="N161" s="8">
        <f t="shared" si="70"/>
        <v>0</v>
      </c>
      <c r="O161" s="8">
        <f t="shared" si="71"/>
        <v>0</v>
      </c>
      <c r="P161" s="8">
        <f t="shared" si="71"/>
        <v>0</v>
      </c>
      <c r="Q161" s="3798"/>
      <c r="R161" s="8">
        <f t="shared" si="72"/>
        <v>0</v>
      </c>
      <c r="S161" s="8">
        <f t="shared" si="73"/>
        <v>0</v>
      </c>
      <c r="T161" s="8">
        <f t="shared" si="74"/>
        <v>0</v>
      </c>
      <c r="U161" s="8">
        <f t="shared" si="74"/>
        <v>0</v>
      </c>
      <c r="W161" s="8">
        <f>Fact7!P159</f>
        <v>-25.626208196047337</v>
      </c>
    </row>
    <row r="162" spans="11:23">
      <c r="Q162" s="3799"/>
    </row>
    <row r="163" spans="11:23">
      <c r="K163" s="3" t="s">
        <v>1261</v>
      </c>
      <c r="L163" s="8"/>
      <c r="M163" s="8">
        <f>AVERAGE(M146:M161)</f>
        <v>0</v>
      </c>
      <c r="N163" s="8">
        <f>AVERAGE(N146:N161)</f>
        <v>0</v>
      </c>
      <c r="O163" s="8">
        <f t="shared" ref="O163:P163" si="75">AVERAGE(O146:O161)</f>
        <v>0</v>
      </c>
      <c r="P163" s="8">
        <f t="shared" si="75"/>
        <v>0</v>
      </c>
      <c r="Q163" s="3800"/>
      <c r="R163" s="3" t="s">
        <v>1261</v>
      </c>
      <c r="S163" s="8"/>
      <c r="T163" s="8">
        <f>AVERAGE(T146:T161)</f>
        <v>0</v>
      </c>
      <c r="U163" s="8">
        <f t="shared" ref="U163:W163" si="76">AVERAGE(U146:U161)</f>
        <v>0</v>
      </c>
      <c r="V163" s="8"/>
      <c r="W163" s="8">
        <f t="shared" si="76"/>
        <v>-26.204166076642032</v>
      </c>
    </row>
    <row r="164" spans="11:23" ht="15" thickBot="1">
      <c r="K164" s="212" t="s">
        <v>1145</v>
      </c>
      <c r="L164" s="85"/>
      <c r="M164" s="85" t="e">
        <f>SUMPRODUCT(M146:M161,$I146:$I161)/SUM($I146:$I161)</f>
        <v>#DIV/0!</v>
      </c>
      <c r="N164" s="85" t="e">
        <f>SUMPRODUCT(N146:N161,$I146:$I161)/SUM($I146:$I161)</f>
        <v>#DIV/0!</v>
      </c>
      <c r="O164" s="85" t="e">
        <f t="shared" ref="O164" si="77">SUMPRODUCT(O146:O161,$I146:$I161)/SUM($I146:$I161)</f>
        <v>#DIV/0!</v>
      </c>
      <c r="P164" s="85" t="e">
        <f>SUMPRODUCT(P146:P161,$I146:$I161)/SUM($I146:$I161)</f>
        <v>#DIV/0!</v>
      </c>
      <c r="R164" s="212" t="s">
        <v>1145</v>
      </c>
      <c r="S164" s="85"/>
      <c r="T164" s="85" t="e">
        <f>SUMPRODUCT(T146:T161,$I146:$I161)/SUM($I146:$I161)</f>
        <v>#DIV/0!</v>
      </c>
      <c r="U164" s="85" t="e">
        <f t="shared" ref="U164:W164" si="78">SUMPRODUCT(U146:U161,$I146:$I161)/SUM($I146:$I161)</f>
        <v>#DIV/0!</v>
      </c>
      <c r="V164" s="85"/>
      <c r="W164" s="85" t="e">
        <f t="shared" si="78"/>
        <v>#DIV/0!</v>
      </c>
    </row>
    <row r="165" spans="11:23" ht="15" thickTop="1">
      <c r="L165" s="8"/>
      <c r="M165" s="8"/>
      <c r="N165" s="8"/>
      <c r="O165" s="8"/>
      <c r="P165" s="8"/>
      <c r="S165" s="8"/>
      <c r="T165" s="8"/>
      <c r="U165" s="8"/>
      <c r="V165" s="8"/>
      <c r="W165" s="8"/>
    </row>
    <row r="166" spans="11:23">
      <c r="L166" s="8"/>
      <c r="M166" s="8"/>
      <c r="N166" s="8"/>
      <c r="O166" s="8"/>
      <c r="P166" s="8"/>
      <c r="S166" s="8"/>
      <c r="T166" s="8"/>
      <c r="U166" s="8"/>
      <c r="V166" s="8"/>
      <c r="W166" s="8"/>
    </row>
    <row r="167" spans="11:23" ht="15" thickBot="1">
      <c r="K167" s="972">
        <f>B166</f>
        <v>0</v>
      </c>
      <c r="L167" s="2649"/>
      <c r="M167" s="85"/>
      <c r="N167" s="85"/>
      <c r="O167" s="85"/>
      <c r="P167" s="85"/>
      <c r="R167" s="972">
        <f>E166</f>
        <v>0</v>
      </c>
      <c r="S167" s="2649"/>
      <c r="T167" s="85"/>
      <c r="U167" s="85"/>
      <c r="V167" s="85"/>
      <c r="W167" s="85"/>
    </row>
    <row r="168" spans="11:23" ht="15" thickTop="1">
      <c r="K168" s="213" t="s">
        <v>904</v>
      </c>
      <c r="L168" s="216" t="s">
        <v>938</v>
      </c>
      <c r="M168" s="2650" t="s">
        <v>1273</v>
      </c>
      <c r="N168" s="2650" t="s">
        <v>1136</v>
      </c>
      <c r="O168" s="2650"/>
      <c r="P168" s="2650"/>
      <c r="Q168" s="3801"/>
      <c r="R168" s="213" t="s">
        <v>904</v>
      </c>
      <c r="S168" s="216" t="s">
        <v>938</v>
      </c>
      <c r="T168" s="2650" t="s">
        <v>1273</v>
      </c>
      <c r="U168" s="2650" t="s">
        <v>1136</v>
      </c>
      <c r="W168" s="76" t="s">
        <v>901</v>
      </c>
    </row>
    <row r="169" spans="11:23">
      <c r="K169" s="8">
        <f t="shared" ref="K169:K184" si="79">A169</f>
        <v>0</v>
      </c>
      <c r="L169" s="8">
        <f t="shared" ref="L169:L184" si="80">H169</f>
        <v>0</v>
      </c>
      <c r="M169" s="8">
        <f t="shared" ref="M169:N184" si="81">B169</f>
        <v>0</v>
      </c>
      <c r="N169" s="8">
        <f t="shared" si="81"/>
        <v>0</v>
      </c>
      <c r="O169" s="8">
        <f t="shared" ref="O169:P184" si="82">F169</f>
        <v>0</v>
      </c>
      <c r="P169" s="8">
        <f t="shared" si="82"/>
        <v>0</v>
      </c>
      <c r="Q169" s="3802"/>
      <c r="R169" s="8">
        <f t="shared" ref="R169:R184" si="83">A169</f>
        <v>0</v>
      </c>
      <c r="S169" s="8">
        <f t="shared" ref="S169:S184" si="84">H169*1</f>
        <v>0</v>
      </c>
      <c r="T169" s="8">
        <f t="shared" ref="T169:U184" si="85">B169-F169</f>
        <v>0</v>
      </c>
      <c r="U169" s="8">
        <f t="shared" si="85"/>
        <v>0</v>
      </c>
      <c r="W169" s="8">
        <f>Fact7!P167</f>
        <v>-7.9115590580287147</v>
      </c>
    </row>
    <row r="170" spans="11:23">
      <c r="K170" s="8">
        <f t="shared" si="79"/>
        <v>0</v>
      </c>
      <c r="L170" s="8">
        <f t="shared" si="80"/>
        <v>0</v>
      </c>
      <c r="M170" s="8">
        <f t="shared" si="81"/>
        <v>0</v>
      </c>
      <c r="N170" s="8">
        <f t="shared" si="81"/>
        <v>0</v>
      </c>
      <c r="O170" s="8">
        <f t="shared" si="82"/>
        <v>0</v>
      </c>
      <c r="P170" s="8">
        <f t="shared" si="82"/>
        <v>0</v>
      </c>
      <c r="Q170" s="3803"/>
      <c r="R170" s="8">
        <f t="shared" si="83"/>
        <v>0</v>
      </c>
      <c r="S170" s="8">
        <f t="shared" si="84"/>
        <v>0</v>
      </c>
      <c r="T170" s="8">
        <f t="shared" si="85"/>
        <v>0</v>
      </c>
      <c r="U170" s="8">
        <f t="shared" si="85"/>
        <v>0</v>
      </c>
      <c r="W170" s="8">
        <f>Fact7!P168</f>
        <v>-43.887281453919471</v>
      </c>
    </row>
    <row r="171" spans="11:23">
      <c r="K171" s="8">
        <f t="shared" si="79"/>
        <v>0</v>
      </c>
      <c r="L171" s="8">
        <f t="shared" si="80"/>
        <v>0</v>
      </c>
      <c r="M171" s="8">
        <f t="shared" si="81"/>
        <v>0</v>
      </c>
      <c r="N171" s="8">
        <f t="shared" si="81"/>
        <v>0</v>
      </c>
      <c r="O171" s="8">
        <f t="shared" si="82"/>
        <v>0</v>
      </c>
      <c r="P171" s="8">
        <f t="shared" si="82"/>
        <v>0</v>
      </c>
      <c r="Q171" s="3804"/>
      <c r="R171" s="8">
        <f t="shared" si="83"/>
        <v>0</v>
      </c>
      <c r="S171" s="8">
        <f t="shared" si="84"/>
        <v>0</v>
      </c>
      <c r="T171" s="8">
        <f t="shared" si="85"/>
        <v>0</v>
      </c>
      <c r="U171" s="8">
        <f t="shared" si="85"/>
        <v>0</v>
      </c>
      <c r="W171" s="8">
        <f>Fact7!P169</f>
        <v>-16.293755535611695</v>
      </c>
    </row>
    <row r="172" spans="11:23">
      <c r="K172" s="8">
        <f t="shared" si="79"/>
        <v>0</v>
      </c>
      <c r="L172" s="8">
        <f t="shared" si="80"/>
        <v>0</v>
      </c>
      <c r="M172" s="8">
        <f t="shared" si="81"/>
        <v>0</v>
      </c>
      <c r="N172" s="8">
        <f t="shared" si="81"/>
        <v>0</v>
      </c>
      <c r="O172" s="8">
        <f t="shared" si="82"/>
        <v>0</v>
      </c>
      <c r="P172" s="8">
        <f t="shared" si="82"/>
        <v>0</v>
      </c>
      <c r="Q172" s="3805"/>
      <c r="R172" s="8">
        <f t="shared" si="83"/>
        <v>0</v>
      </c>
      <c r="S172" s="8">
        <f t="shared" si="84"/>
        <v>0</v>
      </c>
      <c r="T172" s="8">
        <f t="shared" si="85"/>
        <v>0</v>
      </c>
      <c r="U172" s="8">
        <f t="shared" si="85"/>
        <v>0</v>
      </c>
      <c r="W172" s="8">
        <f>Fact7!P170</f>
        <v>-5.9376347626139392</v>
      </c>
    </row>
    <row r="173" spans="11:23">
      <c r="K173" s="8">
        <f t="shared" si="79"/>
        <v>0</v>
      </c>
      <c r="L173" s="8">
        <f t="shared" si="80"/>
        <v>0</v>
      </c>
      <c r="M173" s="8">
        <f t="shared" si="81"/>
        <v>0</v>
      </c>
      <c r="N173" s="8">
        <f t="shared" si="81"/>
        <v>0</v>
      </c>
      <c r="O173" s="8">
        <f t="shared" si="82"/>
        <v>0</v>
      </c>
      <c r="P173" s="8">
        <f t="shared" si="82"/>
        <v>0</v>
      </c>
      <c r="Q173" s="3806"/>
      <c r="R173" s="8">
        <f t="shared" si="83"/>
        <v>0</v>
      </c>
      <c r="S173" s="8">
        <f t="shared" si="84"/>
        <v>0</v>
      </c>
      <c r="T173" s="8">
        <f t="shared" si="85"/>
        <v>0</v>
      </c>
      <c r="U173" s="8">
        <f t="shared" si="85"/>
        <v>0</v>
      </c>
      <c r="W173" s="8">
        <f>Fact7!P171</f>
        <v>-22.085535395138649</v>
      </c>
    </row>
    <row r="174" spans="11:23">
      <c r="K174" s="8">
        <f t="shared" si="79"/>
        <v>0</v>
      </c>
      <c r="L174" s="8">
        <f t="shared" si="80"/>
        <v>0</v>
      </c>
      <c r="M174" s="8">
        <f t="shared" si="81"/>
        <v>0</v>
      </c>
      <c r="N174" s="8">
        <f t="shared" si="81"/>
        <v>0</v>
      </c>
      <c r="O174" s="8">
        <f t="shared" si="82"/>
        <v>0</v>
      </c>
      <c r="P174" s="8">
        <f t="shared" si="82"/>
        <v>0</v>
      </c>
      <c r="Q174" s="3807"/>
      <c r="R174" s="8">
        <f t="shared" si="83"/>
        <v>0</v>
      </c>
      <c r="S174" s="8">
        <f t="shared" si="84"/>
        <v>0</v>
      </c>
      <c r="T174" s="8">
        <f t="shared" si="85"/>
        <v>0</v>
      </c>
      <c r="U174" s="8">
        <f t="shared" si="85"/>
        <v>0</v>
      </c>
      <c r="W174" s="8">
        <f>Fact7!P172</f>
        <v>-5.9396793717388761</v>
      </c>
    </row>
    <row r="175" spans="11:23">
      <c r="K175" s="8">
        <f t="shared" si="79"/>
        <v>0</v>
      </c>
      <c r="L175" s="8">
        <f t="shared" si="80"/>
        <v>0</v>
      </c>
      <c r="M175" s="8">
        <f t="shared" si="81"/>
        <v>0</v>
      </c>
      <c r="N175" s="8">
        <f t="shared" si="81"/>
        <v>0</v>
      </c>
      <c r="O175" s="8">
        <f t="shared" si="82"/>
        <v>0</v>
      </c>
      <c r="P175" s="8">
        <f t="shared" si="82"/>
        <v>0</v>
      </c>
      <c r="Q175" s="3808"/>
      <c r="R175" s="8">
        <f t="shared" si="83"/>
        <v>0</v>
      </c>
      <c r="S175" s="8">
        <f t="shared" si="84"/>
        <v>0</v>
      </c>
      <c r="T175" s="8">
        <f t="shared" si="85"/>
        <v>0</v>
      </c>
      <c r="U175" s="8">
        <f t="shared" si="85"/>
        <v>0</v>
      </c>
      <c r="W175" s="8">
        <f>Fact7!P173</f>
        <v>-7.6750955376823384</v>
      </c>
    </row>
    <row r="176" spans="11:23">
      <c r="K176" s="8">
        <f t="shared" si="79"/>
        <v>0</v>
      </c>
      <c r="L176" s="8">
        <f t="shared" si="80"/>
        <v>0</v>
      </c>
      <c r="M176" s="8">
        <f t="shared" si="81"/>
        <v>0</v>
      </c>
      <c r="N176" s="8">
        <f t="shared" si="81"/>
        <v>0</v>
      </c>
      <c r="O176" s="8">
        <f t="shared" si="82"/>
        <v>0</v>
      </c>
      <c r="P176" s="8">
        <f t="shared" si="82"/>
        <v>0</v>
      </c>
      <c r="Q176" s="3809"/>
      <c r="R176" s="8">
        <f t="shared" si="83"/>
        <v>0</v>
      </c>
      <c r="S176" s="8">
        <f t="shared" si="84"/>
        <v>0</v>
      </c>
      <c r="T176" s="8">
        <f t="shared" si="85"/>
        <v>0</v>
      </c>
      <c r="U176" s="8">
        <f t="shared" si="85"/>
        <v>0</v>
      </c>
      <c r="W176" s="8">
        <f>Fact7!P174</f>
        <v>-34.084837261084786</v>
      </c>
    </row>
    <row r="177" spans="11:23">
      <c r="K177" s="8">
        <f t="shared" si="79"/>
        <v>0</v>
      </c>
      <c r="L177" s="8">
        <f t="shared" si="80"/>
        <v>0</v>
      </c>
      <c r="M177" s="8">
        <f t="shared" si="81"/>
        <v>0</v>
      </c>
      <c r="N177" s="8">
        <f t="shared" si="81"/>
        <v>0</v>
      </c>
      <c r="O177" s="8">
        <f t="shared" si="82"/>
        <v>0</v>
      </c>
      <c r="P177" s="8">
        <f t="shared" si="82"/>
        <v>0</v>
      </c>
      <c r="Q177" s="3810"/>
      <c r="R177" s="8">
        <f t="shared" si="83"/>
        <v>0</v>
      </c>
      <c r="S177" s="8">
        <f t="shared" si="84"/>
        <v>0</v>
      </c>
      <c r="T177" s="8">
        <f t="shared" si="85"/>
        <v>0</v>
      </c>
      <c r="U177" s="8">
        <f t="shared" si="85"/>
        <v>0</v>
      </c>
      <c r="W177" s="8">
        <f>Fact7!P175</f>
        <v>-17.616185516171527</v>
      </c>
    </row>
    <row r="178" spans="11:23">
      <c r="K178" s="8">
        <f t="shared" si="79"/>
        <v>0</v>
      </c>
      <c r="L178" s="8">
        <f t="shared" si="80"/>
        <v>0</v>
      </c>
      <c r="M178" s="8">
        <f t="shared" si="81"/>
        <v>0</v>
      </c>
      <c r="N178" s="8">
        <f t="shared" si="81"/>
        <v>0</v>
      </c>
      <c r="O178" s="8">
        <f t="shared" si="82"/>
        <v>0</v>
      </c>
      <c r="P178" s="8">
        <f t="shared" si="82"/>
        <v>0</v>
      </c>
      <c r="Q178" s="3811"/>
      <c r="R178" s="8">
        <f t="shared" si="83"/>
        <v>0</v>
      </c>
      <c r="S178" s="8">
        <f t="shared" si="84"/>
        <v>0</v>
      </c>
      <c r="T178" s="8">
        <f t="shared" si="85"/>
        <v>0</v>
      </c>
      <c r="U178" s="8">
        <f t="shared" si="85"/>
        <v>0</v>
      </c>
      <c r="W178" s="8">
        <f>Fact7!P176</f>
        <v>-10.519026143518957</v>
      </c>
    </row>
    <row r="179" spans="11:23">
      <c r="K179" s="8">
        <f t="shared" si="79"/>
        <v>0</v>
      </c>
      <c r="L179" s="8">
        <f t="shared" si="80"/>
        <v>0</v>
      </c>
      <c r="M179" s="8">
        <f t="shared" si="81"/>
        <v>0</v>
      </c>
      <c r="N179" s="8">
        <f t="shared" si="81"/>
        <v>0</v>
      </c>
      <c r="O179" s="8">
        <f t="shared" si="82"/>
        <v>0</v>
      </c>
      <c r="P179" s="8">
        <f t="shared" si="82"/>
        <v>0</v>
      </c>
      <c r="Q179" s="3812"/>
      <c r="R179" s="8">
        <f t="shared" si="83"/>
        <v>0</v>
      </c>
      <c r="S179" s="8">
        <f t="shared" si="84"/>
        <v>0</v>
      </c>
      <c r="T179" s="8">
        <f t="shared" si="85"/>
        <v>0</v>
      </c>
      <c r="U179" s="8">
        <f t="shared" si="85"/>
        <v>0</v>
      </c>
      <c r="W179" s="8">
        <f>Fact7!P177</f>
        <v>-4.2642549778348098</v>
      </c>
    </row>
    <row r="180" spans="11:23">
      <c r="K180" s="8">
        <f t="shared" si="79"/>
        <v>0</v>
      </c>
      <c r="L180" s="8">
        <f t="shared" si="80"/>
        <v>0</v>
      </c>
      <c r="M180" s="8">
        <f t="shared" si="81"/>
        <v>0</v>
      </c>
      <c r="N180" s="8">
        <f t="shared" si="81"/>
        <v>0</v>
      </c>
      <c r="O180" s="8">
        <f t="shared" si="82"/>
        <v>0</v>
      </c>
      <c r="P180" s="8">
        <f t="shared" si="82"/>
        <v>0</v>
      </c>
      <c r="Q180" s="3813"/>
      <c r="R180" s="8">
        <f t="shared" si="83"/>
        <v>0</v>
      </c>
      <c r="S180" s="8">
        <f t="shared" si="84"/>
        <v>0</v>
      </c>
      <c r="T180" s="8">
        <f t="shared" si="85"/>
        <v>0</v>
      </c>
      <c r="U180" s="8">
        <f t="shared" si="85"/>
        <v>0</v>
      </c>
      <c r="W180" s="8">
        <f>Fact7!P178</f>
        <v>-28.895715635425205</v>
      </c>
    </row>
    <row r="181" spans="11:23">
      <c r="K181" s="8">
        <f t="shared" si="79"/>
        <v>0</v>
      </c>
      <c r="L181" s="8">
        <f t="shared" si="80"/>
        <v>0</v>
      </c>
      <c r="M181" s="8">
        <f t="shared" si="81"/>
        <v>0</v>
      </c>
      <c r="N181" s="8">
        <f t="shared" si="81"/>
        <v>0</v>
      </c>
      <c r="O181" s="8">
        <f t="shared" si="82"/>
        <v>0</v>
      </c>
      <c r="P181" s="8">
        <f t="shared" si="82"/>
        <v>0</v>
      </c>
      <c r="Q181" s="3814"/>
      <c r="R181" s="8">
        <f t="shared" si="83"/>
        <v>0</v>
      </c>
      <c r="S181" s="8">
        <f t="shared" si="84"/>
        <v>0</v>
      </c>
      <c r="T181" s="8">
        <f t="shared" si="85"/>
        <v>0</v>
      </c>
      <c r="U181" s="8">
        <f t="shared" si="85"/>
        <v>0</v>
      </c>
      <c r="W181" s="8">
        <f>Fact7!P179</f>
        <v>-12.01842634903042</v>
      </c>
    </row>
    <row r="182" spans="11:23">
      <c r="K182" s="8">
        <f t="shared" si="79"/>
        <v>0</v>
      </c>
      <c r="L182" s="8">
        <f t="shared" si="80"/>
        <v>0</v>
      </c>
      <c r="M182" s="8">
        <f t="shared" si="81"/>
        <v>0</v>
      </c>
      <c r="N182" s="8">
        <f t="shared" si="81"/>
        <v>0</v>
      </c>
      <c r="O182" s="8">
        <f t="shared" si="82"/>
        <v>0</v>
      </c>
      <c r="P182" s="8">
        <f t="shared" si="82"/>
        <v>0</v>
      </c>
      <c r="Q182" s="3815"/>
      <c r="R182" s="8">
        <f t="shared" si="83"/>
        <v>0</v>
      </c>
      <c r="S182" s="8">
        <f t="shared" si="84"/>
        <v>0</v>
      </c>
      <c r="T182" s="8">
        <f t="shared" si="85"/>
        <v>0</v>
      </c>
      <c r="U182" s="8">
        <f t="shared" si="85"/>
        <v>0</v>
      </c>
      <c r="W182" s="8">
        <f>Fact7!P180</f>
        <v>-6.9732394951296186</v>
      </c>
    </row>
    <row r="183" spans="11:23">
      <c r="K183" s="8">
        <f t="shared" si="79"/>
        <v>0</v>
      </c>
      <c r="L183" s="8">
        <f t="shared" si="80"/>
        <v>0</v>
      </c>
      <c r="M183" s="8">
        <f t="shared" si="81"/>
        <v>0</v>
      </c>
      <c r="N183" s="8">
        <f t="shared" si="81"/>
        <v>0</v>
      </c>
      <c r="O183" s="8">
        <f t="shared" si="82"/>
        <v>0</v>
      </c>
      <c r="P183" s="8">
        <f t="shared" si="82"/>
        <v>0</v>
      </c>
      <c r="Q183" s="3816"/>
      <c r="R183" s="8">
        <f t="shared" si="83"/>
        <v>0</v>
      </c>
      <c r="S183" s="8">
        <f t="shared" si="84"/>
        <v>0</v>
      </c>
      <c r="T183" s="8">
        <f t="shared" si="85"/>
        <v>0</v>
      </c>
      <c r="U183" s="8">
        <f t="shared" si="85"/>
        <v>0</v>
      </c>
      <c r="W183" s="8">
        <f>Fact7!P181</f>
        <v>-10.727264358324064</v>
      </c>
    </row>
    <row r="184" spans="11:23">
      <c r="K184" s="8">
        <f t="shared" si="79"/>
        <v>0</v>
      </c>
      <c r="L184" s="8">
        <f t="shared" si="80"/>
        <v>0</v>
      </c>
      <c r="M184" s="8">
        <f t="shared" si="81"/>
        <v>0</v>
      </c>
      <c r="N184" s="8">
        <f t="shared" si="81"/>
        <v>0</v>
      </c>
      <c r="O184" s="8">
        <f>F184</f>
        <v>0</v>
      </c>
      <c r="P184" s="8">
        <f t="shared" si="82"/>
        <v>0</v>
      </c>
      <c r="Q184" s="3817"/>
      <c r="R184" s="8">
        <f t="shared" si="83"/>
        <v>0</v>
      </c>
      <c r="S184" s="8">
        <f t="shared" si="84"/>
        <v>0</v>
      </c>
      <c r="T184" s="8">
        <f t="shared" si="85"/>
        <v>0</v>
      </c>
      <c r="U184" s="8">
        <f t="shared" si="85"/>
        <v>0</v>
      </c>
      <c r="W184" s="8">
        <f>Fact7!P182</f>
        <v>2.2010062530195</v>
      </c>
    </row>
    <row r="185" spans="11:23">
      <c r="Q185" s="3818"/>
    </row>
    <row r="186" spans="11:23">
      <c r="K186" s="3" t="s">
        <v>1261</v>
      </c>
      <c r="L186" s="8"/>
      <c r="M186" s="8">
        <f>AVERAGE(M169:M184)</f>
        <v>0</v>
      </c>
      <c r="N186" s="8">
        <f>AVERAGE(N169:N184)</f>
        <v>0</v>
      </c>
      <c r="O186" s="8">
        <f t="shared" ref="O186:P186" si="86">AVERAGE(O169:O184)</f>
        <v>0</v>
      </c>
      <c r="P186" s="8">
        <f t="shared" si="86"/>
        <v>0</v>
      </c>
      <c r="Q186" s="3819"/>
      <c r="R186" s="3" t="s">
        <v>1261</v>
      </c>
      <c r="S186" s="8"/>
      <c r="T186" s="8">
        <f>AVERAGE(T169:T184)</f>
        <v>0</v>
      </c>
      <c r="U186" s="8">
        <f t="shared" ref="U186:W186" si="87">AVERAGE(U169:U184)</f>
        <v>0</v>
      </c>
      <c r="V186" s="8"/>
      <c r="W186" s="8">
        <f t="shared" si="87"/>
        <v>-14.539280287389598</v>
      </c>
    </row>
    <row r="187" spans="11:23" ht="15" thickBot="1">
      <c r="K187" s="212" t="s">
        <v>1145</v>
      </c>
      <c r="L187" s="85"/>
      <c r="M187" s="85" t="e">
        <f>SUMPRODUCT(M169:M184,$I169:$I184)/SUM($I169:$I184)</f>
        <v>#DIV/0!</v>
      </c>
      <c r="N187" s="85" t="e">
        <f>SUMPRODUCT(N169:N184,$I169:$I184)/SUM($I169:$I184)</f>
        <v>#DIV/0!</v>
      </c>
      <c r="O187" s="85" t="e">
        <f t="shared" ref="O187" si="88">SUMPRODUCT(O169:O184,$I169:$I184)/SUM($I169:$I184)</f>
        <v>#DIV/0!</v>
      </c>
      <c r="P187" s="85" t="e">
        <f>SUMPRODUCT(P169:P184,$I169:$I184)/SUM($I169:$I184)</f>
        <v>#DIV/0!</v>
      </c>
      <c r="R187" s="212" t="s">
        <v>1145</v>
      </c>
      <c r="S187" s="85"/>
      <c r="T187" s="85" t="e">
        <f>SUMPRODUCT(T169:T184,$I169:$I184)/SUM($I169:$I184)</f>
        <v>#DIV/0!</v>
      </c>
      <c r="U187" s="85" t="e">
        <f t="shared" ref="U187:W187" si="89">SUMPRODUCT(U169:U184,$I169:$I184)/SUM($I169:$I184)</f>
        <v>#DIV/0!</v>
      </c>
      <c r="V187" s="85"/>
      <c r="W187" s="85" t="e">
        <f t="shared" si="89"/>
        <v>#DIV/0!</v>
      </c>
    </row>
    <row r="188" spans="11:23" ht="15" thickTop="1">
      <c r="L188" s="8"/>
      <c r="M188" s="8"/>
      <c r="N188" s="8"/>
      <c r="O188" s="8"/>
      <c r="P188" s="8"/>
      <c r="S188" s="8"/>
      <c r="T188" s="8"/>
      <c r="U188" s="8"/>
      <c r="V188" s="8"/>
      <c r="W188" s="8"/>
    </row>
    <row r="189" spans="11:23">
      <c r="L189" s="8"/>
      <c r="M189" s="8"/>
      <c r="N189" s="8"/>
      <c r="O189" s="8"/>
      <c r="P189" s="8"/>
      <c r="S189" s="8"/>
      <c r="T189" s="8"/>
      <c r="U189" s="8"/>
      <c r="V189" s="8"/>
      <c r="W189" s="8"/>
    </row>
    <row r="190" spans="11:23" ht="15" thickBot="1">
      <c r="K190" s="972">
        <f>B189</f>
        <v>0</v>
      </c>
      <c r="L190" s="2649"/>
      <c r="M190" s="85"/>
      <c r="N190" s="85"/>
      <c r="O190" s="85"/>
      <c r="P190" s="85"/>
      <c r="R190" s="972">
        <f>E189</f>
        <v>0</v>
      </c>
      <c r="S190" s="2649"/>
      <c r="T190" s="85"/>
      <c r="U190" s="85"/>
      <c r="V190" s="85"/>
      <c r="W190" s="85"/>
    </row>
    <row r="191" spans="11:23" ht="15" thickTop="1">
      <c r="K191" s="213" t="s">
        <v>904</v>
      </c>
      <c r="L191" s="216" t="s">
        <v>938</v>
      </c>
      <c r="M191" s="2650" t="s">
        <v>1273</v>
      </c>
      <c r="N191" s="2650" t="s">
        <v>1136</v>
      </c>
      <c r="O191" s="2650"/>
      <c r="P191" s="2650"/>
      <c r="Q191" s="3820"/>
      <c r="R191" s="213" t="s">
        <v>904</v>
      </c>
      <c r="S191" s="216" t="s">
        <v>938</v>
      </c>
      <c r="T191" s="2650" t="s">
        <v>1273</v>
      </c>
      <c r="U191" s="2650" t="s">
        <v>1136</v>
      </c>
      <c r="W191" s="76" t="s">
        <v>901</v>
      </c>
    </row>
    <row r="192" spans="11:23">
      <c r="K192" s="8">
        <f t="shared" ref="K192:K202" si="90">A192</f>
        <v>0</v>
      </c>
      <c r="L192" s="8">
        <f t="shared" ref="L192:L202" si="91">H192</f>
        <v>0</v>
      </c>
      <c r="M192" s="8">
        <f t="shared" ref="M192:N202" si="92">B192</f>
        <v>0</v>
      </c>
      <c r="N192" s="8">
        <f t="shared" si="92"/>
        <v>0</v>
      </c>
      <c r="O192" s="8">
        <f t="shared" ref="O192:P202" si="93">F192</f>
        <v>0</v>
      </c>
      <c r="P192" s="8">
        <f t="shared" si="93"/>
        <v>0</v>
      </c>
      <c r="Q192" s="3821"/>
      <c r="R192" s="8">
        <f t="shared" ref="R192:R202" si="94">A192</f>
        <v>0</v>
      </c>
      <c r="S192" s="8">
        <f t="shared" ref="S192:S202" si="95">H192*1</f>
        <v>0</v>
      </c>
      <c r="T192" s="8">
        <f t="shared" ref="T192:U202" si="96">B192-F192</f>
        <v>0</v>
      </c>
      <c r="U192" s="8">
        <f t="shared" si="96"/>
        <v>0</v>
      </c>
      <c r="W192" s="8">
        <f>Fact7!P190</f>
        <v>-0.94577790263835482</v>
      </c>
    </row>
    <row r="193" spans="11:23">
      <c r="K193" s="8">
        <f t="shared" si="90"/>
        <v>0</v>
      </c>
      <c r="L193" s="8">
        <f t="shared" si="91"/>
        <v>0</v>
      </c>
      <c r="M193" s="8">
        <f t="shared" si="92"/>
        <v>0</v>
      </c>
      <c r="N193" s="8">
        <f t="shared" si="92"/>
        <v>0</v>
      </c>
      <c r="O193" s="8">
        <f t="shared" si="93"/>
        <v>0</v>
      </c>
      <c r="P193" s="8">
        <f t="shared" si="93"/>
        <v>0</v>
      </c>
      <c r="Q193" s="3822"/>
      <c r="R193" s="8">
        <f t="shared" si="94"/>
        <v>0</v>
      </c>
      <c r="S193" s="8">
        <f t="shared" si="95"/>
        <v>0</v>
      </c>
      <c r="T193" s="8">
        <f t="shared" si="96"/>
        <v>0</v>
      </c>
      <c r="U193" s="8">
        <f t="shared" si="96"/>
        <v>0</v>
      </c>
      <c r="W193" s="8">
        <f>Fact7!P191</f>
        <v>-3.3525532348266722</v>
      </c>
    </row>
    <row r="194" spans="11:23">
      <c r="K194" s="8">
        <f t="shared" si="90"/>
        <v>0</v>
      </c>
      <c r="L194" s="8">
        <f t="shared" si="91"/>
        <v>0</v>
      </c>
      <c r="M194" s="8">
        <f t="shared" si="92"/>
        <v>0</v>
      </c>
      <c r="N194" s="8">
        <f t="shared" si="92"/>
        <v>0</v>
      </c>
      <c r="O194" s="8">
        <f t="shared" si="93"/>
        <v>0</v>
      </c>
      <c r="P194" s="8">
        <f t="shared" si="93"/>
        <v>0</v>
      </c>
      <c r="Q194" s="3823"/>
      <c r="R194" s="8">
        <f t="shared" si="94"/>
        <v>0</v>
      </c>
      <c r="S194" s="8">
        <f t="shared" si="95"/>
        <v>0</v>
      </c>
      <c r="T194" s="8">
        <f t="shared" si="96"/>
        <v>0</v>
      </c>
      <c r="U194" s="8">
        <f t="shared" si="96"/>
        <v>0</v>
      </c>
      <c r="W194" s="8">
        <f>Fact7!P192</f>
        <v>-6.3787721947899598</v>
      </c>
    </row>
    <row r="195" spans="11:23">
      <c r="K195" s="8">
        <f t="shared" si="90"/>
        <v>0</v>
      </c>
      <c r="L195" s="8">
        <f t="shared" si="91"/>
        <v>0</v>
      </c>
      <c r="M195" s="8">
        <f t="shared" si="92"/>
        <v>0</v>
      </c>
      <c r="N195" s="8">
        <f t="shared" si="92"/>
        <v>0</v>
      </c>
      <c r="O195" s="8">
        <f t="shared" si="93"/>
        <v>0</v>
      </c>
      <c r="P195" s="8">
        <f t="shared" si="93"/>
        <v>0</v>
      </c>
      <c r="Q195" s="3824"/>
      <c r="R195" s="8">
        <f t="shared" si="94"/>
        <v>0</v>
      </c>
      <c r="S195" s="8">
        <f t="shared" si="95"/>
        <v>0</v>
      </c>
      <c r="T195" s="8">
        <f t="shared" si="96"/>
        <v>0</v>
      </c>
      <c r="U195" s="8">
        <f t="shared" si="96"/>
        <v>0</v>
      </c>
      <c r="W195" s="8">
        <f>Fact7!P193</f>
        <v>-19.725368939770902</v>
      </c>
    </row>
    <row r="196" spans="11:23">
      <c r="K196" s="8">
        <f t="shared" si="90"/>
        <v>0</v>
      </c>
      <c r="L196" s="8">
        <f t="shared" si="91"/>
        <v>0</v>
      </c>
      <c r="M196" s="8">
        <f t="shared" si="92"/>
        <v>0</v>
      </c>
      <c r="N196" s="8">
        <f t="shared" si="92"/>
        <v>0</v>
      </c>
      <c r="O196" s="8">
        <f t="shared" si="93"/>
        <v>0</v>
      </c>
      <c r="P196" s="8">
        <f t="shared" si="93"/>
        <v>0</v>
      </c>
      <c r="Q196" s="3825"/>
      <c r="R196" s="8">
        <f t="shared" si="94"/>
        <v>0</v>
      </c>
      <c r="S196" s="8">
        <f t="shared" si="95"/>
        <v>0</v>
      </c>
      <c r="T196" s="8">
        <f t="shared" si="96"/>
        <v>0</v>
      </c>
      <c r="U196" s="8">
        <f t="shared" si="96"/>
        <v>0</v>
      </c>
      <c r="W196" s="8">
        <f>Fact7!P194</f>
        <v>-1.862528022330423</v>
      </c>
    </row>
    <row r="197" spans="11:23">
      <c r="K197" s="8">
        <f t="shared" si="90"/>
        <v>0</v>
      </c>
      <c r="L197" s="8">
        <f t="shared" si="91"/>
        <v>0</v>
      </c>
      <c r="M197" s="8">
        <f t="shared" si="92"/>
        <v>0</v>
      </c>
      <c r="N197" s="8">
        <f t="shared" si="92"/>
        <v>0</v>
      </c>
      <c r="O197" s="8">
        <f t="shared" si="93"/>
        <v>0</v>
      </c>
      <c r="P197" s="8">
        <f t="shared" si="93"/>
        <v>0</v>
      </c>
      <c r="Q197" s="3826"/>
      <c r="R197" s="8">
        <f t="shared" si="94"/>
        <v>0</v>
      </c>
      <c r="S197" s="8">
        <f t="shared" si="95"/>
        <v>0</v>
      </c>
      <c r="T197" s="8">
        <f t="shared" si="96"/>
        <v>0</v>
      </c>
      <c r="U197" s="8">
        <f t="shared" si="96"/>
        <v>0</v>
      </c>
      <c r="W197" s="8">
        <f>Fact7!P195</f>
        <v>-9.7563679529550242</v>
      </c>
    </row>
    <row r="198" spans="11:23">
      <c r="K198" s="8">
        <f t="shared" si="90"/>
        <v>0</v>
      </c>
      <c r="L198" s="8">
        <f t="shared" si="91"/>
        <v>0</v>
      </c>
      <c r="M198" s="8">
        <f t="shared" si="92"/>
        <v>0</v>
      </c>
      <c r="N198" s="8">
        <f t="shared" si="92"/>
        <v>0</v>
      </c>
      <c r="O198" s="8">
        <f t="shared" si="93"/>
        <v>0</v>
      </c>
      <c r="P198" s="8">
        <f t="shared" si="93"/>
        <v>0</v>
      </c>
      <c r="Q198" s="3827"/>
      <c r="R198" s="8">
        <f t="shared" si="94"/>
        <v>0</v>
      </c>
      <c r="S198" s="8">
        <f t="shared" si="95"/>
        <v>0</v>
      </c>
      <c r="T198" s="8">
        <f t="shared" si="96"/>
        <v>0</v>
      </c>
      <c r="U198" s="8">
        <f t="shared" si="96"/>
        <v>0</v>
      </c>
      <c r="W198" s="8">
        <f>Fact7!P196</f>
        <v>-3.9213434112312484E-2</v>
      </c>
    </row>
    <row r="199" spans="11:23">
      <c r="K199" s="8">
        <f t="shared" si="90"/>
        <v>0</v>
      </c>
      <c r="L199" s="8">
        <f t="shared" si="91"/>
        <v>0</v>
      </c>
      <c r="M199" s="8">
        <f t="shared" si="92"/>
        <v>0</v>
      </c>
      <c r="N199" s="8">
        <f t="shared" si="92"/>
        <v>0</v>
      </c>
      <c r="O199" s="8">
        <f t="shared" si="93"/>
        <v>0</v>
      </c>
      <c r="P199" s="8">
        <f t="shared" si="93"/>
        <v>0</v>
      </c>
      <c r="Q199" s="3828"/>
      <c r="R199" s="8">
        <f t="shared" si="94"/>
        <v>0</v>
      </c>
      <c r="S199" s="8">
        <f t="shared" si="95"/>
        <v>0</v>
      </c>
      <c r="T199" s="8">
        <f t="shared" si="96"/>
        <v>0</v>
      </c>
      <c r="U199" s="8">
        <f t="shared" si="96"/>
        <v>0</v>
      </c>
      <c r="W199" s="8">
        <f>Fact7!P197</f>
        <v>-8.7754544472348215</v>
      </c>
    </row>
    <row r="200" spans="11:23">
      <c r="K200" s="8">
        <f t="shared" si="90"/>
        <v>0</v>
      </c>
      <c r="L200" s="8">
        <f t="shared" si="91"/>
        <v>0</v>
      </c>
      <c r="M200" s="8">
        <f t="shared" si="92"/>
        <v>0</v>
      </c>
      <c r="N200" s="8">
        <f t="shared" si="92"/>
        <v>0</v>
      </c>
      <c r="O200" s="8">
        <f t="shared" si="93"/>
        <v>0</v>
      </c>
      <c r="P200" s="8">
        <f t="shared" si="93"/>
        <v>0</v>
      </c>
      <c r="Q200" s="3829"/>
      <c r="R200" s="8">
        <f t="shared" si="94"/>
        <v>0</v>
      </c>
      <c r="S200" s="8">
        <f t="shared" si="95"/>
        <v>0</v>
      </c>
      <c r="T200" s="8">
        <f t="shared" si="96"/>
        <v>0</v>
      </c>
      <c r="U200" s="8">
        <f t="shared" si="96"/>
        <v>0</v>
      </c>
      <c r="W200" s="8">
        <f>Fact7!P198</f>
        <v>-8.0654079652847628</v>
      </c>
    </row>
    <row r="201" spans="11:23">
      <c r="K201" s="8">
        <f t="shared" si="90"/>
        <v>0</v>
      </c>
      <c r="L201" s="8">
        <f t="shared" si="91"/>
        <v>0</v>
      </c>
      <c r="M201" s="8">
        <f t="shared" si="92"/>
        <v>0</v>
      </c>
      <c r="N201" s="8">
        <f t="shared" si="92"/>
        <v>0</v>
      </c>
      <c r="O201" s="8">
        <f t="shared" si="93"/>
        <v>0</v>
      </c>
      <c r="P201" s="8">
        <f t="shared" si="93"/>
        <v>0</v>
      </c>
      <c r="Q201" s="3830"/>
      <c r="R201" s="8">
        <f t="shared" si="94"/>
        <v>0</v>
      </c>
      <c r="S201" s="8">
        <f t="shared" si="95"/>
        <v>0</v>
      </c>
      <c r="T201" s="8">
        <f t="shared" si="96"/>
        <v>0</v>
      </c>
      <c r="U201" s="8">
        <f t="shared" si="96"/>
        <v>0</v>
      </c>
      <c r="W201" s="8">
        <f>Fact7!P199</f>
        <v>-2.450103953761591</v>
      </c>
    </row>
    <row r="202" spans="11:23">
      <c r="K202" s="8">
        <f t="shared" si="90"/>
        <v>0</v>
      </c>
      <c r="L202" s="8">
        <f t="shared" si="91"/>
        <v>0</v>
      </c>
      <c r="M202" s="8">
        <f t="shared" si="92"/>
        <v>0</v>
      </c>
      <c r="N202" s="8">
        <f t="shared" si="92"/>
        <v>0</v>
      </c>
      <c r="O202" s="8">
        <f t="shared" si="93"/>
        <v>0</v>
      </c>
      <c r="P202" s="8">
        <f t="shared" si="93"/>
        <v>0</v>
      </c>
      <c r="Q202" s="3831"/>
      <c r="R202" s="8">
        <f t="shared" si="94"/>
        <v>0</v>
      </c>
      <c r="S202" s="8">
        <f t="shared" si="95"/>
        <v>0</v>
      </c>
      <c r="T202" s="8">
        <f t="shared" si="96"/>
        <v>0</v>
      </c>
      <c r="U202" s="8">
        <f t="shared" si="96"/>
        <v>0</v>
      </c>
      <c r="W202" s="8">
        <f>Fact7!P200</f>
        <v>-9.9254584384810443</v>
      </c>
    </row>
    <row r="203" spans="11:23">
      <c r="K203" s="8"/>
      <c r="L203" s="8"/>
      <c r="M203" s="8"/>
      <c r="N203" s="8"/>
      <c r="O203" s="8"/>
      <c r="P203" s="8"/>
      <c r="R203" s="8"/>
      <c r="S203" s="8"/>
      <c r="T203" s="8"/>
      <c r="U203" s="8"/>
      <c r="W203" s="8"/>
    </row>
    <row r="204" spans="11:23">
      <c r="K204" s="3" t="s">
        <v>1261</v>
      </c>
      <c r="L204" s="8"/>
      <c r="M204" s="8">
        <f>AVERAGE(M192:M202)</f>
        <v>0</v>
      </c>
      <c r="N204" s="8">
        <f>AVERAGE(N192:N202)</f>
        <v>0</v>
      </c>
      <c r="O204" s="8">
        <f t="shared" ref="O204:P204" si="97">AVERAGE(O192:O202)</f>
        <v>0</v>
      </c>
      <c r="P204" s="8">
        <f t="shared" si="97"/>
        <v>0</v>
      </c>
      <c r="R204" s="3" t="s">
        <v>1261</v>
      </c>
      <c r="S204" s="8"/>
      <c r="T204" s="8">
        <f>AVERAGE(T192:T202)</f>
        <v>0</v>
      </c>
      <c r="U204" s="8">
        <f t="shared" ref="U204:W204" si="98">AVERAGE(U192:U202)</f>
        <v>0</v>
      </c>
      <c r="V204" s="8"/>
      <c r="W204" s="8">
        <f t="shared" si="98"/>
        <v>-6.4797278623805337</v>
      </c>
    </row>
    <row r="205" spans="11:23" ht="15" thickBot="1">
      <c r="K205" s="212" t="s">
        <v>1145</v>
      </c>
      <c r="L205" s="85"/>
      <c r="M205" s="85" t="e">
        <f>SUMPRODUCT(M192:M202,$I192:$I202)/SUM($I192:$I202)</f>
        <v>#DIV/0!</v>
      </c>
      <c r="N205" s="85" t="e">
        <f>SUMPRODUCT(N192:N202,$I192:$I202)/SUM($I192:$I202)</f>
        <v>#DIV/0!</v>
      </c>
      <c r="O205" s="85" t="e">
        <f t="shared" ref="O205" si="99">SUMPRODUCT(O192:O202,$I192:$I202)/SUM($I192:$I202)</f>
        <v>#DIV/0!</v>
      </c>
      <c r="P205" s="85" t="e">
        <f>SUMPRODUCT(P192:P202,$I192:$I202)/SUM($I192:$I202)</f>
        <v>#DIV/0!</v>
      </c>
      <c r="R205" s="212" t="s">
        <v>1145</v>
      </c>
      <c r="S205" s="85"/>
      <c r="T205" s="85" t="e">
        <f>SUMPRODUCT(T192:T202,$I192:$I202)/SUM($I192:$I202)</f>
        <v>#DIV/0!</v>
      </c>
      <c r="U205" s="85" t="e">
        <f t="shared" ref="U205:W205" si="100">SUMPRODUCT(U192:U202,$I192:$I202)/SUM($I192:$I202)</f>
        <v>#DIV/0!</v>
      </c>
      <c r="V205" s="85"/>
      <c r="W205" s="85" t="e">
        <f t="shared" si="100"/>
        <v>#DIV/0!</v>
      </c>
    </row>
    <row r="206" spans="11:23" ht="15" thickTop="1">
      <c r="K206" s="2648"/>
      <c r="L206" s="8"/>
      <c r="M206" s="13"/>
      <c r="N206" s="13"/>
      <c r="O206" s="13"/>
      <c r="P206" s="13"/>
      <c r="R206" s="2648"/>
      <c r="S206" s="8"/>
      <c r="T206" s="13"/>
      <c r="U206" s="13"/>
      <c r="W206" s="8"/>
    </row>
    <row r="207" spans="11:23">
      <c r="K207" s="3"/>
      <c r="L207" s="8"/>
      <c r="M207" s="8"/>
      <c r="N207" s="8"/>
      <c r="O207" s="8"/>
      <c r="P207" s="8"/>
      <c r="R207" s="3"/>
      <c r="S207" s="8"/>
      <c r="T207" s="8"/>
      <c r="U207" s="8"/>
      <c r="W207" s="8"/>
    </row>
    <row r="208" spans="11:23" ht="15" thickBot="1">
      <c r="K208" s="212"/>
      <c r="L208" s="85"/>
      <c r="M208" s="85"/>
      <c r="N208" s="85"/>
      <c r="O208" s="85"/>
      <c r="P208" s="85"/>
      <c r="Q208" s="3832"/>
      <c r="R208" s="212"/>
      <c r="S208" s="85"/>
      <c r="T208" s="85"/>
      <c r="U208" s="85"/>
      <c r="W208" s="85"/>
    </row>
    <row r="209" spans="11:23" ht="15" thickTop="1">
      <c r="L209" s="8"/>
      <c r="M209" s="8"/>
      <c r="N209" s="8"/>
      <c r="O209" s="8"/>
      <c r="P209" s="8"/>
      <c r="Q209" s="3833"/>
      <c r="S209" s="8"/>
      <c r="T209" s="8"/>
      <c r="U209" s="8"/>
      <c r="V209" s="8"/>
      <c r="W209" s="8"/>
    </row>
    <row r="210" spans="11:23">
      <c r="L210" s="8"/>
      <c r="M210" s="8"/>
      <c r="N210" s="8"/>
      <c r="O210" s="8"/>
      <c r="P210" s="8"/>
      <c r="S210" s="8"/>
      <c r="T210" s="8"/>
      <c r="U210" s="8"/>
      <c r="V210" s="8"/>
      <c r="W210" s="8"/>
    </row>
    <row r="211" spans="11:23">
      <c r="L211" s="8"/>
      <c r="M211" s="8"/>
      <c r="N211" s="8"/>
      <c r="O211" s="8"/>
      <c r="P211" s="8"/>
      <c r="S211" s="8"/>
      <c r="T211" s="8"/>
      <c r="U211" s="8"/>
      <c r="V211" s="8"/>
      <c r="W211" s="8"/>
    </row>
    <row r="212" spans="11:23">
      <c r="L212" s="8"/>
      <c r="M212" s="8"/>
      <c r="N212" s="8"/>
      <c r="O212" s="8"/>
      <c r="P212" s="8"/>
      <c r="S212" s="8"/>
      <c r="T212" s="8"/>
      <c r="U212" s="8"/>
      <c r="V212" s="8"/>
      <c r="W212" s="8"/>
    </row>
    <row r="213" spans="11:23" ht="15" thickBot="1">
      <c r="K213" s="972">
        <f>B212</f>
        <v>0</v>
      </c>
      <c r="L213" s="2649"/>
      <c r="M213" s="85"/>
      <c r="N213" s="85"/>
      <c r="O213" s="85"/>
      <c r="P213" s="85"/>
      <c r="R213" s="972">
        <f>E212</f>
        <v>0</v>
      </c>
      <c r="S213" s="2649"/>
      <c r="T213" s="85"/>
      <c r="U213" s="85"/>
      <c r="V213" s="85"/>
      <c r="W213" s="85"/>
    </row>
    <row r="214" spans="11:23" ht="15" thickTop="1">
      <c r="K214" s="213" t="s">
        <v>904</v>
      </c>
      <c r="L214" s="216" t="s">
        <v>938</v>
      </c>
      <c r="M214" s="2650" t="s">
        <v>1273</v>
      </c>
      <c r="N214" s="2650" t="s">
        <v>1136</v>
      </c>
      <c r="O214" s="2650"/>
      <c r="P214" s="2650"/>
      <c r="Q214" s="3834"/>
      <c r="R214" s="213" t="s">
        <v>904</v>
      </c>
      <c r="S214" s="216" t="s">
        <v>938</v>
      </c>
      <c r="T214" s="2650" t="s">
        <v>1273</v>
      </c>
      <c r="U214" s="2650" t="s">
        <v>1136</v>
      </c>
      <c r="W214" s="76" t="s">
        <v>901</v>
      </c>
    </row>
    <row r="215" spans="11:23">
      <c r="K215" s="8">
        <f t="shared" ref="K215:K230" si="101">A215</f>
        <v>0</v>
      </c>
      <c r="L215" s="8">
        <f t="shared" ref="L215:L230" si="102">H215</f>
        <v>0</v>
      </c>
      <c r="M215" s="8">
        <f t="shared" ref="M215:N230" si="103">B215</f>
        <v>0</v>
      </c>
      <c r="N215" s="8">
        <f t="shared" si="103"/>
        <v>0</v>
      </c>
      <c r="O215" s="8">
        <f t="shared" ref="O215:P230" si="104">F215</f>
        <v>0</v>
      </c>
      <c r="P215" s="8">
        <f t="shared" si="104"/>
        <v>0</v>
      </c>
      <c r="Q215" s="3835"/>
      <c r="R215" s="8">
        <f t="shared" ref="R215:R230" si="105">A215</f>
        <v>0</v>
      </c>
      <c r="S215" s="8">
        <f t="shared" ref="S215:S230" si="106">H215*1</f>
        <v>0</v>
      </c>
      <c r="T215" s="8">
        <f t="shared" ref="T215:U230" si="107">B215-F215</f>
        <v>0</v>
      </c>
      <c r="U215" s="8">
        <f t="shared" si="107"/>
        <v>0</v>
      </c>
      <c r="W215" s="8">
        <f>Fact7!P213</f>
        <v>-7.9115590580287147</v>
      </c>
    </row>
    <row r="216" spans="11:23">
      <c r="K216" s="8">
        <f t="shared" si="101"/>
        <v>0</v>
      </c>
      <c r="L216" s="8">
        <f t="shared" si="102"/>
        <v>0</v>
      </c>
      <c r="M216" s="8">
        <f t="shared" si="103"/>
        <v>0</v>
      </c>
      <c r="N216" s="8">
        <f t="shared" si="103"/>
        <v>0</v>
      </c>
      <c r="O216" s="8">
        <f t="shared" si="104"/>
        <v>0</v>
      </c>
      <c r="P216" s="8">
        <f t="shared" si="104"/>
        <v>0</v>
      </c>
      <c r="Q216" s="3836"/>
      <c r="R216" s="8">
        <f t="shared" si="105"/>
        <v>0</v>
      </c>
      <c r="S216" s="8">
        <f t="shared" si="106"/>
        <v>0</v>
      </c>
      <c r="T216" s="8">
        <f t="shared" si="107"/>
        <v>0</v>
      </c>
      <c r="U216" s="8">
        <f t="shared" si="107"/>
        <v>0</v>
      </c>
      <c r="W216" s="8">
        <f>Fact7!P214</f>
        <v>-16.059444782730054</v>
      </c>
    </row>
    <row r="217" spans="11:23">
      <c r="K217" s="8">
        <f t="shared" si="101"/>
        <v>0</v>
      </c>
      <c r="L217" s="8">
        <f t="shared" si="102"/>
        <v>0</v>
      </c>
      <c r="M217" s="8">
        <f t="shared" si="103"/>
        <v>0</v>
      </c>
      <c r="N217" s="8">
        <f t="shared" si="103"/>
        <v>0</v>
      </c>
      <c r="O217" s="8">
        <f t="shared" si="104"/>
        <v>0</v>
      </c>
      <c r="P217" s="8">
        <f t="shared" si="104"/>
        <v>0</v>
      </c>
      <c r="Q217" s="3837"/>
      <c r="R217" s="8">
        <f t="shared" si="105"/>
        <v>0</v>
      </c>
      <c r="S217" s="8">
        <f t="shared" si="106"/>
        <v>0</v>
      </c>
      <c r="T217" s="8">
        <f t="shared" si="107"/>
        <v>0</v>
      </c>
      <c r="U217" s="8">
        <f t="shared" si="107"/>
        <v>0</v>
      </c>
      <c r="W217" s="8">
        <f>Fact7!P215</f>
        <v>-9.3651380196128287</v>
      </c>
    </row>
    <row r="218" spans="11:23">
      <c r="K218" s="8">
        <f t="shared" si="101"/>
        <v>0</v>
      </c>
      <c r="L218" s="8">
        <f t="shared" si="102"/>
        <v>0</v>
      </c>
      <c r="M218" s="8">
        <f t="shared" si="103"/>
        <v>0</v>
      </c>
      <c r="N218" s="8">
        <f t="shared" si="103"/>
        <v>0</v>
      </c>
      <c r="O218" s="8">
        <f t="shared" si="104"/>
        <v>0</v>
      </c>
      <c r="P218" s="8">
        <f t="shared" si="104"/>
        <v>0</v>
      </c>
      <c r="Q218" s="3838"/>
      <c r="R218" s="8">
        <f t="shared" si="105"/>
        <v>0</v>
      </c>
      <c r="S218" s="8">
        <f t="shared" si="106"/>
        <v>0</v>
      </c>
      <c r="T218" s="8">
        <f t="shared" si="107"/>
        <v>0</v>
      </c>
      <c r="U218" s="8">
        <f t="shared" si="107"/>
        <v>0</v>
      </c>
      <c r="W218" s="8">
        <f>Fact7!P216</f>
        <v>-4.4350908451605875</v>
      </c>
    </row>
    <row r="219" spans="11:23">
      <c r="K219" s="8">
        <f t="shared" si="101"/>
        <v>0</v>
      </c>
      <c r="L219" s="8">
        <f t="shared" si="102"/>
        <v>0</v>
      </c>
      <c r="M219" s="8">
        <f t="shared" si="103"/>
        <v>0</v>
      </c>
      <c r="N219" s="8">
        <f t="shared" si="103"/>
        <v>0</v>
      </c>
      <c r="O219" s="8">
        <f t="shared" si="104"/>
        <v>0</v>
      </c>
      <c r="P219" s="8">
        <f t="shared" si="104"/>
        <v>0</v>
      </c>
      <c r="Q219" s="3839"/>
      <c r="R219" s="8">
        <f t="shared" si="105"/>
        <v>0</v>
      </c>
      <c r="S219" s="8">
        <f t="shared" si="106"/>
        <v>0</v>
      </c>
      <c r="T219" s="8">
        <f t="shared" si="107"/>
        <v>0</v>
      </c>
      <c r="U219" s="8">
        <f t="shared" si="107"/>
        <v>0</v>
      </c>
      <c r="W219" s="8">
        <f>Fact7!P217</f>
        <v>-19.991427253702312</v>
      </c>
    </row>
    <row r="220" spans="11:23">
      <c r="K220" s="8">
        <f t="shared" si="101"/>
        <v>0</v>
      </c>
      <c r="L220" s="8">
        <f t="shared" si="102"/>
        <v>0</v>
      </c>
      <c r="M220" s="8">
        <f t="shared" si="103"/>
        <v>0</v>
      </c>
      <c r="N220" s="8">
        <f t="shared" si="103"/>
        <v>0</v>
      </c>
      <c r="O220" s="8">
        <f t="shared" si="104"/>
        <v>0</v>
      </c>
      <c r="P220" s="8">
        <f t="shared" si="104"/>
        <v>0</v>
      </c>
      <c r="Q220" s="3840"/>
      <c r="R220" s="8">
        <f t="shared" si="105"/>
        <v>0</v>
      </c>
      <c r="S220" s="8">
        <f t="shared" si="106"/>
        <v>0</v>
      </c>
      <c r="T220" s="8">
        <f t="shared" si="107"/>
        <v>0</v>
      </c>
      <c r="U220" s="8">
        <f t="shared" si="107"/>
        <v>0</v>
      </c>
      <c r="W220" s="8">
        <f>Fact7!P218</f>
        <v>-5.0634059769761564</v>
      </c>
    </row>
    <row r="221" spans="11:23">
      <c r="K221" s="8">
        <f t="shared" si="101"/>
        <v>0</v>
      </c>
      <c r="L221" s="8">
        <f t="shared" si="102"/>
        <v>0</v>
      </c>
      <c r="M221" s="8">
        <f t="shared" si="103"/>
        <v>0</v>
      </c>
      <c r="N221" s="8">
        <f t="shared" si="103"/>
        <v>0</v>
      </c>
      <c r="O221" s="8">
        <f t="shared" si="104"/>
        <v>0</v>
      </c>
      <c r="P221" s="8">
        <f t="shared" si="104"/>
        <v>0</v>
      </c>
      <c r="Q221" s="3841"/>
      <c r="R221" s="8">
        <f t="shared" si="105"/>
        <v>0</v>
      </c>
      <c r="S221" s="8">
        <f t="shared" si="106"/>
        <v>0</v>
      </c>
      <c r="T221" s="8">
        <f t="shared" si="107"/>
        <v>0</v>
      </c>
      <c r="U221" s="8">
        <f t="shared" si="107"/>
        <v>0</v>
      </c>
      <c r="W221" s="8">
        <f>Fact7!P219</f>
        <v>-4.2577778796532328</v>
      </c>
    </row>
    <row r="222" spans="11:23">
      <c r="K222" s="8">
        <f t="shared" si="101"/>
        <v>0</v>
      </c>
      <c r="L222" s="8">
        <f t="shared" si="102"/>
        <v>0</v>
      </c>
      <c r="M222" s="8">
        <f t="shared" si="103"/>
        <v>0</v>
      </c>
      <c r="N222" s="8">
        <f t="shared" si="103"/>
        <v>0</v>
      </c>
      <c r="O222" s="8">
        <f t="shared" si="104"/>
        <v>0</v>
      </c>
      <c r="P222" s="8">
        <f t="shared" si="104"/>
        <v>0</v>
      </c>
      <c r="Q222" s="3842"/>
      <c r="R222" s="8">
        <f t="shared" si="105"/>
        <v>0</v>
      </c>
      <c r="S222" s="8">
        <f t="shared" si="106"/>
        <v>0</v>
      </c>
      <c r="T222" s="8">
        <f t="shared" si="107"/>
        <v>0</v>
      </c>
      <c r="U222" s="8">
        <f t="shared" si="107"/>
        <v>0</v>
      </c>
      <c r="W222" s="8">
        <f>Fact7!P220</f>
        <v>-32.357447077525222</v>
      </c>
    </row>
    <row r="223" spans="11:23">
      <c r="K223" s="8">
        <f t="shared" si="101"/>
        <v>0</v>
      </c>
      <c r="L223" s="8">
        <f t="shared" si="102"/>
        <v>0</v>
      </c>
      <c r="M223" s="8">
        <f t="shared" si="103"/>
        <v>0</v>
      </c>
      <c r="N223" s="8">
        <f t="shared" si="103"/>
        <v>0</v>
      </c>
      <c r="O223" s="8">
        <f t="shared" si="104"/>
        <v>0</v>
      </c>
      <c r="P223" s="8">
        <f t="shared" si="104"/>
        <v>0</v>
      </c>
      <c r="Q223" s="3843"/>
      <c r="R223" s="8">
        <f t="shared" si="105"/>
        <v>0</v>
      </c>
      <c r="S223" s="8">
        <f t="shared" si="106"/>
        <v>0</v>
      </c>
      <c r="T223" s="8">
        <f t="shared" si="107"/>
        <v>0</v>
      </c>
      <c r="U223" s="8">
        <f t="shared" si="107"/>
        <v>0</v>
      </c>
      <c r="W223" s="8">
        <f>Fact7!P221</f>
        <v>-12.158398445377614</v>
      </c>
    </row>
    <row r="224" spans="11:23">
      <c r="K224" s="8">
        <f t="shared" si="101"/>
        <v>0</v>
      </c>
      <c r="L224" s="8">
        <f t="shared" si="102"/>
        <v>0</v>
      </c>
      <c r="M224" s="8">
        <f t="shared" si="103"/>
        <v>0</v>
      </c>
      <c r="N224" s="8">
        <f t="shared" si="103"/>
        <v>0</v>
      </c>
      <c r="O224" s="8">
        <f t="shared" si="104"/>
        <v>0</v>
      </c>
      <c r="P224" s="8">
        <f t="shared" si="104"/>
        <v>0</v>
      </c>
      <c r="Q224" s="3844"/>
      <c r="R224" s="8">
        <f t="shared" si="105"/>
        <v>0</v>
      </c>
      <c r="S224" s="8">
        <f t="shared" si="106"/>
        <v>0</v>
      </c>
      <c r="T224" s="8">
        <f t="shared" si="107"/>
        <v>0</v>
      </c>
      <c r="U224" s="8">
        <f t="shared" si="107"/>
        <v>0</v>
      </c>
      <c r="W224" s="8">
        <f>Fact7!P222</f>
        <v>-10.81908793615132</v>
      </c>
    </row>
    <row r="225" spans="11:23">
      <c r="K225" s="8">
        <f t="shared" si="101"/>
        <v>0</v>
      </c>
      <c r="L225" s="8">
        <f t="shared" si="102"/>
        <v>0</v>
      </c>
      <c r="M225" s="8">
        <f t="shared" si="103"/>
        <v>0</v>
      </c>
      <c r="N225" s="8">
        <f t="shared" si="103"/>
        <v>0</v>
      </c>
      <c r="O225" s="8">
        <f t="shared" si="104"/>
        <v>0</v>
      </c>
      <c r="P225" s="8">
        <f t="shared" si="104"/>
        <v>0</v>
      </c>
      <c r="Q225" s="3845"/>
      <c r="R225" s="8">
        <f t="shared" si="105"/>
        <v>0</v>
      </c>
      <c r="S225" s="8">
        <f t="shared" si="106"/>
        <v>0</v>
      </c>
      <c r="T225" s="8">
        <f t="shared" si="107"/>
        <v>0</v>
      </c>
      <c r="U225" s="8">
        <f t="shared" si="107"/>
        <v>0</v>
      </c>
      <c r="W225" s="8">
        <f>Fact7!P223</f>
        <v>-9.3873085948668802</v>
      </c>
    </row>
    <row r="226" spans="11:23">
      <c r="K226" s="8">
        <f t="shared" si="101"/>
        <v>0</v>
      </c>
      <c r="L226" s="8">
        <f t="shared" si="102"/>
        <v>0</v>
      </c>
      <c r="M226" s="8">
        <f t="shared" si="103"/>
        <v>0</v>
      </c>
      <c r="N226" s="8">
        <f t="shared" si="103"/>
        <v>0</v>
      </c>
      <c r="O226" s="8">
        <f t="shared" si="104"/>
        <v>0</v>
      </c>
      <c r="P226" s="8">
        <f t="shared" si="104"/>
        <v>0</v>
      </c>
      <c r="Q226" s="3846"/>
      <c r="R226" s="8">
        <f t="shared" si="105"/>
        <v>0</v>
      </c>
      <c r="S226" s="8">
        <f t="shared" si="106"/>
        <v>0</v>
      </c>
      <c r="T226" s="8">
        <f t="shared" si="107"/>
        <v>0</v>
      </c>
      <c r="U226" s="8">
        <f t="shared" si="107"/>
        <v>0</v>
      </c>
      <c r="W226" s="8">
        <f>Fact7!P224</f>
        <v>-23.577453740518507</v>
      </c>
    </row>
    <row r="227" spans="11:23">
      <c r="K227" s="8">
        <f t="shared" si="101"/>
        <v>0</v>
      </c>
      <c r="L227" s="8">
        <f t="shared" si="102"/>
        <v>0</v>
      </c>
      <c r="M227" s="8">
        <f t="shared" si="103"/>
        <v>0</v>
      </c>
      <c r="N227" s="8">
        <f t="shared" si="103"/>
        <v>0</v>
      </c>
      <c r="O227" s="8">
        <f t="shared" si="104"/>
        <v>0</v>
      </c>
      <c r="P227" s="8">
        <f t="shared" si="104"/>
        <v>0</v>
      </c>
      <c r="Q227" s="3847"/>
      <c r="R227" s="8">
        <f t="shared" si="105"/>
        <v>0</v>
      </c>
      <c r="S227" s="8">
        <f t="shared" si="106"/>
        <v>0</v>
      </c>
      <c r="T227" s="8">
        <f t="shared" si="107"/>
        <v>0</v>
      </c>
      <c r="U227" s="8">
        <f t="shared" si="107"/>
        <v>0</v>
      </c>
      <c r="W227" s="8">
        <f>Fact7!P225</f>
        <v>-11.341188746573508</v>
      </c>
    </row>
    <row r="228" spans="11:23">
      <c r="K228" s="8">
        <f t="shared" si="101"/>
        <v>0</v>
      </c>
      <c r="L228" s="8">
        <f t="shared" si="102"/>
        <v>0</v>
      </c>
      <c r="M228" s="8">
        <f t="shared" si="103"/>
        <v>0</v>
      </c>
      <c r="N228" s="8">
        <f t="shared" si="103"/>
        <v>0</v>
      </c>
      <c r="O228" s="8">
        <f t="shared" si="104"/>
        <v>0</v>
      </c>
      <c r="P228" s="8">
        <f t="shared" si="104"/>
        <v>0</v>
      </c>
      <c r="Q228" s="3848"/>
      <c r="R228" s="8">
        <f t="shared" si="105"/>
        <v>0</v>
      </c>
      <c r="S228" s="8">
        <f t="shared" si="106"/>
        <v>0</v>
      </c>
      <c r="T228" s="8">
        <f t="shared" si="107"/>
        <v>0</v>
      </c>
      <c r="U228" s="8">
        <f t="shared" si="107"/>
        <v>0</v>
      </c>
      <c r="W228" s="8">
        <f>Fact7!P226</f>
        <v>-6.5799401000070787</v>
      </c>
    </row>
    <row r="229" spans="11:23">
      <c r="K229" s="8">
        <f t="shared" si="101"/>
        <v>0</v>
      </c>
      <c r="L229" s="8">
        <f t="shared" si="102"/>
        <v>0</v>
      </c>
      <c r="M229" s="8">
        <f t="shared" si="103"/>
        <v>0</v>
      </c>
      <c r="N229" s="8">
        <f t="shared" si="103"/>
        <v>0</v>
      </c>
      <c r="O229" s="8">
        <f t="shared" si="104"/>
        <v>0</v>
      </c>
      <c r="P229" s="8">
        <f t="shared" si="104"/>
        <v>0</v>
      </c>
      <c r="Q229" s="3849"/>
      <c r="R229" s="8">
        <f t="shared" si="105"/>
        <v>0</v>
      </c>
      <c r="S229" s="8">
        <f t="shared" si="106"/>
        <v>0</v>
      </c>
      <c r="T229" s="8">
        <f t="shared" si="107"/>
        <v>0</v>
      </c>
      <c r="U229" s="8">
        <f t="shared" si="107"/>
        <v>0</v>
      </c>
      <c r="W229" s="8">
        <f>Fact7!P227</f>
        <v>-3.9118446830835438</v>
      </c>
    </row>
    <row r="230" spans="11:23">
      <c r="K230" s="8">
        <f t="shared" si="101"/>
        <v>0</v>
      </c>
      <c r="L230" s="8">
        <f t="shared" si="102"/>
        <v>0</v>
      </c>
      <c r="M230" s="8">
        <f t="shared" si="103"/>
        <v>0</v>
      </c>
      <c r="N230" s="8">
        <f t="shared" si="103"/>
        <v>0</v>
      </c>
      <c r="O230" s="8">
        <f t="shared" si="104"/>
        <v>0</v>
      </c>
      <c r="P230" s="8">
        <f t="shared" si="104"/>
        <v>0</v>
      </c>
      <c r="Q230" s="3850"/>
      <c r="R230" s="8">
        <f t="shared" si="105"/>
        <v>0</v>
      </c>
      <c r="S230" s="8">
        <f t="shared" si="106"/>
        <v>0</v>
      </c>
      <c r="T230" s="8">
        <f t="shared" si="107"/>
        <v>0</v>
      </c>
      <c r="U230" s="8">
        <f t="shared" si="107"/>
        <v>0</v>
      </c>
      <c r="W230" s="8">
        <f>Fact7!P228</f>
        <v>7.4057903553637061E-2</v>
      </c>
    </row>
    <row r="231" spans="11:23">
      <c r="Q231" s="3851"/>
    </row>
    <row r="232" spans="11:23">
      <c r="K232" s="3" t="s">
        <v>1261</v>
      </c>
      <c r="L232" s="8"/>
      <c r="M232" s="8">
        <f>AVERAGE(M215:M230)</f>
        <v>0</v>
      </c>
      <c r="N232" s="8">
        <f>AVERAGE(N215:N230)</f>
        <v>0</v>
      </c>
      <c r="O232" s="8">
        <f t="shared" ref="O232:P232" si="108">AVERAGE(O215:O230)</f>
        <v>0</v>
      </c>
      <c r="P232" s="8">
        <f t="shared" si="108"/>
        <v>0</v>
      </c>
      <c r="Q232" s="3852"/>
      <c r="R232" s="3" t="s">
        <v>1261</v>
      </c>
      <c r="S232" s="8"/>
      <c r="T232" s="8">
        <f>AVERAGE(T215:T230)</f>
        <v>0</v>
      </c>
      <c r="U232" s="8">
        <f t="shared" ref="U232" si="109">AVERAGE(U215:U230)</f>
        <v>0</v>
      </c>
      <c r="V232" s="8"/>
      <c r="W232" s="8">
        <f>AVERAGE(W215:W230)</f>
        <v>-11.07140345227587</v>
      </c>
    </row>
    <row r="233" spans="11:23" ht="15" thickBot="1">
      <c r="K233" s="212" t="s">
        <v>1145</v>
      </c>
      <c r="L233" s="85"/>
      <c r="M233" s="85" t="e">
        <f>SUMPRODUCT(M215:M230,$I215:$I230)/SUM($I215:$I230)</f>
        <v>#DIV/0!</v>
      </c>
      <c r="N233" s="85" t="e">
        <f>SUMPRODUCT(N215:N230,$I215:$I230)/SUM($I215:$I230)</f>
        <v>#DIV/0!</v>
      </c>
      <c r="O233" s="85" t="e">
        <f t="shared" ref="O233:P233" si="110">SUMPRODUCT(O215:O230,$I215:$I230)/SUM($I215:$I230)</f>
        <v>#DIV/0!</v>
      </c>
      <c r="P233" s="85" t="e">
        <f t="shared" si="110"/>
        <v>#DIV/0!</v>
      </c>
      <c r="R233" s="212" t="s">
        <v>1145</v>
      </c>
      <c r="S233" s="85"/>
      <c r="T233" s="85" t="e">
        <f>SUMPRODUCT(T215:T230,$I215:$I230)/SUM($I215:$I230)</f>
        <v>#DIV/0!</v>
      </c>
      <c r="U233" s="85" t="e">
        <f t="shared" ref="U233" si="111">SUMPRODUCT(U215:U230,$I215:$I230)/SUM($I215:$I230)</f>
        <v>#DIV/0!</v>
      </c>
      <c r="V233" s="85"/>
      <c r="W233" s="85" t="e">
        <f>SUMPRODUCT(W215:W230,$I215:$I230)/SUM($I215:$I230)</f>
        <v>#DIV/0!</v>
      </c>
    </row>
    <row r="234" spans="11:23" ht="15" thickTop="1">
      <c r="L234" s="8"/>
      <c r="M234" s="8"/>
      <c r="N234" s="8"/>
      <c r="O234" s="8"/>
      <c r="P234" s="8"/>
      <c r="S234" s="8"/>
      <c r="T234" s="8"/>
      <c r="U234" s="8"/>
      <c r="V234" s="8"/>
      <c r="W234" s="8"/>
    </row>
    <row r="235" spans="11:23">
      <c r="L235" s="8"/>
      <c r="M235" s="8"/>
      <c r="N235" s="8"/>
      <c r="O235" s="8"/>
      <c r="P235" s="8"/>
      <c r="S235" s="8"/>
      <c r="T235" s="8"/>
      <c r="U235" s="8"/>
      <c r="V235" s="8"/>
      <c r="W235" s="8"/>
    </row>
    <row r="236" spans="11:23" ht="15" thickBot="1">
      <c r="K236" s="972">
        <f>B235</f>
        <v>0</v>
      </c>
      <c r="L236" s="2649"/>
      <c r="M236" s="85"/>
      <c r="N236" s="85"/>
      <c r="O236" s="85"/>
      <c r="P236" s="85"/>
      <c r="R236" s="972">
        <f>E235</f>
        <v>0</v>
      </c>
      <c r="S236" s="2649"/>
      <c r="T236" s="85"/>
      <c r="U236" s="85"/>
      <c r="V236" s="85"/>
      <c r="W236" s="85"/>
    </row>
    <row r="237" spans="11:23" ht="15" thickTop="1">
      <c r="K237" s="213" t="s">
        <v>904</v>
      </c>
      <c r="L237" s="216" t="s">
        <v>938</v>
      </c>
      <c r="M237" s="2650" t="s">
        <v>1273</v>
      </c>
      <c r="N237" s="2650" t="s">
        <v>1136</v>
      </c>
      <c r="O237" s="2650"/>
      <c r="P237" s="2650"/>
      <c r="Q237" s="3853"/>
      <c r="R237" s="213" t="s">
        <v>904</v>
      </c>
      <c r="S237" s="216" t="s">
        <v>938</v>
      </c>
      <c r="T237" s="2650" t="s">
        <v>1273</v>
      </c>
      <c r="U237" s="2650" t="s">
        <v>1136</v>
      </c>
      <c r="W237" s="76" t="s">
        <v>901</v>
      </c>
    </row>
    <row r="238" spans="11:23">
      <c r="K238" s="8">
        <f t="shared" ref="K238:K252" si="112">A238</f>
        <v>0</v>
      </c>
      <c r="L238" s="8">
        <f t="shared" ref="L238:L252" si="113">H238</f>
        <v>0</v>
      </c>
      <c r="M238" s="8">
        <f t="shared" ref="M238:N252" si="114">B238</f>
        <v>0</v>
      </c>
      <c r="N238" s="8">
        <f t="shared" si="114"/>
        <v>0</v>
      </c>
      <c r="O238" s="8">
        <f t="shared" ref="O238:P252" si="115">F238</f>
        <v>0</v>
      </c>
      <c r="P238" s="8">
        <f t="shared" si="115"/>
        <v>0</v>
      </c>
      <c r="Q238" s="3854"/>
      <c r="R238" s="8">
        <f t="shared" ref="R238:R252" si="116">A238</f>
        <v>0</v>
      </c>
      <c r="S238" s="8">
        <f t="shared" ref="S238:S252" si="117">H238*1</f>
        <v>0</v>
      </c>
      <c r="T238" s="8">
        <f t="shared" ref="T238:U252" si="118">B238-F238</f>
        <v>0</v>
      </c>
      <c r="U238" s="8">
        <f t="shared" si="118"/>
        <v>0</v>
      </c>
      <c r="W238" s="8">
        <f>Fact7!P236</f>
        <v>-9.7435655723059398</v>
      </c>
    </row>
    <row r="239" spans="11:23">
      <c r="K239" s="8">
        <f t="shared" si="112"/>
        <v>0</v>
      </c>
      <c r="L239" s="8">
        <f t="shared" si="113"/>
        <v>0</v>
      </c>
      <c r="M239" s="8">
        <f t="shared" si="114"/>
        <v>0</v>
      </c>
      <c r="N239" s="8">
        <f t="shared" si="114"/>
        <v>0</v>
      </c>
      <c r="O239" s="8">
        <f t="shared" si="115"/>
        <v>0</v>
      </c>
      <c r="P239" s="8">
        <f t="shared" si="115"/>
        <v>0</v>
      </c>
      <c r="Q239" s="3855"/>
      <c r="R239" s="8">
        <f t="shared" si="116"/>
        <v>0</v>
      </c>
      <c r="S239" s="8">
        <f t="shared" si="117"/>
        <v>0</v>
      </c>
      <c r="T239" s="8">
        <f t="shared" si="118"/>
        <v>0</v>
      </c>
      <c r="U239" s="8">
        <f t="shared" si="118"/>
        <v>0</v>
      </c>
      <c r="W239" s="8">
        <f>Fact7!P237</f>
        <v>-7.1711766525373406</v>
      </c>
    </row>
    <row r="240" spans="11:23">
      <c r="K240" s="8">
        <f t="shared" si="112"/>
        <v>0</v>
      </c>
      <c r="L240" s="8">
        <f t="shared" si="113"/>
        <v>0</v>
      </c>
      <c r="M240" s="8">
        <f t="shared" si="114"/>
        <v>0</v>
      </c>
      <c r="N240" s="8">
        <f t="shared" si="114"/>
        <v>0</v>
      </c>
      <c r="O240" s="8">
        <f t="shared" si="115"/>
        <v>0</v>
      </c>
      <c r="P240" s="8">
        <f t="shared" si="115"/>
        <v>0</v>
      </c>
      <c r="Q240" s="3856"/>
      <c r="R240" s="8">
        <f t="shared" si="116"/>
        <v>0</v>
      </c>
      <c r="S240" s="8">
        <f t="shared" si="117"/>
        <v>0</v>
      </c>
      <c r="T240" s="8">
        <f t="shared" si="118"/>
        <v>0</v>
      </c>
      <c r="U240" s="8">
        <f t="shared" si="118"/>
        <v>0</v>
      </c>
      <c r="W240" s="8">
        <f>Fact7!P238</f>
        <v>-0.70814704149860574</v>
      </c>
    </row>
    <row r="241" spans="11:23">
      <c r="K241" s="8">
        <f t="shared" si="112"/>
        <v>0</v>
      </c>
      <c r="L241" s="8">
        <f t="shared" si="113"/>
        <v>0</v>
      </c>
      <c r="M241" s="8">
        <f t="shared" si="114"/>
        <v>0</v>
      </c>
      <c r="N241" s="8">
        <f t="shared" si="114"/>
        <v>0</v>
      </c>
      <c r="O241" s="8">
        <f t="shared" si="115"/>
        <v>0</v>
      </c>
      <c r="P241" s="8">
        <f t="shared" si="115"/>
        <v>0</v>
      </c>
      <c r="Q241" s="3857"/>
      <c r="R241" s="8">
        <f t="shared" si="116"/>
        <v>0</v>
      </c>
      <c r="S241" s="8">
        <f t="shared" si="117"/>
        <v>0</v>
      </c>
      <c r="T241" s="8">
        <f t="shared" si="118"/>
        <v>0</v>
      </c>
      <c r="U241" s="8">
        <f t="shared" si="118"/>
        <v>0</v>
      </c>
      <c r="W241" s="8">
        <f>Fact7!P239</f>
        <v>-7.3031913864326299</v>
      </c>
    </row>
    <row r="242" spans="11:23">
      <c r="K242" s="8">
        <f t="shared" si="112"/>
        <v>0</v>
      </c>
      <c r="L242" s="8">
        <f t="shared" si="113"/>
        <v>0</v>
      </c>
      <c r="M242" s="8">
        <f t="shared" si="114"/>
        <v>0</v>
      </c>
      <c r="N242" s="8">
        <f t="shared" si="114"/>
        <v>0</v>
      </c>
      <c r="O242" s="8">
        <f t="shared" si="115"/>
        <v>0</v>
      </c>
      <c r="P242" s="8">
        <f t="shared" si="115"/>
        <v>0</v>
      </c>
      <c r="Q242" s="3858"/>
      <c r="R242" s="8">
        <f t="shared" si="116"/>
        <v>0</v>
      </c>
      <c r="S242" s="8">
        <f t="shared" si="117"/>
        <v>0</v>
      </c>
      <c r="T242" s="8">
        <f t="shared" si="118"/>
        <v>0</v>
      </c>
      <c r="U242" s="8">
        <f t="shared" si="118"/>
        <v>0</v>
      </c>
      <c r="W242" s="8">
        <f>Fact7!P240</f>
        <v>-0.96557012938403375</v>
      </c>
    </row>
    <row r="243" spans="11:23">
      <c r="K243" s="8">
        <f t="shared" si="112"/>
        <v>0</v>
      </c>
      <c r="L243" s="8">
        <f t="shared" si="113"/>
        <v>0</v>
      </c>
      <c r="M243" s="8">
        <f t="shared" si="114"/>
        <v>0</v>
      </c>
      <c r="N243" s="8">
        <f t="shared" si="114"/>
        <v>0</v>
      </c>
      <c r="O243" s="8">
        <f t="shared" si="115"/>
        <v>0</v>
      </c>
      <c r="P243" s="8">
        <f t="shared" si="115"/>
        <v>0</v>
      </c>
      <c r="Q243" s="3859"/>
      <c r="R243" s="8">
        <f t="shared" si="116"/>
        <v>0</v>
      </c>
      <c r="S243" s="8">
        <f t="shared" si="117"/>
        <v>0</v>
      </c>
      <c r="T243" s="8">
        <f t="shared" si="118"/>
        <v>0</v>
      </c>
      <c r="U243" s="8">
        <f t="shared" si="118"/>
        <v>0</v>
      </c>
      <c r="W243" s="8">
        <f>Fact7!P241</f>
        <v>-6.7380452205979253</v>
      </c>
    </row>
    <row r="244" spans="11:23">
      <c r="K244" s="8">
        <f t="shared" si="112"/>
        <v>0</v>
      </c>
      <c r="L244" s="8">
        <f t="shared" si="113"/>
        <v>0</v>
      </c>
      <c r="M244" s="8">
        <f t="shared" si="114"/>
        <v>0</v>
      </c>
      <c r="N244" s="8">
        <f t="shared" si="114"/>
        <v>0</v>
      </c>
      <c r="O244" s="8">
        <f t="shared" si="115"/>
        <v>0</v>
      </c>
      <c r="P244" s="8">
        <f t="shared" si="115"/>
        <v>0</v>
      </c>
      <c r="Q244" s="3860"/>
      <c r="R244" s="8">
        <f t="shared" si="116"/>
        <v>0</v>
      </c>
      <c r="S244" s="8">
        <f t="shared" si="117"/>
        <v>0</v>
      </c>
      <c r="T244" s="8">
        <f t="shared" si="118"/>
        <v>0</v>
      </c>
      <c r="U244" s="8">
        <f t="shared" si="118"/>
        <v>0</v>
      </c>
      <c r="W244" s="8">
        <f>Fact7!P242</f>
        <v>-13.996731159563382</v>
      </c>
    </row>
    <row r="245" spans="11:23">
      <c r="K245" s="8">
        <f t="shared" si="112"/>
        <v>0</v>
      </c>
      <c r="L245" s="8">
        <f t="shared" si="113"/>
        <v>0</v>
      </c>
      <c r="M245" s="8">
        <f t="shared" si="114"/>
        <v>0</v>
      </c>
      <c r="N245" s="8">
        <f t="shared" si="114"/>
        <v>0</v>
      </c>
      <c r="O245" s="8">
        <f t="shared" si="115"/>
        <v>0</v>
      </c>
      <c r="P245" s="8">
        <f t="shared" si="115"/>
        <v>0</v>
      </c>
      <c r="Q245" s="3861"/>
      <c r="R245" s="8">
        <f t="shared" si="116"/>
        <v>0</v>
      </c>
      <c r="S245" s="8">
        <f t="shared" si="117"/>
        <v>0</v>
      </c>
      <c r="T245" s="8">
        <f t="shared" si="118"/>
        <v>0</v>
      </c>
      <c r="U245" s="8">
        <f t="shared" si="118"/>
        <v>0</v>
      </c>
      <c r="W245" s="8">
        <f>Fact7!P243</f>
        <v>-12.39434051797997</v>
      </c>
    </row>
    <row r="246" spans="11:23">
      <c r="K246" s="8">
        <f t="shared" si="112"/>
        <v>0</v>
      </c>
      <c r="L246" s="8">
        <f t="shared" si="113"/>
        <v>0</v>
      </c>
      <c r="M246" s="8">
        <f t="shared" si="114"/>
        <v>0</v>
      </c>
      <c r="N246" s="8">
        <f t="shared" si="114"/>
        <v>0</v>
      </c>
      <c r="O246" s="8">
        <f t="shared" si="115"/>
        <v>0</v>
      </c>
      <c r="P246" s="8">
        <f t="shared" si="115"/>
        <v>0</v>
      </c>
      <c r="Q246" s="3862"/>
      <c r="R246" s="8">
        <f t="shared" si="116"/>
        <v>0</v>
      </c>
      <c r="S246" s="8">
        <f t="shared" si="117"/>
        <v>0</v>
      </c>
      <c r="T246" s="8">
        <f t="shared" si="118"/>
        <v>0</v>
      </c>
      <c r="U246" s="8">
        <f t="shared" si="118"/>
        <v>0</v>
      </c>
      <c r="W246" s="8">
        <f>Fact7!P244</f>
        <v>-18.142362766789006</v>
      </c>
    </row>
    <row r="247" spans="11:23">
      <c r="K247" s="8">
        <f t="shared" si="112"/>
        <v>0</v>
      </c>
      <c r="L247" s="8">
        <f t="shared" si="113"/>
        <v>0</v>
      </c>
      <c r="M247" s="8">
        <f t="shared" si="114"/>
        <v>0</v>
      </c>
      <c r="N247" s="8">
        <f t="shared" si="114"/>
        <v>0</v>
      </c>
      <c r="O247" s="8">
        <f t="shared" si="115"/>
        <v>0</v>
      </c>
      <c r="P247" s="8">
        <f t="shared" si="115"/>
        <v>0</v>
      </c>
      <c r="Q247" s="3863"/>
      <c r="R247" s="8">
        <f t="shared" si="116"/>
        <v>0</v>
      </c>
      <c r="S247" s="8">
        <f t="shared" si="117"/>
        <v>0</v>
      </c>
      <c r="T247" s="8">
        <f t="shared" si="118"/>
        <v>0</v>
      </c>
      <c r="U247" s="8">
        <f t="shared" si="118"/>
        <v>0</v>
      </c>
      <c r="W247" s="8">
        <f>Fact7!P245</f>
        <v>-16.210566150266686</v>
      </c>
    </row>
    <row r="248" spans="11:23">
      <c r="K248" s="8">
        <f t="shared" si="112"/>
        <v>0</v>
      </c>
      <c r="L248" s="8">
        <f t="shared" si="113"/>
        <v>0</v>
      </c>
      <c r="M248" s="8">
        <f t="shared" si="114"/>
        <v>0</v>
      </c>
      <c r="N248" s="8">
        <f t="shared" si="114"/>
        <v>0</v>
      </c>
      <c r="O248" s="8">
        <f t="shared" si="115"/>
        <v>0</v>
      </c>
      <c r="P248" s="8">
        <f t="shared" si="115"/>
        <v>0</v>
      </c>
      <c r="Q248" s="3864"/>
      <c r="R248" s="8">
        <f t="shared" si="116"/>
        <v>0</v>
      </c>
      <c r="S248" s="8">
        <f t="shared" si="117"/>
        <v>0</v>
      </c>
      <c r="T248" s="8">
        <f t="shared" si="118"/>
        <v>0</v>
      </c>
      <c r="U248" s="8">
        <f t="shared" si="118"/>
        <v>0</v>
      </c>
      <c r="W248" s="8">
        <f>Fact7!P246</f>
        <v>-30.185506361098128</v>
      </c>
    </row>
    <row r="249" spans="11:23">
      <c r="K249" s="8">
        <f t="shared" si="112"/>
        <v>0</v>
      </c>
      <c r="L249" s="8">
        <f t="shared" si="113"/>
        <v>0</v>
      </c>
      <c r="M249" s="8">
        <f t="shared" si="114"/>
        <v>0</v>
      </c>
      <c r="N249" s="8">
        <f t="shared" si="114"/>
        <v>0</v>
      </c>
      <c r="O249" s="8">
        <f t="shared" si="115"/>
        <v>0</v>
      </c>
      <c r="P249" s="8">
        <f t="shared" si="115"/>
        <v>0</v>
      </c>
      <c r="Q249" s="3865"/>
      <c r="R249" s="8">
        <f t="shared" si="116"/>
        <v>0</v>
      </c>
      <c r="S249" s="8">
        <f t="shared" si="117"/>
        <v>0</v>
      </c>
      <c r="T249" s="8">
        <f t="shared" si="118"/>
        <v>0</v>
      </c>
      <c r="U249" s="8">
        <f t="shared" si="118"/>
        <v>0</v>
      </c>
      <c r="W249" s="8">
        <f>Fact7!P247</f>
        <v>-8.0226843122427312</v>
      </c>
    </row>
    <row r="250" spans="11:23">
      <c r="K250" s="8">
        <f t="shared" si="112"/>
        <v>0</v>
      </c>
      <c r="L250" s="8">
        <f t="shared" si="113"/>
        <v>0</v>
      </c>
      <c r="M250" s="8">
        <f t="shared" si="114"/>
        <v>0</v>
      </c>
      <c r="N250" s="8">
        <f t="shared" si="114"/>
        <v>0</v>
      </c>
      <c r="O250" s="8">
        <f t="shared" si="115"/>
        <v>0</v>
      </c>
      <c r="P250" s="8">
        <f t="shared" si="115"/>
        <v>0</v>
      </c>
      <c r="Q250" s="3866"/>
      <c r="R250" s="8">
        <f t="shared" si="116"/>
        <v>0</v>
      </c>
      <c r="S250" s="8">
        <f t="shared" si="117"/>
        <v>0</v>
      </c>
      <c r="T250" s="8">
        <f t="shared" si="118"/>
        <v>0</v>
      </c>
      <c r="U250" s="8">
        <f t="shared" si="118"/>
        <v>0</v>
      </c>
      <c r="W250" s="8">
        <f>Fact7!P248</f>
        <v>-7.0744526702174113</v>
      </c>
    </row>
    <row r="251" spans="11:23">
      <c r="K251" s="8">
        <f t="shared" si="112"/>
        <v>0</v>
      </c>
      <c r="L251" s="8">
        <f t="shared" si="113"/>
        <v>0</v>
      </c>
      <c r="M251" s="8">
        <f t="shared" si="114"/>
        <v>0</v>
      </c>
      <c r="N251" s="8">
        <f t="shared" si="114"/>
        <v>0</v>
      </c>
      <c r="O251" s="8">
        <f t="shared" si="115"/>
        <v>0</v>
      </c>
      <c r="P251" s="8">
        <f t="shared" si="115"/>
        <v>0</v>
      </c>
      <c r="Q251" s="3867"/>
      <c r="R251" s="8">
        <f t="shared" si="116"/>
        <v>0</v>
      </c>
      <c r="S251" s="8">
        <f t="shared" si="117"/>
        <v>0</v>
      </c>
      <c r="T251" s="8">
        <f t="shared" si="118"/>
        <v>0</v>
      </c>
      <c r="U251" s="8">
        <f t="shared" si="118"/>
        <v>0</v>
      </c>
      <c r="W251" s="8">
        <f>Fact7!P249</f>
        <v>-6.9286276707027952</v>
      </c>
    </row>
    <row r="252" spans="11:23">
      <c r="K252" s="8">
        <f t="shared" si="112"/>
        <v>0</v>
      </c>
      <c r="L252" s="8">
        <f t="shared" si="113"/>
        <v>0</v>
      </c>
      <c r="M252" s="8">
        <f t="shared" si="114"/>
        <v>0</v>
      </c>
      <c r="N252" s="8">
        <f t="shared" si="114"/>
        <v>0</v>
      </c>
      <c r="O252" s="8">
        <f t="shared" si="115"/>
        <v>0</v>
      </c>
      <c r="P252" s="8">
        <f t="shared" si="115"/>
        <v>0</v>
      </c>
      <c r="Q252" s="3868"/>
      <c r="R252" s="8">
        <f t="shared" si="116"/>
        <v>0</v>
      </c>
      <c r="S252" s="8">
        <f t="shared" si="117"/>
        <v>0</v>
      </c>
      <c r="T252" s="8">
        <f t="shared" si="118"/>
        <v>0</v>
      </c>
      <c r="U252" s="8">
        <f t="shared" si="118"/>
        <v>0</v>
      </c>
      <c r="W252" s="8">
        <f>Fact7!P250</f>
        <v>0.45054265048584341</v>
      </c>
    </row>
    <row r="253" spans="11:23">
      <c r="K253" s="3" t="s">
        <v>1261</v>
      </c>
      <c r="L253" s="8"/>
      <c r="M253" s="8">
        <f>AVERAGE(M238:M252)</f>
        <v>0</v>
      </c>
      <c r="N253" s="8">
        <f>AVERAGE(N238:N252)</f>
        <v>0</v>
      </c>
      <c r="O253" s="8">
        <f t="shared" ref="O253:P253" si="119">AVERAGE(O238:O252)</f>
        <v>0</v>
      </c>
      <c r="P253" s="8">
        <f t="shared" si="119"/>
        <v>0</v>
      </c>
      <c r="Q253" s="3869"/>
      <c r="R253" s="3" t="s">
        <v>1261</v>
      </c>
      <c r="S253" s="8"/>
      <c r="T253" s="8">
        <f>AVERAGE(T238:T252)</f>
        <v>0</v>
      </c>
      <c r="U253" s="8">
        <f t="shared" ref="U253" si="120">AVERAGE(U238:U252)</f>
        <v>0</v>
      </c>
      <c r="V253" s="8"/>
      <c r="W253" s="8">
        <f>AVERAGE(W238:W252)</f>
        <v>-9.6756283307420485</v>
      </c>
    </row>
    <row r="254" spans="11:23" ht="15" thickBot="1">
      <c r="K254" s="212" t="s">
        <v>1145</v>
      </c>
      <c r="L254" s="85"/>
      <c r="M254" s="85" t="e">
        <f>SUMPRODUCT(M238:M252,$I238:$I252)/SUM($I238:$I252)</f>
        <v>#DIV/0!</v>
      </c>
      <c r="N254" s="85" t="e">
        <f>SUMPRODUCT(N238:N252,$I238:$I252)/SUM($I238:$I252)</f>
        <v>#DIV/0!</v>
      </c>
      <c r="O254" s="85" t="e">
        <f t="shared" ref="O254" si="121">SUMPRODUCT(O238:O252,$I238:$I252)/SUM($I238:$I252)</f>
        <v>#DIV/0!</v>
      </c>
      <c r="P254" s="85" t="e">
        <f>SUMPRODUCT(P238:P252,$I238:$I252)/SUM($I238:$I252)</f>
        <v>#DIV/0!</v>
      </c>
      <c r="R254" s="212" t="s">
        <v>1145</v>
      </c>
      <c r="S254" s="85"/>
      <c r="T254" s="85" t="e">
        <f>SUMPRODUCT(T238:T252,$I238:$I252)/SUM($I238:$I252)</f>
        <v>#DIV/0!</v>
      </c>
      <c r="U254" s="85" t="e">
        <f t="shared" ref="U254" si="122">SUMPRODUCT(U238:U252,$I238:$I252)/SUM($I238:$I252)</f>
        <v>#DIV/0!</v>
      </c>
      <c r="V254" s="85"/>
      <c r="W254" s="85" t="e">
        <f>SUMPRODUCT(W238:W252,$I238:$I252)/SUM($I238:$I252)</f>
        <v>#DIV/0!</v>
      </c>
    </row>
    <row r="255" spans="11:23" ht="15.5" thickTop="1" thickBot="1">
      <c r="K255" s="212"/>
      <c r="L255" s="85"/>
      <c r="M255" s="85"/>
      <c r="N255" s="85"/>
      <c r="O255" s="85"/>
      <c r="P255" s="85"/>
      <c r="R255" s="212"/>
      <c r="S255" s="85"/>
      <c r="T255" s="85"/>
      <c r="U255" s="85"/>
      <c r="V255" s="85"/>
      <c r="W255" s="85"/>
    </row>
    <row r="256" spans="11:23" ht="15" thickTop="1">
      <c r="L256" s="8"/>
      <c r="M256" s="8"/>
      <c r="N256" s="8"/>
      <c r="O256" s="8"/>
      <c r="P256" s="8"/>
      <c r="S256" s="8"/>
      <c r="T256" s="8"/>
      <c r="U256" s="8"/>
      <c r="V256" s="8"/>
      <c r="W256" s="8"/>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BB23D-446C-46E9-B3F8-009F90A6CD46}">
  <sheetPr>
    <tabColor rgb="FF002060"/>
  </sheetPr>
  <dimension ref="A1:U234"/>
  <sheetViews>
    <sheetView zoomScale="50" zoomScaleNormal="50" workbookViewId="0">
      <selection activeCell="N72" sqref="N72"/>
    </sheetView>
  </sheetViews>
  <sheetFormatPr defaultRowHeight="14.5"/>
  <cols>
    <col min="2" max="2" width="10.7265625" style="26" customWidth="1"/>
    <col min="3" max="3" width="11" style="26" customWidth="1"/>
    <col min="4" max="4" width="12.81640625" style="26" customWidth="1"/>
    <col min="9" max="9" width="11.7265625" customWidth="1"/>
    <col min="10" max="10" width="11.90625" customWidth="1"/>
    <col min="11" max="12" width="12.1796875" customWidth="1"/>
    <col min="17" max="17" width="14.90625" customWidth="1"/>
  </cols>
  <sheetData>
    <row r="1" spans="1:11">
      <c r="A1" s="973"/>
      <c r="B1" s="974" t="s">
        <v>1186</v>
      </c>
      <c r="H1" s="568"/>
      <c r="I1" s="569" t="s">
        <v>1186</v>
      </c>
      <c r="J1" s="1009"/>
      <c r="K1" s="1010" t="s">
        <v>1186</v>
      </c>
    </row>
    <row r="2" spans="1:11">
      <c r="A2" s="975" t="s">
        <v>1125</v>
      </c>
      <c r="B2" s="976"/>
      <c r="H2" s="570" t="s">
        <v>1125</v>
      </c>
      <c r="I2" s="571"/>
      <c r="J2" s="1011" t="s">
        <v>1125</v>
      </c>
      <c r="K2" s="1012"/>
    </row>
    <row r="3" spans="1:11">
      <c r="A3" s="977" t="s">
        <v>1191</v>
      </c>
      <c r="B3" s="978">
        <v>2022</v>
      </c>
      <c r="H3" s="572" t="s">
        <v>1191</v>
      </c>
      <c r="I3" s="573">
        <v>2022</v>
      </c>
      <c r="J3" s="1013" t="s">
        <v>1191</v>
      </c>
      <c r="K3" s="1014">
        <v>2022</v>
      </c>
    </row>
    <row r="4" spans="1:11">
      <c r="A4" s="979" t="s">
        <v>1192</v>
      </c>
      <c r="B4" s="980">
        <v>2019</v>
      </c>
      <c r="H4" s="574" t="s">
        <v>1192</v>
      </c>
      <c r="I4" s="575">
        <v>2019</v>
      </c>
      <c r="J4" s="1015" t="s">
        <v>1192</v>
      </c>
      <c r="K4" s="1016">
        <v>2019</v>
      </c>
    </row>
    <row r="5" spans="1:11">
      <c r="A5" s="981" t="s">
        <v>1193</v>
      </c>
      <c r="B5" s="982">
        <v>2017</v>
      </c>
      <c r="H5" s="576" t="s">
        <v>1193</v>
      </c>
      <c r="I5" s="577">
        <v>2017</v>
      </c>
      <c r="J5" s="1017" t="s">
        <v>1193</v>
      </c>
      <c r="K5" s="1018">
        <v>2017</v>
      </c>
    </row>
    <row r="6" spans="1:11">
      <c r="A6" s="983" t="s">
        <v>1194</v>
      </c>
      <c r="B6" s="984">
        <v>2021</v>
      </c>
      <c r="H6" s="578" t="s">
        <v>1194</v>
      </c>
      <c r="I6" s="579">
        <v>2021</v>
      </c>
      <c r="J6" s="1019" t="s">
        <v>1194</v>
      </c>
      <c r="K6" s="1020">
        <v>2021</v>
      </c>
    </row>
    <row r="7" spans="1:11">
      <c r="A7" s="985" t="s">
        <v>1195</v>
      </c>
      <c r="B7" s="986">
        <v>2023</v>
      </c>
      <c r="H7" s="580" t="s">
        <v>1195</v>
      </c>
      <c r="I7" s="581">
        <v>2023</v>
      </c>
      <c r="J7" s="1021" t="s">
        <v>1195</v>
      </c>
      <c r="K7" s="1022">
        <v>2023</v>
      </c>
    </row>
    <row r="8" spans="1:11">
      <c r="A8" s="987" t="s">
        <v>1196</v>
      </c>
      <c r="B8" s="988">
        <v>2022</v>
      </c>
      <c r="H8" s="582" t="s">
        <v>1196</v>
      </c>
      <c r="I8" s="583">
        <v>2022</v>
      </c>
      <c r="J8" s="1023" t="s">
        <v>1196</v>
      </c>
      <c r="K8" s="1024">
        <v>2022</v>
      </c>
    </row>
    <row r="9" spans="1:11">
      <c r="A9" s="989" t="s">
        <v>1197</v>
      </c>
      <c r="B9" s="990">
        <v>2017</v>
      </c>
      <c r="H9" s="584" t="s">
        <v>1197</v>
      </c>
      <c r="I9" s="585">
        <v>2017</v>
      </c>
      <c r="J9" s="1025" t="s">
        <v>1197</v>
      </c>
      <c r="K9" s="1026">
        <v>2017</v>
      </c>
    </row>
    <row r="10" spans="1:11">
      <c r="A10" s="991" t="s">
        <v>1204</v>
      </c>
      <c r="B10" s="992">
        <v>2022</v>
      </c>
      <c r="H10" s="586" t="s">
        <v>1204</v>
      </c>
      <c r="I10" s="587">
        <v>2022</v>
      </c>
      <c r="J10" s="1027" t="s">
        <v>1204</v>
      </c>
      <c r="K10" s="1028">
        <v>2022</v>
      </c>
    </row>
    <row r="11" spans="1:11">
      <c r="A11" s="993" t="s">
        <v>1199</v>
      </c>
      <c r="B11" s="994">
        <v>2023</v>
      </c>
      <c r="H11" s="588" t="s">
        <v>1199</v>
      </c>
      <c r="I11" s="589">
        <v>2023</v>
      </c>
      <c r="J11" s="1029" t="s">
        <v>1199</v>
      </c>
      <c r="K11" s="1030">
        <v>2023</v>
      </c>
    </row>
    <row r="12" spans="1:11">
      <c r="A12" s="995" t="s">
        <v>1205</v>
      </c>
      <c r="B12" s="996">
        <v>2022</v>
      </c>
      <c r="H12" s="590" t="s">
        <v>1205</v>
      </c>
      <c r="I12" s="591">
        <v>2022</v>
      </c>
      <c r="J12" s="1031" t="s">
        <v>1205</v>
      </c>
      <c r="K12" s="1032">
        <v>2022</v>
      </c>
    </row>
    <row r="13" spans="1:11">
      <c r="A13" s="997" t="s">
        <v>1200</v>
      </c>
      <c r="B13" s="998">
        <v>2017</v>
      </c>
      <c r="H13" s="592" t="s">
        <v>1200</v>
      </c>
      <c r="I13" s="593">
        <v>2017</v>
      </c>
      <c r="J13" s="1033" t="s">
        <v>1200</v>
      </c>
      <c r="K13" s="1034">
        <v>2017</v>
      </c>
    </row>
    <row r="14" spans="1:11">
      <c r="A14" s="999" t="s">
        <v>1201</v>
      </c>
      <c r="B14" s="1000">
        <v>2022</v>
      </c>
      <c r="H14" s="594" t="s">
        <v>1201</v>
      </c>
      <c r="I14" s="595">
        <v>2022</v>
      </c>
      <c r="J14" s="1035" t="s">
        <v>1201</v>
      </c>
      <c r="K14" s="1036">
        <v>2022</v>
      </c>
    </row>
    <row r="15" spans="1:11">
      <c r="A15" s="1001" t="s">
        <v>1202</v>
      </c>
      <c r="B15" s="1002">
        <v>2022</v>
      </c>
      <c r="H15" s="596" t="s">
        <v>1202</v>
      </c>
      <c r="I15" s="597">
        <v>2022</v>
      </c>
      <c r="J15" s="1037" t="s">
        <v>1202</v>
      </c>
      <c r="K15" s="1038">
        <v>2022</v>
      </c>
    </row>
    <row r="16" spans="1:11">
      <c r="A16" s="1003" t="s">
        <v>1206</v>
      </c>
      <c r="B16" s="1004">
        <v>2023</v>
      </c>
      <c r="H16" s="598" t="s">
        <v>1206</v>
      </c>
      <c r="I16" s="599">
        <v>2023</v>
      </c>
      <c r="J16" s="1039" t="s">
        <v>1206</v>
      </c>
      <c r="K16" s="1040">
        <v>2023</v>
      </c>
    </row>
    <row r="17" spans="1:21">
      <c r="A17" s="1005" t="s">
        <v>1207</v>
      </c>
      <c r="B17" s="1006">
        <v>2019</v>
      </c>
      <c r="H17" s="600" t="s">
        <v>1207</v>
      </c>
      <c r="I17" s="601">
        <v>2019</v>
      </c>
      <c r="J17" s="1041" t="s">
        <v>1207</v>
      </c>
      <c r="K17" s="1042">
        <v>2019</v>
      </c>
    </row>
    <row r="18" spans="1:21">
      <c r="A18" s="1007" t="s">
        <v>1203</v>
      </c>
      <c r="B18" s="1008">
        <v>2021</v>
      </c>
      <c r="H18" s="602" t="s">
        <v>1203</v>
      </c>
      <c r="I18" s="603">
        <v>2021</v>
      </c>
      <c r="J18" s="1043" t="s">
        <v>1203</v>
      </c>
      <c r="K18" s="1044">
        <v>2021</v>
      </c>
    </row>
    <row r="22" spans="1:21">
      <c r="B22" s="565"/>
      <c r="C22" s="565"/>
      <c r="D22" s="565"/>
    </row>
    <row r="23" spans="1:21">
      <c r="B23" s="565"/>
      <c r="C23" s="565"/>
      <c r="D23" s="565"/>
      <c r="I23" s="115"/>
      <c r="J23" s="115"/>
    </row>
    <row r="24" spans="1:21">
      <c r="A24" s="1045"/>
      <c r="B24" s="2634" t="s">
        <v>1215</v>
      </c>
      <c r="C24" s="2635" t="s">
        <v>1215</v>
      </c>
      <c r="D24" s="2635" t="s">
        <v>1215</v>
      </c>
      <c r="E24" s="1046" t="s">
        <v>1186</v>
      </c>
      <c r="H24" s="604"/>
      <c r="I24" s="971" t="s">
        <v>1215</v>
      </c>
      <c r="J24" s="1135" t="s">
        <v>1215</v>
      </c>
      <c r="K24" s="1136" t="s">
        <v>1215</v>
      </c>
      <c r="L24" s="1137" t="s">
        <v>1215</v>
      </c>
      <c r="M24" s="1138" t="s">
        <v>1186</v>
      </c>
    </row>
    <row r="25" spans="1:21">
      <c r="A25" s="1047"/>
      <c r="B25" s="1048" t="s">
        <v>1187</v>
      </c>
      <c r="C25" s="1048" t="s">
        <v>1187</v>
      </c>
      <c r="D25" s="1048" t="s">
        <v>1187</v>
      </c>
      <c r="H25" s="605"/>
      <c r="I25" s="788" t="s">
        <v>1187</v>
      </c>
      <c r="J25" s="1139" t="s">
        <v>1187</v>
      </c>
      <c r="K25" s="1140" t="s">
        <v>1187</v>
      </c>
      <c r="L25" s="1140" t="s">
        <v>1187</v>
      </c>
    </row>
    <row r="26" spans="1:21">
      <c r="A26" s="1049"/>
      <c r="B26" s="1050" t="s">
        <v>1045</v>
      </c>
      <c r="C26" s="1050" t="s">
        <v>1045</v>
      </c>
      <c r="D26" s="1050" t="s">
        <v>1045</v>
      </c>
      <c r="H26" s="606"/>
      <c r="I26" s="789" t="s">
        <v>1003</v>
      </c>
      <c r="J26" s="1141" t="s">
        <v>1003</v>
      </c>
      <c r="K26" s="1142" t="s">
        <v>1003</v>
      </c>
      <c r="L26" s="1142" t="s">
        <v>1003</v>
      </c>
      <c r="M26" s="566" t="s">
        <v>1210</v>
      </c>
    </row>
    <row r="27" spans="1:21" ht="15" thickBot="1">
      <c r="A27" s="1051"/>
      <c r="B27" s="1052" t="s">
        <v>1187</v>
      </c>
      <c r="C27" s="1053" t="s">
        <v>1188</v>
      </c>
      <c r="D27" s="1054" t="s">
        <v>1189</v>
      </c>
      <c r="H27" s="607"/>
      <c r="I27" s="790" t="s">
        <v>1225</v>
      </c>
      <c r="J27" s="1143" t="s">
        <v>1187</v>
      </c>
      <c r="K27" s="1144" t="s">
        <v>1225</v>
      </c>
      <c r="L27" s="1145" t="s">
        <v>1187</v>
      </c>
      <c r="M27" s="566" t="s">
        <v>1224</v>
      </c>
      <c r="P27" s="972" t="str">
        <f>B24</f>
        <v>El hogar posee refrigerador o heladera</v>
      </c>
      <c r="Q27" s="219"/>
      <c r="R27" s="21"/>
      <c r="S27" s="21"/>
      <c r="T27" s="21"/>
      <c r="U27" s="21"/>
    </row>
    <row r="28" spans="1:21" ht="15" thickTop="1">
      <c r="A28" s="1055" t="s">
        <v>1125</v>
      </c>
      <c r="B28" s="1056"/>
      <c r="C28" s="1057"/>
      <c r="D28" s="1058"/>
      <c r="E28" s="1059"/>
      <c r="H28" s="608" t="s">
        <v>1125</v>
      </c>
      <c r="I28" s="791"/>
      <c r="J28" s="1146" t="s">
        <v>1125</v>
      </c>
      <c r="K28" s="1147"/>
      <c r="L28" s="1148"/>
      <c r="M28" s="1149"/>
      <c r="P28" s="213" t="s">
        <v>904</v>
      </c>
      <c r="Q28" s="216" t="s">
        <v>938</v>
      </c>
      <c r="R28" s="214" t="s">
        <v>1141</v>
      </c>
      <c r="S28" s="214" t="s">
        <v>1142</v>
      </c>
      <c r="T28" s="214" t="s">
        <v>1152</v>
      </c>
      <c r="U28" s="214" t="s">
        <v>1102</v>
      </c>
    </row>
    <row r="29" spans="1:21">
      <c r="A29" s="1060" t="s">
        <v>1191</v>
      </c>
      <c r="B29" s="1061">
        <v>30.858042213911201</v>
      </c>
      <c r="C29" s="1062">
        <v>42.884801196731821</v>
      </c>
      <c r="D29" s="1063">
        <v>71.89428660504899</v>
      </c>
      <c r="E29" s="1064">
        <v>2022</v>
      </c>
      <c r="H29" s="609" t="s">
        <v>1191</v>
      </c>
      <c r="I29" s="792">
        <v>71.89428660504899</v>
      </c>
      <c r="J29" s="1150" t="s">
        <v>1191</v>
      </c>
      <c r="K29" s="1151">
        <v>71.89428660504899</v>
      </c>
      <c r="L29" s="1152">
        <v>38.398853062922285</v>
      </c>
      <c r="M29" s="1153">
        <v>2022</v>
      </c>
      <c r="P29" t="str">
        <f>A29</f>
        <v xml:space="preserve">  BOL</v>
      </c>
      <c r="Q29" s="277">
        <f>K29</f>
        <v>71.89428660504899</v>
      </c>
      <c r="R29" s="115">
        <f>B29</f>
        <v>30.858042213911201</v>
      </c>
      <c r="S29" s="115">
        <f>C29</f>
        <v>42.884801196731821</v>
      </c>
      <c r="T29" s="115" t="str">
        <f>J29</f>
        <v xml:space="preserve">  BOL</v>
      </c>
      <c r="U29" s="115">
        <f>D29</f>
        <v>71.89428660504899</v>
      </c>
    </row>
    <row r="30" spans="1:21">
      <c r="A30" s="1065" t="s">
        <v>1192</v>
      </c>
      <c r="B30" s="1066">
        <v>93.410463047536069</v>
      </c>
      <c r="C30" s="1067">
        <v>97.864726441930145</v>
      </c>
      <c r="D30" s="1068">
        <v>98.897593565686208</v>
      </c>
      <c r="E30" s="1069">
        <v>2019</v>
      </c>
      <c r="H30" s="610" t="s">
        <v>1192</v>
      </c>
      <c r="I30" s="793">
        <v>98.897593565686208</v>
      </c>
      <c r="J30" s="1154" t="s">
        <v>1192</v>
      </c>
      <c r="K30" s="1155">
        <v>98.897593565686208</v>
      </c>
      <c r="L30" s="1156">
        <v>96.090691108507656</v>
      </c>
      <c r="M30" s="1157">
        <v>2019</v>
      </c>
      <c r="P30" t="str">
        <f t="shared" ref="P30:P43" si="0">A30</f>
        <v xml:space="preserve">  BRA</v>
      </c>
      <c r="Q30" s="277">
        <f t="shared" ref="Q30:Q43" si="1">K30</f>
        <v>98.897593565686208</v>
      </c>
      <c r="R30" s="115">
        <f t="shared" ref="R30:R43" si="2">B30</f>
        <v>93.410463047536069</v>
      </c>
      <c r="S30" s="115">
        <f t="shared" ref="S30:S43" si="3">C30</f>
        <v>97.864726441930145</v>
      </c>
      <c r="T30" s="115" t="str">
        <f t="shared" ref="T30:T43" si="4">J30</f>
        <v xml:space="preserve">  BRA</v>
      </c>
      <c r="U30" s="115">
        <f t="shared" ref="U30:U43" si="5">D30</f>
        <v>98.897593565686208</v>
      </c>
    </row>
    <row r="31" spans="1:21">
      <c r="A31" s="1070" t="s">
        <v>1193</v>
      </c>
      <c r="B31" s="1071">
        <v>87.625625079201058</v>
      </c>
      <c r="C31" s="1072">
        <v>92.030470560753088</v>
      </c>
      <c r="D31" s="1073">
        <v>96.149758799130666</v>
      </c>
      <c r="E31" s="1074">
        <v>2013</v>
      </c>
      <c r="H31" s="611" t="s">
        <v>1193</v>
      </c>
      <c r="I31" s="794">
        <v>96.149758799130666</v>
      </c>
      <c r="J31" s="1158" t="s">
        <v>1193</v>
      </c>
      <c r="K31" s="1159">
        <v>96.149758799130666</v>
      </c>
      <c r="L31" s="1160">
        <v>90.913025039164268</v>
      </c>
      <c r="M31" s="1161">
        <v>2013</v>
      </c>
      <c r="P31" t="str">
        <f t="shared" si="0"/>
        <v xml:space="preserve">  CHL</v>
      </c>
      <c r="Q31" s="277">
        <f t="shared" si="1"/>
        <v>96.149758799130666</v>
      </c>
      <c r="R31" s="115">
        <f t="shared" si="2"/>
        <v>87.625625079201058</v>
      </c>
      <c r="S31" s="115">
        <f t="shared" si="3"/>
        <v>92.030470560753088</v>
      </c>
      <c r="T31" s="115" t="str">
        <f t="shared" si="4"/>
        <v xml:space="preserve">  CHL</v>
      </c>
      <c r="U31" s="115">
        <f t="shared" si="5"/>
        <v>96.149758799130666</v>
      </c>
    </row>
    <row r="32" spans="1:21">
      <c r="A32" s="1075" t="s">
        <v>1194</v>
      </c>
      <c r="B32" s="1076">
        <v>65.833504585071211</v>
      </c>
      <c r="C32" s="1077">
        <v>80.140758405531557</v>
      </c>
      <c r="D32" s="1078">
        <v>89.486705996858504</v>
      </c>
      <c r="E32" s="1079">
        <v>2021</v>
      </c>
      <c r="H32" s="612" t="s">
        <v>1194</v>
      </c>
      <c r="I32" s="795">
        <v>89.486705996858504</v>
      </c>
      <c r="J32" s="1162" t="s">
        <v>1194</v>
      </c>
      <c r="K32" s="1163">
        <v>89.486705996858504</v>
      </c>
      <c r="L32" s="1164">
        <v>73.710394329673079</v>
      </c>
      <c r="M32" s="1165">
        <v>2021</v>
      </c>
      <c r="P32" t="str">
        <f t="shared" si="0"/>
        <v xml:space="preserve">  COL</v>
      </c>
      <c r="Q32" s="277">
        <f t="shared" si="1"/>
        <v>89.486705996858504</v>
      </c>
      <c r="R32" s="115">
        <f t="shared" si="2"/>
        <v>65.833504585071211</v>
      </c>
      <c r="S32" s="115">
        <f t="shared" si="3"/>
        <v>80.140758405531557</v>
      </c>
      <c r="T32" s="115" t="str">
        <f t="shared" si="4"/>
        <v xml:space="preserve">  COL</v>
      </c>
      <c r="U32" s="115">
        <f t="shared" si="5"/>
        <v>89.486705996858504</v>
      </c>
    </row>
    <row r="33" spans="1:21">
      <c r="A33" s="1080" t="s">
        <v>1195</v>
      </c>
      <c r="B33" s="1081">
        <v>86.981782903956017</v>
      </c>
      <c r="C33" s="1082">
        <v>93.726115407495541</v>
      </c>
      <c r="D33" s="1083">
        <v>96.149699187864627</v>
      </c>
      <c r="E33" s="1084">
        <v>2023</v>
      </c>
      <c r="H33" s="613" t="s">
        <v>1195</v>
      </c>
      <c r="I33" s="796">
        <v>96.149699187864627</v>
      </c>
      <c r="J33" s="1166" t="s">
        <v>1195</v>
      </c>
      <c r="K33" s="1167">
        <v>96.149699187864627</v>
      </c>
      <c r="L33" s="1168">
        <v>91.660476402713812</v>
      </c>
      <c r="M33" s="1169">
        <v>2023</v>
      </c>
      <c r="P33" t="str">
        <f t="shared" si="0"/>
        <v xml:space="preserve">  CRI</v>
      </c>
      <c r="Q33" s="277">
        <f t="shared" si="1"/>
        <v>96.149699187864627</v>
      </c>
      <c r="R33" s="115">
        <f t="shared" si="2"/>
        <v>86.981782903956017</v>
      </c>
      <c r="S33" s="115">
        <f t="shared" si="3"/>
        <v>93.726115407495541</v>
      </c>
      <c r="T33" s="115" t="str">
        <f t="shared" si="4"/>
        <v xml:space="preserve">  CRI</v>
      </c>
      <c r="U33" s="115">
        <f t="shared" si="5"/>
        <v>96.149699187864627</v>
      </c>
    </row>
    <row r="34" spans="1:21">
      <c r="A34" s="1085" t="s">
        <v>1196</v>
      </c>
      <c r="B34" s="1086">
        <v>82.29473702285668</v>
      </c>
      <c r="C34" s="1087">
        <v>90.370256111557097</v>
      </c>
      <c r="D34" s="1088">
        <v>90.760027917669191</v>
      </c>
      <c r="E34" s="1089">
        <v>2022</v>
      </c>
      <c r="H34" s="614" t="s">
        <v>1196</v>
      </c>
      <c r="I34" s="797">
        <v>90.760027917669191</v>
      </c>
      <c r="J34" s="1170" t="s">
        <v>1196</v>
      </c>
      <c r="K34" s="1171">
        <v>90.760027917669191</v>
      </c>
      <c r="L34" s="1172">
        <v>87.900655056095601</v>
      </c>
      <c r="M34" s="1173">
        <v>2022</v>
      </c>
      <c r="P34" t="str">
        <f t="shared" si="0"/>
        <v xml:space="preserve">  DOM</v>
      </c>
      <c r="Q34" s="277">
        <f t="shared" si="1"/>
        <v>90.760027917669191</v>
      </c>
      <c r="R34" s="115">
        <f t="shared" si="2"/>
        <v>82.29473702285668</v>
      </c>
      <c r="S34" s="115">
        <f t="shared" si="3"/>
        <v>90.370256111557097</v>
      </c>
      <c r="T34" s="115" t="str">
        <f t="shared" si="4"/>
        <v xml:space="preserve">  DOM</v>
      </c>
      <c r="U34" s="115">
        <f t="shared" si="5"/>
        <v>90.760027917669191</v>
      </c>
    </row>
    <row r="35" spans="1:21">
      <c r="A35" s="1090" t="s">
        <v>1197</v>
      </c>
      <c r="B35" s="1091">
        <v>57.602066753801637</v>
      </c>
      <c r="C35" s="1092">
        <v>75.317732295297958</v>
      </c>
      <c r="D35" s="1093">
        <v>88.26759591772128</v>
      </c>
      <c r="E35" s="1094">
        <v>2017</v>
      </c>
      <c r="H35" s="615" t="s">
        <v>1197</v>
      </c>
      <c r="I35" s="798">
        <v>88.26759591772128</v>
      </c>
      <c r="J35" s="1174" t="s">
        <v>1197</v>
      </c>
      <c r="K35" s="1175">
        <v>88.26759591772128</v>
      </c>
      <c r="L35" s="1176">
        <v>69.011470009914689</v>
      </c>
      <c r="M35" s="1177">
        <v>2017</v>
      </c>
      <c r="P35" t="str">
        <f t="shared" si="0"/>
        <v xml:space="preserve">  ECU</v>
      </c>
      <c r="Q35" s="277">
        <f t="shared" si="1"/>
        <v>88.26759591772128</v>
      </c>
      <c r="R35" s="115">
        <f t="shared" si="2"/>
        <v>57.602066753801637</v>
      </c>
      <c r="S35" s="115">
        <f t="shared" si="3"/>
        <v>75.317732295297958</v>
      </c>
      <c r="T35" s="115" t="str">
        <f t="shared" si="4"/>
        <v xml:space="preserve">  ECU</v>
      </c>
      <c r="U35" s="115">
        <f t="shared" si="5"/>
        <v>88.26759591772128</v>
      </c>
    </row>
    <row r="36" spans="1:21">
      <c r="A36" s="1095" t="s">
        <v>1204</v>
      </c>
      <c r="B36" s="1096">
        <v>7.5304072487392428</v>
      </c>
      <c r="C36" s="1097">
        <v>22.539345133664103</v>
      </c>
      <c r="D36" s="1098">
        <v>58.03112435270905</v>
      </c>
      <c r="E36" s="1099">
        <v>2006</v>
      </c>
      <c r="H36" s="616" t="s">
        <v>1204</v>
      </c>
      <c r="I36" s="799">
        <v>58.03112435270905</v>
      </c>
      <c r="J36" s="1178" t="s">
        <v>1204</v>
      </c>
      <c r="K36" s="1179">
        <v>58.03112435270905</v>
      </c>
      <c r="L36" s="1180">
        <v>14.379431350977386</v>
      </c>
      <c r="M36" s="1181">
        <v>2006</v>
      </c>
      <c r="P36" t="str">
        <f t="shared" si="0"/>
        <v xml:space="preserve">  GTM</v>
      </c>
      <c r="Q36" s="277">
        <f t="shared" si="1"/>
        <v>58.03112435270905</v>
      </c>
      <c r="R36" s="115">
        <f t="shared" si="2"/>
        <v>7.5304072487392428</v>
      </c>
      <c r="S36" s="115">
        <f t="shared" si="3"/>
        <v>22.539345133664103</v>
      </c>
      <c r="T36" s="115" t="str">
        <f t="shared" si="4"/>
        <v xml:space="preserve">  GTM</v>
      </c>
      <c r="U36" s="115">
        <f t="shared" si="5"/>
        <v>58.03112435270905</v>
      </c>
    </row>
    <row r="37" spans="1:21">
      <c r="A37" s="1100" t="s">
        <v>1199</v>
      </c>
      <c r="B37" s="1101">
        <v>56.451705355836637</v>
      </c>
      <c r="C37" s="1102">
        <v>72.833447609536165</v>
      </c>
      <c r="D37" s="1103">
        <v>87.024235513409238</v>
      </c>
      <c r="E37" s="1104">
        <v>2023</v>
      </c>
      <c r="H37" s="617" t="s">
        <v>1199</v>
      </c>
      <c r="I37" s="800">
        <v>87.024235513409238</v>
      </c>
      <c r="J37" s="1182" t="s">
        <v>1199</v>
      </c>
      <c r="K37" s="1183">
        <v>87.024235513409238</v>
      </c>
      <c r="L37" s="1184">
        <v>63.551194679116385</v>
      </c>
      <c r="M37" s="1185">
        <v>2023</v>
      </c>
      <c r="P37" t="str">
        <f t="shared" si="0"/>
        <v xml:space="preserve">  HND</v>
      </c>
      <c r="Q37" s="277">
        <f t="shared" si="1"/>
        <v>87.024235513409238</v>
      </c>
      <c r="R37" s="115">
        <f t="shared" si="2"/>
        <v>56.451705355836637</v>
      </c>
      <c r="S37" s="115">
        <f t="shared" si="3"/>
        <v>72.833447609536165</v>
      </c>
      <c r="T37" s="115" t="str">
        <f t="shared" si="4"/>
        <v xml:space="preserve">  HND</v>
      </c>
      <c r="U37" s="115">
        <f t="shared" si="5"/>
        <v>87.024235513409238</v>
      </c>
    </row>
    <row r="38" spans="1:21">
      <c r="A38" s="1105" t="s">
        <v>1205</v>
      </c>
      <c r="B38" s="1106">
        <v>68.323243856761124</v>
      </c>
      <c r="C38" s="1107">
        <v>84.128520078544369</v>
      </c>
      <c r="D38" s="1108">
        <v>93.304595340699649</v>
      </c>
      <c r="E38" s="1109">
        <v>2022</v>
      </c>
      <c r="H38" s="618" t="s">
        <v>1205</v>
      </c>
      <c r="I38" s="801">
        <v>93.304595340699649</v>
      </c>
      <c r="J38" s="1186" t="s">
        <v>1205</v>
      </c>
      <c r="K38" s="1187">
        <v>93.304595340699649</v>
      </c>
      <c r="L38" s="1188">
        <v>79.065354137579902</v>
      </c>
      <c r="M38" s="1189">
        <v>2022</v>
      </c>
      <c r="P38" t="str">
        <f t="shared" si="0"/>
        <v xml:space="preserve">  MEX</v>
      </c>
      <c r="Q38" s="277">
        <f t="shared" si="1"/>
        <v>93.304595340699649</v>
      </c>
      <c r="R38" s="115">
        <f t="shared" si="2"/>
        <v>68.323243856761124</v>
      </c>
      <c r="S38" s="115">
        <f t="shared" si="3"/>
        <v>84.128520078544369</v>
      </c>
      <c r="T38" s="115" t="str">
        <f t="shared" si="4"/>
        <v xml:space="preserve">  MEX</v>
      </c>
      <c r="U38" s="115">
        <f t="shared" si="5"/>
        <v>93.304595340699649</v>
      </c>
    </row>
    <row r="39" spans="1:21">
      <c r="A39" s="1110" t="s">
        <v>1201</v>
      </c>
      <c r="B39" s="1111">
        <v>23.345637686009709</v>
      </c>
      <c r="C39" s="1112">
        <v>37.7676955481028</v>
      </c>
      <c r="D39" s="1113">
        <v>62.374930844316822</v>
      </c>
      <c r="E39" s="1114">
        <v>2022</v>
      </c>
      <c r="H39" s="619" t="s">
        <v>1201</v>
      </c>
      <c r="I39" s="802">
        <v>62.374930844316822</v>
      </c>
      <c r="J39" s="1190" t="s">
        <v>1201</v>
      </c>
      <c r="K39" s="1191">
        <v>62.374930844316822</v>
      </c>
      <c r="L39" s="1192">
        <v>33.184784356092592</v>
      </c>
      <c r="M39" s="1193">
        <v>2022</v>
      </c>
      <c r="P39" t="str">
        <f t="shared" si="0"/>
        <v xml:space="preserve">  PER</v>
      </c>
      <c r="Q39" s="277">
        <f t="shared" si="1"/>
        <v>62.374930844316822</v>
      </c>
      <c r="R39" s="115">
        <f t="shared" si="2"/>
        <v>23.345637686009709</v>
      </c>
      <c r="S39" s="115">
        <f t="shared" si="3"/>
        <v>37.7676955481028</v>
      </c>
      <c r="T39" s="115" t="str">
        <f t="shared" si="4"/>
        <v xml:space="preserve">  PER</v>
      </c>
      <c r="U39" s="115">
        <f t="shared" si="5"/>
        <v>62.374930844316822</v>
      </c>
    </row>
    <row r="40" spans="1:21">
      <c r="A40" s="1115" t="s">
        <v>1202</v>
      </c>
      <c r="B40" s="1116">
        <v>81.90752915656843</v>
      </c>
      <c r="C40" s="1117">
        <v>89.151762946571353</v>
      </c>
      <c r="D40" s="1118">
        <v>95.783217505949665</v>
      </c>
      <c r="E40" s="1119">
        <v>2022</v>
      </c>
      <c r="H40" s="620" t="s">
        <v>1202</v>
      </c>
      <c r="I40" s="803">
        <v>95.783217505949665</v>
      </c>
      <c r="J40" s="1194" t="s">
        <v>1202</v>
      </c>
      <c r="K40" s="1195">
        <v>95.783217505949665</v>
      </c>
      <c r="L40" s="1196">
        <v>86.309817723380789</v>
      </c>
      <c r="M40" s="1197">
        <v>2022</v>
      </c>
      <c r="P40" t="str">
        <f t="shared" si="0"/>
        <v xml:space="preserve">  PRY</v>
      </c>
      <c r="Q40" s="277">
        <f t="shared" si="1"/>
        <v>95.783217505949665</v>
      </c>
      <c r="R40" s="115">
        <f t="shared" si="2"/>
        <v>81.90752915656843</v>
      </c>
      <c r="S40" s="115">
        <f t="shared" si="3"/>
        <v>89.151762946571353</v>
      </c>
      <c r="T40" s="115" t="str">
        <f t="shared" si="4"/>
        <v xml:space="preserve">  PRY</v>
      </c>
      <c r="U40" s="115">
        <f t="shared" si="5"/>
        <v>95.783217505949665</v>
      </c>
    </row>
    <row r="41" spans="1:21">
      <c r="A41" s="1120" t="s">
        <v>1206</v>
      </c>
      <c r="B41" s="1121">
        <v>73.830005613306156</v>
      </c>
      <c r="C41" s="1122">
        <v>75.471163153113423</v>
      </c>
      <c r="D41" s="1123">
        <v>84.318244281366688</v>
      </c>
      <c r="E41" s="1124">
        <v>2023</v>
      </c>
      <c r="H41" s="621" t="s">
        <v>1206</v>
      </c>
      <c r="I41" s="804">
        <v>84.318244281366688</v>
      </c>
      <c r="J41" s="1198" t="s">
        <v>1206</v>
      </c>
      <c r="K41" s="1199">
        <v>84.318244281366688</v>
      </c>
      <c r="L41" s="1200">
        <v>74.778254253704688</v>
      </c>
      <c r="M41" s="1201">
        <v>2023</v>
      </c>
      <c r="P41" t="str">
        <f t="shared" si="0"/>
        <v xml:space="preserve">  SLV</v>
      </c>
      <c r="Q41" s="277">
        <f t="shared" si="1"/>
        <v>84.318244281366688</v>
      </c>
      <c r="R41" s="115">
        <f t="shared" si="2"/>
        <v>73.830005613306156</v>
      </c>
      <c r="S41" s="115">
        <f t="shared" si="3"/>
        <v>75.471163153113423</v>
      </c>
      <c r="T41" s="115" t="str">
        <f t="shared" si="4"/>
        <v xml:space="preserve">  SLV</v>
      </c>
      <c r="U41" s="115">
        <f t="shared" si="5"/>
        <v>84.318244281366688</v>
      </c>
    </row>
    <row r="42" spans="1:21">
      <c r="A42" s="1125" t="s">
        <v>1207</v>
      </c>
      <c r="B42" s="1126">
        <v>91.491088530337947</v>
      </c>
      <c r="C42" s="1127">
        <v>96.788476869707608</v>
      </c>
      <c r="D42" s="1128">
        <v>99.176015841919067</v>
      </c>
      <c r="E42" s="1129">
        <v>2022</v>
      </c>
      <c r="H42" s="622" t="s">
        <v>1207</v>
      </c>
      <c r="I42" s="805">
        <v>99.176015841919067</v>
      </c>
      <c r="J42" s="1202" t="s">
        <v>1207</v>
      </c>
      <c r="K42" s="1203">
        <v>99.176015841919067</v>
      </c>
      <c r="L42" s="1204">
        <v>95.468554095045505</v>
      </c>
      <c r="M42" s="1205">
        <v>2022</v>
      </c>
      <c r="P42" t="str">
        <f t="shared" si="0"/>
        <v xml:space="preserve">  URY</v>
      </c>
      <c r="Q42" s="277">
        <f t="shared" si="1"/>
        <v>99.176015841919067</v>
      </c>
      <c r="R42" s="115">
        <f t="shared" si="2"/>
        <v>91.491088530337947</v>
      </c>
      <c r="S42" s="115">
        <f t="shared" si="3"/>
        <v>96.788476869707608</v>
      </c>
      <c r="T42" s="115" t="str">
        <f t="shared" si="4"/>
        <v xml:space="preserve">  URY</v>
      </c>
      <c r="U42" s="115">
        <f t="shared" si="5"/>
        <v>99.176015841919067</v>
      </c>
    </row>
    <row r="43" spans="1:21">
      <c r="A43" s="1130" t="s">
        <v>1203</v>
      </c>
      <c r="B43" s="1131">
        <v>84.759296044390652</v>
      </c>
      <c r="C43" s="1132">
        <v>87.289427720565115</v>
      </c>
      <c r="D43" s="1133">
        <v>91.889071744079246</v>
      </c>
      <c r="E43" s="1134">
        <v>2021</v>
      </c>
      <c r="H43" s="623" t="s">
        <v>1203</v>
      </c>
      <c r="I43" s="806">
        <v>91.889071744079246</v>
      </c>
      <c r="J43" s="1206" t="s">
        <v>1203</v>
      </c>
      <c r="K43" s="1207">
        <v>91.889071744079246</v>
      </c>
      <c r="L43" s="1208">
        <v>85.389348888124886</v>
      </c>
      <c r="M43" s="1209">
        <v>2021</v>
      </c>
      <c r="P43" t="str">
        <f t="shared" si="0"/>
        <v xml:space="preserve">  VEN</v>
      </c>
      <c r="Q43" s="277">
        <f t="shared" si="1"/>
        <v>91.889071744079246</v>
      </c>
      <c r="R43" s="115">
        <f t="shared" si="2"/>
        <v>84.759296044390652</v>
      </c>
      <c r="S43" s="115">
        <f t="shared" si="3"/>
        <v>87.289427720565115</v>
      </c>
      <c r="T43" s="115" t="str">
        <f t="shared" si="4"/>
        <v xml:space="preserve">  VEN</v>
      </c>
      <c r="U43" s="115">
        <f t="shared" si="5"/>
        <v>91.889071744079246</v>
      </c>
    </row>
    <row r="44" spans="1:21">
      <c r="A44" s="567"/>
      <c r="B44" s="565"/>
      <c r="C44" s="565"/>
      <c r="D44" s="565"/>
      <c r="I44" s="115"/>
      <c r="J44" s="115"/>
      <c r="P44" s="3" t="s">
        <v>0</v>
      </c>
      <c r="R44" s="115">
        <f>AVERAGE(R29:R43)</f>
        <v>66.149675673218923</v>
      </c>
      <c r="S44" s="115">
        <f t="shared" ref="S44:U44" si="6">AVERAGE(S29:S43)</f>
        <v>75.886979965273483</v>
      </c>
      <c r="T44" s="115" t="e">
        <f t="shared" si="6"/>
        <v>#DIV/0!</v>
      </c>
      <c r="U44" s="115">
        <f t="shared" si="6"/>
        <v>86.900473560961927</v>
      </c>
    </row>
    <row r="45" spans="1:21" ht="15" thickBot="1">
      <c r="B45" s="565"/>
      <c r="C45" s="565"/>
      <c r="D45" s="565"/>
      <c r="I45" s="115"/>
      <c r="J45" s="115"/>
      <c r="P45" s="212" t="s">
        <v>1145</v>
      </c>
    </row>
    <row r="46" spans="1:21" ht="15" thickTop="1">
      <c r="B46" s="565"/>
      <c r="C46" s="565"/>
      <c r="D46" s="565"/>
      <c r="I46" s="115"/>
      <c r="J46" s="115"/>
      <c r="M46" t="str">
        <f>IFERROR(VLOOKUP(TRIM(A46),Fact1_2!$D$24:$P$41,10,0),"")</f>
        <v/>
      </c>
    </row>
    <row r="47" spans="1:21">
      <c r="A47" s="1210"/>
      <c r="B47" s="1211" t="s">
        <v>1216</v>
      </c>
      <c r="C47" s="1212" t="s">
        <v>1216</v>
      </c>
      <c r="D47" s="1213" t="s">
        <v>1216</v>
      </c>
      <c r="E47" s="1214" t="s">
        <v>1186</v>
      </c>
      <c r="H47" s="624"/>
      <c r="I47" s="807" t="s">
        <v>1216</v>
      </c>
      <c r="J47" s="1303" t="s">
        <v>1216</v>
      </c>
      <c r="K47" s="2640" t="s">
        <v>1216</v>
      </c>
      <c r="L47" s="2641" t="s">
        <v>1216</v>
      </c>
      <c r="M47" s="1304" t="s">
        <v>1186</v>
      </c>
    </row>
    <row r="48" spans="1:21">
      <c r="A48" s="1215"/>
      <c r="B48" s="1216" t="s">
        <v>1187</v>
      </c>
      <c r="C48" s="1216" t="s">
        <v>1187</v>
      </c>
      <c r="D48" s="1216" t="s">
        <v>1187</v>
      </c>
      <c r="H48" s="625"/>
      <c r="I48" s="808" t="s">
        <v>1187</v>
      </c>
      <c r="J48" s="1305" t="s">
        <v>1187</v>
      </c>
      <c r="K48" s="2642" t="s">
        <v>1187</v>
      </c>
      <c r="L48" s="2643" t="s">
        <v>1187</v>
      </c>
      <c r="M48" t="str">
        <f>IFERROR(VLOOKUP(TRIM(A48),Fact1_2!$D$24:$P$41,10,0),"")</f>
        <v/>
      </c>
    </row>
    <row r="49" spans="1:21">
      <c r="A49" s="1217"/>
      <c r="B49" s="1218" t="s">
        <v>1045</v>
      </c>
      <c r="C49" s="1218" t="s">
        <v>1045</v>
      </c>
      <c r="D49" s="1218" t="s">
        <v>1045</v>
      </c>
      <c r="H49" s="626"/>
      <c r="I49" s="809" t="s">
        <v>1003</v>
      </c>
      <c r="J49" s="1306" t="s">
        <v>1003</v>
      </c>
      <c r="K49" s="2644" t="s">
        <v>1003</v>
      </c>
      <c r="L49" s="2645" t="s">
        <v>1003</v>
      </c>
      <c r="M49" t="str">
        <f>IFERROR(VLOOKUP(TRIM(A49),Fact1_2!$D$24:$P$41,10,0),"")</f>
        <v/>
      </c>
    </row>
    <row r="50" spans="1:21" ht="15" thickBot="1">
      <c r="A50" s="1219"/>
      <c r="B50" s="1220" t="s">
        <v>1187</v>
      </c>
      <c r="C50" s="1221" t="s">
        <v>1188</v>
      </c>
      <c r="D50" s="1222" t="s">
        <v>1189</v>
      </c>
      <c r="H50" s="627"/>
      <c r="I50" s="810" t="s">
        <v>1225</v>
      </c>
      <c r="J50" s="1307" t="s">
        <v>1187</v>
      </c>
      <c r="K50" s="1308" t="s">
        <v>1225</v>
      </c>
      <c r="L50" s="1309" t="s">
        <v>1187</v>
      </c>
      <c r="M50" t="str">
        <f>IFERROR(VLOOKUP(TRIM(A50),Fact1_2!$D$24:$P$41,10,0),"")</f>
        <v/>
      </c>
      <c r="P50" s="972" t="str">
        <f>B47</f>
        <v>El hogar posee automovil particular</v>
      </c>
      <c r="Q50" s="219"/>
      <c r="R50" s="21"/>
      <c r="S50" s="21"/>
      <c r="T50" s="21"/>
      <c r="U50" s="21"/>
    </row>
    <row r="51" spans="1:21" ht="15" thickTop="1">
      <c r="A51" s="1223" t="s">
        <v>1125</v>
      </c>
      <c r="B51" s="1224"/>
      <c r="C51" s="1225"/>
      <c r="D51" s="1226"/>
      <c r="E51" s="1227"/>
      <c r="H51" s="628" t="s">
        <v>1125</v>
      </c>
      <c r="I51" s="811"/>
      <c r="J51" s="1310" t="s">
        <v>1125</v>
      </c>
      <c r="K51" s="1311"/>
      <c r="L51" s="1312"/>
      <c r="M51" s="1313" t="str">
        <f>IFERROR(VLOOKUP(TRIM(A51),Fact1_2!$D$24:$P$41,10,0),"")</f>
        <v/>
      </c>
      <c r="P51" s="213" t="s">
        <v>904</v>
      </c>
      <c r="Q51" s="216" t="s">
        <v>938</v>
      </c>
      <c r="R51" s="214" t="s">
        <v>1141</v>
      </c>
      <c r="S51" s="214" t="s">
        <v>1142</v>
      </c>
      <c r="T51" s="214" t="s">
        <v>1152</v>
      </c>
      <c r="U51" s="214" t="s">
        <v>1102</v>
      </c>
    </row>
    <row r="52" spans="1:21">
      <c r="A52" s="1228" t="s">
        <v>1191</v>
      </c>
      <c r="B52" s="1229">
        <v>9.7131991943830709</v>
      </c>
      <c r="C52" s="1230">
        <v>10.428573036108329</v>
      </c>
      <c r="D52" s="1231">
        <v>19.908150363241159</v>
      </c>
      <c r="E52" s="1232">
        <v>2022</v>
      </c>
      <c r="H52" s="629" t="s">
        <v>1191</v>
      </c>
      <c r="I52" s="812">
        <v>19.908150363241159</v>
      </c>
      <c r="J52" s="1314" t="s">
        <v>1191</v>
      </c>
      <c r="K52" s="1315">
        <v>19.908150363241159</v>
      </c>
      <c r="L52" s="1316">
        <v>10.161740554069935</v>
      </c>
      <c r="M52" s="1317">
        <v>2022</v>
      </c>
      <c r="P52" t="str">
        <f>A52</f>
        <v xml:space="preserve">  BOL</v>
      </c>
      <c r="Q52" s="277">
        <f>K52</f>
        <v>19.908150363241159</v>
      </c>
      <c r="R52" s="115">
        <f>B52</f>
        <v>9.7131991943830709</v>
      </c>
      <c r="S52" s="115">
        <f>C52</f>
        <v>10.428573036108329</v>
      </c>
      <c r="T52" s="115" t="str">
        <f>J52</f>
        <v xml:space="preserve">  BOL</v>
      </c>
      <c r="U52" s="115">
        <f>D52</f>
        <v>19.908150363241159</v>
      </c>
    </row>
    <row r="53" spans="1:21">
      <c r="A53" s="1233" t="s">
        <v>1192</v>
      </c>
      <c r="B53" s="1234">
        <v>38.063754527796704</v>
      </c>
      <c r="C53" s="1235">
        <v>48.165109844403148</v>
      </c>
      <c r="D53" s="1236">
        <v>66.376572302412498</v>
      </c>
      <c r="E53" s="1237">
        <v>2019</v>
      </c>
      <c r="H53" s="630" t="s">
        <v>1192</v>
      </c>
      <c r="I53" s="813">
        <v>66.376572302412498</v>
      </c>
      <c r="J53" s="1318" t="s">
        <v>1192</v>
      </c>
      <c r="K53" s="1319">
        <v>66.376572302412498</v>
      </c>
      <c r="L53" s="1320">
        <v>44.141961758982696</v>
      </c>
      <c r="M53" s="1321">
        <v>2019</v>
      </c>
      <c r="P53" t="str">
        <f t="shared" ref="P53:P65" si="7">A53</f>
        <v xml:space="preserve">  BRA</v>
      </c>
      <c r="Q53" s="277">
        <f t="shared" ref="Q53:Q64" si="8">K53</f>
        <v>66.376572302412498</v>
      </c>
      <c r="R53" s="115">
        <f t="shared" ref="R53:R65" si="9">B53</f>
        <v>38.063754527796704</v>
      </c>
      <c r="S53" s="115">
        <f t="shared" ref="S53:S65" si="10">C53</f>
        <v>48.165109844403148</v>
      </c>
      <c r="T53" s="115" t="str">
        <f t="shared" ref="T53:T65" si="11">J53</f>
        <v xml:space="preserve">  BRA</v>
      </c>
      <c r="U53" s="115">
        <f t="shared" ref="U53:U65" si="12">D53</f>
        <v>66.376572302412498</v>
      </c>
    </row>
    <row r="54" spans="1:21">
      <c r="A54" s="1238" t="s">
        <v>1193</v>
      </c>
      <c r="B54" s="1239">
        <v>19.18295907750997</v>
      </c>
      <c r="C54" s="1240">
        <v>24.86764219933049</v>
      </c>
      <c r="D54" s="1241">
        <v>36.979596949056301</v>
      </c>
      <c r="E54" s="1242">
        <v>2017</v>
      </c>
      <c r="H54" s="631" t="s">
        <v>1193</v>
      </c>
      <c r="I54" s="814">
        <v>36.979596949056301</v>
      </c>
      <c r="J54" s="1322" t="s">
        <v>1193</v>
      </c>
      <c r="K54" s="1323">
        <v>36.979596949056301</v>
      </c>
      <c r="L54" s="1324">
        <v>23.452590346494588</v>
      </c>
      <c r="M54" s="1325">
        <v>2017</v>
      </c>
      <c r="P54" t="str">
        <f t="shared" si="7"/>
        <v xml:space="preserve">  CHL</v>
      </c>
      <c r="Q54" s="277">
        <f t="shared" si="8"/>
        <v>36.979596949056301</v>
      </c>
      <c r="R54" s="115">
        <f t="shared" si="9"/>
        <v>19.18295907750997</v>
      </c>
      <c r="S54" s="115">
        <f t="shared" si="10"/>
        <v>24.86764219933049</v>
      </c>
      <c r="T54" s="115" t="str">
        <f t="shared" si="11"/>
        <v xml:space="preserve">  CHL</v>
      </c>
      <c r="U54" s="115">
        <f t="shared" si="12"/>
        <v>36.979596949056301</v>
      </c>
    </row>
    <row r="55" spans="1:21">
      <c r="A55" s="1243" t="s">
        <v>1194</v>
      </c>
      <c r="B55" s="1244">
        <v>2.1724430598375011</v>
      </c>
      <c r="C55" s="1245">
        <v>3.6241728550272994</v>
      </c>
      <c r="D55" s="1246">
        <v>18.838431758922752</v>
      </c>
      <c r="E55" s="1247">
        <v>2021</v>
      </c>
      <c r="H55" s="632" t="s">
        <v>1194</v>
      </c>
      <c r="I55" s="815">
        <v>18.838431758922752</v>
      </c>
      <c r="J55" s="1326" t="s">
        <v>1194</v>
      </c>
      <c r="K55" s="1327">
        <v>18.838431758922752</v>
      </c>
      <c r="L55" s="1328">
        <v>2.9716960596906605</v>
      </c>
      <c r="M55" s="1329">
        <v>2021</v>
      </c>
      <c r="P55" t="str">
        <f t="shared" si="7"/>
        <v xml:space="preserve">  COL</v>
      </c>
      <c r="Q55" s="277">
        <f t="shared" si="8"/>
        <v>18.838431758922752</v>
      </c>
      <c r="R55" s="115">
        <f t="shared" si="9"/>
        <v>2.1724430598375011</v>
      </c>
      <c r="S55" s="115">
        <f t="shared" si="10"/>
        <v>3.6241728550272994</v>
      </c>
      <c r="T55" s="115" t="str">
        <f t="shared" si="11"/>
        <v xml:space="preserve">  COL</v>
      </c>
      <c r="U55" s="115">
        <f t="shared" si="12"/>
        <v>18.838431758922752</v>
      </c>
    </row>
    <row r="56" spans="1:21">
      <c r="A56" s="1248" t="s">
        <v>1195</v>
      </c>
      <c r="B56" s="1249">
        <v>13.950630591786137</v>
      </c>
      <c r="C56" s="1250">
        <v>19.529327781082689</v>
      </c>
      <c r="D56" s="1251">
        <v>46.192739864848896</v>
      </c>
      <c r="E56" s="1252">
        <v>2023</v>
      </c>
      <c r="H56" s="633" t="s">
        <v>1195</v>
      </c>
      <c r="I56" s="816">
        <v>46.192739864848896</v>
      </c>
      <c r="J56" s="1330" t="s">
        <v>1195</v>
      </c>
      <c r="K56" s="1331">
        <v>46.192739864848896</v>
      </c>
      <c r="L56" s="1332">
        <v>17.820696941184238</v>
      </c>
      <c r="M56" s="1333">
        <v>2023</v>
      </c>
      <c r="P56" t="str">
        <f t="shared" si="7"/>
        <v xml:space="preserve">  CRI</v>
      </c>
      <c r="Q56" s="277">
        <f t="shared" si="8"/>
        <v>46.192739864848896</v>
      </c>
      <c r="R56" s="115">
        <f t="shared" si="9"/>
        <v>13.950630591786137</v>
      </c>
      <c r="S56" s="115">
        <f t="shared" si="10"/>
        <v>19.529327781082689</v>
      </c>
      <c r="T56" s="115" t="str">
        <f t="shared" si="11"/>
        <v xml:space="preserve">  CRI</v>
      </c>
      <c r="U56" s="115">
        <f t="shared" si="12"/>
        <v>46.192739864848896</v>
      </c>
    </row>
    <row r="57" spans="1:21">
      <c r="A57" s="1253" t="s">
        <v>1196</v>
      </c>
      <c r="B57" s="1254">
        <v>6.9633399377142844</v>
      </c>
      <c r="C57" s="1255">
        <v>10.046251798392259</v>
      </c>
      <c r="D57" s="1256">
        <v>24.442694750998339</v>
      </c>
      <c r="E57" s="1257">
        <v>2022</v>
      </c>
      <c r="H57" s="634" t="s">
        <v>1196</v>
      </c>
      <c r="I57" s="817">
        <v>24.442694750998339</v>
      </c>
      <c r="J57" s="1334" t="s">
        <v>1196</v>
      </c>
      <c r="K57" s="1335">
        <v>24.442694750998339</v>
      </c>
      <c r="L57" s="1336">
        <v>9.1034563816024878</v>
      </c>
      <c r="M57" s="1337">
        <v>2022</v>
      </c>
      <c r="P57" t="str">
        <f t="shared" si="7"/>
        <v xml:space="preserve">  DOM</v>
      </c>
      <c r="Q57" s="277">
        <f t="shared" si="8"/>
        <v>24.442694750998339</v>
      </c>
      <c r="R57" s="115">
        <f t="shared" si="9"/>
        <v>6.9633399377142844</v>
      </c>
      <c r="S57" s="115">
        <f t="shared" si="10"/>
        <v>10.046251798392259</v>
      </c>
      <c r="T57" s="115" t="str">
        <f t="shared" si="11"/>
        <v xml:space="preserve">  DOM</v>
      </c>
      <c r="U57" s="115">
        <f t="shared" si="12"/>
        <v>24.442694750998339</v>
      </c>
    </row>
    <row r="58" spans="1:21">
      <c r="A58" s="1258" t="s">
        <v>1197</v>
      </c>
      <c r="B58" s="1259">
        <v>6.8450999638989805</v>
      </c>
      <c r="C58" s="1260">
        <v>9.2474242258718107</v>
      </c>
      <c r="D58" s="1261">
        <v>28.168687626830319</v>
      </c>
      <c r="E58" s="1262">
        <v>2017</v>
      </c>
      <c r="H58" s="635" t="s">
        <v>1197</v>
      </c>
      <c r="I58" s="818">
        <v>28.168687626830319</v>
      </c>
      <c r="J58" s="1338" t="s">
        <v>1197</v>
      </c>
      <c r="K58" s="1339">
        <v>28.168687626830319</v>
      </c>
      <c r="L58" s="1340">
        <v>8.3922665771199441</v>
      </c>
      <c r="M58" s="1341">
        <v>2017</v>
      </c>
      <c r="P58" t="str">
        <f t="shared" si="7"/>
        <v xml:space="preserve">  ECU</v>
      </c>
      <c r="Q58" s="277">
        <f t="shared" si="8"/>
        <v>28.168687626830319</v>
      </c>
      <c r="R58" s="115">
        <f t="shared" si="9"/>
        <v>6.8450999638989805</v>
      </c>
      <c r="S58" s="115">
        <f t="shared" si="10"/>
        <v>9.2474242258718107</v>
      </c>
      <c r="T58" s="115" t="str">
        <f t="shared" si="11"/>
        <v xml:space="preserve">  ECU</v>
      </c>
      <c r="U58" s="115">
        <f t="shared" si="12"/>
        <v>28.168687626830319</v>
      </c>
    </row>
    <row r="59" spans="1:21">
      <c r="A59" s="1263" t="s">
        <v>1204</v>
      </c>
      <c r="B59" s="1264">
        <v>0.24660343529590334</v>
      </c>
      <c r="C59" s="1265">
        <v>1.3554385515057856</v>
      </c>
      <c r="D59" s="1266">
        <v>17.806021339285298</v>
      </c>
      <c r="E59" s="1267">
        <v>2006</v>
      </c>
      <c r="H59" s="636" t="s">
        <v>1204</v>
      </c>
      <c r="I59" s="819">
        <v>17.806021339285298</v>
      </c>
      <c r="J59" s="1342" t="s">
        <v>1204</v>
      </c>
      <c r="K59" s="1343">
        <v>17.806021339285298</v>
      </c>
      <c r="L59" s="1344">
        <v>0.75259782973986011</v>
      </c>
      <c r="M59" s="1345">
        <v>2006</v>
      </c>
      <c r="P59" t="str">
        <f t="shared" si="7"/>
        <v xml:space="preserve">  GTM</v>
      </c>
      <c r="Q59" s="277">
        <f t="shared" si="8"/>
        <v>17.806021339285298</v>
      </c>
      <c r="R59" s="115">
        <f t="shared" si="9"/>
        <v>0.24660343529590334</v>
      </c>
      <c r="S59" s="115">
        <f t="shared" si="10"/>
        <v>1.3554385515057856</v>
      </c>
      <c r="T59" s="115" t="str">
        <f t="shared" si="11"/>
        <v xml:space="preserve">  GTM</v>
      </c>
      <c r="U59" s="115">
        <f t="shared" si="12"/>
        <v>17.806021339285298</v>
      </c>
    </row>
    <row r="60" spans="1:21">
      <c r="A60" s="1268" t="s">
        <v>1199</v>
      </c>
      <c r="B60" s="1269">
        <v>8.8899196062230992</v>
      </c>
      <c r="C60" s="1270">
        <v>17.183348629374095</v>
      </c>
      <c r="D60" s="1271">
        <v>35.708716781382499</v>
      </c>
      <c r="E60" s="1272">
        <v>2023</v>
      </c>
      <c r="H60" s="637" t="s">
        <v>1199</v>
      </c>
      <c r="I60" s="820">
        <v>35.708716781382499</v>
      </c>
      <c r="J60" s="1346" t="s">
        <v>1199</v>
      </c>
      <c r="K60" s="1347">
        <v>35.708716781382499</v>
      </c>
      <c r="L60" s="1348">
        <v>12.484110620304163</v>
      </c>
      <c r="M60" s="1349">
        <v>2023</v>
      </c>
      <c r="P60" t="str">
        <f t="shared" si="7"/>
        <v xml:space="preserve">  HND</v>
      </c>
      <c r="Q60" s="277">
        <f t="shared" si="8"/>
        <v>35.708716781382499</v>
      </c>
      <c r="R60" s="115">
        <f t="shared" si="9"/>
        <v>8.8899196062230992</v>
      </c>
      <c r="S60" s="115">
        <f t="shared" si="10"/>
        <v>17.183348629374095</v>
      </c>
      <c r="T60" s="115" t="str">
        <f t="shared" si="11"/>
        <v xml:space="preserve">  HND</v>
      </c>
      <c r="U60" s="115">
        <f t="shared" si="12"/>
        <v>35.708716781382499</v>
      </c>
    </row>
    <row r="61" spans="1:21">
      <c r="A61" s="1273" t="s">
        <v>1205</v>
      </c>
      <c r="B61" s="1274">
        <v>19.535761268112992</v>
      </c>
      <c r="C61" s="1275">
        <v>29.715959635109613</v>
      </c>
      <c r="D61" s="1276">
        <v>53.61314748018782</v>
      </c>
      <c r="E61" s="1277">
        <v>2022</v>
      </c>
      <c r="H61" s="638" t="s">
        <v>1205</v>
      </c>
      <c r="I61" s="821">
        <v>53.61314748018782</v>
      </c>
      <c r="J61" s="1350" t="s">
        <v>1205</v>
      </c>
      <c r="K61" s="1351">
        <v>53.61314748018782</v>
      </c>
      <c r="L61" s="1352">
        <v>26.454768060804824</v>
      </c>
      <c r="M61" s="1353">
        <v>2022</v>
      </c>
      <c r="P61" t="str">
        <f t="shared" si="7"/>
        <v xml:space="preserve">  MEX</v>
      </c>
      <c r="Q61" s="277">
        <f t="shared" si="8"/>
        <v>53.61314748018782</v>
      </c>
      <c r="R61" s="115">
        <f t="shared" si="9"/>
        <v>19.535761268112992</v>
      </c>
      <c r="S61" s="115">
        <f t="shared" si="10"/>
        <v>29.715959635109613</v>
      </c>
      <c r="T61" s="115" t="str">
        <f t="shared" si="11"/>
        <v xml:space="preserve">  MEX</v>
      </c>
      <c r="U61" s="115">
        <f t="shared" si="12"/>
        <v>53.61314748018782</v>
      </c>
    </row>
    <row r="62" spans="1:21">
      <c r="A62" s="1278" t="s">
        <v>1201</v>
      </c>
      <c r="B62" s="1279">
        <v>3.4628413402086062</v>
      </c>
      <c r="C62" s="1280">
        <v>5.0222932163024261</v>
      </c>
      <c r="D62" s="1281">
        <v>15.031335081675465</v>
      </c>
      <c r="E62" s="1282">
        <v>2022</v>
      </c>
      <c r="H62" s="639" t="s">
        <v>1201</v>
      </c>
      <c r="I62" s="822">
        <v>15.031335081675465</v>
      </c>
      <c r="J62" s="1354" t="s">
        <v>1201</v>
      </c>
      <c r="K62" s="1355">
        <v>15.031335081675465</v>
      </c>
      <c r="L62" s="1356">
        <v>4.5267446943999872</v>
      </c>
      <c r="M62" s="1357">
        <v>2022</v>
      </c>
      <c r="P62" t="str">
        <f t="shared" si="7"/>
        <v xml:space="preserve">  PER</v>
      </c>
      <c r="Q62" s="277">
        <f t="shared" si="8"/>
        <v>15.031335081675465</v>
      </c>
      <c r="R62" s="115">
        <f t="shared" si="9"/>
        <v>3.4628413402086062</v>
      </c>
      <c r="S62" s="115">
        <f t="shared" si="10"/>
        <v>5.0222932163024261</v>
      </c>
      <c r="T62" s="115" t="str">
        <f t="shared" si="11"/>
        <v xml:space="preserve">  PER</v>
      </c>
      <c r="U62" s="115">
        <f t="shared" si="12"/>
        <v>15.031335081675465</v>
      </c>
    </row>
    <row r="63" spans="1:21">
      <c r="A63" s="1283" t="s">
        <v>1202</v>
      </c>
      <c r="B63" s="1284">
        <v>12.133952840673246</v>
      </c>
      <c r="C63" s="1285">
        <v>17.250281650776088</v>
      </c>
      <c r="D63" s="1286">
        <v>52.138663255159159</v>
      </c>
      <c r="E63" s="1287">
        <v>2022</v>
      </c>
      <c r="H63" s="640" t="s">
        <v>1202</v>
      </c>
      <c r="I63" s="823">
        <v>52.138663255159159</v>
      </c>
      <c r="J63" s="1358" t="s">
        <v>1202</v>
      </c>
      <c r="K63" s="1359">
        <v>52.138663255159159</v>
      </c>
      <c r="L63" s="1360">
        <v>15.24312304109541</v>
      </c>
      <c r="M63" s="1361">
        <v>2022</v>
      </c>
      <c r="P63" t="str">
        <f t="shared" si="7"/>
        <v xml:space="preserve">  PRY</v>
      </c>
      <c r="Q63" s="277">
        <f t="shared" si="8"/>
        <v>52.138663255159159</v>
      </c>
      <c r="R63" s="115">
        <f t="shared" si="9"/>
        <v>12.133952840673246</v>
      </c>
      <c r="S63" s="115">
        <f t="shared" si="10"/>
        <v>17.250281650776088</v>
      </c>
      <c r="T63" s="115" t="str">
        <f t="shared" si="11"/>
        <v xml:space="preserve">  PRY</v>
      </c>
      <c r="U63" s="115">
        <f t="shared" si="12"/>
        <v>52.138663255159159</v>
      </c>
    </row>
    <row r="64" spans="1:21">
      <c r="A64" s="1288" t="s">
        <v>1206</v>
      </c>
      <c r="B64" s="1289">
        <v>12.02518239830396</v>
      </c>
      <c r="C64" s="1290">
        <v>13.302843920608559</v>
      </c>
      <c r="D64" s="1291">
        <v>29.514493912643864</v>
      </c>
      <c r="E64" s="1292">
        <v>2023</v>
      </c>
      <c r="H64" s="641" t="s">
        <v>1206</v>
      </c>
      <c r="I64" s="824">
        <v>29.514493912643864</v>
      </c>
      <c r="J64" s="1362" t="s">
        <v>1206</v>
      </c>
      <c r="K64" s="1363">
        <v>29.514493912643864</v>
      </c>
      <c r="L64" s="1364">
        <v>12.763405738859756</v>
      </c>
      <c r="M64" s="1365">
        <v>2023</v>
      </c>
      <c r="P64" t="str">
        <f t="shared" si="7"/>
        <v xml:space="preserve">  SLV</v>
      </c>
      <c r="Q64" s="277">
        <f t="shared" si="8"/>
        <v>29.514493912643864</v>
      </c>
      <c r="R64" s="115">
        <f t="shared" si="9"/>
        <v>12.02518239830396</v>
      </c>
      <c r="S64" s="115">
        <f t="shared" si="10"/>
        <v>13.302843920608559</v>
      </c>
      <c r="T64" s="115" t="str">
        <f t="shared" si="11"/>
        <v xml:space="preserve">  SLV</v>
      </c>
      <c r="U64" s="115">
        <f t="shared" si="12"/>
        <v>29.514493912643864</v>
      </c>
    </row>
    <row r="65" spans="1:21">
      <c r="A65" s="1293" t="s">
        <v>1207</v>
      </c>
      <c r="B65" s="1294">
        <v>9.0965165730610664</v>
      </c>
      <c r="C65" s="1295">
        <v>22.677813449397771</v>
      </c>
      <c r="D65" s="1296">
        <v>53.824558498118421</v>
      </c>
      <c r="E65" s="1297">
        <v>2022</v>
      </c>
      <c r="H65" s="642" t="s">
        <v>1207</v>
      </c>
      <c r="I65" s="825">
        <v>53.824558498118421</v>
      </c>
      <c r="J65" s="1366" t="s">
        <v>1207</v>
      </c>
      <c r="K65" s="1367">
        <v>53.824558498118421</v>
      </c>
      <c r="L65" s="1368">
        <v>19.293832153690595</v>
      </c>
      <c r="M65" s="1369">
        <v>2022</v>
      </c>
      <c r="P65" t="str">
        <f t="shared" si="7"/>
        <v xml:space="preserve">  URY</v>
      </c>
      <c r="Q65" s="277">
        <f>K65</f>
        <v>53.824558498118421</v>
      </c>
      <c r="R65" s="115">
        <f t="shared" si="9"/>
        <v>9.0965165730610664</v>
      </c>
      <c r="S65" s="115">
        <f t="shared" si="10"/>
        <v>22.677813449397771</v>
      </c>
      <c r="T65" s="115" t="str">
        <f t="shared" si="11"/>
        <v xml:space="preserve">  URY</v>
      </c>
      <c r="U65" s="115">
        <f t="shared" si="12"/>
        <v>53.824558498118421</v>
      </c>
    </row>
    <row r="66" spans="1:21">
      <c r="A66" s="1298" t="s">
        <v>1203</v>
      </c>
      <c r="B66" s="1299">
        <v>8.9196660223930149</v>
      </c>
      <c r="C66" s="1300">
        <v>13.49745447910605</v>
      </c>
      <c r="D66" s="1301">
        <v>21.609264724218754</v>
      </c>
      <c r="E66" s="1302">
        <v>2021</v>
      </c>
      <c r="H66" s="643" t="s">
        <v>1203</v>
      </c>
      <c r="I66" s="826">
        <v>21.609264724218754</v>
      </c>
      <c r="J66" s="1370" t="s">
        <v>1203</v>
      </c>
      <c r="K66" s="1371">
        <v>21.609264724218754</v>
      </c>
      <c r="L66" s="1372">
        <v>10.059625915518717</v>
      </c>
      <c r="M66" s="1373">
        <v>2021</v>
      </c>
      <c r="P66" s="76" t="s">
        <v>1226</v>
      </c>
      <c r="Q66" s="277"/>
      <c r="R66" s="115">
        <f>AVERAGE(R52:R65)</f>
        <v>11.591585986771824</v>
      </c>
      <c r="S66" s="115">
        <f t="shared" ref="S66:U66" si="13">AVERAGE(S52:S65)</f>
        <v>16.601177199520738</v>
      </c>
      <c r="T66" s="115" t="e">
        <f t="shared" si="13"/>
        <v>#DIV/0!</v>
      </c>
      <c r="U66" s="115">
        <f t="shared" si="13"/>
        <v>35.6102721403402</v>
      </c>
    </row>
    <row r="67" spans="1:21" ht="15" thickBot="1">
      <c r="B67" s="565"/>
      <c r="C67" s="565"/>
      <c r="D67" s="565"/>
      <c r="I67" s="115"/>
      <c r="J67" s="115"/>
      <c r="M67" t="str">
        <f>IFERROR(VLOOKUP(TRIM(A67),Fact1_2!$D$24:$P$41,10,0),"")</f>
        <v/>
      </c>
      <c r="P67" s="212" t="s">
        <v>1145</v>
      </c>
      <c r="Q67" s="277"/>
      <c r="R67" s="115"/>
      <c r="S67" s="115"/>
      <c r="T67" s="115"/>
      <c r="U67" s="115"/>
    </row>
    <row r="68" spans="1:21" ht="15" thickTop="1">
      <c r="B68" s="565"/>
      <c r="C68" s="565"/>
      <c r="D68" s="565"/>
      <c r="I68" s="115"/>
      <c r="J68" s="115"/>
      <c r="M68" t="str">
        <f>IFERROR(VLOOKUP(TRIM(A68),Fact1_2!$D$24:$P$41,10,0),"")</f>
        <v/>
      </c>
    </row>
    <row r="69" spans="1:21">
      <c r="B69" s="565"/>
      <c r="C69" s="565"/>
      <c r="D69" s="565"/>
      <c r="I69" s="115"/>
      <c r="J69" s="115"/>
      <c r="M69" t="str">
        <f>IFERROR(VLOOKUP(TRIM(A69),Fact1_2!$D$24:$P$41,10,0),"")</f>
        <v/>
      </c>
    </row>
    <row r="70" spans="1:21">
      <c r="A70" s="1374"/>
      <c r="B70" s="2636" t="s">
        <v>1217</v>
      </c>
      <c r="C70" s="2637" t="s">
        <v>1217</v>
      </c>
      <c r="D70" s="2637" t="s">
        <v>1217</v>
      </c>
      <c r="E70" s="1375" t="s">
        <v>1186</v>
      </c>
      <c r="H70" s="644"/>
      <c r="I70" s="827" t="s">
        <v>1217</v>
      </c>
      <c r="J70" s="1468" t="s">
        <v>1217</v>
      </c>
      <c r="K70" s="1469" t="s">
        <v>1217</v>
      </c>
      <c r="L70" s="1470" t="s">
        <v>1217</v>
      </c>
      <c r="M70" s="1471" t="s">
        <v>1186</v>
      </c>
    </row>
    <row r="71" spans="1:21">
      <c r="A71" s="1376"/>
      <c r="B71" s="1377" t="s">
        <v>1187</v>
      </c>
      <c r="C71" s="1377" t="s">
        <v>1187</v>
      </c>
      <c r="D71" s="1377" t="s">
        <v>1187</v>
      </c>
      <c r="H71" s="645"/>
      <c r="I71" s="828" t="s">
        <v>1187</v>
      </c>
      <c r="J71" s="1472" t="s">
        <v>1187</v>
      </c>
      <c r="K71" s="1473" t="s">
        <v>1187</v>
      </c>
      <c r="L71" s="1473" t="s">
        <v>1187</v>
      </c>
      <c r="M71" t="str">
        <f>IFERROR(VLOOKUP(TRIM(A71),Fact1_2!$D$24:$P$41,10,0),"")</f>
        <v/>
      </c>
    </row>
    <row r="72" spans="1:21">
      <c r="A72" s="1378"/>
      <c r="B72" s="2638" t="s">
        <v>1045</v>
      </c>
      <c r="C72" s="2639" t="s">
        <v>1045</v>
      </c>
      <c r="D72" s="2639" t="s">
        <v>1045</v>
      </c>
      <c r="H72" s="646"/>
      <c r="I72" s="829" t="s">
        <v>1003</v>
      </c>
      <c r="J72" s="1474" t="s">
        <v>1003</v>
      </c>
      <c r="K72" s="1475" t="s">
        <v>1003</v>
      </c>
      <c r="L72" s="1475" t="s">
        <v>1003</v>
      </c>
      <c r="M72" t="str">
        <f>IFERROR(VLOOKUP(TRIM(A72),Fact1_2!$D$24:$P$41,10,0),"")</f>
        <v/>
      </c>
    </row>
    <row r="73" spans="1:21" ht="15" thickBot="1">
      <c r="A73" s="1379"/>
      <c r="B73" s="1380" t="s">
        <v>1187</v>
      </c>
      <c r="C73" s="1381" t="s">
        <v>1188</v>
      </c>
      <c r="D73" s="1382" t="s">
        <v>1189</v>
      </c>
      <c r="H73" s="647"/>
      <c r="I73" s="830" t="s">
        <v>1225</v>
      </c>
      <c r="J73" s="1476" t="s">
        <v>1187</v>
      </c>
      <c r="K73" s="1477" t="s">
        <v>1225</v>
      </c>
      <c r="L73" s="1478" t="s">
        <v>1187</v>
      </c>
      <c r="M73" t="str">
        <f>IFERROR(VLOOKUP(TRIM(A73),Fact1_2!$D$24:$P$41,10,0),"")</f>
        <v/>
      </c>
      <c r="P73" s="972" t="str">
        <f>B70</f>
        <v>El hogar tiene servicio telefónico fijo</v>
      </c>
      <c r="Q73" s="219"/>
      <c r="R73" s="21"/>
      <c r="S73" s="21"/>
      <c r="T73" s="21"/>
      <c r="U73" s="21"/>
    </row>
    <row r="74" spans="1:21" ht="15" thickTop="1">
      <c r="A74" s="1383" t="s">
        <v>1125</v>
      </c>
      <c r="B74" s="1384"/>
      <c r="C74" s="1385"/>
      <c r="D74" s="1386"/>
      <c r="E74" s="1387"/>
      <c r="H74" s="648" t="s">
        <v>1125</v>
      </c>
      <c r="I74" s="831"/>
      <c r="J74" s="1479" t="s">
        <v>1125</v>
      </c>
      <c r="K74" s="1480"/>
      <c r="L74" s="1481"/>
      <c r="M74" s="1482" t="str">
        <f>IFERROR(VLOOKUP(TRIM(A74),Fact1_2!$D$24:$P$41,10,0),"")</f>
        <v/>
      </c>
      <c r="P74" s="213" t="s">
        <v>904</v>
      </c>
      <c r="Q74" s="216" t="s">
        <v>938</v>
      </c>
      <c r="R74" s="214" t="s">
        <v>1141</v>
      </c>
      <c r="S74" s="214" t="s">
        <v>1142</v>
      </c>
      <c r="T74" s="214" t="s">
        <v>1152</v>
      </c>
      <c r="U74" s="214" t="s">
        <v>1102</v>
      </c>
    </row>
    <row r="75" spans="1:21">
      <c r="A75" s="1388" t="s">
        <v>1191</v>
      </c>
      <c r="B75" s="1389">
        <v>1.8058719106789256</v>
      </c>
      <c r="C75" s="1390">
        <v>2.8270675610697573</v>
      </c>
      <c r="D75" s="1391">
        <v>10.41780635941198</v>
      </c>
      <c r="E75" s="1392">
        <v>2022</v>
      </c>
      <c r="H75" s="649" t="s">
        <v>1191</v>
      </c>
      <c r="I75" s="832">
        <v>10.41780635941198</v>
      </c>
      <c r="J75" s="1483" t="s">
        <v>1191</v>
      </c>
      <c r="K75" s="1484">
        <v>10.41780635941198</v>
      </c>
      <c r="L75" s="1485">
        <v>2.4461643826932016</v>
      </c>
      <c r="M75" s="1486">
        <v>2022</v>
      </c>
      <c r="P75" t="str">
        <f>A75</f>
        <v xml:space="preserve">  BOL</v>
      </c>
      <c r="Q75" s="277">
        <f>K75</f>
        <v>10.41780635941198</v>
      </c>
      <c r="R75" s="115">
        <f>B75</f>
        <v>1.8058719106789256</v>
      </c>
      <c r="S75" s="115">
        <f>C75</f>
        <v>2.8270675610697573</v>
      </c>
      <c r="T75" s="115" t="str">
        <f>J75</f>
        <v xml:space="preserve">  BOL</v>
      </c>
      <c r="U75" s="115">
        <f>D75</f>
        <v>10.41780635941198</v>
      </c>
    </row>
    <row r="76" spans="1:21">
      <c r="A76" s="1393" t="s">
        <v>1192</v>
      </c>
      <c r="B76" s="1394">
        <v>4.7205121115705211</v>
      </c>
      <c r="C76" s="1395">
        <v>11.211562489078101</v>
      </c>
      <c r="D76" s="1396">
        <v>31.211945143911269</v>
      </c>
      <c r="E76" s="1397">
        <v>2019</v>
      </c>
      <c r="H76" s="650" t="s">
        <v>1192</v>
      </c>
      <c r="I76" s="833">
        <v>31.211945143911269</v>
      </c>
      <c r="J76" s="1487" t="s">
        <v>1192</v>
      </c>
      <c r="K76" s="1488">
        <v>31.211945143911269</v>
      </c>
      <c r="L76" s="1489">
        <v>8.6263196102630548</v>
      </c>
      <c r="M76" s="1490">
        <v>2019</v>
      </c>
      <c r="P76" t="str">
        <f t="shared" ref="P76:P89" si="14">A76</f>
        <v xml:space="preserve">  BRA</v>
      </c>
      <c r="Q76" s="277">
        <f t="shared" ref="Q76:Q89" si="15">K76</f>
        <v>31.211945143911269</v>
      </c>
      <c r="R76" s="115">
        <f t="shared" ref="R76:R89" si="16">B76</f>
        <v>4.7205121115705211</v>
      </c>
      <c r="S76" s="115">
        <f t="shared" ref="S76:S89" si="17">C76</f>
        <v>11.211562489078101</v>
      </c>
      <c r="T76" s="115" t="str">
        <f t="shared" ref="T76:T89" si="18">J76</f>
        <v xml:space="preserve">  BRA</v>
      </c>
      <c r="U76" s="115">
        <f t="shared" ref="U76:U89" si="19">D76</f>
        <v>31.211945143911269</v>
      </c>
    </row>
    <row r="77" spans="1:21">
      <c r="A77" s="1398" t="s">
        <v>1193</v>
      </c>
      <c r="B77" s="1399">
        <v>19.946707682975703</v>
      </c>
      <c r="C77" s="1400">
        <v>23.129002679069703</v>
      </c>
      <c r="D77" s="1401">
        <v>37.308209722766897</v>
      </c>
      <c r="E77" s="1402">
        <v>2017</v>
      </c>
      <c r="H77" s="651" t="s">
        <v>1193</v>
      </c>
      <c r="I77" s="834">
        <v>37.308209722766897</v>
      </c>
      <c r="J77" s="1491" t="s">
        <v>1193</v>
      </c>
      <c r="K77" s="1492">
        <v>37.308209722766897</v>
      </c>
      <c r="L77" s="1493">
        <v>22.337028675405197</v>
      </c>
      <c r="M77" s="1494">
        <v>2017</v>
      </c>
      <c r="P77" t="str">
        <f t="shared" si="14"/>
        <v xml:space="preserve">  CHL</v>
      </c>
      <c r="Q77" s="277">
        <f t="shared" si="15"/>
        <v>37.308209722766897</v>
      </c>
      <c r="R77" s="115">
        <f t="shared" si="16"/>
        <v>19.946707682975703</v>
      </c>
      <c r="S77" s="115">
        <f t="shared" si="17"/>
        <v>23.129002679069703</v>
      </c>
      <c r="T77" s="115" t="str">
        <f t="shared" si="18"/>
        <v xml:space="preserve">  CHL</v>
      </c>
      <c r="U77" s="115">
        <f t="shared" si="19"/>
        <v>37.308209722766897</v>
      </c>
    </row>
    <row r="78" spans="1:21">
      <c r="A78" s="1403" t="s">
        <v>1194</v>
      </c>
      <c r="B78" s="1404">
        <v>5.4150309917544774</v>
      </c>
      <c r="C78" s="1405">
        <v>10.169190616715161</v>
      </c>
      <c r="D78" s="1406">
        <v>29.574595345910275</v>
      </c>
      <c r="E78" s="1407">
        <v>2021</v>
      </c>
      <c r="H78" s="652" t="s">
        <v>1194</v>
      </c>
      <c r="I78" s="835">
        <v>29.574595345910275</v>
      </c>
      <c r="J78" s="1495" t="s">
        <v>1194</v>
      </c>
      <c r="K78" s="1496">
        <v>29.574595345910275</v>
      </c>
      <c r="L78" s="1497">
        <v>8.0324439253602229</v>
      </c>
      <c r="M78" s="1498">
        <v>2021</v>
      </c>
      <c r="P78" t="str">
        <f t="shared" si="14"/>
        <v xml:space="preserve">  COL</v>
      </c>
      <c r="Q78" s="277">
        <f t="shared" si="15"/>
        <v>29.574595345910275</v>
      </c>
      <c r="R78" s="115">
        <f t="shared" si="16"/>
        <v>5.4150309917544774</v>
      </c>
      <c r="S78" s="115">
        <f t="shared" si="17"/>
        <v>10.169190616715161</v>
      </c>
      <c r="T78" s="115" t="str">
        <f t="shared" si="18"/>
        <v xml:space="preserve">  COL</v>
      </c>
      <c r="U78" s="115">
        <f t="shared" si="19"/>
        <v>29.574595345910275</v>
      </c>
    </row>
    <row r="79" spans="1:21">
      <c r="A79" s="1408" t="s">
        <v>1195</v>
      </c>
      <c r="B79" s="1409">
        <v>5.3002048075886599</v>
      </c>
      <c r="C79" s="1410">
        <v>7.986674598453301</v>
      </c>
      <c r="D79" s="1411">
        <v>21.27566490250527</v>
      </c>
      <c r="E79" s="1412">
        <v>2023</v>
      </c>
      <c r="H79" s="653" t="s">
        <v>1195</v>
      </c>
      <c r="I79" s="836">
        <v>21.27566490250527</v>
      </c>
      <c r="J79" s="1499" t="s">
        <v>1195</v>
      </c>
      <c r="K79" s="1500">
        <v>21.27566490250527</v>
      </c>
      <c r="L79" s="1501">
        <v>7.163868667359977</v>
      </c>
      <c r="M79" s="1502">
        <v>2023</v>
      </c>
      <c r="P79" t="str">
        <f t="shared" si="14"/>
        <v xml:space="preserve">  CRI</v>
      </c>
      <c r="Q79" s="277">
        <f t="shared" si="15"/>
        <v>21.27566490250527</v>
      </c>
      <c r="R79" s="115">
        <f t="shared" si="16"/>
        <v>5.3002048075886599</v>
      </c>
      <c r="S79" s="115">
        <f t="shared" si="17"/>
        <v>7.986674598453301</v>
      </c>
      <c r="T79" s="115" t="str">
        <f t="shared" si="18"/>
        <v xml:space="preserve">  CRI</v>
      </c>
      <c r="U79" s="115">
        <f t="shared" si="19"/>
        <v>21.27566490250527</v>
      </c>
    </row>
    <row r="80" spans="1:21">
      <c r="A80" s="1413" t="s">
        <v>1196</v>
      </c>
      <c r="B80" s="1414">
        <v>5.8956865230063471</v>
      </c>
      <c r="C80" s="1415">
        <v>6.5012052294507363</v>
      </c>
      <c r="D80" s="1416">
        <v>16.662276308889062</v>
      </c>
      <c r="E80" s="1417">
        <v>2022</v>
      </c>
      <c r="H80" s="654" t="s">
        <v>1196</v>
      </c>
      <c r="I80" s="837">
        <v>16.662276308889062</v>
      </c>
      <c r="J80" s="1503" t="s">
        <v>1196</v>
      </c>
      <c r="K80" s="1504">
        <v>16.662276308889062</v>
      </c>
      <c r="L80" s="1505">
        <v>6.3160295620897182</v>
      </c>
      <c r="M80" s="1506">
        <v>2022</v>
      </c>
      <c r="P80" t="str">
        <f t="shared" si="14"/>
        <v xml:space="preserve">  DOM</v>
      </c>
      <c r="Q80" s="277">
        <f t="shared" si="15"/>
        <v>16.662276308889062</v>
      </c>
      <c r="R80" s="115">
        <f t="shared" si="16"/>
        <v>5.8956865230063471</v>
      </c>
      <c r="S80" s="115">
        <f t="shared" si="17"/>
        <v>6.5012052294507363</v>
      </c>
      <c r="T80" s="115" t="str">
        <f t="shared" si="18"/>
        <v xml:space="preserve">  DOM</v>
      </c>
      <c r="U80" s="115">
        <f t="shared" si="19"/>
        <v>16.662276308889062</v>
      </c>
    </row>
    <row r="81" spans="1:21">
      <c r="A81" s="1418" t="s">
        <v>1197</v>
      </c>
      <c r="B81" s="1419">
        <v>12.66489795367508</v>
      </c>
      <c r="C81" s="1420">
        <v>18.435946087942291</v>
      </c>
      <c r="D81" s="1421">
        <v>45.712545793492275</v>
      </c>
      <c r="E81" s="1422">
        <v>2017</v>
      </c>
      <c r="H81" s="655" t="s">
        <v>1197</v>
      </c>
      <c r="I81" s="838">
        <v>45.712545793492275</v>
      </c>
      <c r="J81" s="1507" t="s">
        <v>1197</v>
      </c>
      <c r="K81" s="1508">
        <v>45.712545793492275</v>
      </c>
      <c r="L81" s="1509">
        <v>16.381620603471283</v>
      </c>
      <c r="M81" s="1510">
        <v>2017</v>
      </c>
      <c r="P81" t="str">
        <f t="shared" si="14"/>
        <v xml:space="preserve">  ECU</v>
      </c>
      <c r="Q81" s="277">
        <f t="shared" si="15"/>
        <v>45.712545793492275</v>
      </c>
      <c r="R81" s="115">
        <f t="shared" si="16"/>
        <v>12.66489795367508</v>
      </c>
      <c r="S81" s="115">
        <f t="shared" si="17"/>
        <v>18.435946087942291</v>
      </c>
      <c r="T81" s="115" t="str">
        <f t="shared" si="18"/>
        <v xml:space="preserve">  ECU</v>
      </c>
      <c r="U81" s="115">
        <f t="shared" si="19"/>
        <v>45.712545793492275</v>
      </c>
    </row>
    <row r="82" spans="1:21">
      <c r="A82" s="1423" t="s">
        <v>1204</v>
      </c>
      <c r="B82" s="1424">
        <v>6.1517002678030064</v>
      </c>
      <c r="C82" s="1425">
        <v>9.8346702225399287</v>
      </c>
      <c r="D82" s="1426">
        <v>22.800987249614057</v>
      </c>
      <c r="E82" s="1427">
        <v>2022</v>
      </c>
      <c r="H82" s="656" t="s">
        <v>1204</v>
      </c>
      <c r="I82" s="839">
        <v>22.800987249614057</v>
      </c>
      <c r="J82" s="1511" t="s">
        <v>1204</v>
      </c>
      <c r="K82" s="1512">
        <v>22.800987249614057</v>
      </c>
      <c r="L82" s="1513">
        <v>7.7650010663521982</v>
      </c>
      <c r="M82" s="1514">
        <v>2022</v>
      </c>
      <c r="P82" t="str">
        <f t="shared" si="14"/>
        <v xml:space="preserve">  GTM</v>
      </c>
      <c r="Q82" s="277">
        <f t="shared" si="15"/>
        <v>22.800987249614057</v>
      </c>
      <c r="R82" s="115">
        <f t="shared" si="16"/>
        <v>6.1517002678030064</v>
      </c>
      <c r="S82" s="115">
        <f t="shared" si="17"/>
        <v>9.8346702225399287</v>
      </c>
      <c r="T82" s="115" t="str">
        <f t="shared" si="18"/>
        <v xml:space="preserve">  GTM</v>
      </c>
      <c r="U82" s="115">
        <f t="shared" si="19"/>
        <v>22.800987249614057</v>
      </c>
    </row>
    <row r="83" spans="1:21">
      <c r="A83" s="1428" t="s">
        <v>1199</v>
      </c>
      <c r="B83" s="1429">
        <v>3.0981902340497922</v>
      </c>
      <c r="C83" s="1430">
        <v>6.1561110467089915</v>
      </c>
      <c r="D83" s="1431">
        <v>11.12325217280765</v>
      </c>
      <c r="E83" s="1432">
        <v>2022</v>
      </c>
      <c r="H83" s="657" t="s">
        <v>1199</v>
      </c>
      <c r="I83" s="840">
        <v>11.12325217280765</v>
      </c>
      <c r="J83" s="1515" t="s">
        <v>1199</v>
      </c>
      <c r="K83" s="1516">
        <v>11.12325217280765</v>
      </c>
      <c r="L83" s="1517">
        <v>4.1898803338530959</v>
      </c>
      <c r="M83" s="1518">
        <v>2022</v>
      </c>
      <c r="P83" t="str">
        <f t="shared" si="14"/>
        <v xml:space="preserve">  HND</v>
      </c>
      <c r="Q83" s="277">
        <f t="shared" si="15"/>
        <v>11.12325217280765</v>
      </c>
      <c r="R83" s="115">
        <f t="shared" si="16"/>
        <v>3.0981902340497922</v>
      </c>
      <c r="S83" s="115">
        <f t="shared" si="17"/>
        <v>6.1561110467089915</v>
      </c>
      <c r="T83" s="115" t="str">
        <f t="shared" si="18"/>
        <v xml:space="preserve">  HND</v>
      </c>
      <c r="U83" s="115">
        <f t="shared" si="19"/>
        <v>11.12325217280765</v>
      </c>
    </row>
    <row r="84" spans="1:21">
      <c r="A84" s="1433" t="s">
        <v>1205</v>
      </c>
      <c r="B84" s="1434">
        <v>12.826272247752508</v>
      </c>
      <c r="C84" s="1435">
        <v>20.770302106268375</v>
      </c>
      <c r="D84" s="1436">
        <v>40.599202728526762</v>
      </c>
      <c r="E84" s="1437">
        <v>2022</v>
      </c>
      <c r="H84" s="658" t="s">
        <v>1205</v>
      </c>
      <c r="I84" s="841">
        <v>40.599202728526762</v>
      </c>
      <c r="J84" s="1519" t="s">
        <v>1205</v>
      </c>
      <c r="K84" s="1520">
        <v>40.599202728526762</v>
      </c>
      <c r="L84" s="1521">
        <v>18.225459431629933</v>
      </c>
      <c r="M84" s="1522">
        <v>2022</v>
      </c>
      <c r="P84" t="str">
        <f t="shared" si="14"/>
        <v xml:space="preserve">  MEX</v>
      </c>
      <c r="Q84" s="277">
        <f t="shared" si="15"/>
        <v>40.599202728526762</v>
      </c>
      <c r="R84" s="115">
        <f t="shared" si="16"/>
        <v>12.826272247752508</v>
      </c>
      <c r="S84" s="115">
        <f t="shared" si="17"/>
        <v>20.770302106268375</v>
      </c>
      <c r="T84" s="115" t="str">
        <f t="shared" si="18"/>
        <v xml:space="preserve">  MEX</v>
      </c>
      <c r="U84" s="115">
        <f t="shared" si="19"/>
        <v>40.599202728526762</v>
      </c>
    </row>
    <row r="85" spans="1:21">
      <c r="A85" s="1438" t="s">
        <v>1200</v>
      </c>
      <c r="B85" s="1439">
        <v>4.2983790079917172</v>
      </c>
      <c r="C85" s="1440">
        <v>4.8644705090072398</v>
      </c>
      <c r="D85" s="1441">
        <v>30.648670506651364</v>
      </c>
      <c r="E85" s="1442">
        <v>2017</v>
      </c>
      <c r="H85" s="659" t="s">
        <v>1200</v>
      </c>
      <c r="I85" s="842">
        <v>30.648670506651364</v>
      </c>
      <c r="J85" s="1523" t="s">
        <v>1200</v>
      </c>
      <c r="K85" s="1524">
        <v>30.648670506651364</v>
      </c>
      <c r="L85" s="1525">
        <v>4.6325931521645503</v>
      </c>
      <c r="M85" s="1526">
        <v>2017</v>
      </c>
      <c r="P85" t="str">
        <f t="shared" si="14"/>
        <v xml:space="preserve">  PAN</v>
      </c>
      <c r="Q85" s="277">
        <f t="shared" si="15"/>
        <v>30.648670506651364</v>
      </c>
      <c r="R85" s="115">
        <f t="shared" si="16"/>
        <v>4.2983790079917172</v>
      </c>
      <c r="S85" s="115">
        <f t="shared" si="17"/>
        <v>4.8644705090072398</v>
      </c>
      <c r="T85" s="115" t="str">
        <f t="shared" si="18"/>
        <v xml:space="preserve">  PAN</v>
      </c>
      <c r="U85" s="115">
        <f t="shared" si="19"/>
        <v>30.648670506651364</v>
      </c>
    </row>
    <row r="86" spans="1:21">
      <c r="A86" s="1443" t="s">
        <v>1201</v>
      </c>
      <c r="B86" s="1444">
        <v>1.7281688834144742</v>
      </c>
      <c r="C86" s="1445">
        <v>3.7453040468054368</v>
      </c>
      <c r="D86" s="1446">
        <v>13.569700923361271</v>
      </c>
      <c r="E86" s="1447">
        <v>2022</v>
      </c>
      <c r="H86" s="660" t="s">
        <v>1201</v>
      </c>
      <c r="I86" s="843">
        <v>13.569700923361271</v>
      </c>
      <c r="J86" s="1527" t="s">
        <v>1201</v>
      </c>
      <c r="K86" s="1528">
        <v>13.569700923361271</v>
      </c>
      <c r="L86" s="1529">
        <v>3.1043170666880147</v>
      </c>
      <c r="M86" s="1530">
        <v>2022</v>
      </c>
      <c r="P86" t="str">
        <f t="shared" si="14"/>
        <v xml:space="preserve">  PER</v>
      </c>
      <c r="Q86" s="277">
        <f t="shared" si="15"/>
        <v>13.569700923361271</v>
      </c>
      <c r="R86" s="115">
        <f t="shared" si="16"/>
        <v>1.7281688834144742</v>
      </c>
      <c r="S86" s="115">
        <f t="shared" si="17"/>
        <v>3.7453040468054368</v>
      </c>
      <c r="T86" s="115" t="str">
        <f t="shared" si="18"/>
        <v xml:space="preserve">  PER</v>
      </c>
      <c r="U86" s="115">
        <f t="shared" si="19"/>
        <v>13.569700923361271</v>
      </c>
    </row>
    <row r="87" spans="1:21">
      <c r="A87" s="1448" t="s">
        <v>1202</v>
      </c>
      <c r="B87" s="1449">
        <v>0.51417323888970712</v>
      </c>
      <c r="C87" s="1450">
        <v>0.6506060894194392</v>
      </c>
      <c r="D87" s="1451">
        <v>4.2704131797410083</v>
      </c>
      <c r="E87" s="1452">
        <v>2022</v>
      </c>
      <c r="H87" s="661" t="s">
        <v>1202</v>
      </c>
      <c r="I87" s="844">
        <v>4.2704131797410083</v>
      </c>
      <c r="J87" s="1531" t="s">
        <v>1202</v>
      </c>
      <c r="K87" s="1532">
        <v>4.2704131797410083</v>
      </c>
      <c r="L87" s="1533">
        <v>0.5970828737020889</v>
      </c>
      <c r="M87" s="1534">
        <v>2022</v>
      </c>
      <c r="P87" t="str">
        <f t="shared" si="14"/>
        <v xml:space="preserve">  PRY</v>
      </c>
      <c r="Q87" s="277">
        <f t="shared" si="15"/>
        <v>4.2704131797410083</v>
      </c>
      <c r="R87" s="115">
        <f t="shared" si="16"/>
        <v>0.51417323888970712</v>
      </c>
      <c r="S87" s="115">
        <f t="shared" si="17"/>
        <v>0.6506060894194392</v>
      </c>
      <c r="T87" s="115" t="str">
        <f t="shared" si="18"/>
        <v xml:space="preserve">  PRY</v>
      </c>
      <c r="U87" s="115">
        <f t="shared" si="19"/>
        <v>4.2704131797410083</v>
      </c>
    </row>
    <row r="88" spans="1:21">
      <c r="A88" s="1453" t="s">
        <v>1206</v>
      </c>
      <c r="B88" s="1454">
        <v>5.4703709876101598</v>
      </c>
      <c r="C88" s="1455">
        <v>5.0907346083766623</v>
      </c>
      <c r="D88" s="1456">
        <v>14.974079347494692</v>
      </c>
      <c r="E88" s="1457">
        <v>2023</v>
      </c>
      <c r="H88" s="662" t="s">
        <v>1206</v>
      </c>
      <c r="I88" s="845">
        <v>14.974079347494692</v>
      </c>
      <c r="J88" s="1535" t="s">
        <v>1206</v>
      </c>
      <c r="K88" s="1536">
        <v>14.974079347494692</v>
      </c>
      <c r="L88" s="1537">
        <v>5.251019906606528</v>
      </c>
      <c r="M88" s="1538">
        <v>2023</v>
      </c>
      <c r="P88" t="str">
        <f t="shared" si="14"/>
        <v xml:space="preserve">  SLV</v>
      </c>
      <c r="Q88" s="277">
        <f t="shared" si="15"/>
        <v>14.974079347494692</v>
      </c>
      <c r="R88" s="115">
        <f t="shared" si="16"/>
        <v>5.4703709876101598</v>
      </c>
      <c r="S88" s="115">
        <f t="shared" si="17"/>
        <v>5.0907346083766623</v>
      </c>
      <c r="T88" s="115" t="str">
        <f t="shared" si="18"/>
        <v xml:space="preserve">  SLV</v>
      </c>
      <c r="U88" s="115">
        <f t="shared" si="19"/>
        <v>14.974079347494692</v>
      </c>
    </row>
    <row r="89" spans="1:21">
      <c r="A89" s="1458" t="s">
        <v>1207</v>
      </c>
      <c r="B89" s="1459">
        <v>12.46956465279356</v>
      </c>
      <c r="C89" s="1460">
        <v>22.865269009502057</v>
      </c>
      <c r="D89" s="1461">
        <v>59.253393186847262</v>
      </c>
      <c r="E89" s="1462">
        <v>2022</v>
      </c>
      <c r="H89" s="663" t="s">
        <v>1207</v>
      </c>
      <c r="I89" s="846">
        <v>59.253393186847262</v>
      </c>
      <c r="J89" s="1539" t="s">
        <v>1207</v>
      </c>
      <c r="K89" s="1540">
        <v>59.253393186847262</v>
      </c>
      <c r="L89" s="1541">
        <v>20.275025278058646</v>
      </c>
      <c r="M89" s="1542">
        <v>2022</v>
      </c>
      <c r="P89" t="str">
        <f t="shared" si="14"/>
        <v xml:space="preserve">  URY</v>
      </c>
      <c r="Q89" s="277">
        <f t="shared" si="15"/>
        <v>59.253393186847262</v>
      </c>
      <c r="R89" s="115">
        <f t="shared" si="16"/>
        <v>12.46956465279356</v>
      </c>
      <c r="S89" s="115">
        <f t="shared" si="17"/>
        <v>22.865269009502057</v>
      </c>
      <c r="T89" s="115" t="str">
        <f t="shared" si="18"/>
        <v xml:space="preserve">  URY</v>
      </c>
      <c r="U89" s="115">
        <f t="shared" si="19"/>
        <v>59.253393186847262</v>
      </c>
    </row>
    <row r="90" spans="1:21">
      <c r="A90" s="1463" t="s">
        <v>1203</v>
      </c>
      <c r="B90" s="1464">
        <v>24.878783123241188</v>
      </c>
      <c r="C90" s="1465">
        <v>34.398625464344931</v>
      </c>
      <c r="D90" s="1466">
        <v>48.337758256172499</v>
      </c>
      <c r="E90" s="1467">
        <v>2021</v>
      </c>
      <c r="H90" s="664" t="s">
        <v>1203</v>
      </c>
      <c r="I90" s="847">
        <v>48.337758256172499</v>
      </c>
      <c r="J90" s="1543" t="s">
        <v>1203</v>
      </c>
      <c r="K90" s="1544">
        <v>48.337758256172499</v>
      </c>
      <c r="L90" s="1545">
        <v>27.249412207646355</v>
      </c>
      <c r="M90" s="1546">
        <v>2021</v>
      </c>
      <c r="P90" t="str">
        <f t="shared" ref="P90" si="20">A90</f>
        <v xml:space="preserve">  VEN</v>
      </c>
      <c r="Q90" s="277">
        <f t="shared" ref="Q90" si="21">K90</f>
        <v>48.337758256172499</v>
      </c>
      <c r="R90" s="115">
        <f t="shared" ref="R90" si="22">B90</f>
        <v>24.878783123241188</v>
      </c>
      <c r="S90" s="115">
        <f t="shared" ref="S90" si="23">C90</f>
        <v>34.398625464344931</v>
      </c>
      <c r="T90" s="115" t="str">
        <f t="shared" ref="T90" si="24">J90</f>
        <v xml:space="preserve">  VEN</v>
      </c>
      <c r="U90" s="115">
        <f t="shared" ref="U90" si="25">D90</f>
        <v>48.337758256172499</v>
      </c>
    </row>
    <row r="91" spans="1:21">
      <c r="B91" s="565"/>
      <c r="C91" s="565"/>
      <c r="D91" s="565"/>
      <c r="I91" s="115"/>
      <c r="J91" s="115"/>
      <c r="M91" t="str">
        <f>IFERROR(VLOOKUP(TRIM(A91),Fact1_2!$D$24:$P$41,10,0),"")</f>
        <v/>
      </c>
      <c r="P91" s="76" t="s">
        <v>1226</v>
      </c>
      <c r="Q91" s="277"/>
      <c r="R91" s="115">
        <f>AVERAGE(R77:R90)</f>
        <v>8.6184379001818847</v>
      </c>
      <c r="S91" s="115">
        <f t="shared" ref="S91" si="26">AVERAGE(S77:S90)</f>
        <v>12.471293736757445</v>
      </c>
      <c r="T91" s="115" t="e">
        <f t="shared" ref="T91" si="27">AVERAGE(T77:T90)</f>
        <v>#DIV/0!</v>
      </c>
      <c r="U91" s="115">
        <f t="shared" ref="U91" si="28">AVERAGE(U77:U90)</f>
        <v>28.2936249731986</v>
      </c>
    </row>
    <row r="92" spans="1:21">
      <c r="B92" s="565"/>
      <c r="C92" s="565"/>
      <c r="D92" s="565"/>
      <c r="I92" s="115"/>
      <c r="J92" s="115"/>
      <c r="M92" t="str">
        <f>IFERROR(VLOOKUP(TRIM(A92),Fact1_2!$D$24:$P$41,10,0),"")</f>
        <v/>
      </c>
    </row>
    <row r="93" spans="1:21">
      <c r="A93" s="1547"/>
      <c r="B93" s="2622" t="s">
        <v>1218</v>
      </c>
      <c r="C93" s="2623" t="s">
        <v>1218</v>
      </c>
      <c r="D93" s="2623" t="s">
        <v>1218</v>
      </c>
      <c r="E93" s="1548" t="s">
        <v>1186</v>
      </c>
      <c r="H93" s="665"/>
      <c r="I93" s="848" t="s">
        <v>1218</v>
      </c>
      <c r="J93" s="1640" t="s">
        <v>1218</v>
      </c>
      <c r="K93" s="2628" t="s">
        <v>1218</v>
      </c>
      <c r="L93" s="2629" t="s">
        <v>1218</v>
      </c>
      <c r="M93" s="1641" t="s">
        <v>1186</v>
      </c>
    </row>
    <row r="94" spans="1:21">
      <c r="A94" s="1549"/>
      <c r="B94" s="2624" t="s">
        <v>1187</v>
      </c>
      <c r="C94" s="2625" t="s">
        <v>1187</v>
      </c>
      <c r="D94" s="2625" t="s">
        <v>1187</v>
      </c>
      <c r="H94" s="666"/>
      <c r="I94" s="849" t="s">
        <v>1187</v>
      </c>
      <c r="J94" s="1642" t="s">
        <v>1187</v>
      </c>
      <c r="K94" s="2630" t="s">
        <v>1187</v>
      </c>
      <c r="L94" s="2631" t="s">
        <v>1187</v>
      </c>
      <c r="M94" t="str">
        <f>IFERROR(VLOOKUP(TRIM(A94),Fact1_2!$D$24:$P$41,10,0),"")</f>
        <v/>
      </c>
    </row>
    <row r="95" spans="1:21">
      <c r="A95" s="1550"/>
      <c r="B95" s="2626" t="s">
        <v>1045</v>
      </c>
      <c r="C95" s="2627" t="s">
        <v>1045</v>
      </c>
      <c r="D95" s="2627" t="s">
        <v>1045</v>
      </c>
      <c r="H95" s="667"/>
      <c r="I95" s="850" t="s">
        <v>1003</v>
      </c>
      <c r="J95" s="1643" t="s">
        <v>1003</v>
      </c>
      <c r="K95" s="2632" t="s">
        <v>1003</v>
      </c>
      <c r="L95" s="2633" t="s">
        <v>1003</v>
      </c>
      <c r="M95" t="str">
        <f>IFERROR(VLOOKUP(TRIM(A95),Fact1_2!$D$24:$P$41,10,0),"")</f>
        <v/>
      </c>
    </row>
    <row r="96" spans="1:21" ht="15" thickBot="1">
      <c r="A96" s="1551"/>
      <c r="B96" s="1552" t="s">
        <v>1187</v>
      </c>
      <c r="C96" s="1553" t="s">
        <v>1188</v>
      </c>
      <c r="D96" s="1554" t="s">
        <v>1189</v>
      </c>
      <c r="H96" s="668"/>
      <c r="I96" s="851" t="s">
        <v>1225</v>
      </c>
      <c r="J96" s="1644" t="s">
        <v>1187</v>
      </c>
      <c r="K96" s="1645" t="s">
        <v>1225</v>
      </c>
      <c r="L96" s="1646" t="s">
        <v>1187</v>
      </c>
      <c r="M96" t="str">
        <f>IFERROR(VLOOKUP(TRIM(A96),Fact1_2!$D$24:$P$41,10,0),"")</f>
        <v/>
      </c>
      <c r="P96" s="972" t="str">
        <f>B93</f>
        <v>El hogar posee computador</v>
      </c>
      <c r="Q96" s="219"/>
      <c r="R96" s="21"/>
      <c r="S96" s="21"/>
      <c r="T96" s="21"/>
      <c r="U96" s="21"/>
    </row>
    <row r="97" spans="1:21" ht="15" thickTop="1">
      <c r="A97" s="1555" t="s">
        <v>1125</v>
      </c>
      <c r="B97" s="1556"/>
      <c r="C97" s="1557"/>
      <c r="D97" s="1558"/>
      <c r="E97" s="1559"/>
      <c r="H97" s="669" t="s">
        <v>1125</v>
      </c>
      <c r="I97" s="852"/>
      <c r="J97" s="1647" t="s">
        <v>1125</v>
      </c>
      <c r="K97" s="1648"/>
      <c r="L97" s="1649"/>
      <c r="M97" s="1650" t="str">
        <f>IFERROR(VLOOKUP(TRIM(A97),Fact1_2!$D$24:$P$41,10,0),"")</f>
        <v/>
      </c>
      <c r="P97" s="213" t="s">
        <v>904</v>
      </c>
      <c r="Q97" s="216" t="s">
        <v>938</v>
      </c>
      <c r="R97" s="214" t="s">
        <v>1141</v>
      </c>
      <c r="S97" s="214" t="s">
        <v>1142</v>
      </c>
      <c r="T97" s="214" t="s">
        <v>1152</v>
      </c>
      <c r="U97" s="214" t="s">
        <v>1102</v>
      </c>
    </row>
    <row r="98" spans="1:21">
      <c r="A98" s="1560" t="s">
        <v>1191</v>
      </c>
      <c r="B98" s="1561">
        <v>7.6091663313030882</v>
      </c>
      <c r="C98" s="1562">
        <v>10.530614006443962</v>
      </c>
      <c r="D98" s="1563">
        <v>36.464822440973812</v>
      </c>
      <c r="E98" s="1564">
        <v>2022</v>
      </c>
      <c r="H98" s="670" t="s">
        <v>1191</v>
      </c>
      <c r="I98" s="853">
        <v>36.464822440973812</v>
      </c>
      <c r="J98" s="1651" t="s">
        <v>1191</v>
      </c>
      <c r="K98" s="1652">
        <v>36.464822440973812</v>
      </c>
      <c r="L98" s="1653">
        <v>9.4409220316533613</v>
      </c>
      <c r="M98" s="1654">
        <v>2022</v>
      </c>
      <c r="P98" t="str">
        <f>A98</f>
        <v xml:space="preserve">  BOL</v>
      </c>
      <c r="Q98" s="277">
        <f>K98</f>
        <v>36.464822440973812</v>
      </c>
      <c r="R98" s="115">
        <f>B98</f>
        <v>7.6091663313030882</v>
      </c>
      <c r="S98" s="115">
        <f>C98</f>
        <v>10.530614006443962</v>
      </c>
      <c r="T98" s="115" t="str">
        <f>J98</f>
        <v xml:space="preserve">  BOL</v>
      </c>
      <c r="U98" s="115">
        <f>D98</f>
        <v>36.464822440973812</v>
      </c>
    </row>
    <row r="99" spans="1:21">
      <c r="A99" s="1565" t="s">
        <v>1192</v>
      </c>
      <c r="B99" s="1566">
        <v>10.670205000328838</v>
      </c>
      <c r="C99" s="1567">
        <v>22.064133993404045</v>
      </c>
      <c r="D99" s="1568">
        <v>49.296491881430256</v>
      </c>
      <c r="E99" s="1569">
        <v>2019</v>
      </c>
      <c r="H99" s="671" t="s">
        <v>1192</v>
      </c>
      <c r="I99" s="854">
        <v>49.296491881430256</v>
      </c>
      <c r="J99" s="1655" t="s">
        <v>1192</v>
      </c>
      <c r="K99" s="1656">
        <v>49.296491881430256</v>
      </c>
      <c r="L99" s="1657">
        <v>17.526182186229434</v>
      </c>
      <c r="M99" s="1658">
        <v>2019</v>
      </c>
      <c r="P99" t="str">
        <f t="shared" ref="P99:P112" si="29">A99</f>
        <v xml:space="preserve">  BRA</v>
      </c>
      <c r="Q99" s="277">
        <f t="shared" ref="Q99:Q112" si="30">K99</f>
        <v>49.296491881430256</v>
      </c>
      <c r="R99" s="115">
        <f t="shared" ref="R99:R112" si="31">B99</f>
        <v>10.670205000328838</v>
      </c>
      <c r="S99" s="115">
        <f t="shared" ref="S99:S112" si="32">C99</f>
        <v>22.064133993404045</v>
      </c>
      <c r="T99" s="115" t="str">
        <f t="shared" ref="T99:T112" si="33">J99</f>
        <v xml:space="preserve">  BRA</v>
      </c>
      <c r="U99" s="115">
        <f t="shared" ref="U99:U112" si="34">D99</f>
        <v>49.296491881430256</v>
      </c>
    </row>
    <row r="100" spans="1:21">
      <c r="A100" s="1570" t="s">
        <v>1193</v>
      </c>
      <c r="B100" s="1571">
        <v>39.060418674666174</v>
      </c>
      <c r="C100" s="1572">
        <v>44.438348599838278</v>
      </c>
      <c r="D100" s="1573">
        <v>59.074586267325977</v>
      </c>
      <c r="E100" s="1574">
        <v>2017</v>
      </c>
      <c r="H100" s="672" t="s">
        <v>1193</v>
      </c>
      <c r="I100" s="855">
        <v>59.074586267325977</v>
      </c>
      <c r="J100" s="1659" t="s">
        <v>1193</v>
      </c>
      <c r="K100" s="1660">
        <v>59.074586267325977</v>
      </c>
      <c r="L100" s="1661">
        <v>43.100608134045402</v>
      </c>
      <c r="M100" s="1662">
        <v>2017</v>
      </c>
      <c r="P100" t="str">
        <f t="shared" si="29"/>
        <v xml:space="preserve">  CHL</v>
      </c>
      <c r="Q100" s="277">
        <f t="shared" si="30"/>
        <v>59.074586267325977</v>
      </c>
      <c r="R100" s="115">
        <f t="shared" si="31"/>
        <v>39.060418674666174</v>
      </c>
      <c r="S100" s="115">
        <f t="shared" si="32"/>
        <v>44.438348599838278</v>
      </c>
      <c r="T100" s="115" t="str">
        <f t="shared" si="33"/>
        <v xml:space="preserve">  CHL</v>
      </c>
      <c r="U100" s="115">
        <f t="shared" si="34"/>
        <v>59.074586267325977</v>
      </c>
    </row>
    <row r="101" spans="1:21">
      <c r="A101" s="1575" t="s">
        <v>1194</v>
      </c>
      <c r="B101" s="1576">
        <v>8.437112337700329</v>
      </c>
      <c r="C101" s="1577">
        <v>15.399308972038723</v>
      </c>
      <c r="D101" s="1578">
        <v>42.202133159971552</v>
      </c>
      <c r="E101" s="1579">
        <v>2021</v>
      </c>
      <c r="H101" s="673" t="s">
        <v>1194</v>
      </c>
      <c r="I101" s="856">
        <v>42.202133159971552</v>
      </c>
      <c r="J101" s="1663" t="s">
        <v>1194</v>
      </c>
      <c r="K101" s="1664">
        <v>42.202133159971552</v>
      </c>
      <c r="L101" s="1665">
        <v>12.270164854773606</v>
      </c>
      <c r="M101" s="1666">
        <v>2021</v>
      </c>
      <c r="P101" t="str">
        <f t="shared" si="29"/>
        <v xml:space="preserve">  COL</v>
      </c>
      <c r="Q101" s="277">
        <f t="shared" si="30"/>
        <v>42.202133159971552</v>
      </c>
      <c r="R101" s="115">
        <f t="shared" si="31"/>
        <v>8.437112337700329</v>
      </c>
      <c r="S101" s="115">
        <f t="shared" si="32"/>
        <v>15.399308972038723</v>
      </c>
      <c r="T101" s="115" t="str">
        <f t="shared" si="33"/>
        <v xml:space="preserve">  COL</v>
      </c>
      <c r="U101" s="115">
        <f t="shared" si="34"/>
        <v>42.202133159971552</v>
      </c>
    </row>
    <row r="102" spans="1:21">
      <c r="A102" s="1580" t="s">
        <v>1195</v>
      </c>
      <c r="B102" s="1581">
        <v>0.39560202651719306</v>
      </c>
      <c r="C102" s="1582">
        <v>0.97989292088042823</v>
      </c>
      <c r="D102" s="1583">
        <v>9.4521377544716731</v>
      </c>
      <c r="E102" s="1584">
        <v>2023</v>
      </c>
      <c r="H102" s="674" t="s">
        <v>1195</v>
      </c>
      <c r="I102" s="857">
        <v>9.4521377544716731</v>
      </c>
      <c r="J102" s="1667" t="s">
        <v>1195</v>
      </c>
      <c r="K102" s="1668">
        <v>9.4521377544716731</v>
      </c>
      <c r="L102" s="1669">
        <v>0.80093761864672564</v>
      </c>
      <c r="M102" s="1670">
        <v>2023</v>
      </c>
      <c r="P102" t="str">
        <f t="shared" si="29"/>
        <v xml:space="preserve">  CRI</v>
      </c>
      <c r="Q102" s="277">
        <f t="shared" si="30"/>
        <v>9.4521377544716731</v>
      </c>
      <c r="R102" s="115">
        <f t="shared" si="31"/>
        <v>0.39560202651719306</v>
      </c>
      <c r="S102" s="115">
        <f t="shared" si="32"/>
        <v>0.97989292088042823</v>
      </c>
      <c r="T102" s="115" t="str">
        <f t="shared" si="33"/>
        <v xml:space="preserve">  CRI</v>
      </c>
      <c r="U102" s="115">
        <f t="shared" si="34"/>
        <v>9.4521377544716731</v>
      </c>
    </row>
    <row r="103" spans="1:21">
      <c r="A103" s="1585" t="s">
        <v>1196</v>
      </c>
      <c r="B103" s="1586">
        <v>11.635018879591403</v>
      </c>
      <c r="C103" s="1587">
        <v>10.829250790871177</v>
      </c>
      <c r="D103" s="1588">
        <v>17.220840530656375</v>
      </c>
      <c r="E103" s="1589">
        <v>2022</v>
      </c>
      <c r="H103" s="675" t="s">
        <v>1196</v>
      </c>
      <c r="I103" s="858">
        <v>17.220840530656375</v>
      </c>
      <c r="J103" s="1671" t="s">
        <v>1196</v>
      </c>
      <c r="K103" s="1672">
        <v>17.220840530656375</v>
      </c>
      <c r="L103" s="1673">
        <v>11.07566538050976</v>
      </c>
      <c r="M103" s="1674">
        <v>2022</v>
      </c>
      <c r="P103" t="str">
        <f t="shared" si="29"/>
        <v xml:space="preserve">  DOM</v>
      </c>
      <c r="Q103" s="277">
        <f t="shared" si="30"/>
        <v>17.220840530656375</v>
      </c>
      <c r="R103" s="115">
        <f t="shared" si="31"/>
        <v>11.635018879591403</v>
      </c>
      <c r="S103" s="115">
        <f t="shared" si="32"/>
        <v>10.829250790871177</v>
      </c>
      <c r="T103" s="115" t="str">
        <f t="shared" si="33"/>
        <v xml:space="preserve">  DOM</v>
      </c>
      <c r="U103" s="115">
        <f t="shared" si="34"/>
        <v>17.220840530656375</v>
      </c>
    </row>
    <row r="104" spans="1:21">
      <c r="A104" s="1590" t="s">
        <v>1197</v>
      </c>
      <c r="B104" s="1591">
        <v>12.756009715054162</v>
      </c>
      <c r="C104" s="1592">
        <v>21.095441910370212</v>
      </c>
      <c r="D104" s="1593">
        <v>50.403352219916265</v>
      </c>
      <c r="E104" s="1594">
        <v>2017</v>
      </c>
      <c r="H104" s="676" t="s">
        <v>1197</v>
      </c>
      <c r="I104" s="859">
        <v>50.403352219916265</v>
      </c>
      <c r="J104" s="1675" t="s">
        <v>1197</v>
      </c>
      <c r="K104" s="1676">
        <v>50.403352219916265</v>
      </c>
      <c r="L104" s="1677">
        <v>18.126846312781915</v>
      </c>
      <c r="M104" s="1678">
        <v>2017</v>
      </c>
      <c r="P104" t="str">
        <f t="shared" si="29"/>
        <v xml:space="preserve">  ECU</v>
      </c>
      <c r="Q104" s="277">
        <f t="shared" si="30"/>
        <v>50.403352219916265</v>
      </c>
      <c r="R104" s="115">
        <f t="shared" si="31"/>
        <v>12.756009715054162</v>
      </c>
      <c r="S104" s="115">
        <f t="shared" si="32"/>
        <v>21.095441910370212</v>
      </c>
      <c r="T104" s="115" t="str">
        <f t="shared" si="33"/>
        <v xml:space="preserve">  ECU</v>
      </c>
      <c r="U104" s="115">
        <f t="shared" si="34"/>
        <v>50.403352219916265</v>
      </c>
    </row>
    <row r="105" spans="1:21">
      <c r="A105" s="1595" t="s">
        <v>1204</v>
      </c>
      <c r="B105" s="1596">
        <v>0.5677987832236836</v>
      </c>
      <c r="C105" s="1597">
        <v>2.0173568267642277</v>
      </c>
      <c r="D105" s="1598">
        <v>18.140225514271169</v>
      </c>
      <c r="E105" s="1599">
        <v>2006</v>
      </c>
      <c r="H105" s="677" t="s">
        <v>1204</v>
      </c>
      <c r="I105" s="860">
        <v>18.140225514271169</v>
      </c>
      <c r="J105" s="1679" t="s">
        <v>1204</v>
      </c>
      <c r="K105" s="1680">
        <v>18.140225514271169</v>
      </c>
      <c r="L105" s="1681">
        <v>1.2292751684230789</v>
      </c>
      <c r="M105" s="1682">
        <v>2006</v>
      </c>
      <c r="P105" t="str">
        <f t="shared" si="29"/>
        <v xml:space="preserve">  GTM</v>
      </c>
      <c r="Q105" s="277">
        <f t="shared" si="30"/>
        <v>18.140225514271169</v>
      </c>
      <c r="R105" s="115">
        <f t="shared" si="31"/>
        <v>0.5677987832236836</v>
      </c>
      <c r="S105" s="115">
        <f t="shared" si="32"/>
        <v>2.0173568267642277</v>
      </c>
      <c r="T105" s="115" t="str">
        <f t="shared" si="33"/>
        <v xml:space="preserve">  GTM</v>
      </c>
      <c r="U105" s="115">
        <f t="shared" si="34"/>
        <v>18.140225514271169</v>
      </c>
    </row>
    <row r="106" spans="1:21">
      <c r="A106" s="1600" t="s">
        <v>1199</v>
      </c>
      <c r="B106" s="1601">
        <v>5.0265322318546728</v>
      </c>
      <c r="C106" s="1602">
        <v>8.5572317543526957</v>
      </c>
      <c r="D106" s="1603">
        <v>24.994159669780334</v>
      </c>
      <c r="E106" s="1604">
        <v>2023</v>
      </c>
      <c r="H106" s="678" t="s">
        <v>1199</v>
      </c>
      <c r="I106" s="861">
        <v>24.994159669780334</v>
      </c>
      <c r="J106" s="1683" t="s">
        <v>1199</v>
      </c>
      <c r="K106" s="1684">
        <v>24.994159669780334</v>
      </c>
      <c r="L106" s="1685">
        <v>6.556660296103936</v>
      </c>
      <c r="M106" s="1686">
        <v>2023</v>
      </c>
      <c r="P106" t="str">
        <f t="shared" si="29"/>
        <v xml:space="preserve">  HND</v>
      </c>
      <c r="Q106" s="277">
        <f t="shared" si="30"/>
        <v>24.994159669780334</v>
      </c>
      <c r="R106" s="115">
        <f t="shared" si="31"/>
        <v>5.0265322318546728</v>
      </c>
      <c r="S106" s="115">
        <f t="shared" si="32"/>
        <v>8.5572317543526957</v>
      </c>
      <c r="T106" s="115" t="str">
        <f t="shared" si="33"/>
        <v xml:space="preserve">  HND</v>
      </c>
      <c r="U106" s="115">
        <f t="shared" si="34"/>
        <v>24.994159669780334</v>
      </c>
    </row>
    <row r="107" spans="1:21">
      <c r="A107" s="1605" t="s">
        <v>1205</v>
      </c>
      <c r="B107" s="1606">
        <v>5.9215469794574682</v>
      </c>
      <c r="C107" s="1607">
        <v>13.265451454961907</v>
      </c>
      <c r="D107" s="1608">
        <v>37.187953106082858</v>
      </c>
      <c r="E107" s="1609">
        <v>2022</v>
      </c>
      <c r="H107" s="679" t="s">
        <v>1205</v>
      </c>
      <c r="I107" s="862">
        <v>37.187953106082858</v>
      </c>
      <c r="J107" s="1687" t="s">
        <v>1205</v>
      </c>
      <c r="K107" s="1688">
        <v>37.187953106082858</v>
      </c>
      <c r="L107" s="1689">
        <v>10.912856885129372</v>
      </c>
      <c r="M107" s="1690">
        <v>2022</v>
      </c>
      <c r="P107" t="str">
        <f t="shared" si="29"/>
        <v xml:space="preserve">  MEX</v>
      </c>
      <c r="Q107" s="277">
        <f t="shared" si="30"/>
        <v>37.187953106082858</v>
      </c>
      <c r="R107" s="115">
        <f t="shared" si="31"/>
        <v>5.9215469794574682</v>
      </c>
      <c r="S107" s="115">
        <f t="shared" si="32"/>
        <v>13.265451454961907</v>
      </c>
      <c r="T107" s="115" t="str">
        <f t="shared" si="33"/>
        <v xml:space="preserve">  MEX</v>
      </c>
      <c r="U107" s="115">
        <f t="shared" si="34"/>
        <v>37.187953106082858</v>
      </c>
    </row>
    <row r="108" spans="1:21">
      <c r="A108" s="1610" t="s">
        <v>1200</v>
      </c>
      <c r="B108" s="1611">
        <v>7.1666612741450155</v>
      </c>
      <c r="C108" s="1612">
        <v>12.253212862674673</v>
      </c>
      <c r="D108" s="1613">
        <v>41.934316926598498</v>
      </c>
      <c r="E108" s="1614">
        <v>2017</v>
      </c>
      <c r="H108" s="680" t="s">
        <v>1200</v>
      </c>
      <c r="I108" s="863">
        <v>41.934316926598498</v>
      </c>
      <c r="J108" s="1691" t="s">
        <v>1200</v>
      </c>
      <c r="K108" s="1692">
        <v>41.934316926598498</v>
      </c>
      <c r="L108" s="1693">
        <v>10.169704921508989</v>
      </c>
      <c r="M108" s="1694">
        <v>2017</v>
      </c>
      <c r="P108" t="str">
        <f t="shared" si="29"/>
        <v xml:space="preserve">  PAN</v>
      </c>
      <c r="Q108" s="277">
        <f t="shared" si="30"/>
        <v>41.934316926598498</v>
      </c>
      <c r="R108" s="115">
        <f t="shared" si="31"/>
        <v>7.1666612741450155</v>
      </c>
      <c r="S108" s="115">
        <f t="shared" si="32"/>
        <v>12.253212862674673</v>
      </c>
      <c r="T108" s="115" t="str">
        <f t="shared" si="33"/>
        <v xml:space="preserve">  PAN</v>
      </c>
      <c r="U108" s="115">
        <f t="shared" si="34"/>
        <v>41.934316926598498</v>
      </c>
    </row>
    <row r="109" spans="1:21">
      <c r="A109" s="1615" t="s">
        <v>1201</v>
      </c>
      <c r="B109" s="1616">
        <v>10.470563599313186</v>
      </c>
      <c r="C109" s="1617">
        <v>18.364037640684092</v>
      </c>
      <c r="D109" s="1618">
        <v>41.591080821383983</v>
      </c>
      <c r="E109" s="1619">
        <v>2022</v>
      </c>
      <c r="H109" s="681" t="s">
        <v>1201</v>
      </c>
      <c r="I109" s="864">
        <v>41.591080821383983</v>
      </c>
      <c r="J109" s="1695" t="s">
        <v>1201</v>
      </c>
      <c r="K109" s="1696">
        <v>41.591080821383983</v>
      </c>
      <c r="L109" s="1697">
        <v>15.855720805877645</v>
      </c>
      <c r="M109" s="1698">
        <v>2022</v>
      </c>
      <c r="P109" t="str">
        <f t="shared" si="29"/>
        <v xml:space="preserve">  PER</v>
      </c>
      <c r="Q109" s="277">
        <f t="shared" si="30"/>
        <v>41.591080821383983</v>
      </c>
      <c r="R109" s="115">
        <f t="shared" si="31"/>
        <v>10.470563599313186</v>
      </c>
      <c r="S109" s="115">
        <f t="shared" si="32"/>
        <v>18.364037640684092</v>
      </c>
      <c r="T109" s="115" t="str">
        <f t="shared" si="33"/>
        <v xml:space="preserve">  PER</v>
      </c>
      <c r="U109" s="115">
        <f t="shared" si="34"/>
        <v>41.591080821383983</v>
      </c>
    </row>
    <row r="110" spans="1:21">
      <c r="A110" s="1620" t="s">
        <v>1202</v>
      </c>
      <c r="B110" s="1621">
        <v>3.7746207302866783</v>
      </c>
      <c r="C110" s="1622">
        <v>7.3612419718723805</v>
      </c>
      <c r="D110" s="1623">
        <v>38.44866258477559</v>
      </c>
      <c r="E110" s="1624">
        <v>2022</v>
      </c>
      <c r="H110" s="682" t="s">
        <v>1202</v>
      </c>
      <c r="I110" s="865">
        <v>38.44866258477559</v>
      </c>
      <c r="J110" s="1699" t="s">
        <v>1202</v>
      </c>
      <c r="K110" s="1700">
        <v>38.44866258477559</v>
      </c>
      <c r="L110" s="1701">
        <v>5.9541944634133532</v>
      </c>
      <c r="M110" s="1702">
        <v>2022</v>
      </c>
      <c r="P110" t="str">
        <f t="shared" si="29"/>
        <v xml:space="preserve">  PRY</v>
      </c>
      <c r="Q110" s="277">
        <f t="shared" si="30"/>
        <v>38.44866258477559</v>
      </c>
      <c r="R110" s="115">
        <f t="shared" si="31"/>
        <v>3.7746207302866783</v>
      </c>
      <c r="S110" s="115">
        <f t="shared" si="32"/>
        <v>7.3612419718723805</v>
      </c>
      <c r="T110" s="115" t="str">
        <f t="shared" si="33"/>
        <v xml:space="preserve">  PRY</v>
      </c>
      <c r="U110" s="115">
        <f t="shared" si="34"/>
        <v>38.44866258477559</v>
      </c>
    </row>
    <row r="111" spans="1:21">
      <c r="A111" s="1625" t="s">
        <v>1206</v>
      </c>
      <c r="B111" s="1626">
        <v>49.868692588614358</v>
      </c>
      <c r="C111" s="1627">
        <v>55.490876551299564</v>
      </c>
      <c r="D111" s="1628">
        <v>51.525896545000784</v>
      </c>
      <c r="E111" s="1629">
        <v>2023</v>
      </c>
      <c r="H111" s="683" t="s">
        <v>1206</v>
      </c>
      <c r="I111" s="866">
        <v>51.525896545000784</v>
      </c>
      <c r="J111" s="1703" t="s">
        <v>1206</v>
      </c>
      <c r="K111" s="1704">
        <v>51.525896545000784</v>
      </c>
      <c r="L111" s="1705">
        <v>53.117148735799816</v>
      </c>
      <c r="M111" s="1706">
        <v>2023</v>
      </c>
      <c r="P111" t="str">
        <f t="shared" si="29"/>
        <v xml:space="preserve">  SLV</v>
      </c>
      <c r="Q111" s="277">
        <f t="shared" si="30"/>
        <v>51.525896545000784</v>
      </c>
      <c r="R111" s="115">
        <f t="shared" si="31"/>
        <v>49.868692588614358</v>
      </c>
      <c r="S111" s="115">
        <f t="shared" si="32"/>
        <v>55.490876551299564</v>
      </c>
      <c r="T111" s="115" t="str">
        <f t="shared" si="33"/>
        <v xml:space="preserve">  SLV</v>
      </c>
      <c r="U111" s="115">
        <f t="shared" si="34"/>
        <v>51.525896545000784</v>
      </c>
    </row>
    <row r="112" spans="1:21">
      <c r="A112" s="1630" t="s">
        <v>1207</v>
      </c>
      <c r="B112" s="1631">
        <v>68.827711586533781</v>
      </c>
      <c r="C112" s="1632">
        <v>61.058800715347651</v>
      </c>
      <c r="D112" s="1633">
        <v>64.832860001973188</v>
      </c>
      <c r="E112" s="1634">
        <v>2022</v>
      </c>
      <c r="H112" s="684" t="s">
        <v>1207</v>
      </c>
      <c r="I112" s="867">
        <v>64.832860001973188</v>
      </c>
      <c r="J112" s="1707" t="s">
        <v>1207</v>
      </c>
      <c r="K112" s="1708">
        <v>64.832860001973188</v>
      </c>
      <c r="L112" s="1709">
        <v>62.994539939332661</v>
      </c>
      <c r="M112" s="1710">
        <v>2022</v>
      </c>
      <c r="P112" t="str">
        <f t="shared" si="29"/>
        <v xml:space="preserve">  URY</v>
      </c>
      <c r="Q112" s="277">
        <f t="shared" si="30"/>
        <v>64.832860001973188</v>
      </c>
      <c r="R112" s="115">
        <f t="shared" si="31"/>
        <v>68.827711586533781</v>
      </c>
      <c r="S112" s="115">
        <f t="shared" si="32"/>
        <v>61.058800715347651</v>
      </c>
      <c r="T112" s="115" t="str">
        <f t="shared" si="33"/>
        <v xml:space="preserve">  URY</v>
      </c>
      <c r="U112" s="115">
        <f t="shared" si="34"/>
        <v>64.832860001973188</v>
      </c>
    </row>
    <row r="113" spans="1:21">
      <c r="A113" s="1635" t="s">
        <v>1203</v>
      </c>
      <c r="B113" s="1636">
        <v>18.780058484604996</v>
      </c>
      <c r="C113" s="1637">
        <v>22.602483329988456</v>
      </c>
      <c r="D113" s="1638">
        <v>34.947142989990503</v>
      </c>
      <c r="E113" s="1639">
        <v>2021</v>
      </c>
      <c r="H113" s="685" t="s">
        <v>1203</v>
      </c>
      <c r="I113" s="868">
        <v>34.947142989990503</v>
      </c>
      <c r="J113" s="1711" t="s">
        <v>1203</v>
      </c>
      <c r="K113" s="1712">
        <v>34.947142989990503</v>
      </c>
      <c r="L113" s="1713">
        <v>19.731917894323786</v>
      </c>
      <c r="M113" s="1714">
        <v>2021</v>
      </c>
      <c r="P113" t="str">
        <f t="shared" ref="P113" si="35">A113</f>
        <v xml:space="preserve">  VEN</v>
      </c>
      <c r="Q113" s="277">
        <f t="shared" ref="Q113" si="36">K113</f>
        <v>34.947142989990503</v>
      </c>
      <c r="R113" s="115">
        <f t="shared" ref="R113" si="37">B113</f>
        <v>18.780058484604996</v>
      </c>
      <c r="S113" s="115">
        <f t="shared" ref="S113" si="38">C113</f>
        <v>22.602483329988456</v>
      </c>
      <c r="T113" s="115" t="str">
        <f t="shared" ref="T113" si="39">J113</f>
        <v xml:space="preserve">  VEN</v>
      </c>
      <c r="U113" s="115">
        <f t="shared" ref="U113" si="40">D113</f>
        <v>34.947142989990503</v>
      </c>
    </row>
    <row r="114" spans="1:21">
      <c r="B114" s="565"/>
      <c r="C114" s="565"/>
      <c r="D114" s="565"/>
      <c r="I114" s="115"/>
      <c r="J114" s="115"/>
      <c r="M114" t="str">
        <f>IFERROR(VLOOKUP(TRIM(A114),Fact1_2!$D$24:$P$41,10,0),"")</f>
        <v/>
      </c>
      <c r="P114" s="76" t="s">
        <v>1226</v>
      </c>
      <c r="Q114" s="277"/>
      <c r="R114" s="115">
        <f>AVERAGE(R100:R113)</f>
        <v>17.334881992254509</v>
      </c>
      <c r="S114" s="115">
        <f t="shared" ref="S114" si="41">AVERAGE(S100:S113)</f>
        <v>20.979495450138891</v>
      </c>
      <c r="T114" s="115" t="e">
        <f t="shared" ref="T114" si="42">AVERAGE(T100:T113)</f>
        <v>#DIV/0!</v>
      </c>
      <c r="U114" s="115">
        <f t="shared" ref="U114" si="43">AVERAGE(U100:U113)</f>
        <v>37.996810578014205</v>
      </c>
    </row>
    <row r="115" spans="1:21">
      <c r="B115" s="565"/>
      <c r="C115" s="565"/>
      <c r="D115" s="565"/>
      <c r="I115" s="115"/>
      <c r="J115" s="115"/>
      <c r="M115" t="str">
        <f>IFERROR(VLOOKUP(TRIM(A115),Fact1_2!$D$24:$P$41,10,0),"")</f>
        <v/>
      </c>
    </row>
    <row r="116" spans="1:21">
      <c r="A116" s="1715"/>
      <c r="B116" s="2610" t="s">
        <v>1219</v>
      </c>
      <c r="C116" s="2611" t="s">
        <v>1219</v>
      </c>
      <c r="D116" s="2611" t="s">
        <v>1219</v>
      </c>
      <c r="E116" s="1716" t="s">
        <v>1186</v>
      </c>
      <c r="H116" s="686"/>
      <c r="I116" s="869" t="s">
        <v>1219</v>
      </c>
      <c r="J116" s="1808" t="s">
        <v>1219</v>
      </c>
      <c r="K116" s="2616" t="s">
        <v>1219</v>
      </c>
      <c r="L116" s="2617" t="s">
        <v>1219</v>
      </c>
      <c r="M116" s="1809" t="s">
        <v>1186</v>
      </c>
    </row>
    <row r="117" spans="1:21">
      <c r="A117" s="1717"/>
      <c r="B117" s="2612" t="s">
        <v>1187</v>
      </c>
      <c r="C117" s="2613" t="s">
        <v>1187</v>
      </c>
      <c r="D117" s="2613" t="s">
        <v>1187</v>
      </c>
      <c r="H117" s="687"/>
      <c r="I117" s="870" t="s">
        <v>1187</v>
      </c>
      <c r="J117" s="1810" t="s">
        <v>1187</v>
      </c>
      <c r="K117" s="2618" t="s">
        <v>1187</v>
      </c>
      <c r="L117" s="2619" t="s">
        <v>1187</v>
      </c>
      <c r="M117" t="str">
        <f>IFERROR(VLOOKUP(TRIM(A117),Fact1_2!$D$24:$P$41,10,0),"")</f>
        <v/>
      </c>
    </row>
    <row r="118" spans="1:21">
      <c r="A118" s="1718"/>
      <c r="B118" s="2614" t="s">
        <v>1045</v>
      </c>
      <c r="C118" s="2615" t="s">
        <v>1045</v>
      </c>
      <c r="D118" s="2615" t="s">
        <v>1045</v>
      </c>
      <c r="H118" s="688"/>
      <c r="I118" s="871" t="s">
        <v>1003</v>
      </c>
      <c r="J118" s="1811" t="s">
        <v>1003</v>
      </c>
      <c r="K118" s="2620" t="s">
        <v>1003</v>
      </c>
      <c r="L118" s="2621" t="s">
        <v>1003</v>
      </c>
      <c r="M118" t="str">
        <f>IFERROR(VLOOKUP(TRIM(A118),Fact1_2!$D$24:$P$41,10,0),"")</f>
        <v/>
      </c>
    </row>
    <row r="119" spans="1:21" ht="15" thickBot="1">
      <c r="A119" s="1719"/>
      <c r="B119" s="1720" t="s">
        <v>1187</v>
      </c>
      <c r="C119" s="1721" t="s">
        <v>1188</v>
      </c>
      <c r="D119" s="1722" t="s">
        <v>1189</v>
      </c>
      <c r="H119" s="689"/>
      <c r="I119" s="872" t="s">
        <v>1225</v>
      </c>
      <c r="J119" s="1812" t="s">
        <v>1187</v>
      </c>
      <c r="K119" s="1813" t="s">
        <v>1225</v>
      </c>
      <c r="L119" s="1814" t="s">
        <v>1187</v>
      </c>
      <c r="M119" t="str">
        <f>IFERROR(VLOOKUP(TRIM(A119),Fact1_2!$D$24:$P$41,10,0),"")</f>
        <v/>
      </c>
      <c r="P119" s="972" t="str">
        <f>B116</f>
        <v>El hogar posee conexión a internet</v>
      </c>
      <c r="Q119" s="219"/>
      <c r="R119" s="21"/>
      <c r="S119" s="21"/>
      <c r="T119" s="21"/>
      <c r="U119" s="21"/>
    </row>
    <row r="120" spans="1:21" ht="15" thickTop="1">
      <c r="A120" s="1723" t="s">
        <v>1125</v>
      </c>
      <c r="B120" s="1724"/>
      <c r="C120" s="1725"/>
      <c r="D120" s="1726"/>
      <c r="E120" s="1727"/>
      <c r="H120" s="690" t="s">
        <v>1125</v>
      </c>
      <c r="I120" s="873"/>
      <c r="J120" s="1815" t="s">
        <v>1125</v>
      </c>
      <c r="K120" s="1816"/>
      <c r="L120" s="1817"/>
      <c r="M120" s="1818" t="str">
        <f>IFERROR(VLOOKUP(TRIM(A120),Fact1_2!$D$24:$P$41,10,0),"")</f>
        <v/>
      </c>
      <c r="P120" s="213" t="s">
        <v>904</v>
      </c>
      <c r="Q120" s="216" t="s">
        <v>938</v>
      </c>
      <c r="R120" s="214" t="s">
        <v>1141</v>
      </c>
      <c r="S120" s="214" t="s">
        <v>1142</v>
      </c>
      <c r="T120" s="214" t="s">
        <v>1152</v>
      </c>
      <c r="U120" s="214" t="s">
        <v>1102</v>
      </c>
    </row>
    <row r="121" spans="1:21">
      <c r="A121" s="1728" t="s">
        <v>1191</v>
      </c>
      <c r="B121" s="1729">
        <v>47.073982278237899</v>
      </c>
      <c r="C121" s="1730">
        <v>48.608035829009552</v>
      </c>
      <c r="D121" s="1731">
        <v>76.093405723611014</v>
      </c>
      <c r="E121" s="1732">
        <v>2022</v>
      </c>
      <c r="H121" s="691" t="s">
        <v>1191</v>
      </c>
      <c r="I121" s="874">
        <v>76.093405723611014</v>
      </c>
      <c r="J121" s="1819" t="s">
        <v>1191</v>
      </c>
      <c r="K121" s="1820">
        <v>76.093405723611014</v>
      </c>
      <c r="L121" s="1821">
        <v>48.035838059595697</v>
      </c>
      <c r="M121" s="1822">
        <v>2022</v>
      </c>
      <c r="P121" t="str">
        <f>A121</f>
        <v xml:space="preserve">  BOL</v>
      </c>
      <c r="Q121" s="277">
        <f>K121</f>
        <v>76.093405723611014</v>
      </c>
      <c r="R121" s="115">
        <f>B121</f>
        <v>47.073982278237899</v>
      </c>
      <c r="S121" s="115">
        <f>C121</f>
        <v>48.608035829009552</v>
      </c>
      <c r="T121" s="115" t="str">
        <f>J121</f>
        <v xml:space="preserve">  BOL</v>
      </c>
      <c r="U121" s="115">
        <f>D121</f>
        <v>76.093405723611014</v>
      </c>
    </row>
    <row r="122" spans="1:21">
      <c r="A122" s="1733" t="s">
        <v>1192</v>
      </c>
      <c r="B122" s="1734">
        <v>63.277956293960457</v>
      </c>
      <c r="C122" s="1735">
        <v>77.295747536875041</v>
      </c>
      <c r="D122" s="1736">
        <v>82.918728624110798</v>
      </c>
      <c r="E122" s="1737">
        <v>2019</v>
      </c>
      <c r="H122" s="692" t="s">
        <v>1192</v>
      </c>
      <c r="I122" s="875">
        <v>82.918728624110798</v>
      </c>
      <c r="J122" s="1823" t="s">
        <v>1192</v>
      </c>
      <c r="K122" s="1824">
        <v>82.918728624110798</v>
      </c>
      <c r="L122" s="1825">
        <v>71.712768992595741</v>
      </c>
      <c r="M122" s="1826">
        <v>2019</v>
      </c>
      <c r="P122" t="str">
        <f t="shared" ref="P122:P135" si="44">A122</f>
        <v xml:space="preserve">  BRA</v>
      </c>
      <c r="Q122" s="277">
        <f t="shared" ref="Q122:Q135" si="45">K122</f>
        <v>82.918728624110798</v>
      </c>
      <c r="R122" s="115">
        <f t="shared" ref="R122:R135" si="46">B122</f>
        <v>63.277956293960457</v>
      </c>
      <c r="S122" s="115">
        <f t="shared" ref="S122:S135" si="47">C122</f>
        <v>77.295747536875041</v>
      </c>
      <c r="T122" s="115" t="str">
        <f t="shared" ref="T122:T135" si="48">J122</f>
        <v xml:space="preserve">  BRA</v>
      </c>
      <c r="U122" s="115">
        <f t="shared" ref="U122:U135" si="49">D122</f>
        <v>82.918728624110798</v>
      </c>
    </row>
    <row r="123" spans="1:21">
      <c r="A123" s="1738" t="s">
        <v>1193</v>
      </c>
      <c r="B123" s="1739">
        <v>57.020327272333468</v>
      </c>
      <c r="C123" s="1740">
        <v>64.779285602870061</v>
      </c>
      <c r="D123" s="1741">
        <v>76.768112898685175</v>
      </c>
      <c r="E123" s="1742">
        <v>2017</v>
      </c>
      <c r="H123" s="693" t="s">
        <v>1193</v>
      </c>
      <c r="I123" s="876">
        <v>76.768112898685175</v>
      </c>
      <c r="J123" s="1827" t="s">
        <v>1193</v>
      </c>
      <c r="K123" s="1828">
        <v>76.768112898685175</v>
      </c>
      <c r="L123" s="1829">
        <v>62.849273000329994</v>
      </c>
      <c r="M123" s="1830">
        <v>2017</v>
      </c>
      <c r="P123" t="str">
        <f t="shared" si="44"/>
        <v xml:space="preserve">  CHL</v>
      </c>
      <c r="Q123" s="277">
        <f t="shared" si="45"/>
        <v>76.768112898685175</v>
      </c>
      <c r="R123" s="115">
        <f t="shared" si="46"/>
        <v>57.020327272333468</v>
      </c>
      <c r="S123" s="115">
        <f t="shared" si="47"/>
        <v>64.779285602870061</v>
      </c>
      <c r="T123" s="115" t="str">
        <f t="shared" si="48"/>
        <v xml:space="preserve">  CHL</v>
      </c>
      <c r="U123" s="115">
        <f t="shared" si="49"/>
        <v>76.768112898685175</v>
      </c>
    </row>
    <row r="124" spans="1:21">
      <c r="A124" s="1743" t="s">
        <v>1194</v>
      </c>
      <c r="B124" s="1744">
        <v>21.450692988972705</v>
      </c>
      <c r="C124" s="1745">
        <v>38.230898984989544</v>
      </c>
      <c r="D124" s="1746">
        <v>64.337254089556666</v>
      </c>
      <c r="E124" s="1747">
        <v>2021</v>
      </c>
      <c r="H124" s="694" t="s">
        <v>1194</v>
      </c>
      <c r="I124" s="877">
        <v>64.337254089556666</v>
      </c>
      <c r="J124" s="1831" t="s">
        <v>1194</v>
      </c>
      <c r="K124" s="1832">
        <v>64.337254089556666</v>
      </c>
      <c r="L124" s="1833">
        <v>30.689071938629102</v>
      </c>
      <c r="M124" s="1834">
        <v>2021</v>
      </c>
      <c r="P124" t="str">
        <f t="shared" si="44"/>
        <v xml:space="preserve">  COL</v>
      </c>
      <c r="Q124" s="277">
        <f t="shared" si="45"/>
        <v>64.337254089556666</v>
      </c>
      <c r="R124" s="115">
        <f t="shared" si="46"/>
        <v>21.450692988972705</v>
      </c>
      <c r="S124" s="115">
        <f t="shared" si="47"/>
        <v>38.230898984989544</v>
      </c>
      <c r="T124" s="115" t="str">
        <f t="shared" si="48"/>
        <v xml:space="preserve">  COL</v>
      </c>
      <c r="U124" s="115">
        <f t="shared" si="49"/>
        <v>64.337254089556666</v>
      </c>
    </row>
    <row r="125" spans="1:21">
      <c r="A125" s="1748" t="s">
        <v>1195</v>
      </c>
      <c r="B125" s="1749">
        <v>69.23358844454026</v>
      </c>
      <c r="C125" s="1750">
        <v>74.119214753123146</v>
      </c>
      <c r="D125" s="1751">
        <v>83.711652444676702</v>
      </c>
      <c r="E125" s="1752">
        <v>2023</v>
      </c>
      <c r="H125" s="695" t="s">
        <v>1195</v>
      </c>
      <c r="I125" s="878">
        <v>83.711652444676702</v>
      </c>
      <c r="J125" s="1835" t="s">
        <v>1195</v>
      </c>
      <c r="K125" s="1836">
        <v>83.711652444676702</v>
      </c>
      <c r="L125" s="1837">
        <v>72.622856105251003</v>
      </c>
      <c r="M125" s="1838">
        <v>2023</v>
      </c>
      <c r="P125" t="str">
        <f t="shared" si="44"/>
        <v xml:space="preserve">  CRI</v>
      </c>
      <c r="Q125" s="277">
        <f t="shared" si="45"/>
        <v>83.711652444676702</v>
      </c>
      <c r="R125" s="115">
        <f t="shared" si="46"/>
        <v>69.23358844454026</v>
      </c>
      <c r="S125" s="115">
        <f t="shared" si="47"/>
        <v>74.119214753123146</v>
      </c>
      <c r="T125" s="115" t="str">
        <f t="shared" si="48"/>
        <v xml:space="preserve">  CRI</v>
      </c>
      <c r="U125" s="115">
        <f t="shared" si="49"/>
        <v>83.711652444676702</v>
      </c>
    </row>
    <row r="126" spans="1:21">
      <c r="A126" s="1753" t="s">
        <v>1196</v>
      </c>
      <c r="B126" s="1754">
        <v>21.187027842404166</v>
      </c>
      <c r="C126" s="1755">
        <v>26.830870295472121</v>
      </c>
      <c r="D126" s="1756">
        <v>45.309152837374768</v>
      </c>
      <c r="E126" s="1757">
        <v>2022</v>
      </c>
      <c r="H126" s="696" t="s">
        <v>1196</v>
      </c>
      <c r="I126" s="879">
        <v>45.309152837374768</v>
      </c>
      <c r="J126" s="1839" t="s">
        <v>1196</v>
      </c>
      <c r="K126" s="1840">
        <v>45.309152837374768</v>
      </c>
      <c r="L126" s="1841">
        <v>25.104908270509835</v>
      </c>
      <c r="M126" s="1842">
        <v>2022</v>
      </c>
      <c r="P126" t="str">
        <f t="shared" si="44"/>
        <v xml:space="preserve">  DOM</v>
      </c>
      <c r="Q126" s="277">
        <f t="shared" si="45"/>
        <v>45.309152837374768</v>
      </c>
      <c r="R126" s="115">
        <f t="shared" si="46"/>
        <v>21.187027842404166</v>
      </c>
      <c r="S126" s="115">
        <f t="shared" si="47"/>
        <v>26.830870295472121</v>
      </c>
      <c r="T126" s="115" t="str">
        <f t="shared" si="48"/>
        <v xml:space="preserve">  DOM</v>
      </c>
      <c r="U126" s="115">
        <f t="shared" si="49"/>
        <v>45.309152837374768</v>
      </c>
    </row>
    <row r="127" spans="1:21">
      <c r="A127" s="1758" t="s">
        <v>1197</v>
      </c>
      <c r="B127" s="1759">
        <v>10.192203097631989</v>
      </c>
      <c r="C127" s="1760">
        <v>17.547667573562951</v>
      </c>
      <c r="D127" s="1761">
        <v>46.736669952332065</v>
      </c>
      <c r="E127" s="1762">
        <v>2017</v>
      </c>
      <c r="H127" s="697" t="s">
        <v>1197</v>
      </c>
      <c r="I127" s="880">
        <v>46.736669952332065</v>
      </c>
      <c r="J127" s="1843" t="s">
        <v>1197</v>
      </c>
      <c r="K127" s="1844">
        <v>46.736669952332065</v>
      </c>
      <c r="L127" s="1845">
        <v>14.929335899407739</v>
      </c>
      <c r="M127" s="1846">
        <v>2017</v>
      </c>
      <c r="P127" t="str">
        <f t="shared" si="44"/>
        <v xml:space="preserve">  ECU</v>
      </c>
      <c r="Q127" s="277">
        <f t="shared" si="45"/>
        <v>46.736669952332065</v>
      </c>
      <c r="R127" s="115">
        <f t="shared" si="46"/>
        <v>10.192203097631989</v>
      </c>
      <c r="S127" s="115">
        <f t="shared" si="47"/>
        <v>17.547667573562951</v>
      </c>
      <c r="T127" s="115" t="str">
        <f t="shared" si="48"/>
        <v xml:space="preserve">  ECU</v>
      </c>
      <c r="U127" s="115">
        <f t="shared" si="49"/>
        <v>46.736669952332065</v>
      </c>
    </row>
    <row r="128" spans="1:21">
      <c r="A128" s="1763" t="s">
        <v>1204</v>
      </c>
      <c r="B128" s="1764">
        <v>15.551684015669915</v>
      </c>
      <c r="C128" s="1765">
        <v>25.279807359649549</v>
      </c>
      <c r="D128" s="1766">
        <v>48.574110427109339</v>
      </c>
      <c r="E128" s="1767">
        <v>2022</v>
      </c>
      <c r="H128" s="698" t="s">
        <v>1204</v>
      </c>
      <c r="I128" s="881">
        <v>48.574110427109339</v>
      </c>
      <c r="J128" s="1847" t="s">
        <v>1204</v>
      </c>
      <c r="K128" s="1848">
        <v>48.574110427109339</v>
      </c>
      <c r="L128" s="1849">
        <v>19.813024551191177</v>
      </c>
      <c r="M128" s="1850">
        <v>2022</v>
      </c>
      <c r="P128" t="str">
        <f t="shared" si="44"/>
        <v xml:space="preserve">  GTM</v>
      </c>
      <c r="Q128" s="277">
        <f t="shared" si="45"/>
        <v>48.574110427109339</v>
      </c>
      <c r="R128" s="115">
        <f t="shared" si="46"/>
        <v>15.551684015669915</v>
      </c>
      <c r="S128" s="115">
        <f t="shared" si="47"/>
        <v>25.279807359649549</v>
      </c>
      <c r="T128" s="115" t="str">
        <f t="shared" si="48"/>
        <v xml:space="preserve">  GTM</v>
      </c>
      <c r="U128" s="115">
        <f t="shared" si="49"/>
        <v>48.574110427109339</v>
      </c>
    </row>
    <row r="129" spans="1:21">
      <c r="A129" s="1768" t="s">
        <v>1199</v>
      </c>
      <c r="B129" s="1769">
        <v>56.953812300119381</v>
      </c>
      <c r="C129" s="1770">
        <v>70.330629708557325</v>
      </c>
      <c r="D129" s="1771">
        <v>85.694782359933086</v>
      </c>
      <c r="E129" s="1772">
        <v>2023</v>
      </c>
      <c r="H129" s="699" t="s">
        <v>1199</v>
      </c>
      <c r="I129" s="882">
        <v>85.694782359933086</v>
      </c>
      <c r="J129" s="1851" t="s">
        <v>1199</v>
      </c>
      <c r="K129" s="1852">
        <v>85.694782359933086</v>
      </c>
      <c r="L129" s="1853">
        <v>62.751032821594798</v>
      </c>
      <c r="M129" s="1854">
        <v>2023</v>
      </c>
      <c r="P129" t="str">
        <f t="shared" si="44"/>
        <v xml:space="preserve">  HND</v>
      </c>
      <c r="Q129" s="277">
        <f t="shared" si="45"/>
        <v>85.694782359933086</v>
      </c>
      <c r="R129" s="115">
        <f t="shared" si="46"/>
        <v>56.953812300119381</v>
      </c>
      <c r="S129" s="115">
        <f t="shared" si="47"/>
        <v>70.330629708557325</v>
      </c>
      <c r="T129" s="115" t="str">
        <f t="shared" si="48"/>
        <v xml:space="preserve">  HND</v>
      </c>
      <c r="U129" s="115">
        <f t="shared" si="49"/>
        <v>85.694782359933086</v>
      </c>
    </row>
    <row r="130" spans="1:21">
      <c r="A130" s="1773" t="s">
        <v>1205</v>
      </c>
      <c r="B130" s="1774">
        <v>23.343177706782154</v>
      </c>
      <c r="C130" s="1775">
        <v>43.76288545458366</v>
      </c>
      <c r="D130" s="1776">
        <v>69.342080434144719</v>
      </c>
      <c r="E130" s="1777">
        <v>2022</v>
      </c>
      <c r="H130" s="700" t="s">
        <v>1205</v>
      </c>
      <c r="I130" s="883">
        <v>69.342080434144719</v>
      </c>
      <c r="J130" s="1855" t="s">
        <v>1205</v>
      </c>
      <c r="K130" s="1856">
        <v>69.342080434144719</v>
      </c>
      <c r="L130" s="1857">
        <v>37.221502226454803</v>
      </c>
      <c r="M130" s="1858">
        <v>2022</v>
      </c>
      <c r="P130" t="str">
        <f t="shared" si="44"/>
        <v xml:space="preserve">  MEX</v>
      </c>
      <c r="Q130" s="277">
        <f t="shared" si="45"/>
        <v>69.342080434144719</v>
      </c>
      <c r="R130" s="115">
        <f t="shared" si="46"/>
        <v>23.343177706782154</v>
      </c>
      <c r="S130" s="115">
        <f t="shared" si="47"/>
        <v>43.76288545458366</v>
      </c>
      <c r="T130" s="115" t="str">
        <f t="shared" si="48"/>
        <v xml:space="preserve">  MEX</v>
      </c>
      <c r="U130" s="115">
        <f t="shared" si="49"/>
        <v>69.342080434144719</v>
      </c>
    </row>
    <row r="131" spans="1:21">
      <c r="A131" s="1778" t="s">
        <v>1200</v>
      </c>
      <c r="B131" s="1779">
        <v>54.898300088434702</v>
      </c>
      <c r="C131" s="1780">
        <v>69.606287240209454</v>
      </c>
      <c r="D131" s="1781">
        <v>89.109029062481355</v>
      </c>
      <c r="E131" s="1782">
        <v>2022</v>
      </c>
      <c r="H131" s="701" t="s">
        <v>1200</v>
      </c>
      <c r="I131" s="884">
        <v>89.109029062481355</v>
      </c>
      <c r="J131" s="1859" t="s">
        <v>1200</v>
      </c>
      <c r="K131" s="1860">
        <v>89.109029062481355</v>
      </c>
      <c r="L131" s="1861">
        <v>63.668767141918082</v>
      </c>
      <c r="M131" s="1862">
        <v>2022</v>
      </c>
      <c r="P131" t="str">
        <f t="shared" si="44"/>
        <v xml:space="preserve">  PAN</v>
      </c>
      <c r="Q131" s="277">
        <f t="shared" si="45"/>
        <v>89.109029062481355</v>
      </c>
      <c r="R131" s="115">
        <f t="shared" si="46"/>
        <v>54.898300088434702</v>
      </c>
      <c r="S131" s="115">
        <f t="shared" si="47"/>
        <v>69.606287240209454</v>
      </c>
      <c r="T131" s="115" t="str">
        <f t="shared" si="48"/>
        <v xml:space="preserve">  PAN</v>
      </c>
      <c r="U131" s="115">
        <f t="shared" si="49"/>
        <v>89.109029062481355</v>
      </c>
    </row>
    <row r="132" spans="1:21">
      <c r="A132" s="1783" t="s">
        <v>1201</v>
      </c>
      <c r="B132" s="1784">
        <v>23.458841336354897</v>
      </c>
      <c r="C132" s="1785">
        <v>36.386909055164011</v>
      </c>
      <c r="D132" s="1786">
        <v>66.981637253078404</v>
      </c>
      <c r="E132" s="1787">
        <v>2022</v>
      </c>
      <c r="H132" s="702" t="s">
        <v>1201</v>
      </c>
      <c r="I132" s="885">
        <v>66.981637253078404</v>
      </c>
      <c r="J132" s="1863" t="s">
        <v>1201</v>
      </c>
      <c r="K132" s="1864">
        <v>66.981637253078404</v>
      </c>
      <c r="L132" s="1865">
        <v>32.278744547287232</v>
      </c>
      <c r="M132" s="1866">
        <v>2022</v>
      </c>
      <c r="P132" t="str">
        <f t="shared" si="44"/>
        <v xml:space="preserve">  PER</v>
      </c>
      <c r="Q132" s="277">
        <f t="shared" si="45"/>
        <v>66.981637253078404</v>
      </c>
      <c r="R132" s="115">
        <f t="shared" si="46"/>
        <v>23.458841336354897</v>
      </c>
      <c r="S132" s="115">
        <f t="shared" si="47"/>
        <v>36.386909055164011</v>
      </c>
      <c r="T132" s="115" t="str">
        <f t="shared" si="48"/>
        <v xml:space="preserve">  PER</v>
      </c>
      <c r="U132" s="115">
        <f t="shared" si="49"/>
        <v>66.981637253078404</v>
      </c>
    </row>
    <row r="133" spans="1:21">
      <c r="A133" s="1788" t="s">
        <v>1202</v>
      </c>
      <c r="B133" s="1789">
        <v>11.575146508129917</v>
      </c>
      <c r="C133" s="1790">
        <v>23.072024802556324</v>
      </c>
      <c r="D133" s="1791">
        <v>63.984969441682217</v>
      </c>
      <c r="E133" s="1792">
        <v>2022</v>
      </c>
      <c r="H133" s="703" t="s">
        <v>1202</v>
      </c>
      <c r="I133" s="886">
        <v>63.984969441682217</v>
      </c>
      <c r="J133" s="1867" t="s">
        <v>1202</v>
      </c>
      <c r="K133" s="1868">
        <v>63.984969441682217</v>
      </c>
      <c r="L133" s="1869">
        <v>18.561748174607342</v>
      </c>
      <c r="M133" s="1870">
        <v>2022</v>
      </c>
      <c r="P133" t="str">
        <f t="shared" si="44"/>
        <v xml:space="preserve">  PRY</v>
      </c>
      <c r="Q133" s="277">
        <f t="shared" si="45"/>
        <v>63.984969441682217</v>
      </c>
      <c r="R133" s="115">
        <f t="shared" si="46"/>
        <v>11.575146508129917</v>
      </c>
      <c r="S133" s="115">
        <f t="shared" si="47"/>
        <v>23.072024802556324</v>
      </c>
      <c r="T133" s="115" t="str">
        <f t="shared" si="48"/>
        <v xml:space="preserve">  PRY</v>
      </c>
      <c r="U133" s="115">
        <f t="shared" si="49"/>
        <v>63.984969441682217</v>
      </c>
    </row>
    <row r="134" spans="1:21">
      <c r="A134" s="1793" t="s">
        <v>1206</v>
      </c>
      <c r="B134" s="1794">
        <v>18.915070079405403</v>
      </c>
      <c r="C134" s="1795">
        <v>26.668954517684057</v>
      </c>
      <c r="D134" s="1796">
        <v>45.691692504752368</v>
      </c>
      <c r="E134" s="1797">
        <v>2023</v>
      </c>
      <c r="H134" s="704" t="s">
        <v>1206</v>
      </c>
      <c r="I134" s="887">
        <v>45.691692504752368</v>
      </c>
      <c r="J134" s="1871" t="s">
        <v>1206</v>
      </c>
      <c r="K134" s="1872">
        <v>45.691692504752368</v>
      </c>
      <c r="L134" s="1873">
        <v>23.3952069328537</v>
      </c>
      <c r="M134" s="1874">
        <v>2023</v>
      </c>
      <c r="P134" t="str">
        <f t="shared" si="44"/>
        <v xml:space="preserve">  SLV</v>
      </c>
      <c r="Q134" s="277">
        <f t="shared" si="45"/>
        <v>45.691692504752368</v>
      </c>
      <c r="R134" s="115">
        <f t="shared" si="46"/>
        <v>18.915070079405403</v>
      </c>
      <c r="S134" s="115">
        <f t="shared" si="47"/>
        <v>26.668954517684057</v>
      </c>
      <c r="T134" s="115" t="str">
        <f t="shared" si="48"/>
        <v xml:space="preserve">  SLV</v>
      </c>
      <c r="U134" s="115">
        <f t="shared" si="49"/>
        <v>45.691692504752368</v>
      </c>
    </row>
    <row r="135" spans="1:21">
      <c r="A135" s="1798" t="s">
        <v>1207</v>
      </c>
      <c r="B135" s="1799">
        <v>38.473525305976693</v>
      </c>
      <c r="C135" s="1800">
        <v>49.614315571739461</v>
      </c>
      <c r="D135" s="1801">
        <v>79.04918535327198</v>
      </c>
      <c r="E135" s="1802">
        <v>2022</v>
      </c>
      <c r="H135" s="705" t="s">
        <v>1207</v>
      </c>
      <c r="I135" s="888">
        <v>79.04918535327198</v>
      </c>
      <c r="J135" s="1875" t="s">
        <v>1207</v>
      </c>
      <c r="K135" s="1876">
        <v>79.04918535327198</v>
      </c>
      <c r="L135" s="1877">
        <v>46.838422649140547</v>
      </c>
      <c r="M135" s="1878">
        <v>2022</v>
      </c>
      <c r="P135" t="str">
        <f t="shared" si="44"/>
        <v xml:space="preserve">  URY</v>
      </c>
      <c r="Q135" s="277">
        <f t="shared" si="45"/>
        <v>79.04918535327198</v>
      </c>
      <c r="R135" s="115">
        <f t="shared" si="46"/>
        <v>38.473525305976693</v>
      </c>
      <c r="S135" s="115">
        <f t="shared" si="47"/>
        <v>49.614315571739461</v>
      </c>
      <c r="T135" s="115" t="str">
        <f t="shared" si="48"/>
        <v xml:space="preserve">  URY</v>
      </c>
      <c r="U135" s="115">
        <f t="shared" si="49"/>
        <v>79.04918535327198</v>
      </c>
    </row>
    <row r="136" spans="1:21">
      <c r="A136" s="1803" t="s">
        <v>1203</v>
      </c>
      <c r="B136" s="1804">
        <v>12.424743578185096</v>
      </c>
      <c r="C136" s="1805">
        <v>13.605305600251921</v>
      </c>
      <c r="D136" s="1806">
        <v>29.723905001251154</v>
      </c>
      <c r="E136" s="1807">
        <v>2021</v>
      </c>
      <c r="H136" s="706" t="s">
        <v>1203</v>
      </c>
      <c r="I136" s="889">
        <v>29.723905001251154</v>
      </c>
      <c r="J136" s="1879" t="s">
        <v>1203</v>
      </c>
      <c r="K136" s="1880">
        <v>29.723905001251154</v>
      </c>
      <c r="L136" s="1881">
        <v>12.718726878031564</v>
      </c>
      <c r="M136" s="1882">
        <v>2021</v>
      </c>
      <c r="P136" t="str">
        <f t="shared" ref="P136" si="50">A136</f>
        <v xml:space="preserve">  VEN</v>
      </c>
      <c r="Q136" s="277">
        <f t="shared" ref="Q136" si="51">K136</f>
        <v>29.723905001251154</v>
      </c>
      <c r="R136" s="115">
        <f t="shared" ref="R136" si="52">B136</f>
        <v>12.424743578185096</v>
      </c>
      <c r="S136" s="115">
        <f t="shared" ref="S136" si="53">C136</f>
        <v>13.605305600251921</v>
      </c>
      <c r="T136" s="115" t="str">
        <f t="shared" ref="T136" si="54">J136</f>
        <v xml:space="preserve">  VEN</v>
      </c>
      <c r="U136" s="115">
        <f t="shared" ref="U136" si="55">D136</f>
        <v>29.723905001251154</v>
      </c>
    </row>
    <row r="137" spans="1:21">
      <c r="B137" s="565"/>
      <c r="C137" s="565"/>
      <c r="D137" s="565"/>
      <c r="I137" s="115"/>
      <c r="J137" s="115"/>
      <c r="M137" t="str">
        <f>IFERROR(VLOOKUP(TRIM(A137),Fact1_2!$D$24:$P$41,10,0),"")</f>
        <v/>
      </c>
      <c r="P137" s="76" t="s">
        <v>1226</v>
      </c>
      <c r="Q137" s="277"/>
      <c r="R137" s="115">
        <f>AVERAGE(R123:R136)</f>
        <v>31.048438611781481</v>
      </c>
      <c r="S137" s="115">
        <f t="shared" ref="S137" si="56">AVERAGE(S123:S136)</f>
        <v>41.416789751458111</v>
      </c>
      <c r="T137" s="115" t="e">
        <f t="shared" ref="T137" si="57">AVERAGE(T123:T136)</f>
        <v>#DIV/0!</v>
      </c>
      <c r="U137" s="115">
        <f t="shared" ref="U137" si="58">AVERAGE(U123:U136)</f>
        <v>63.929588147166434</v>
      </c>
    </row>
    <row r="138" spans="1:21">
      <c r="B138" s="565"/>
      <c r="C138" s="565"/>
      <c r="D138" s="565"/>
      <c r="I138" s="115"/>
      <c r="J138" s="115"/>
      <c r="M138" t="str">
        <f>IFERROR(VLOOKUP(TRIM(A138),Fact1_2!$D$24:$P$41,10,0),"")</f>
        <v/>
      </c>
    </row>
    <row r="139" spans="1:21">
      <c r="A139" s="1883"/>
      <c r="B139" s="2604" t="s">
        <v>1220</v>
      </c>
      <c r="C139" s="2605" t="s">
        <v>1220</v>
      </c>
      <c r="D139" s="2605" t="s">
        <v>1220</v>
      </c>
      <c r="E139" s="1884" t="s">
        <v>1186</v>
      </c>
      <c r="H139" s="707"/>
      <c r="I139" s="890" t="s">
        <v>1220</v>
      </c>
      <c r="J139" s="1977" t="s">
        <v>1220</v>
      </c>
      <c r="K139" s="1978" t="s">
        <v>1220</v>
      </c>
      <c r="L139" s="1979" t="s">
        <v>1220</v>
      </c>
      <c r="M139" s="1980" t="s">
        <v>1186</v>
      </c>
    </row>
    <row r="140" spans="1:21">
      <c r="A140" s="1885"/>
      <c r="B140" s="2606" t="s">
        <v>1187</v>
      </c>
      <c r="C140" s="2607" t="s">
        <v>1187</v>
      </c>
      <c r="D140" s="2607" t="s">
        <v>1187</v>
      </c>
      <c r="H140" s="708"/>
      <c r="I140" s="891" t="s">
        <v>1187</v>
      </c>
      <c r="J140" s="1981" t="s">
        <v>1187</v>
      </c>
      <c r="K140" s="1982" t="s">
        <v>1187</v>
      </c>
      <c r="L140" s="1982" t="s">
        <v>1187</v>
      </c>
      <c r="M140" t="str">
        <f>IFERROR(VLOOKUP(TRIM(A140),Fact1_2!$D$24:$P$41,10,0),"")</f>
        <v/>
      </c>
    </row>
    <row r="141" spans="1:21">
      <c r="A141" s="1886"/>
      <c r="B141" s="1887" t="s">
        <v>1045</v>
      </c>
      <c r="C141" s="1887" t="s">
        <v>1045</v>
      </c>
      <c r="D141" s="1887" t="s">
        <v>1045</v>
      </c>
      <c r="H141" s="709"/>
      <c r="I141" s="892" t="s">
        <v>1003</v>
      </c>
      <c r="J141" s="1983" t="s">
        <v>1003</v>
      </c>
      <c r="K141" s="2608" t="s">
        <v>1003</v>
      </c>
      <c r="L141" s="2609" t="s">
        <v>1003</v>
      </c>
      <c r="M141" t="str">
        <f>IFERROR(VLOOKUP(TRIM(A141),Fact1_2!$D$24:$P$41,10,0),"")</f>
        <v/>
      </c>
    </row>
    <row r="142" spans="1:21" ht="15" thickBot="1">
      <c r="A142" s="1888"/>
      <c r="B142" s="1889" t="s">
        <v>1187</v>
      </c>
      <c r="C142" s="1890" t="s">
        <v>1188</v>
      </c>
      <c r="D142" s="1891" t="s">
        <v>1189</v>
      </c>
      <c r="H142" s="710"/>
      <c r="I142" s="893" t="s">
        <v>1225</v>
      </c>
      <c r="J142" s="1984" t="s">
        <v>1187</v>
      </c>
      <c r="K142" s="1985" t="s">
        <v>1225</v>
      </c>
      <c r="L142" s="1986" t="s">
        <v>1187</v>
      </c>
      <c r="M142" t="str">
        <f>IFERROR(VLOOKUP(TRIM(A142),Fact1_2!$D$24:$P$41,10,0),"")</f>
        <v/>
      </c>
      <c r="P142" s="972" t="str">
        <f>B139</f>
        <v>La principal fuente de iluminación es electricidad</v>
      </c>
      <c r="Q142" s="219"/>
      <c r="R142" s="21"/>
      <c r="S142" s="21"/>
      <c r="T142" s="21"/>
      <c r="U142" s="21"/>
    </row>
    <row r="143" spans="1:21" ht="15" thickTop="1">
      <c r="A143" s="1892" t="s">
        <v>1125</v>
      </c>
      <c r="B143" s="1893"/>
      <c r="C143" s="1894"/>
      <c r="D143" s="1895"/>
      <c r="E143" s="1896"/>
      <c r="H143" s="711" t="s">
        <v>1125</v>
      </c>
      <c r="I143" s="894"/>
      <c r="J143" s="1987" t="s">
        <v>1125</v>
      </c>
      <c r="K143" s="1988"/>
      <c r="L143" s="1989"/>
      <c r="M143" s="1990" t="str">
        <f>IFERROR(VLOOKUP(TRIM(A143),Fact1_2!$D$24:$P$41,10,0),"")</f>
        <v/>
      </c>
      <c r="P143" s="213" t="s">
        <v>904</v>
      </c>
      <c r="Q143" s="216" t="s">
        <v>938</v>
      </c>
      <c r="R143" s="214" t="s">
        <v>1141</v>
      </c>
      <c r="S143" s="214" t="s">
        <v>1142</v>
      </c>
      <c r="T143" s="214" t="s">
        <v>1152</v>
      </c>
      <c r="U143" s="214" t="s">
        <v>1102</v>
      </c>
    </row>
    <row r="144" spans="1:21">
      <c r="A144" s="1897" t="s">
        <v>1191</v>
      </c>
      <c r="B144" s="1898">
        <v>87.474531468671529</v>
      </c>
      <c r="C144" s="1899">
        <v>92.427552932996335</v>
      </c>
      <c r="D144" s="1900">
        <v>98.434933305615488</v>
      </c>
      <c r="E144" s="1901">
        <v>2022</v>
      </c>
      <c r="H144" s="712" t="s">
        <v>1191</v>
      </c>
      <c r="I144" s="895">
        <v>98.434933305615488</v>
      </c>
      <c r="J144" s="1991" t="s">
        <v>1191</v>
      </c>
      <c r="K144" s="1992">
        <v>98.434933305615488</v>
      </c>
      <c r="L144" s="1993">
        <v>90.580089503626482</v>
      </c>
      <c r="M144" s="1994">
        <v>2022</v>
      </c>
      <c r="P144" t="str">
        <f>A144</f>
        <v xml:space="preserve">  BOL</v>
      </c>
      <c r="Q144" s="277">
        <f>K144</f>
        <v>98.434933305615488</v>
      </c>
      <c r="R144" s="115">
        <f>B144</f>
        <v>87.474531468671529</v>
      </c>
      <c r="S144" s="115">
        <f>C144</f>
        <v>92.427552932996335</v>
      </c>
      <c r="T144" s="115" t="str">
        <f>J144</f>
        <v xml:space="preserve">  BOL</v>
      </c>
      <c r="U144" s="115">
        <f>D144</f>
        <v>98.434933305615488</v>
      </c>
    </row>
    <row r="145" spans="1:21">
      <c r="A145" s="1902" t="s">
        <v>1192</v>
      </c>
      <c r="B145" s="1903">
        <v>98.955533356965859</v>
      </c>
      <c r="C145" s="1904">
        <v>99.66145300382064</v>
      </c>
      <c r="D145" s="1905">
        <v>99.905600484406634</v>
      </c>
      <c r="E145" s="1906">
        <v>2019</v>
      </c>
      <c r="H145" s="713" t="s">
        <v>1192</v>
      </c>
      <c r="I145" s="896">
        <v>99.905600484406634</v>
      </c>
      <c r="J145" s="1995" t="s">
        <v>1192</v>
      </c>
      <c r="K145" s="1996">
        <v>99.905600484406634</v>
      </c>
      <c r="L145" s="1997">
        <v>99.380300704283613</v>
      </c>
      <c r="M145" s="1998">
        <v>2019</v>
      </c>
      <c r="P145" t="str">
        <f t="shared" ref="P145:P158" si="59">A145</f>
        <v xml:space="preserve">  BRA</v>
      </c>
      <c r="Q145" s="277">
        <f t="shared" ref="Q145:Q158" si="60">K145</f>
        <v>99.905600484406634</v>
      </c>
      <c r="R145" s="115">
        <f t="shared" ref="R145:R158" si="61">B145</f>
        <v>98.955533356965859</v>
      </c>
      <c r="S145" s="115">
        <f t="shared" ref="S145:S158" si="62">C145</f>
        <v>99.66145300382064</v>
      </c>
      <c r="T145" s="115" t="str">
        <f t="shared" ref="T145:T158" si="63">J145</f>
        <v xml:space="preserve">  BRA</v>
      </c>
      <c r="U145" s="115">
        <f t="shared" ref="U145:U158" si="64">D145</f>
        <v>99.905600484406634</v>
      </c>
    </row>
    <row r="146" spans="1:21">
      <c r="A146" s="1907" t="s">
        <v>1193</v>
      </c>
      <c r="B146" s="1908">
        <v>98.804946988812958</v>
      </c>
      <c r="C146" s="1909">
        <v>99.296109237535347</v>
      </c>
      <c r="D146" s="1910">
        <v>99.70409489902363</v>
      </c>
      <c r="E146" s="1911">
        <v>2017</v>
      </c>
      <c r="H146" s="714" t="s">
        <v>1193</v>
      </c>
      <c r="I146" s="897">
        <v>99.70409489902363</v>
      </c>
      <c r="J146" s="1999" t="s">
        <v>1193</v>
      </c>
      <c r="K146" s="2000">
        <v>99.70409489902363</v>
      </c>
      <c r="L146" s="2001">
        <v>99.17393441850129</v>
      </c>
      <c r="M146" s="2002">
        <v>2017</v>
      </c>
      <c r="P146" t="str">
        <f t="shared" si="59"/>
        <v xml:space="preserve">  CHL</v>
      </c>
      <c r="Q146" s="277">
        <f t="shared" si="60"/>
        <v>99.70409489902363</v>
      </c>
      <c r="R146" s="115">
        <f t="shared" si="61"/>
        <v>98.804946988812958</v>
      </c>
      <c r="S146" s="115">
        <f t="shared" si="62"/>
        <v>99.296109237535347</v>
      </c>
      <c r="T146" s="115" t="str">
        <f t="shared" si="63"/>
        <v xml:space="preserve">  CHL</v>
      </c>
      <c r="U146" s="115">
        <f t="shared" si="64"/>
        <v>99.70409489902363</v>
      </c>
    </row>
    <row r="147" spans="1:21">
      <c r="A147" s="1912" t="s">
        <v>1194</v>
      </c>
      <c r="B147" s="1913">
        <v>95.767357464505764</v>
      </c>
      <c r="C147" s="1914">
        <v>98.490452402559242</v>
      </c>
      <c r="D147" s="1915">
        <v>99.501057449044453</v>
      </c>
      <c r="E147" s="1916">
        <v>2022</v>
      </c>
      <c r="H147" s="715" t="s">
        <v>1194</v>
      </c>
      <c r="I147" s="898">
        <v>99.501057449044453</v>
      </c>
      <c r="J147" s="2003" t="s">
        <v>1194</v>
      </c>
      <c r="K147" s="2004">
        <v>99.501057449044453</v>
      </c>
      <c r="L147" s="2005">
        <v>97.181794577579296</v>
      </c>
      <c r="M147" s="2006">
        <v>2022</v>
      </c>
      <c r="P147" t="str">
        <f t="shared" si="59"/>
        <v xml:space="preserve">  COL</v>
      </c>
      <c r="Q147" s="277">
        <f t="shared" si="60"/>
        <v>99.501057449044453</v>
      </c>
      <c r="R147" s="115">
        <f t="shared" si="61"/>
        <v>95.767357464505764</v>
      </c>
      <c r="S147" s="115">
        <f t="shared" si="62"/>
        <v>98.490452402559242</v>
      </c>
      <c r="T147" s="115" t="str">
        <f t="shared" si="63"/>
        <v xml:space="preserve">  COL</v>
      </c>
      <c r="U147" s="115">
        <f t="shared" si="64"/>
        <v>99.501057449044453</v>
      </c>
    </row>
    <row r="148" spans="1:21">
      <c r="A148" s="1917" t="s">
        <v>1195</v>
      </c>
      <c r="B148" s="1918">
        <v>99.092379001832484</v>
      </c>
      <c r="C148" s="1919">
        <v>99.528375966686497</v>
      </c>
      <c r="D148" s="1920">
        <v>99.865713087809056</v>
      </c>
      <c r="E148" s="1921">
        <v>2023</v>
      </c>
      <c r="H148" s="716" t="s">
        <v>1195</v>
      </c>
      <c r="I148" s="899">
        <v>99.865713087809056</v>
      </c>
      <c r="J148" s="2007" t="s">
        <v>1195</v>
      </c>
      <c r="K148" s="2008">
        <v>99.865713087809056</v>
      </c>
      <c r="L148" s="2009">
        <v>99.394839795968906</v>
      </c>
      <c r="M148" s="2010">
        <v>2023</v>
      </c>
      <c r="P148" t="str">
        <f t="shared" si="59"/>
        <v xml:space="preserve">  CRI</v>
      </c>
      <c r="Q148" s="277">
        <f t="shared" si="60"/>
        <v>99.865713087809056</v>
      </c>
      <c r="R148" s="115">
        <f t="shared" si="61"/>
        <v>99.092379001832484</v>
      </c>
      <c r="S148" s="115">
        <f t="shared" si="62"/>
        <v>99.528375966686497</v>
      </c>
      <c r="T148" s="115" t="str">
        <f t="shared" si="63"/>
        <v xml:space="preserve">  CRI</v>
      </c>
      <c r="U148" s="115">
        <f t="shared" si="64"/>
        <v>99.865713087809056</v>
      </c>
    </row>
    <row r="149" spans="1:21">
      <c r="A149" s="1922" t="s">
        <v>1196</v>
      </c>
      <c r="B149" s="1923">
        <v>98.619715741397457</v>
      </c>
      <c r="C149" s="1924">
        <v>99.624780495614104</v>
      </c>
      <c r="D149" s="1925">
        <v>99.60779740051197</v>
      </c>
      <c r="E149" s="1926">
        <v>2022</v>
      </c>
      <c r="H149" s="717" t="s">
        <v>1196</v>
      </c>
      <c r="I149" s="900">
        <v>99.60779740051197</v>
      </c>
      <c r="J149" s="2011" t="s">
        <v>1196</v>
      </c>
      <c r="K149" s="2012">
        <v>99.60779740051197</v>
      </c>
      <c r="L149" s="2013">
        <v>99.317418337150059</v>
      </c>
      <c r="M149" s="2014">
        <v>2022</v>
      </c>
      <c r="P149" t="str">
        <f t="shared" si="59"/>
        <v xml:space="preserve">  DOM</v>
      </c>
      <c r="Q149" s="277">
        <f t="shared" si="60"/>
        <v>99.60779740051197</v>
      </c>
      <c r="R149" s="115">
        <f t="shared" si="61"/>
        <v>98.619715741397457</v>
      </c>
      <c r="S149" s="115">
        <f t="shared" si="62"/>
        <v>99.624780495614104</v>
      </c>
      <c r="T149" s="115" t="str">
        <f t="shared" si="63"/>
        <v xml:space="preserve">  DOM</v>
      </c>
      <c r="U149" s="115">
        <f t="shared" si="64"/>
        <v>99.60779740051197</v>
      </c>
    </row>
    <row r="150" spans="1:21">
      <c r="A150" s="1927" t="s">
        <v>1197</v>
      </c>
      <c r="B150" s="1928">
        <v>93.526358099733969</v>
      </c>
      <c r="C150" s="1929">
        <v>98.577259106373077</v>
      </c>
      <c r="D150" s="1930">
        <v>99.482827456475505</v>
      </c>
      <c r="E150" s="1931">
        <v>2023</v>
      </c>
      <c r="H150" s="718" t="s">
        <v>1197</v>
      </c>
      <c r="I150" s="901">
        <v>99.482827456475505</v>
      </c>
      <c r="J150" s="2015" t="s">
        <v>1197</v>
      </c>
      <c r="K150" s="2016">
        <v>99.482827456475505</v>
      </c>
      <c r="L150" s="2017">
        <v>96.812241040307654</v>
      </c>
      <c r="M150" s="2018">
        <v>2023</v>
      </c>
      <c r="P150" t="str">
        <f t="shared" si="59"/>
        <v xml:space="preserve">  ECU</v>
      </c>
      <c r="Q150" s="277">
        <f t="shared" si="60"/>
        <v>99.482827456475505</v>
      </c>
      <c r="R150" s="115">
        <f t="shared" si="61"/>
        <v>93.526358099733969</v>
      </c>
      <c r="S150" s="115">
        <f t="shared" si="62"/>
        <v>98.577259106373077</v>
      </c>
      <c r="T150" s="115" t="str">
        <f t="shared" si="63"/>
        <v xml:space="preserve">  ECU</v>
      </c>
      <c r="U150" s="115">
        <f t="shared" si="64"/>
        <v>99.482827456475505</v>
      </c>
    </row>
    <row r="151" spans="1:21">
      <c r="A151" s="1932" t="s">
        <v>1204</v>
      </c>
      <c r="B151" s="1933">
        <v>83.070635163722386</v>
      </c>
      <c r="C151" s="1934">
        <v>88.581224897528074</v>
      </c>
      <c r="D151" s="1935">
        <v>95.692408850940552</v>
      </c>
      <c r="E151" s="1936">
        <v>2022</v>
      </c>
      <c r="H151" s="719" t="s">
        <v>1204</v>
      </c>
      <c r="I151" s="902">
        <v>95.692408850940552</v>
      </c>
      <c r="J151" s="2019" t="s">
        <v>1204</v>
      </c>
      <c r="K151" s="2020">
        <v>95.692408850940552</v>
      </c>
      <c r="L151" s="2021">
        <v>85.484512802499026</v>
      </c>
      <c r="M151" s="2022">
        <v>2022</v>
      </c>
      <c r="P151" t="str">
        <f t="shared" si="59"/>
        <v xml:space="preserve">  GTM</v>
      </c>
      <c r="Q151" s="277">
        <f t="shared" si="60"/>
        <v>95.692408850940552</v>
      </c>
      <c r="R151" s="115">
        <f t="shared" si="61"/>
        <v>83.070635163722386</v>
      </c>
      <c r="S151" s="115">
        <f t="shared" si="62"/>
        <v>88.581224897528074</v>
      </c>
      <c r="T151" s="115" t="str">
        <f t="shared" si="63"/>
        <v xml:space="preserve">  GTM</v>
      </c>
      <c r="U151" s="115">
        <f t="shared" si="64"/>
        <v>95.692408850940552</v>
      </c>
    </row>
    <row r="152" spans="1:21">
      <c r="A152" s="1937" t="s">
        <v>1199</v>
      </c>
      <c r="B152" s="1938">
        <v>82.609063692590311</v>
      </c>
      <c r="C152" s="1939">
        <v>92.355532712749294</v>
      </c>
      <c r="D152" s="1940">
        <v>96.663814737977816</v>
      </c>
      <c r="E152" s="1941">
        <v>2023</v>
      </c>
      <c r="H152" s="720" t="s">
        <v>1199</v>
      </c>
      <c r="I152" s="903">
        <v>96.663814737977816</v>
      </c>
      <c r="J152" s="2023" t="s">
        <v>1199</v>
      </c>
      <c r="K152" s="2024">
        <v>96.663814737977816</v>
      </c>
      <c r="L152" s="2025">
        <v>86.846045980169535</v>
      </c>
      <c r="M152" s="2026">
        <v>2023</v>
      </c>
      <c r="P152" t="str">
        <f t="shared" si="59"/>
        <v xml:space="preserve">  HND</v>
      </c>
      <c r="Q152" s="277">
        <f t="shared" si="60"/>
        <v>96.663814737977816</v>
      </c>
      <c r="R152" s="115">
        <f t="shared" si="61"/>
        <v>82.609063692590311</v>
      </c>
      <c r="S152" s="115">
        <f t="shared" si="62"/>
        <v>92.355532712749294</v>
      </c>
      <c r="T152" s="115" t="str">
        <f t="shared" si="63"/>
        <v xml:space="preserve">  HND</v>
      </c>
      <c r="U152" s="115">
        <f t="shared" si="64"/>
        <v>96.663814737977816</v>
      </c>
    </row>
    <row r="153" spans="1:21">
      <c r="A153" s="1942" t="s">
        <v>1205</v>
      </c>
      <c r="B153" s="1943">
        <v>96.574356186335748</v>
      </c>
      <c r="C153" s="1944">
        <v>98.634915233263214</v>
      </c>
      <c r="D153" s="1945">
        <v>99.300071126695983</v>
      </c>
      <c r="E153" s="1946">
        <v>2022</v>
      </c>
      <c r="H153" s="721" t="s">
        <v>1205</v>
      </c>
      <c r="I153" s="904">
        <v>99.300071126695983</v>
      </c>
      <c r="J153" s="2027" t="s">
        <v>1205</v>
      </c>
      <c r="K153" s="2028">
        <v>99.300071126695983</v>
      </c>
      <c r="L153" s="2029">
        <v>97.974822221325184</v>
      </c>
      <c r="M153" s="2030">
        <v>2022</v>
      </c>
      <c r="P153" t="str">
        <f t="shared" si="59"/>
        <v xml:space="preserve">  MEX</v>
      </c>
      <c r="Q153" s="277">
        <f t="shared" si="60"/>
        <v>99.300071126695983</v>
      </c>
      <c r="R153" s="115">
        <f t="shared" si="61"/>
        <v>96.574356186335748</v>
      </c>
      <c r="S153" s="115">
        <f t="shared" si="62"/>
        <v>98.634915233263214</v>
      </c>
      <c r="T153" s="115" t="str">
        <f t="shared" si="63"/>
        <v xml:space="preserve">  MEX</v>
      </c>
      <c r="U153" s="115">
        <f t="shared" si="64"/>
        <v>99.300071126695983</v>
      </c>
    </row>
    <row r="154" spans="1:21">
      <c r="A154" s="1947" t="s">
        <v>1200</v>
      </c>
      <c r="B154" s="1948">
        <v>55.57629949887</v>
      </c>
      <c r="C154" s="1949">
        <v>81.888072679584525</v>
      </c>
      <c r="D154" s="1950">
        <v>97.3979157963836</v>
      </c>
      <c r="E154" s="1951">
        <v>2022</v>
      </c>
      <c r="H154" s="722" t="s">
        <v>1200</v>
      </c>
      <c r="I154" s="905">
        <v>97.3979157963836</v>
      </c>
      <c r="J154" s="2031" t="s">
        <v>1200</v>
      </c>
      <c r="K154" s="2032">
        <v>97.3979157963836</v>
      </c>
      <c r="L154" s="2033">
        <v>71.266178570619033</v>
      </c>
      <c r="M154" s="2034">
        <v>2022</v>
      </c>
      <c r="P154" t="str">
        <f t="shared" si="59"/>
        <v xml:space="preserve">  PAN</v>
      </c>
      <c r="Q154" s="277">
        <f t="shared" si="60"/>
        <v>97.3979157963836</v>
      </c>
      <c r="R154" s="115">
        <f t="shared" si="61"/>
        <v>55.57629949887</v>
      </c>
      <c r="S154" s="115">
        <f t="shared" si="62"/>
        <v>81.888072679584525</v>
      </c>
      <c r="T154" s="115" t="str">
        <f t="shared" si="63"/>
        <v xml:space="preserve">  PAN</v>
      </c>
      <c r="U154" s="115">
        <f t="shared" si="64"/>
        <v>97.3979157963836</v>
      </c>
    </row>
    <row r="155" spans="1:21">
      <c r="A155" s="1952" t="s">
        <v>1201</v>
      </c>
      <c r="B155" s="1953">
        <v>89.228781720483966</v>
      </c>
      <c r="C155" s="1954">
        <v>93.806379780771309</v>
      </c>
      <c r="D155" s="1955">
        <v>97.583248724067232</v>
      </c>
      <c r="E155" s="1956">
        <v>2022</v>
      </c>
      <c r="H155" s="723" t="s">
        <v>1201</v>
      </c>
      <c r="I155" s="906">
        <v>97.583248724067232</v>
      </c>
      <c r="J155" s="2035" t="s">
        <v>1201</v>
      </c>
      <c r="K155" s="2036">
        <v>97.583248724067232</v>
      </c>
      <c r="L155" s="2037">
        <v>92.351752044312462</v>
      </c>
      <c r="M155" s="2038">
        <v>2022</v>
      </c>
      <c r="P155" t="str">
        <f t="shared" si="59"/>
        <v xml:space="preserve">  PER</v>
      </c>
      <c r="Q155" s="277">
        <f t="shared" si="60"/>
        <v>97.583248724067232</v>
      </c>
      <c r="R155" s="115">
        <f t="shared" si="61"/>
        <v>89.228781720483966</v>
      </c>
      <c r="S155" s="115">
        <f t="shared" si="62"/>
        <v>93.806379780771309</v>
      </c>
      <c r="T155" s="115" t="str">
        <f t="shared" si="63"/>
        <v xml:space="preserve">  PER</v>
      </c>
      <c r="U155" s="115">
        <f t="shared" si="64"/>
        <v>97.583248724067232</v>
      </c>
    </row>
    <row r="156" spans="1:21">
      <c r="A156" s="1957" t="s">
        <v>1202</v>
      </c>
      <c r="B156" s="1958">
        <v>98.5070230172864</v>
      </c>
      <c r="C156" s="1959">
        <v>99.620815937255998</v>
      </c>
      <c r="D156" s="1960">
        <v>99.918087507402149</v>
      </c>
      <c r="E156" s="1961">
        <v>2022</v>
      </c>
      <c r="H156" s="724" t="s">
        <v>1202</v>
      </c>
      <c r="I156" s="907">
        <v>99.918087507402149</v>
      </c>
      <c r="J156" s="2039" t="s">
        <v>1202</v>
      </c>
      <c r="K156" s="2040">
        <v>99.918087507402149</v>
      </c>
      <c r="L156" s="2041">
        <v>99.183870007529194</v>
      </c>
      <c r="M156" s="2042">
        <v>2022</v>
      </c>
      <c r="P156" t="str">
        <f t="shared" si="59"/>
        <v xml:space="preserve">  PRY</v>
      </c>
      <c r="Q156" s="277">
        <f t="shared" si="60"/>
        <v>99.918087507402149</v>
      </c>
      <c r="R156" s="115">
        <f t="shared" si="61"/>
        <v>98.5070230172864</v>
      </c>
      <c r="S156" s="115">
        <f t="shared" si="62"/>
        <v>99.620815937255998</v>
      </c>
      <c r="T156" s="115" t="str">
        <f t="shared" si="63"/>
        <v xml:space="preserve">  PRY</v>
      </c>
      <c r="U156" s="115">
        <f t="shared" si="64"/>
        <v>99.918087507402149</v>
      </c>
    </row>
    <row r="157" spans="1:21">
      <c r="A157" s="1962" t="s">
        <v>1206</v>
      </c>
      <c r="B157" s="1963">
        <v>97.011499818689984</v>
      </c>
      <c r="C157" s="1964">
        <v>97.882242092380054</v>
      </c>
      <c r="D157" s="1965">
        <v>98.899051843535617</v>
      </c>
      <c r="E157" s="1966">
        <v>2023</v>
      </c>
      <c r="H157" s="725" t="s">
        <v>1206</v>
      </c>
      <c r="I157" s="908">
        <v>98.899051843535617</v>
      </c>
      <c r="J157" s="2043" t="s">
        <v>1206</v>
      </c>
      <c r="K157" s="2044">
        <v>98.899051843535617</v>
      </c>
      <c r="L157" s="2045">
        <v>97.514608238897523</v>
      </c>
      <c r="M157" s="2046">
        <v>2023</v>
      </c>
      <c r="P157" t="str">
        <f t="shared" si="59"/>
        <v xml:space="preserve">  SLV</v>
      </c>
      <c r="Q157" s="277">
        <f t="shared" si="60"/>
        <v>98.899051843535617</v>
      </c>
      <c r="R157" s="115">
        <f t="shared" si="61"/>
        <v>97.011499818689984</v>
      </c>
      <c r="S157" s="115">
        <f t="shared" si="62"/>
        <v>97.882242092380054</v>
      </c>
      <c r="T157" s="115" t="str">
        <f t="shared" si="63"/>
        <v xml:space="preserve">  SLV</v>
      </c>
      <c r="U157" s="115">
        <f t="shared" si="64"/>
        <v>98.899051843535617</v>
      </c>
    </row>
    <row r="158" spans="1:21">
      <c r="A158" s="1967" t="s">
        <v>1207</v>
      </c>
      <c r="B158" s="1968">
        <v>99.967535629646463</v>
      </c>
      <c r="C158" s="1969">
        <v>99.766219215272244</v>
      </c>
      <c r="D158" s="1970">
        <v>99.788057955490402</v>
      </c>
      <c r="E158" s="1971">
        <v>2022</v>
      </c>
      <c r="H158" s="726" t="s">
        <v>1207</v>
      </c>
      <c r="I158" s="909">
        <v>99.788057955490402</v>
      </c>
      <c r="J158" s="2047" t="s">
        <v>1207</v>
      </c>
      <c r="K158" s="2048">
        <v>99.788057955490402</v>
      </c>
      <c r="L158" s="2049">
        <v>99.816380182002021</v>
      </c>
      <c r="M158" s="2050">
        <v>2022</v>
      </c>
      <c r="P158" t="str">
        <f t="shared" si="59"/>
        <v xml:space="preserve">  URY</v>
      </c>
      <c r="Q158" s="277">
        <f t="shared" si="60"/>
        <v>99.788057955490402</v>
      </c>
      <c r="R158" s="115">
        <f t="shared" si="61"/>
        <v>99.967535629646463</v>
      </c>
      <c r="S158" s="115">
        <f t="shared" si="62"/>
        <v>99.766219215272244</v>
      </c>
      <c r="T158" s="115" t="str">
        <f t="shared" si="63"/>
        <v xml:space="preserve">  URY</v>
      </c>
      <c r="U158" s="115">
        <f t="shared" si="64"/>
        <v>99.788057955490402</v>
      </c>
    </row>
    <row r="159" spans="1:21">
      <c r="A159" s="1972" t="s">
        <v>1203</v>
      </c>
      <c r="B159" s="1973">
        <v>99.674321032656238</v>
      </c>
      <c r="C159" s="1974">
        <v>99.984057766026737</v>
      </c>
      <c r="D159" s="1975">
        <v>99.84900637149552</v>
      </c>
      <c r="E159" s="1976">
        <v>2021</v>
      </c>
      <c r="H159" s="727" t="s">
        <v>1203</v>
      </c>
      <c r="I159" s="910">
        <v>99.84900637149552</v>
      </c>
      <c r="J159" s="2051" t="s">
        <v>1203</v>
      </c>
      <c r="K159" s="2052">
        <v>99.84900637149552</v>
      </c>
      <c r="L159" s="2053">
        <v>99.751451607126612</v>
      </c>
      <c r="M159" s="2054">
        <v>2021</v>
      </c>
      <c r="P159" t="str">
        <f t="shared" ref="P159" si="65">A159</f>
        <v xml:space="preserve">  VEN</v>
      </c>
      <c r="Q159" s="277">
        <f t="shared" ref="Q159" si="66">K159</f>
        <v>99.84900637149552</v>
      </c>
      <c r="R159" s="115">
        <f t="shared" ref="R159" si="67">B159</f>
        <v>99.674321032656238</v>
      </c>
      <c r="S159" s="115">
        <f t="shared" ref="S159" si="68">C159</f>
        <v>99.984057766026737</v>
      </c>
      <c r="T159" s="115" t="str">
        <f t="shared" ref="T159" si="69">J159</f>
        <v xml:space="preserve">  VEN</v>
      </c>
      <c r="U159" s="115">
        <f t="shared" ref="U159" si="70">D159</f>
        <v>99.84900637149552</v>
      </c>
    </row>
    <row r="160" spans="1:21">
      <c r="B160" s="565"/>
      <c r="C160" s="565"/>
      <c r="D160" s="565"/>
      <c r="I160" s="115"/>
      <c r="J160" s="115"/>
      <c r="M160" t="str">
        <f>IFERROR(VLOOKUP(TRIM(A160),Fact1_2!$D$24:$P$41,10,0),"")</f>
        <v/>
      </c>
      <c r="P160" s="76" t="s">
        <v>1226</v>
      </c>
      <c r="Q160" s="277"/>
      <c r="R160" s="115">
        <f>AVERAGE(R146:R159)</f>
        <v>92.002162361183153</v>
      </c>
      <c r="S160" s="115">
        <f t="shared" ref="S160" si="71">AVERAGE(S146:S159)</f>
        <v>96.288316965971404</v>
      </c>
      <c r="T160" s="115" t="e">
        <f t="shared" ref="T160" si="72">AVERAGE(T146:T159)</f>
        <v>#DIV/0!</v>
      </c>
      <c r="U160" s="115">
        <f t="shared" ref="U160" si="73">AVERAGE(U146:U159)</f>
        <v>98.803796657632375</v>
      </c>
    </row>
    <row r="161" spans="1:21">
      <c r="B161" s="565"/>
      <c r="C161" s="565"/>
      <c r="D161" s="565"/>
      <c r="I161" s="115"/>
      <c r="J161" s="115"/>
      <c r="M161" t="str">
        <f>IFERROR(VLOOKUP(TRIM(A161),Fact1_2!$D$24:$P$41,10,0),"")</f>
        <v/>
      </c>
    </row>
    <row r="162" spans="1:21">
      <c r="A162" s="2055"/>
      <c r="B162" s="2592" t="s">
        <v>1221</v>
      </c>
      <c r="C162" s="2593" t="s">
        <v>1221</v>
      </c>
      <c r="D162" s="2593" t="s">
        <v>1221</v>
      </c>
      <c r="E162" s="2056" t="s">
        <v>1186</v>
      </c>
      <c r="H162" s="728"/>
      <c r="I162" s="911" t="s">
        <v>1221</v>
      </c>
      <c r="J162" s="2153" t="s">
        <v>1221</v>
      </c>
      <c r="K162" s="2598" t="s">
        <v>1221</v>
      </c>
      <c r="L162" s="2599" t="s">
        <v>1221</v>
      </c>
      <c r="M162" s="2154" t="s">
        <v>1186</v>
      </c>
    </row>
    <row r="163" spans="1:21">
      <c r="A163" s="2057"/>
      <c r="B163" s="2594" t="s">
        <v>1187</v>
      </c>
      <c r="C163" s="2595" t="s">
        <v>1187</v>
      </c>
      <c r="D163" s="2595" t="s">
        <v>1187</v>
      </c>
      <c r="H163" s="729"/>
      <c r="I163" s="912" t="s">
        <v>1187</v>
      </c>
      <c r="J163" s="2155" t="s">
        <v>1187</v>
      </c>
      <c r="K163" s="2600" t="s">
        <v>1187</v>
      </c>
      <c r="L163" s="2601" t="s">
        <v>1187</v>
      </c>
      <c r="M163" t="str">
        <f>IFERROR(VLOOKUP(TRIM(A163),Fact1_2!$D$24:$P$41,10,0),"")</f>
        <v/>
      </c>
    </row>
    <row r="164" spans="1:21">
      <c r="A164" s="2058"/>
      <c r="B164" s="2596" t="s">
        <v>1045</v>
      </c>
      <c r="C164" s="2597" t="s">
        <v>1045</v>
      </c>
      <c r="D164" s="2597" t="s">
        <v>1045</v>
      </c>
      <c r="H164" s="730"/>
      <c r="I164" s="913" t="s">
        <v>1003</v>
      </c>
      <c r="J164" s="2156" t="s">
        <v>1003</v>
      </c>
      <c r="K164" s="2602" t="s">
        <v>1003</v>
      </c>
      <c r="L164" s="2603" t="s">
        <v>1003</v>
      </c>
      <c r="M164" t="str">
        <f>IFERROR(VLOOKUP(TRIM(A164),Fact1_2!$D$24:$P$41,10,0),"")</f>
        <v/>
      </c>
    </row>
    <row r="165" spans="1:21" ht="15" thickBot="1">
      <c r="A165" s="2059"/>
      <c r="B165" s="2060" t="s">
        <v>1187</v>
      </c>
      <c r="C165" s="2061" t="s">
        <v>1188</v>
      </c>
      <c r="D165" s="2062" t="s">
        <v>1189</v>
      </c>
      <c r="H165" s="731"/>
      <c r="I165" s="914" t="s">
        <v>1225</v>
      </c>
      <c r="J165" s="2157" t="s">
        <v>1187</v>
      </c>
      <c r="K165" s="2158" t="s">
        <v>1225</v>
      </c>
      <c r="L165" s="2159" t="s">
        <v>1187</v>
      </c>
      <c r="M165" t="str">
        <f>IFERROR(VLOOKUP(TRIM(A165),Fact1_2!$D$24:$P$41,10,0),"")</f>
        <v/>
      </c>
      <c r="P165" s="972" t="str">
        <f>B162</f>
        <v>sanred_ch</v>
      </c>
      <c r="Q165" s="219"/>
      <c r="R165" s="21"/>
      <c r="S165" s="21"/>
      <c r="T165" s="21"/>
      <c r="U165" s="21"/>
    </row>
    <row r="166" spans="1:21" ht="15" thickTop="1">
      <c r="A166" s="2063" t="s">
        <v>1125</v>
      </c>
      <c r="B166" s="2064"/>
      <c r="C166" s="2065"/>
      <c r="D166" s="2066"/>
      <c r="E166" s="2067"/>
      <c r="H166" s="732" t="s">
        <v>1125</v>
      </c>
      <c r="I166" s="915"/>
      <c r="J166" s="2160" t="s">
        <v>1125</v>
      </c>
      <c r="K166" s="2161"/>
      <c r="L166" s="2162"/>
      <c r="M166" s="2163" t="str">
        <f>IFERROR(VLOOKUP(TRIM(A166),Fact1_2!$D$24:$P$41,10,0),"")</f>
        <v/>
      </c>
      <c r="P166" s="213" t="s">
        <v>904</v>
      </c>
      <c r="Q166" s="216" t="s">
        <v>938</v>
      </c>
      <c r="R166" s="214" t="s">
        <v>1141</v>
      </c>
      <c r="S166" s="214" t="s">
        <v>1142</v>
      </c>
      <c r="T166" s="214" t="s">
        <v>1152</v>
      </c>
      <c r="U166" s="214" t="s">
        <v>1102</v>
      </c>
    </row>
    <row r="167" spans="1:21">
      <c r="A167" s="2068" t="s">
        <v>1190</v>
      </c>
      <c r="B167" s="2069">
        <v>58.457373165553946</v>
      </c>
      <c r="C167" s="2070">
        <v>59.451445515196447</v>
      </c>
      <c r="D167" s="2071">
        <v>74.77350552323972</v>
      </c>
      <c r="E167" s="2072">
        <v>2022</v>
      </c>
      <c r="H167" s="733" t="s">
        <v>1190</v>
      </c>
      <c r="I167" s="916">
        <v>74.77350552323972</v>
      </c>
      <c r="J167" s="2164" t="s">
        <v>1190</v>
      </c>
      <c r="K167" s="2165">
        <v>74.77350552323972</v>
      </c>
      <c r="L167" s="2166">
        <v>59.066957974553404</v>
      </c>
      <c r="M167" s="2167">
        <v>2022</v>
      </c>
      <c r="P167" t="str">
        <f>A167</f>
        <v xml:space="preserve">  ARG</v>
      </c>
      <c r="Q167" s="277">
        <f>K167</f>
        <v>74.77350552323972</v>
      </c>
      <c r="R167" s="115">
        <f>B167</f>
        <v>58.457373165553946</v>
      </c>
      <c r="S167" s="115">
        <f>C167</f>
        <v>59.451445515196447</v>
      </c>
      <c r="T167" s="115" t="str">
        <f>J167</f>
        <v xml:space="preserve">  ARG</v>
      </c>
      <c r="U167" s="115">
        <f>D167</f>
        <v>74.77350552323972</v>
      </c>
    </row>
    <row r="168" spans="1:21">
      <c r="A168" s="2073" t="s">
        <v>1191</v>
      </c>
      <c r="B168" s="2074">
        <v>19.13582885058338</v>
      </c>
      <c r="C168" s="2075">
        <v>31.966275780477854</v>
      </c>
      <c r="D168" s="2076">
        <v>59.789294123454809</v>
      </c>
      <c r="E168" s="2077">
        <v>2022</v>
      </c>
      <c r="H168" s="734" t="s">
        <v>1191</v>
      </c>
      <c r="I168" s="917">
        <v>59.789294123454809</v>
      </c>
      <c r="J168" s="2168" t="s">
        <v>1191</v>
      </c>
      <c r="K168" s="2169">
        <v>59.789294123454809</v>
      </c>
      <c r="L168" s="2170">
        <v>27.180554245414406</v>
      </c>
      <c r="M168" s="2171">
        <v>2022</v>
      </c>
      <c r="P168" t="str">
        <f t="shared" ref="P168:P181" si="74">A168</f>
        <v xml:space="preserve">  BOL</v>
      </c>
      <c r="Q168" s="277">
        <f t="shared" ref="Q168:Q181" si="75">K168</f>
        <v>59.789294123454809</v>
      </c>
      <c r="R168" s="115">
        <f t="shared" ref="R168:R181" si="76">B168</f>
        <v>19.13582885058338</v>
      </c>
      <c r="S168" s="115">
        <f t="shared" ref="S168:S181" si="77">C168</f>
        <v>31.966275780477854</v>
      </c>
      <c r="T168" s="115" t="str">
        <f t="shared" ref="T168:T181" si="78">J168</f>
        <v xml:space="preserve">  BOL</v>
      </c>
      <c r="U168" s="115">
        <f t="shared" ref="U168:U181" si="79">D168</f>
        <v>59.789294123454809</v>
      </c>
    </row>
    <row r="169" spans="1:21">
      <c r="A169" s="2078" t="s">
        <v>1192</v>
      </c>
      <c r="B169" s="2079">
        <v>37.409476453878341</v>
      </c>
      <c r="C169" s="2080">
        <v>51.574366476949784</v>
      </c>
      <c r="D169" s="2081">
        <v>67.807393526569783</v>
      </c>
      <c r="E169" s="2082">
        <v>2022</v>
      </c>
      <c r="H169" s="735" t="s">
        <v>1192</v>
      </c>
      <c r="I169" s="918">
        <v>67.807393526569783</v>
      </c>
      <c r="J169" s="2172" t="s">
        <v>1192</v>
      </c>
      <c r="K169" s="2173">
        <v>67.807393526569783</v>
      </c>
      <c r="L169" s="2174">
        <v>46.762960217742773</v>
      </c>
      <c r="M169" s="2175">
        <v>2022</v>
      </c>
      <c r="P169" t="str">
        <f t="shared" si="74"/>
        <v xml:space="preserve">  BRA</v>
      </c>
      <c r="Q169" s="277">
        <f t="shared" si="75"/>
        <v>67.807393526569783</v>
      </c>
      <c r="R169" s="115">
        <f t="shared" si="76"/>
        <v>37.409476453878341</v>
      </c>
      <c r="S169" s="115">
        <f t="shared" si="77"/>
        <v>51.574366476949784</v>
      </c>
      <c r="T169" s="115" t="str">
        <f t="shared" si="78"/>
        <v xml:space="preserve">  BRA</v>
      </c>
      <c r="U169" s="115">
        <f t="shared" si="79"/>
        <v>67.807393526569783</v>
      </c>
    </row>
    <row r="170" spans="1:21">
      <c r="A170" s="2083" t="s">
        <v>1193</v>
      </c>
      <c r="B170" s="2084">
        <v>77.749537664289875</v>
      </c>
      <c r="C170" s="2085">
        <v>78.983909799205307</v>
      </c>
      <c r="D170" s="2086">
        <v>87.53110996514404</v>
      </c>
      <c r="E170" s="2087">
        <v>2022</v>
      </c>
      <c r="H170" s="736" t="s">
        <v>1193</v>
      </c>
      <c r="I170" s="919">
        <v>87.53110996514404</v>
      </c>
      <c r="J170" s="2176" t="s">
        <v>1193</v>
      </c>
      <c r="K170" s="2177">
        <v>87.53110996514404</v>
      </c>
      <c r="L170" s="2178">
        <v>78.597137071347007</v>
      </c>
      <c r="M170" s="2179">
        <v>2022</v>
      </c>
      <c r="P170" t="str">
        <f t="shared" si="74"/>
        <v xml:space="preserve">  CHL</v>
      </c>
      <c r="Q170" s="277">
        <f t="shared" si="75"/>
        <v>87.53110996514404</v>
      </c>
      <c r="R170" s="115">
        <f t="shared" si="76"/>
        <v>77.749537664289875</v>
      </c>
      <c r="S170" s="115">
        <f t="shared" si="77"/>
        <v>78.983909799205307</v>
      </c>
      <c r="T170" s="115" t="str">
        <f t="shared" si="78"/>
        <v xml:space="preserve">  CHL</v>
      </c>
      <c r="U170" s="115">
        <f t="shared" si="79"/>
        <v>87.53110996514404</v>
      </c>
    </row>
    <row r="171" spans="1:21">
      <c r="A171" s="2088" t="s">
        <v>1194</v>
      </c>
      <c r="B171" s="2089">
        <v>46.581783845891444</v>
      </c>
      <c r="C171" s="2090">
        <v>63.713385421004055</v>
      </c>
      <c r="D171" s="2091">
        <v>86.895248761780152</v>
      </c>
      <c r="E171" s="2092">
        <v>2022</v>
      </c>
      <c r="H171" s="737" t="s">
        <v>1194</v>
      </c>
      <c r="I171" s="920">
        <v>86.895248761780152</v>
      </c>
      <c r="J171" s="2180" t="s">
        <v>1194</v>
      </c>
      <c r="K171" s="2181">
        <v>86.895248761780152</v>
      </c>
      <c r="L171" s="2182">
        <v>55.480325257579956</v>
      </c>
      <c r="M171" s="2183">
        <v>2022</v>
      </c>
      <c r="P171" t="str">
        <f t="shared" si="74"/>
        <v xml:space="preserve">  COL</v>
      </c>
      <c r="Q171" s="277">
        <f t="shared" si="75"/>
        <v>86.895248761780152</v>
      </c>
      <c r="R171" s="115">
        <f t="shared" si="76"/>
        <v>46.581783845891444</v>
      </c>
      <c r="S171" s="115">
        <f t="shared" si="77"/>
        <v>63.713385421004055</v>
      </c>
      <c r="T171" s="115" t="str">
        <f t="shared" si="78"/>
        <v xml:space="preserve">  COL</v>
      </c>
      <c r="U171" s="115">
        <f t="shared" si="79"/>
        <v>86.895248761780152</v>
      </c>
    </row>
    <row r="172" spans="1:21">
      <c r="A172" s="2093" t="s">
        <v>1195</v>
      </c>
      <c r="B172" s="2094">
        <v>18.733426754338687</v>
      </c>
      <c r="C172" s="2095">
        <v>20.097560975609756</v>
      </c>
      <c r="D172" s="2096">
        <v>29.907025386235219</v>
      </c>
      <c r="E172" s="2097">
        <v>2023</v>
      </c>
      <c r="H172" s="738" t="s">
        <v>1195</v>
      </c>
      <c r="I172" s="921">
        <v>29.907025386235219</v>
      </c>
      <c r="J172" s="2184" t="s">
        <v>1195</v>
      </c>
      <c r="K172" s="2185">
        <v>29.907025386235219</v>
      </c>
      <c r="L172" s="2186">
        <v>19.679757011505639</v>
      </c>
      <c r="M172" s="2187">
        <v>2023</v>
      </c>
      <c r="P172" t="str">
        <f t="shared" si="74"/>
        <v xml:space="preserve">  CRI</v>
      </c>
      <c r="Q172" s="277">
        <f t="shared" si="75"/>
        <v>29.907025386235219</v>
      </c>
      <c r="R172" s="115">
        <f t="shared" si="76"/>
        <v>18.733426754338687</v>
      </c>
      <c r="S172" s="115">
        <f t="shared" si="77"/>
        <v>20.097560975609756</v>
      </c>
      <c r="T172" s="115" t="str">
        <f t="shared" si="78"/>
        <v xml:space="preserve">  CRI</v>
      </c>
      <c r="U172" s="115">
        <f t="shared" si="79"/>
        <v>29.907025386235219</v>
      </c>
    </row>
    <row r="173" spans="1:21">
      <c r="A173" s="2098" t="s">
        <v>1196</v>
      </c>
      <c r="B173" s="2099">
        <v>16.743499279389784</v>
      </c>
      <c r="C173" s="2100">
        <v>17.372467470102208</v>
      </c>
      <c r="D173" s="2101">
        <v>27.31458307511496</v>
      </c>
      <c r="E173" s="2102">
        <v>2022</v>
      </c>
      <c r="H173" s="739" t="s">
        <v>1196</v>
      </c>
      <c r="I173" s="922">
        <v>27.31458307511496</v>
      </c>
      <c r="J173" s="2188" t="s">
        <v>1196</v>
      </c>
      <c r="K173" s="2189">
        <v>27.31458307511496</v>
      </c>
      <c r="L173" s="2190">
        <v>17.180120638824388</v>
      </c>
      <c r="M173" s="2191">
        <v>2022</v>
      </c>
      <c r="P173" t="str">
        <f t="shared" si="74"/>
        <v xml:space="preserve">  DOM</v>
      </c>
      <c r="Q173" s="277">
        <f t="shared" si="75"/>
        <v>27.31458307511496</v>
      </c>
      <c r="R173" s="115">
        <f t="shared" si="76"/>
        <v>16.743499279389784</v>
      </c>
      <c r="S173" s="115">
        <f t="shared" si="77"/>
        <v>17.372467470102208</v>
      </c>
      <c r="T173" s="115" t="str">
        <f t="shared" si="78"/>
        <v xml:space="preserve">  DOM</v>
      </c>
      <c r="U173" s="115">
        <f t="shared" si="79"/>
        <v>27.31458307511496</v>
      </c>
    </row>
    <row r="174" spans="1:21">
      <c r="A174" s="2103" t="s">
        <v>1197</v>
      </c>
      <c r="B174" s="2104">
        <v>32.228263997773652</v>
      </c>
      <c r="C174" s="2105">
        <v>47.380992408980084</v>
      </c>
      <c r="D174" s="2106">
        <v>71.92602925487995</v>
      </c>
      <c r="E174" s="2107">
        <v>2023</v>
      </c>
      <c r="H174" s="740" t="s">
        <v>1197</v>
      </c>
      <c r="I174" s="923">
        <v>71.92602925487995</v>
      </c>
      <c r="J174" s="2192" t="s">
        <v>1197</v>
      </c>
      <c r="K174" s="2193">
        <v>71.92602925487995</v>
      </c>
      <c r="L174" s="2194">
        <v>42.085929337894811</v>
      </c>
      <c r="M174" s="2195">
        <v>2023</v>
      </c>
      <c r="P174" t="str">
        <f t="shared" si="74"/>
        <v xml:space="preserve">  ECU</v>
      </c>
      <c r="Q174" s="277">
        <f t="shared" si="75"/>
        <v>71.92602925487995</v>
      </c>
      <c r="R174" s="115">
        <f t="shared" si="76"/>
        <v>32.228263997773652</v>
      </c>
      <c r="S174" s="115">
        <f t="shared" si="77"/>
        <v>47.380992408980084</v>
      </c>
      <c r="T174" s="115" t="str">
        <f t="shared" si="78"/>
        <v xml:space="preserve">  ECU</v>
      </c>
      <c r="U174" s="115">
        <f t="shared" si="79"/>
        <v>71.92602925487995</v>
      </c>
    </row>
    <row r="175" spans="1:21">
      <c r="A175" s="2108" t="s">
        <v>1204</v>
      </c>
      <c r="B175" s="2109">
        <v>31.344024617516762</v>
      </c>
      <c r="C175" s="2110">
        <v>40.404984637802684</v>
      </c>
      <c r="D175" s="2111">
        <v>59.985324667899143</v>
      </c>
      <c r="E175" s="2112">
        <v>2022</v>
      </c>
      <c r="H175" s="741" t="s">
        <v>1204</v>
      </c>
      <c r="I175" s="924">
        <v>59.985324667899143</v>
      </c>
      <c r="J175" s="2196" t="s">
        <v>1204</v>
      </c>
      <c r="K175" s="2197">
        <v>59.985324667899143</v>
      </c>
      <c r="L175" s="2198">
        <v>35.313118641090938</v>
      </c>
      <c r="M175" s="2199">
        <v>2022</v>
      </c>
      <c r="P175" t="str">
        <f t="shared" si="74"/>
        <v xml:space="preserve">  GTM</v>
      </c>
      <c r="Q175" s="277">
        <f t="shared" si="75"/>
        <v>59.985324667899143</v>
      </c>
      <c r="R175" s="115">
        <f t="shared" si="76"/>
        <v>31.344024617516762</v>
      </c>
      <c r="S175" s="115">
        <f t="shared" si="77"/>
        <v>40.404984637802684</v>
      </c>
      <c r="T175" s="115" t="str">
        <f t="shared" si="78"/>
        <v xml:space="preserve">  GTM</v>
      </c>
      <c r="U175" s="115">
        <f t="shared" si="79"/>
        <v>59.985324667899143</v>
      </c>
    </row>
    <row r="176" spans="1:21">
      <c r="A176" s="2113" t="s">
        <v>1199</v>
      </c>
      <c r="B176" s="2114">
        <v>21.987673216003884</v>
      </c>
      <c r="C176" s="2115">
        <v>33.835913656240308</v>
      </c>
      <c r="D176" s="2116">
        <v>51.503083242501944</v>
      </c>
      <c r="E176" s="2117">
        <v>2023</v>
      </c>
      <c r="H176" s="742" t="s">
        <v>1199</v>
      </c>
      <c r="I176" s="925">
        <v>51.503083242501944</v>
      </c>
      <c r="J176" s="2200" t="s">
        <v>1199</v>
      </c>
      <c r="K176" s="2201">
        <v>51.503083242501944</v>
      </c>
      <c r="L176" s="2202">
        <v>27.122441862856061</v>
      </c>
      <c r="M176" s="2203">
        <v>2023</v>
      </c>
      <c r="P176" t="str">
        <f t="shared" si="74"/>
        <v xml:space="preserve">  HND</v>
      </c>
      <c r="Q176" s="277">
        <f t="shared" si="75"/>
        <v>51.503083242501944</v>
      </c>
      <c r="R176" s="115">
        <f t="shared" si="76"/>
        <v>21.987673216003884</v>
      </c>
      <c r="S176" s="115">
        <f t="shared" si="77"/>
        <v>33.835913656240308</v>
      </c>
      <c r="T176" s="115" t="str">
        <f t="shared" si="78"/>
        <v xml:space="preserve">  HND</v>
      </c>
      <c r="U176" s="115">
        <f t="shared" si="79"/>
        <v>51.503083242501944</v>
      </c>
    </row>
    <row r="177" spans="1:21">
      <c r="A177" s="2118" t="s">
        <v>1205</v>
      </c>
      <c r="B177" s="2119">
        <v>49.472698040485668</v>
      </c>
      <c r="C177" s="2120">
        <v>67.527603766580356</v>
      </c>
      <c r="D177" s="2121">
        <v>84.027318256439486</v>
      </c>
      <c r="E177" s="2122">
        <v>2022</v>
      </c>
      <c r="H177" s="743" t="s">
        <v>1205</v>
      </c>
      <c r="I177" s="926">
        <v>84.027318256439486</v>
      </c>
      <c r="J177" s="2204" t="s">
        <v>1205</v>
      </c>
      <c r="K177" s="2205">
        <v>84.027318256439486</v>
      </c>
      <c r="L177" s="2206">
        <v>61.743776742178447</v>
      </c>
      <c r="M177" s="2207">
        <v>2022</v>
      </c>
      <c r="P177" t="str">
        <f t="shared" si="74"/>
        <v xml:space="preserve">  MEX</v>
      </c>
      <c r="Q177" s="277">
        <f t="shared" si="75"/>
        <v>84.027318256439486</v>
      </c>
      <c r="R177" s="115">
        <f t="shared" si="76"/>
        <v>49.472698040485668</v>
      </c>
      <c r="S177" s="115">
        <f t="shared" si="77"/>
        <v>67.527603766580356</v>
      </c>
      <c r="T177" s="115" t="str">
        <f t="shared" si="78"/>
        <v xml:space="preserve">  MEX</v>
      </c>
      <c r="U177" s="115">
        <f t="shared" si="79"/>
        <v>84.027318256439486</v>
      </c>
    </row>
    <row r="178" spans="1:21">
      <c r="A178" s="2123" t="s">
        <v>1200</v>
      </c>
      <c r="B178" s="2124">
        <v>11.203133115287974</v>
      </c>
      <c r="C178" s="2125">
        <v>14.004694523372835</v>
      </c>
      <c r="D178" s="2126">
        <v>40.499306260070419</v>
      </c>
      <c r="E178" s="2127">
        <v>2022</v>
      </c>
      <c r="H178" s="744" t="s">
        <v>1200</v>
      </c>
      <c r="I178" s="927">
        <v>40.499306260070419</v>
      </c>
      <c r="J178" s="2208" t="s">
        <v>1200</v>
      </c>
      <c r="K178" s="2209">
        <v>40.499306260070419</v>
      </c>
      <c r="L178" s="2210">
        <v>12.873722147924838</v>
      </c>
      <c r="M178" s="2211">
        <v>2022</v>
      </c>
      <c r="P178" t="str">
        <f t="shared" si="74"/>
        <v xml:space="preserve">  PAN</v>
      </c>
      <c r="Q178" s="277">
        <f t="shared" si="75"/>
        <v>40.499306260070419</v>
      </c>
      <c r="R178" s="115">
        <f t="shared" si="76"/>
        <v>11.203133115287974</v>
      </c>
      <c r="S178" s="115">
        <f t="shared" si="77"/>
        <v>14.004694523372835</v>
      </c>
      <c r="T178" s="115" t="str">
        <f t="shared" si="78"/>
        <v xml:space="preserve">  PAN</v>
      </c>
      <c r="U178" s="115">
        <f t="shared" si="79"/>
        <v>40.499306260070419</v>
      </c>
    </row>
    <row r="179" spans="1:21">
      <c r="A179" s="2128" t="s">
        <v>1201</v>
      </c>
      <c r="B179" s="2129">
        <v>45.657287335300978</v>
      </c>
      <c r="C179" s="2130">
        <v>60.340696367739923</v>
      </c>
      <c r="D179" s="2131">
        <v>79.378295146547643</v>
      </c>
      <c r="E179" s="2132">
        <v>2022</v>
      </c>
      <c r="H179" s="745" t="s">
        <v>1201</v>
      </c>
      <c r="I179" s="928">
        <v>79.378295146547643</v>
      </c>
      <c r="J179" s="2212" t="s">
        <v>1201</v>
      </c>
      <c r="K179" s="2213">
        <v>79.378295146547643</v>
      </c>
      <c r="L179" s="2214">
        <v>55.674735363069402</v>
      </c>
      <c r="M179" s="2215">
        <v>2022</v>
      </c>
      <c r="P179" t="str">
        <f t="shared" si="74"/>
        <v xml:space="preserve">  PER</v>
      </c>
      <c r="Q179" s="277">
        <f t="shared" si="75"/>
        <v>79.378295146547643</v>
      </c>
      <c r="R179" s="115">
        <f t="shared" si="76"/>
        <v>45.657287335300978</v>
      </c>
      <c r="S179" s="115">
        <f t="shared" si="77"/>
        <v>60.340696367739923</v>
      </c>
      <c r="T179" s="115" t="str">
        <f t="shared" si="78"/>
        <v xml:space="preserve">  PER</v>
      </c>
      <c r="U179" s="115">
        <f t="shared" si="79"/>
        <v>79.378295146547643</v>
      </c>
    </row>
    <row r="180" spans="1:21">
      <c r="A180" s="2133" t="s">
        <v>1202</v>
      </c>
      <c r="B180" s="2134">
        <v>1.3528290686412348</v>
      </c>
      <c r="C180" s="2135">
        <v>3.6353839814902851</v>
      </c>
      <c r="D180" s="2136">
        <v>12.351258645154802</v>
      </c>
      <c r="E180" s="2137">
        <v>2022</v>
      </c>
      <c r="H180" s="746" t="s">
        <v>1202</v>
      </c>
      <c r="I180" s="929">
        <v>12.351258645154802</v>
      </c>
      <c r="J180" s="2216" t="s">
        <v>1202</v>
      </c>
      <c r="K180" s="2217">
        <v>12.351258645154802</v>
      </c>
      <c r="L180" s="2218">
        <v>2.7399275095865945</v>
      </c>
      <c r="M180" s="2219">
        <v>2022</v>
      </c>
      <c r="P180" t="str">
        <f t="shared" si="74"/>
        <v xml:space="preserve">  PRY</v>
      </c>
      <c r="Q180" s="277">
        <f t="shared" si="75"/>
        <v>12.351258645154802</v>
      </c>
      <c r="R180" s="115">
        <f t="shared" si="76"/>
        <v>1.3528290686412348</v>
      </c>
      <c r="S180" s="115">
        <f t="shared" si="77"/>
        <v>3.6353839814902851</v>
      </c>
      <c r="T180" s="115" t="str">
        <f t="shared" si="78"/>
        <v xml:space="preserve">  PRY</v>
      </c>
      <c r="U180" s="115">
        <f t="shared" si="79"/>
        <v>12.351258645154802</v>
      </c>
    </row>
    <row r="181" spans="1:21">
      <c r="A181" s="2138" t="s">
        <v>1206</v>
      </c>
      <c r="B181" s="2139">
        <v>17.058869341144231</v>
      </c>
      <c r="C181" s="2140">
        <v>22.757778408986677</v>
      </c>
      <c r="D181" s="2141">
        <v>45.067377941272994</v>
      </c>
      <c r="E181" s="2142">
        <v>2023</v>
      </c>
      <c r="H181" s="747" t="s">
        <v>1206</v>
      </c>
      <c r="I181" s="930">
        <v>45.067377941272994</v>
      </c>
      <c r="J181" s="2220" t="s">
        <v>1206</v>
      </c>
      <c r="K181" s="2221">
        <v>45.067377941272994</v>
      </c>
      <c r="L181" s="2222">
        <v>20.351656684381915</v>
      </c>
      <c r="M181" s="2223">
        <v>2023</v>
      </c>
      <c r="P181" t="str">
        <f t="shared" si="74"/>
        <v xml:space="preserve">  SLV</v>
      </c>
      <c r="Q181" s="277">
        <f t="shared" si="75"/>
        <v>45.067377941272994</v>
      </c>
      <c r="R181" s="115">
        <f t="shared" si="76"/>
        <v>17.058869341144231</v>
      </c>
      <c r="S181" s="115">
        <f t="shared" si="77"/>
        <v>22.757778408986677</v>
      </c>
      <c r="T181" s="115" t="str">
        <f t="shared" si="78"/>
        <v xml:space="preserve">  SLV</v>
      </c>
      <c r="U181" s="115">
        <f t="shared" si="79"/>
        <v>45.067377941272994</v>
      </c>
    </row>
    <row r="182" spans="1:21">
      <c r="A182" s="2143" t="s">
        <v>1207</v>
      </c>
      <c r="B182" s="2144">
        <v>42.554296659416288</v>
      </c>
      <c r="C182" s="2145">
        <v>50.428777660468427</v>
      </c>
      <c r="D182" s="2146">
        <v>68.180504855463624</v>
      </c>
      <c r="E182" s="2147">
        <v>2022</v>
      </c>
      <c r="H182" s="748" t="s">
        <v>1207</v>
      </c>
      <c r="I182" s="931">
        <v>68.180504855463624</v>
      </c>
      <c r="J182" s="2224" t="s">
        <v>1207</v>
      </c>
      <c r="K182" s="2225">
        <v>68.180504855463624</v>
      </c>
      <c r="L182" s="2226">
        <v>48.466734074823052</v>
      </c>
      <c r="M182" s="2227">
        <v>2022</v>
      </c>
      <c r="P182" t="str">
        <f t="shared" ref="P182:P183" si="80">A182</f>
        <v xml:space="preserve">  URY</v>
      </c>
      <c r="Q182" s="277">
        <f t="shared" ref="Q182:Q183" si="81">K182</f>
        <v>68.180504855463624</v>
      </c>
      <c r="R182" s="115">
        <f t="shared" ref="R182:R183" si="82">B182</f>
        <v>42.554296659416288</v>
      </c>
      <c r="S182" s="115">
        <f t="shared" ref="S182:S183" si="83">C182</f>
        <v>50.428777660468427</v>
      </c>
      <c r="T182" s="115" t="str">
        <f t="shared" ref="T182:T183" si="84">J182</f>
        <v xml:space="preserve">  URY</v>
      </c>
      <c r="U182" s="115">
        <f t="shared" ref="U182:U183" si="85">D182</f>
        <v>68.180504855463624</v>
      </c>
    </row>
    <row r="183" spans="1:21">
      <c r="A183" s="2148" t="s">
        <v>1203</v>
      </c>
      <c r="B183" s="2149">
        <v>76.542379931381703</v>
      </c>
      <c r="C183" s="2150">
        <v>78.174152749429496</v>
      </c>
      <c r="D183" s="2151">
        <v>83.965632637671945</v>
      </c>
      <c r="E183" s="2152">
        <v>2021</v>
      </c>
      <c r="H183" s="749" t="s">
        <v>1203</v>
      </c>
      <c r="I183" s="932">
        <v>83.965632637671945</v>
      </c>
      <c r="J183" s="2228" t="s">
        <v>1203</v>
      </c>
      <c r="K183" s="2229">
        <v>83.965632637671945</v>
      </c>
      <c r="L183" s="2230">
        <v>76.948723646224934</v>
      </c>
      <c r="M183" s="2231">
        <v>2021</v>
      </c>
      <c r="P183" t="str">
        <f t="shared" si="80"/>
        <v xml:space="preserve">  VEN</v>
      </c>
      <c r="Q183" s="277">
        <f t="shared" si="81"/>
        <v>83.965632637671945</v>
      </c>
      <c r="R183" s="115">
        <f t="shared" si="82"/>
        <v>76.542379931381703</v>
      </c>
      <c r="S183" s="115">
        <f t="shared" si="83"/>
        <v>78.174152749429496</v>
      </c>
      <c r="T183" s="115" t="str">
        <f t="shared" si="84"/>
        <v xml:space="preserve">  VEN</v>
      </c>
      <c r="U183" s="115">
        <f t="shared" si="85"/>
        <v>83.965632637671945</v>
      </c>
    </row>
    <row r="184" spans="1:21">
      <c r="B184" s="565"/>
      <c r="C184" s="565"/>
      <c r="D184" s="565"/>
      <c r="I184" s="115"/>
      <c r="J184" s="115"/>
      <c r="M184" t="str">
        <f>IFERROR(VLOOKUP(TRIM(A184),Fact1_2!$D$24:$P$41,10,0),"")</f>
        <v/>
      </c>
      <c r="P184" s="76" t="s">
        <v>1226</v>
      </c>
      <c r="Q184" s="277"/>
      <c r="R184" s="115">
        <f>AVERAGE(R170:R183)</f>
        <v>34.943550204775875</v>
      </c>
      <c r="S184" s="115">
        <f t="shared" ref="S184" si="86">AVERAGE(S170:S183)</f>
        <v>42.761307273358021</v>
      </c>
      <c r="T184" s="115" t="e">
        <f t="shared" ref="T184" si="87">AVERAGE(T170:T183)</f>
        <v>#DIV/0!</v>
      </c>
      <c r="U184" s="115">
        <f t="shared" ref="U184" si="88">AVERAGE(U170:U183)</f>
        <v>59.180864149726872</v>
      </c>
    </row>
    <row r="185" spans="1:21">
      <c r="A185" s="2232"/>
      <c r="B185" s="2580" t="s">
        <v>1222</v>
      </c>
      <c r="C185" s="2581" t="s">
        <v>1222</v>
      </c>
      <c r="D185" s="2581" t="s">
        <v>1222</v>
      </c>
      <c r="E185" s="2233" t="s">
        <v>1186</v>
      </c>
      <c r="H185" s="750"/>
      <c r="I185" s="933" t="s">
        <v>1222</v>
      </c>
      <c r="J185" s="2330" t="s">
        <v>1222</v>
      </c>
      <c r="K185" s="2586" t="s">
        <v>1222</v>
      </c>
      <c r="L185" s="2587" t="s">
        <v>1222</v>
      </c>
      <c r="M185" s="2331" t="s">
        <v>1186</v>
      </c>
    </row>
    <row r="186" spans="1:21">
      <c r="A186" s="2234"/>
      <c r="B186" s="2582" t="s">
        <v>1187</v>
      </c>
      <c r="C186" s="2583" t="s">
        <v>1187</v>
      </c>
      <c r="D186" s="2583" t="s">
        <v>1187</v>
      </c>
      <c r="H186" s="751"/>
      <c r="I186" s="934" t="s">
        <v>1187</v>
      </c>
      <c r="J186" s="2332" t="s">
        <v>1187</v>
      </c>
      <c r="K186" s="2588" t="s">
        <v>1187</v>
      </c>
      <c r="L186" s="2589" t="s">
        <v>1187</v>
      </c>
      <c r="M186" t="str">
        <f>IFERROR(VLOOKUP(TRIM(A186),Fact1_2!$D$24:$P$41,10,0),"")</f>
        <v/>
      </c>
    </row>
    <row r="187" spans="1:21">
      <c r="A187" s="2235"/>
      <c r="B187" s="2584" t="s">
        <v>1045</v>
      </c>
      <c r="C187" s="2585" t="s">
        <v>1045</v>
      </c>
      <c r="D187" s="2585" t="s">
        <v>1045</v>
      </c>
      <c r="H187" s="752"/>
      <c r="I187" s="935" t="s">
        <v>1003</v>
      </c>
      <c r="J187" s="2333" t="s">
        <v>1003</v>
      </c>
      <c r="K187" s="2590" t="s">
        <v>1003</v>
      </c>
      <c r="L187" s="2591" t="s">
        <v>1003</v>
      </c>
      <c r="M187" t="str">
        <f>IFERROR(VLOOKUP(TRIM(A187),Fact1_2!$D$24:$P$41,10,0),"")</f>
        <v/>
      </c>
    </row>
    <row r="188" spans="1:21" ht="15" thickBot="1">
      <c r="A188" s="2236"/>
      <c r="B188" s="2237" t="s">
        <v>1187</v>
      </c>
      <c r="C188" s="2238" t="s">
        <v>1188</v>
      </c>
      <c r="D188" s="2239" t="s">
        <v>1189</v>
      </c>
      <c r="H188" s="753"/>
      <c r="I188" s="936" t="s">
        <v>1225</v>
      </c>
      <c r="J188" s="2334" t="s">
        <v>1187</v>
      </c>
      <c r="K188" s="2335" t="s">
        <v>1225</v>
      </c>
      <c r="L188" s="2336" t="s">
        <v>1187</v>
      </c>
      <c r="M188" t="str">
        <f>IFERROR(VLOOKUP(TRIM(A188),Fact1_2!$D$24:$P$41,10,0),"")</f>
        <v/>
      </c>
      <c r="P188" s="972" t="str">
        <f>B185</f>
        <v>Acceso a fuente de agua por red</v>
      </c>
      <c r="Q188" s="219"/>
      <c r="R188" s="21"/>
      <c r="S188" s="21"/>
      <c r="T188" s="21"/>
      <c r="U188" s="21"/>
    </row>
    <row r="189" spans="1:21" ht="15" thickTop="1">
      <c r="A189" s="2240" t="s">
        <v>1125</v>
      </c>
      <c r="B189" s="2241"/>
      <c r="C189" s="2242"/>
      <c r="D189" s="2243"/>
      <c r="E189" s="2244"/>
      <c r="H189" s="754" t="s">
        <v>1125</v>
      </c>
      <c r="I189" s="937"/>
      <c r="J189" s="2337" t="s">
        <v>1125</v>
      </c>
      <c r="K189" s="2338"/>
      <c r="L189" s="2339"/>
      <c r="M189" s="2340" t="str">
        <f>IFERROR(VLOOKUP(TRIM(A189),Fact1_2!$D$24:$P$41,10,0),"")</f>
        <v/>
      </c>
      <c r="P189" s="213" t="s">
        <v>904</v>
      </c>
      <c r="Q189" s="216" t="s">
        <v>938</v>
      </c>
      <c r="R189" s="214" t="s">
        <v>1141</v>
      </c>
      <c r="S189" s="214" t="s">
        <v>1142</v>
      </c>
      <c r="T189" s="214" t="s">
        <v>1152</v>
      </c>
      <c r="U189" s="214" t="s">
        <v>1102</v>
      </c>
    </row>
    <row r="190" spans="1:21">
      <c r="A190" s="2245" t="s">
        <v>1190</v>
      </c>
      <c r="B190" s="2246">
        <v>83.324000861458941</v>
      </c>
      <c r="C190" s="2247">
        <v>84.720890789764766</v>
      </c>
      <c r="D190" s="2248">
        <v>91.235559919487656</v>
      </c>
      <c r="E190" s="2249">
        <v>2022</v>
      </c>
      <c r="H190" s="755" t="s">
        <v>1190</v>
      </c>
      <c r="I190" s="938">
        <v>91.235559919487656</v>
      </c>
      <c r="J190" s="2341" t="s">
        <v>1190</v>
      </c>
      <c r="K190" s="2342">
        <v>91.235559919487656</v>
      </c>
      <c r="L190" s="2343">
        <v>84.180601369908658</v>
      </c>
      <c r="M190" s="2344">
        <v>2022</v>
      </c>
      <c r="P190" t="str">
        <f>A190</f>
        <v xml:space="preserve">  ARG</v>
      </c>
      <c r="Q190" s="277">
        <f>K190</f>
        <v>91.235559919487656</v>
      </c>
      <c r="R190" s="115">
        <f>B190</f>
        <v>83.324000861458941</v>
      </c>
      <c r="S190" s="115">
        <f>C190</f>
        <v>84.720890789764766</v>
      </c>
      <c r="T190" s="115" t="str">
        <f>J190</f>
        <v xml:space="preserve">  ARG</v>
      </c>
      <c r="U190" s="115">
        <f>D190</f>
        <v>91.235559919487656</v>
      </c>
    </row>
    <row r="191" spans="1:21">
      <c r="A191" s="2250" t="s">
        <v>1191</v>
      </c>
      <c r="B191" s="2251">
        <v>31.450168806547111</v>
      </c>
      <c r="C191" s="2252">
        <v>46.093756649521822</v>
      </c>
      <c r="D191" s="2253">
        <v>75.337450260466582</v>
      </c>
      <c r="E191" s="2254">
        <v>2022</v>
      </c>
      <c r="H191" s="756" t="s">
        <v>1191</v>
      </c>
      <c r="I191" s="939">
        <v>75.337450260466582</v>
      </c>
      <c r="J191" s="2345" t="s">
        <v>1191</v>
      </c>
      <c r="K191" s="2346">
        <v>75.337450260466582</v>
      </c>
      <c r="L191" s="2347">
        <v>40.63173852391521</v>
      </c>
      <c r="M191" s="2348">
        <v>2022</v>
      </c>
      <c r="P191" t="str">
        <f t="shared" ref="P191:P204" si="89">A191</f>
        <v xml:space="preserve">  BOL</v>
      </c>
      <c r="Q191" s="277">
        <f t="shared" ref="Q191:Q204" si="90">K191</f>
        <v>75.337450260466582</v>
      </c>
      <c r="R191" s="115">
        <f t="shared" ref="R191:R204" si="91">B191</f>
        <v>31.450168806547111</v>
      </c>
      <c r="S191" s="115">
        <f t="shared" ref="S191:S204" si="92">C191</f>
        <v>46.093756649521822</v>
      </c>
      <c r="T191" s="115" t="str">
        <f t="shared" ref="T191:T204" si="93">J191</f>
        <v xml:space="preserve">  BOL</v>
      </c>
      <c r="U191" s="115">
        <f t="shared" ref="U191:U204" si="94">D191</f>
        <v>75.337450260466582</v>
      </c>
    </row>
    <row r="192" spans="1:21">
      <c r="A192" s="2255" t="s">
        <v>1192</v>
      </c>
      <c r="B192" s="2256">
        <v>71.781796772518746</v>
      </c>
      <c r="C192" s="2257">
        <v>80.137010257427193</v>
      </c>
      <c r="D192" s="2258">
        <v>88.07555230813044</v>
      </c>
      <c r="E192" s="2259">
        <v>2022</v>
      </c>
      <c r="H192" s="757" t="s">
        <v>1192</v>
      </c>
      <c r="I192" s="940">
        <v>88.07555230813044</v>
      </c>
      <c r="J192" s="2349" t="s">
        <v>1192</v>
      </c>
      <c r="K192" s="2350">
        <v>88.07555230813044</v>
      </c>
      <c r="L192" s="2351">
        <v>77.298984237258878</v>
      </c>
      <c r="M192" s="2352">
        <v>2022</v>
      </c>
      <c r="P192" t="str">
        <f t="shared" si="89"/>
        <v xml:space="preserve">  BRA</v>
      </c>
      <c r="Q192" s="277">
        <f t="shared" si="90"/>
        <v>88.07555230813044</v>
      </c>
      <c r="R192" s="115">
        <f t="shared" si="91"/>
        <v>71.781796772518746</v>
      </c>
      <c r="S192" s="115">
        <f t="shared" si="92"/>
        <v>80.137010257427193</v>
      </c>
      <c r="T192" s="115" t="str">
        <f t="shared" si="93"/>
        <v xml:space="preserve">  BRA</v>
      </c>
      <c r="U192" s="115">
        <f t="shared" si="94"/>
        <v>88.07555230813044</v>
      </c>
    </row>
    <row r="193" spans="1:21">
      <c r="A193" s="2260" t="s">
        <v>1193</v>
      </c>
      <c r="B193" s="2261">
        <v>88.456441547909847</v>
      </c>
      <c r="C193" s="2262">
        <v>89.588414874917916</v>
      </c>
      <c r="D193" s="2263">
        <v>94.394076310523786</v>
      </c>
      <c r="E193" s="2264">
        <v>2022</v>
      </c>
      <c r="H193" s="758" t="s">
        <v>1193</v>
      </c>
      <c r="I193" s="941">
        <v>94.394076310523786</v>
      </c>
      <c r="J193" s="2353" t="s">
        <v>1193</v>
      </c>
      <c r="K193" s="2354">
        <v>94.394076310523786</v>
      </c>
      <c r="L193" s="2355">
        <v>89.233727338505133</v>
      </c>
      <c r="M193" s="2356">
        <v>2022</v>
      </c>
      <c r="P193" t="str">
        <f t="shared" si="89"/>
        <v xml:space="preserve">  CHL</v>
      </c>
      <c r="Q193" s="277">
        <f t="shared" si="90"/>
        <v>94.394076310523786</v>
      </c>
      <c r="R193" s="115">
        <f t="shared" si="91"/>
        <v>88.456441547909847</v>
      </c>
      <c r="S193" s="115">
        <f t="shared" si="92"/>
        <v>89.588414874917916</v>
      </c>
      <c r="T193" s="115" t="str">
        <f t="shared" si="93"/>
        <v xml:space="preserve">  CHL</v>
      </c>
      <c r="U193" s="115">
        <f t="shared" si="94"/>
        <v>94.394076310523786</v>
      </c>
    </row>
    <row r="194" spans="1:21">
      <c r="A194" s="2265" t="s">
        <v>1194</v>
      </c>
      <c r="B194" s="2266">
        <v>72.59886988494037</v>
      </c>
      <c r="C194" s="2267">
        <v>83.357950812297602</v>
      </c>
      <c r="D194" s="2268">
        <v>94.684405280079019</v>
      </c>
      <c r="E194" s="2269">
        <v>2022</v>
      </c>
      <c r="H194" s="759" t="s">
        <v>1194</v>
      </c>
      <c r="I194" s="942">
        <v>94.684405280079019</v>
      </c>
      <c r="J194" s="2357" t="s">
        <v>1194</v>
      </c>
      <c r="K194" s="2358">
        <v>94.684405280079019</v>
      </c>
      <c r="L194" s="2359">
        <v>78.187379912098592</v>
      </c>
      <c r="M194" s="2360">
        <v>2022</v>
      </c>
      <c r="P194" t="str">
        <f t="shared" si="89"/>
        <v xml:space="preserve">  COL</v>
      </c>
      <c r="Q194" s="277">
        <f t="shared" si="90"/>
        <v>94.684405280079019</v>
      </c>
      <c r="R194" s="115">
        <f t="shared" si="91"/>
        <v>72.59886988494037</v>
      </c>
      <c r="S194" s="115">
        <f t="shared" si="92"/>
        <v>83.357950812297602</v>
      </c>
      <c r="T194" s="115" t="str">
        <f t="shared" si="93"/>
        <v xml:space="preserve">  COL</v>
      </c>
      <c r="U194" s="115">
        <f t="shared" si="94"/>
        <v>94.684405280079019</v>
      </c>
    </row>
    <row r="195" spans="1:21">
      <c r="A195" s="2270" t="s">
        <v>1195</v>
      </c>
      <c r="B195" s="2271">
        <v>91.052064244906759</v>
      </c>
      <c r="C195" s="2272">
        <v>93.860321237358718</v>
      </c>
      <c r="D195" s="2273">
        <v>96.991743616645635</v>
      </c>
      <c r="E195" s="2274">
        <v>2023</v>
      </c>
      <c r="H195" s="760" t="s">
        <v>1195</v>
      </c>
      <c r="I195" s="943">
        <v>96.991743616645635</v>
      </c>
      <c r="J195" s="2361" t="s">
        <v>1195</v>
      </c>
      <c r="K195" s="2362">
        <v>96.991743616645635</v>
      </c>
      <c r="L195" s="2363">
        <v>93.000214595817027</v>
      </c>
      <c r="M195" s="2364">
        <v>2023</v>
      </c>
      <c r="P195" t="str">
        <f t="shared" si="89"/>
        <v xml:space="preserve">  CRI</v>
      </c>
      <c r="Q195" s="277">
        <f t="shared" si="90"/>
        <v>96.991743616645635</v>
      </c>
      <c r="R195" s="115">
        <f t="shared" si="91"/>
        <v>91.052064244906759</v>
      </c>
      <c r="S195" s="115">
        <f t="shared" si="92"/>
        <v>93.860321237358718</v>
      </c>
      <c r="T195" s="115" t="str">
        <f t="shared" si="93"/>
        <v xml:space="preserve">  CRI</v>
      </c>
      <c r="U195" s="115">
        <f t="shared" si="94"/>
        <v>96.991743616645635</v>
      </c>
    </row>
    <row r="196" spans="1:21">
      <c r="A196" s="2275" t="s">
        <v>1196</v>
      </c>
      <c r="B196" s="2276">
        <v>81.973318586673514</v>
      </c>
      <c r="C196" s="2277">
        <v>85.256855709412548</v>
      </c>
      <c r="D196" s="2278">
        <v>89.648414124355853</v>
      </c>
      <c r="E196" s="2279">
        <v>2022</v>
      </c>
      <c r="H196" s="761" t="s">
        <v>1196</v>
      </c>
      <c r="I196" s="944">
        <v>89.648414124355853</v>
      </c>
      <c r="J196" s="2365" t="s">
        <v>1196</v>
      </c>
      <c r="K196" s="2366">
        <v>89.648414124355853</v>
      </c>
      <c r="L196" s="2367">
        <v>84.2527064213117</v>
      </c>
      <c r="M196" s="2368">
        <v>2022</v>
      </c>
      <c r="P196" t="str">
        <f t="shared" si="89"/>
        <v xml:space="preserve">  DOM</v>
      </c>
      <c r="Q196" s="277">
        <f t="shared" si="90"/>
        <v>89.648414124355853</v>
      </c>
      <c r="R196" s="115">
        <f t="shared" si="91"/>
        <v>81.973318586673514</v>
      </c>
      <c r="S196" s="115">
        <f t="shared" si="92"/>
        <v>85.256855709412548</v>
      </c>
      <c r="T196" s="115" t="str">
        <f t="shared" si="93"/>
        <v xml:space="preserve">  DOM</v>
      </c>
      <c r="U196" s="115">
        <f t="shared" si="94"/>
        <v>89.648414124355853</v>
      </c>
    </row>
    <row r="197" spans="1:21">
      <c r="A197" s="2280" t="s">
        <v>1197</v>
      </c>
      <c r="B197" s="2281">
        <v>53.218187912991041</v>
      </c>
      <c r="C197" s="2282">
        <v>74.247282215088973</v>
      </c>
      <c r="D197" s="2283">
        <v>87.303025174075827</v>
      </c>
      <c r="E197" s="2284">
        <v>2023</v>
      </c>
      <c r="H197" s="762" t="s">
        <v>1197</v>
      </c>
      <c r="I197" s="945">
        <v>87.303025174075827</v>
      </c>
      <c r="J197" s="2369" t="s">
        <v>1197</v>
      </c>
      <c r="K197" s="2370">
        <v>87.303025174075827</v>
      </c>
      <c r="L197" s="2371">
        <v>66.898745526801363</v>
      </c>
      <c r="M197" s="2372">
        <v>2023</v>
      </c>
      <c r="P197" t="str">
        <f t="shared" si="89"/>
        <v xml:space="preserve">  ECU</v>
      </c>
      <c r="Q197" s="277">
        <f t="shared" si="90"/>
        <v>87.303025174075827</v>
      </c>
      <c r="R197" s="115">
        <f t="shared" si="91"/>
        <v>53.218187912991041</v>
      </c>
      <c r="S197" s="115">
        <f t="shared" si="92"/>
        <v>74.247282215088973</v>
      </c>
      <c r="T197" s="115" t="str">
        <f t="shared" si="93"/>
        <v xml:space="preserve">  ECU</v>
      </c>
      <c r="U197" s="115">
        <f t="shared" si="94"/>
        <v>87.303025174075827</v>
      </c>
    </row>
    <row r="198" spans="1:21">
      <c r="A198" s="2285" t="s">
        <v>1204</v>
      </c>
      <c r="B198" s="2286">
        <v>67.914985270388158</v>
      </c>
      <c r="C198" s="2287">
        <v>75.2172588157934</v>
      </c>
      <c r="D198" s="2288">
        <v>85.531170786559684</v>
      </c>
      <c r="E198" s="2289">
        <v>2022</v>
      </c>
      <c r="H198" s="763" t="s">
        <v>1204</v>
      </c>
      <c r="I198" s="946">
        <v>85.531170786559684</v>
      </c>
      <c r="J198" s="2373" t="s">
        <v>1204</v>
      </c>
      <c r="K198" s="2374">
        <v>85.531170786559684</v>
      </c>
      <c r="L198" s="2375">
        <v>71.113698234873482</v>
      </c>
      <c r="M198" s="2376">
        <v>2022</v>
      </c>
      <c r="P198" t="str">
        <f t="shared" si="89"/>
        <v xml:space="preserve">  GTM</v>
      </c>
      <c r="Q198" s="277">
        <f t="shared" si="90"/>
        <v>85.531170786559684</v>
      </c>
      <c r="R198" s="115">
        <f t="shared" si="91"/>
        <v>67.914985270388158</v>
      </c>
      <c r="S198" s="115">
        <f t="shared" si="92"/>
        <v>75.2172588157934</v>
      </c>
      <c r="T198" s="115" t="str">
        <f t="shared" si="93"/>
        <v xml:space="preserve">  GTM</v>
      </c>
      <c r="U198" s="115">
        <f t="shared" si="94"/>
        <v>85.531170786559684</v>
      </c>
    </row>
    <row r="199" spans="1:21">
      <c r="A199" s="2290" t="s">
        <v>1199</v>
      </c>
      <c r="B199" s="2291">
        <v>79.300925664015651</v>
      </c>
      <c r="C199" s="2292">
        <v>84.215427322609784</v>
      </c>
      <c r="D199" s="2293">
        <v>89.819951807534608</v>
      </c>
      <c r="E199" s="2294">
        <v>2023</v>
      </c>
      <c r="H199" s="764" t="s">
        <v>1199</v>
      </c>
      <c r="I199" s="947">
        <v>89.819951807534608</v>
      </c>
      <c r="J199" s="2377" t="s">
        <v>1199</v>
      </c>
      <c r="K199" s="2378">
        <v>89.819951807534608</v>
      </c>
      <c r="L199" s="2379">
        <v>81.437356451070301</v>
      </c>
      <c r="M199" s="2380">
        <v>2023</v>
      </c>
      <c r="P199" t="str">
        <f t="shared" si="89"/>
        <v xml:space="preserve">  HND</v>
      </c>
      <c r="Q199" s="277">
        <f t="shared" si="90"/>
        <v>89.819951807534608</v>
      </c>
      <c r="R199" s="115">
        <f t="shared" si="91"/>
        <v>79.300925664015651</v>
      </c>
      <c r="S199" s="115">
        <f t="shared" si="92"/>
        <v>84.215427322609784</v>
      </c>
      <c r="T199" s="115" t="str">
        <f t="shared" si="93"/>
        <v xml:space="preserve">  HND</v>
      </c>
      <c r="U199" s="115">
        <f t="shared" si="94"/>
        <v>89.819951807534608</v>
      </c>
    </row>
    <row r="200" spans="1:21">
      <c r="A200" s="2295" t="s">
        <v>1205</v>
      </c>
      <c r="B200" s="2296">
        <v>93.587191965792726</v>
      </c>
      <c r="C200" s="2297">
        <v>95.546755446199413</v>
      </c>
      <c r="D200" s="2298">
        <v>97.851446943627536</v>
      </c>
      <c r="E200" s="2299">
        <v>2022</v>
      </c>
      <c r="H200" s="765" t="s">
        <v>1205</v>
      </c>
      <c r="I200" s="948">
        <v>97.851446943627536</v>
      </c>
      <c r="J200" s="2381" t="s">
        <v>1205</v>
      </c>
      <c r="K200" s="2382">
        <v>97.851446943627536</v>
      </c>
      <c r="L200" s="2383">
        <v>94.944291354394863</v>
      </c>
      <c r="M200" s="2384">
        <v>2022</v>
      </c>
      <c r="P200" t="str">
        <f t="shared" si="89"/>
        <v xml:space="preserve">  MEX</v>
      </c>
      <c r="Q200" s="277">
        <f t="shared" si="90"/>
        <v>97.851446943627536</v>
      </c>
      <c r="R200" s="115">
        <f t="shared" si="91"/>
        <v>93.587191965792726</v>
      </c>
      <c r="S200" s="115">
        <f t="shared" si="92"/>
        <v>95.546755446199413</v>
      </c>
      <c r="T200" s="115" t="str">
        <f t="shared" si="93"/>
        <v xml:space="preserve">  MEX</v>
      </c>
      <c r="U200" s="115">
        <f t="shared" si="94"/>
        <v>97.851446943627536</v>
      </c>
    </row>
    <row r="201" spans="1:21">
      <c r="A201" s="2300" t="s">
        <v>1200</v>
      </c>
      <c r="B201" s="2301">
        <v>67.239854574039498</v>
      </c>
      <c r="C201" s="2302">
        <v>86.498018607037992</v>
      </c>
      <c r="D201" s="2303">
        <v>96.135570209464703</v>
      </c>
      <c r="E201" s="2304">
        <v>2022</v>
      </c>
      <c r="H201" s="766" t="s">
        <v>1200</v>
      </c>
      <c r="I201" s="949">
        <v>96.135570209464703</v>
      </c>
      <c r="J201" s="2385" t="s">
        <v>1200</v>
      </c>
      <c r="K201" s="2386">
        <v>96.135570209464703</v>
      </c>
      <c r="L201" s="2387">
        <v>78.723621279778769</v>
      </c>
      <c r="M201" s="2388">
        <v>2022</v>
      </c>
      <c r="P201" t="str">
        <f t="shared" si="89"/>
        <v xml:space="preserve">  PAN</v>
      </c>
      <c r="Q201" s="277">
        <f t="shared" si="90"/>
        <v>96.135570209464703</v>
      </c>
      <c r="R201" s="115">
        <f t="shared" si="91"/>
        <v>67.239854574039498</v>
      </c>
      <c r="S201" s="115">
        <f t="shared" si="92"/>
        <v>86.498018607037992</v>
      </c>
      <c r="T201" s="115" t="str">
        <f t="shared" si="93"/>
        <v xml:space="preserve">  PAN</v>
      </c>
      <c r="U201" s="115">
        <f t="shared" si="94"/>
        <v>96.135570209464703</v>
      </c>
    </row>
    <row r="202" spans="1:21">
      <c r="A202" s="2305" t="s">
        <v>1201</v>
      </c>
      <c r="B202" s="2306">
        <v>77.229445648096558</v>
      </c>
      <c r="C202" s="2307">
        <v>83.668220641765714</v>
      </c>
      <c r="D202" s="2308">
        <v>89.247871997126978</v>
      </c>
      <c r="E202" s="2309">
        <v>2022</v>
      </c>
      <c r="H202" s="767" t="s">
        <v>1201</v>
      </c>
      <c r="I202" s="950">
        <v>89.247871997126978</v>
      </c>
      <c r="J202" s="2389" t="s">
        <v>1201</v>
      </c>
      <c r="K202" s="2390">
        <v>89.247871997126978</v>
      </c>
      <c r="L202" s="2391">
        <v>81.622164921875594</v>
      </c>
      <c r="M202" s="2392">
        <v>2022</v>
      </c>
      <c r="P202" t="str">
        <f t="shared" si="89"/>
        <v xml:space="preserve">  PER</v>
      </c>
      <c r="Q202" s="277">
        <f t="shared" si="90"/>
        <v>89.247871997126978</v>
      </c>
      <c r="R202" s="115">
        <f t="shared" si="91"/>
        <v>77.229445648096558</v>
      </c>
      <c r="S202" s="115">
        <f t="shared" si="92"/>
        <v>83.668220641765714</v>
      </c>
      <c r="T202" s="115" t="str">
        <f t="shared" si="93"/>
        <v xml:space="preserve">  PER</v>
      </c>
      <c r="U202" s="115">
        <f t="shared" si="94"/>
        <v>89.247871997126978</v>
      </c>
    </row>
    <row r="203" spans="1:21">
      <c r="A203" s="2310" t="s">
        <v>1202</v>
      </c>
      <c r="B203" s="2311">
        <v>77.440202812777557</v>
      </c>
      <c r="C203" s="2312">
        <v>82.999530341928363</v>
      </c>
      <c r="D203" s="2313">
        <v>84.413442307907175</v>
      </c>
      <c r="E203" s="2314">
        <v>2022</v>
      </c>
      <c r="H203" s="768" t="s">
        <v>1202</v>
      </c>
      <c r="I203" s="951">
        <v>84.413442307907175</v>
      </c>
      <c r="J203" s="2393" t="s">
        <v>1202</v>
      </c>
      <c r="K203" s="2394">
        <v>84.413442307907175</v>
      </c>
      <c r="L203" s="2395">
        <v>80.818581359107696</v>
      </c>
      <c r="M203" s="2396">
        <v>2022</v>
      </c>
      <c r="P203" t="str">
        <f t="shared" si="89"/>
        <v xml:space="preserve">  PRY</v>
      </c>
      <c r="Q203" s="277">
        <f t="shared" si="90"/>
        <v>84.413442307907175</v>
      </c>
      <c r="R203" s="115">
        <f t="shared" si="91"/>
        <v>77.440202812777557</v>
      </c>
      <c r="S203" s="115">
        <f t="shared" si="92"/>
        <v>82.999530341928363</v>
      </c>
      <c r="T203" s="115" t="str">
        <f t="shared" si="93"/>
        <v xml:space="preserve">  PRY</v>
      </c>
      <c r="U203" s="115">
        <f t="shared" si="94"/>
        <v>84.413442307907175</v>
      </c>
    </row>
    <row r="204" spans="1:21">
      <c r="A204" s="2315" t="s">
        <v>1206</v>
      </c>
      <c r="B204" s="2316">
        <v>70.597765266941664</v>
      </c>
      <c r="C204" s="2317">
        <v>72.044751564004343</v>
      </c>
      <c r="D204" s="2318">
        <v>81.325029625265728</v>
      </c>
      <c r="E204" s="2319">
        <v>2023</v>
      </c>
      <c r="H204" s="769" t="s">
        <v>1206</v>
      </c>
      <c r="I204" s="952">
        <v>81.325029625265728</v>
      </c>
      <c r="J204" s="2397" t="s">
        <v>1206</v>
      </c>
      <c r="K204" s="2398">
        <v>81.325029625265728</v>
      </c>
      <c r="L204" s="2399">
        <v>71.433823205063888</v>
      </c>
      <c r="M204" s="2400">
        <v>2023</v>
      </c>
      <c r="P204" t="str">
        <f t="shared" si="89"/>
        <v xml:space="preserve">  SLV</v>
      </c>
      <c r="Q204" s="277">
        <f t="shared" si="90"/>
        <v>81.325029625265728</v>
      </c>
      <c r="R204" s="115">
        <f t="shared" si="91"/>
        <v>70.597765266941664</v>
      </c>
      <c r="S204" s="115">
        <f t="shared" si="92"/>
        <v>72.044751564004343</v>
      </c>
      <c r="T204" s="115" t="str">
        <f t="shared" si="93"/>
        <v xml:space="preserve">  SLV</v>
      </c>
      <c r="U204" s="115">
        <f t="shared" si="94"/>
        <v>81.325029625265728</v>
      </c>
    </row>
    <row r="205" spans="1:21">
      <c r="A205" s="2320" t="s">
        <v>1207</v>
      </c>
      <c r="B205" s="2321">
        <v>97.548940038307947</v>
      </c>
      <c r="C205" s="2322">
        <v>95.841503091939401</v>
      </c>
      <c r="D205" s="2323">
        <v>95.347933785288447</v>
      </c>
      <c r="E205" s="2324">
        <v>2022</v>
      </c>
      <c r="H205" s="770" t="s">
        <v>1207</v>
      </c>
      <c r="I205" s="953">
        <v>95.347933785288447</v>
      </c>
      <c r="J205" s="2401" t="s">
        <v>1207</v>
      </c>
      <c r="K205" s="2402">
        <v>95.347933785288447</v>
      </c>
      <c r="L205" s="2403">
        <v>96.266936299292212</v>
      </c>
      <c r="M205" s="2404">
        <v>2022</v>
      </c>
      <c r="P205" t="str">
        <f t="shared" ref="P205:P206" si="95">A205</f>
        <v xml:space="preserve">  URY</v>
      </c>
      <c r="Q205" s="277">
        <f t="shared" ref="Q205:Q206" si="96">K205</f>
        <v>95.347933785288447</v>
      </c>
      <c r="R205" s="115">
        <f t="shared" ref="R205:R206" si="97">B205</f>
        <v>97.548940038307947</v>
      </c>
      <c r="S205" s="115">
        <f t="shared" ref="S205:S206" si="98">C205</f>
        <v>95.841503091939401</v>
      </c>
      <c r="T205" s="115" t="str">
        <f t="shared" ref="T205:T206" si="99">J205</f>
        <v xml:space="preserve">  URY</v>
      </c>
      <c r="U205" s="115">
        <f t="shared" ref="U205:U206" si="100">D205</f>
        <v>95.347933785288447</v>
      </c>
    </row>
    <row r="206" spans="1:21">
      <c r="A206" s="2325" t="s">
        <v>1203</v>
      </c>
      <c r="B206" s="2326">
        <v>76.335810807274186</v>
      </c>
      <c r="C206" s="2327">
        <v>76.752078664452242</v>
      </c>
      <c r="D206" s="2328">
        <v>81.132817719363942</v>
      </c>
      <c r="E206" s="2329">
        <v>2021</v>
      </c>
      <c r="H206" s="771" t="s">
        <v>1203</v>
      </c>
      <c r="I206" s="954">
        <v>81.132817719363942</v>
      </c>
      <c r="J206" s="2405" t="s">
        <v>1203</v>
      </c>
      <c r="K206" s="2406">
        <v>81.132817719363942</v>
      </c>
      <c r="L206" s="2407">
        <v>76.439469739194564</v>
      </c>
      <c r="M206" s="2408">
        <v>2021</v>
      </c>
      <c r="P206" t="str">
        <f t="shared" si="95"/>
        <v xml:space="preserve">  VEN</v>
      </c>
      <c r="Q206" s="277">
        <f t="shared" si="96"/>
        <v>81.132817719363942</v>
      </c>
      <c r="R206" s="115">
        <f t="shared" si="97"/>
        <v>76.335810807274186</v>
      </c>
      <c r="S206" s="115">
        <f t="shared" si="98"/>
        <v>76.752078664452242</v>
      </c>
      <c r="T206" s="115" t="str">
        <f t="shared" si="99"/>
        <v xml:space="preserve">  VEN</v>
      </c>
      <c r="U206" s="115">
        <f t="shared" si="100"/>
        <v>81.132817719363942</v>
      </c>
    </row>
    <row r="207" spans="1:21">
      <c r="B207" s="565"/>
      <c r="C207" s="565"/>
      <c r="D207" s="565"/>
      <c r="I207" s="115"/>
      <c r="J207" s="115"/>
      <c r="M207" t="str">
        <f>IFERROR(VLOOKUP(TRIM(A207),Fact1_2!$D$24:$P$41,10,0),"")</f>
        <v/>
      </c>
      <c r="P207" s="76" t="s">
        <v>1226</v>
      </c>
      <c r="Q207" s="277"/>
      <c r="R207" s="115">
        <f>AVERAGE(R193:R206)</f>
        <v>78.178143158932514</v>
      </c>
      <c r="S207" s="115">
        <f t="shared" ref="S207" si="101">AVERAGE(S193:S206)</f>
        <v>84.221026381771892</v>
      </c>
      <c r="T207" s="115" t="e">
        <f t="shared" ref="T207" si="102">AVERAGE(T193:T206)</f>
        <v>#DIV/0!</v>
      </c>
      <c r="U207" s="115">
        <f t="shared" ref="U207" si="103">AVERAGE(U193:U206)</f>
        <v>90.273349977701329</v>
      </c>
    </row>
    <row r="208" spans="1:21">
      <c r="A208" s="2409"/>
      <c r="B208" s="2568" t="s">
        <v>1223</v>
      </c>
      <c r="C208" s="2569" t="s">
        <v>1223</v>
      </c>
      <c r="D208" s="2569" t="s">
        <v>1223</v>
      </c>
      <c r="E208" s="2410" t="s">
        <v>1186</v>
      </c>
      <c r="H208" s="772"/>
      <c r="I208" s="955" t="s">
        <v>1223</v>
      </c>
      <c r="J208" s="2477" t="s">
        <v>1223</v>
      </c>
      <c r="K208" s="2574" t="s">
        <v>1223</v>
      </c>
      <c r="L208" s="2575" t="s">
        <v>1223</v>
      </c>
      <c r="M208" s="2478" t="s">
        <v>1186</v>
      </c>
    </row>
    <row r="209" spans="1:21">
      <c r="A209" s="2411"/>
      <c r="B209" s="2570" t="s">
        <v>1187</v>
      </c>
      <c r="C209" s="2571" t="s">
        <v>1187</v>
      </c>
      <c r="D209" s="2571" t="s">
        <v>1187</v>
      </c>
      <c r="H209" s="773"/>
      <c r="I209" s="956" t="s">
        <v>1187</v>
      </c>
      <c r="J209" s="2479" t="s">
        <v>1187</v>
      </c>
      <c r="K209" s="2576" t="s">
        <v>1187</v>
      </c>
      <c r="L209" s="2577" t="s">
        <v>1187</v>
      </c>
      <c r="M209" t="str">
        <f>IFERROR(VLOOKUP(TRIM(A209),Fact1_2!$D$24:$P$41,10,0),"")</f>
        <v/>
      </c>
    </row>
    <row r="210" spans="1:21">
      <c r="A210" s="2412"/>
      <c r="B210" s="2572" t="s">
        <v>1045</v>
      </c>
      <c r="C210" s="2573" t="s">
        <v>1045</v>
      </c>
      <c r="D210" s="2573" t="s">
        <v>1045</v>
      </c>
      <c r="H210" s="774"/>
      <c r="I210" s="957" t="s">
        <v>1003</v>
      </c>
      <c r="J210" s="2480" t="s">
        <v>1003</v>
      </c>
      <c r="K210" s="2578" t="s">
        <v>1003</v>
      </c>
      <c r="L210" s="2579" t="s">
        <v>1003</v>
      </c>
      <c r="M210" t="str">
        <f>IFERROR(VLOOKUP(TRIM(A210),Fact1_2!$D$24:$P$41,10,0),"")</f>
        <v/>
      </c>
    </row>
    <row r="211" spans="1:21" ht="15" thickBot="1">
      <c r="A211" s="2413"/>
      <c r="B211" s="2414" t="s">
        <v>1187</v>
      </c>
      <c r="C211" s="2415" t="s">
        <v>1188</v>
      </c>
      <c r="D211" s="2416" t="s">
        <v>1189</v>
      </c>
      <c r="H211" s="775"/>
      <c r="I211" s="958" t="s">
        <v>1225</v>
      </c>
      <c r="J211" s="2481" t="s">
        <v>1187</v>
      </c>
      <c r="K211" s="2482" t="s">
        <v>1225</v>
      </c>
      <c r="L211" s="2483" t="s">
        <v>1187</v>
      </c>
      <c r="M211" t="str">
        <f>IFERROR(VLOOKUP(TRIM(A211),Fact1_2!$D$24:$P$41,10,0),"")</f>
        <v/>
      </c>
      <c r="P211" s="972" t="str">
        <f>B208</f>
        <v>Cuarto separado y exclusivo para cocinar</v>
      </c>
      <c r="Q211" s="219"/>
      <c r="R211" s="21"/>
      <c r="S211" s="21"/>
      <c r="T211" s="21"/>
      <c r="U211" s="21"/>
    </row>
    <row r="212" spans="1:21" ht="15" thickTop="1">
      <c r="A212" s="2417" t="s">
        <v>1125</v>
      </c>
      <c r="B212" s="2418"/>
      <c r="C212" s="2419"/>
      <c r="D212" s="2420"/>
      <c r="E212" s="2421"/>
      <c r="H212" s="776" t="s">
        <v>1125</v>
      </c>
      <c r="I212" s="959"/>
      <c r="J212" s="2484" t="s">
        <v>1125</v>
      </c>
      <c r="K212" s="2485"/>
      <c r="L212" s="2486"/>
      <c r="M212" s="2487" t="str">
        <f>IFERROR(VLOOKUP(TRIM(A212),Fact1_2!$D$24:$P$41,10,0),"")</f>
        <v/>
      </c>
      <c r="P212" s="213" t="s">
        <v>904</v>
      </c>
      <c r="Q212" s="216" t="s">
        <v>938</v>
      </c>
      <c r="R212" s="214" t="s">
        <v>1141</v>
      </c>
      <c r="S212" s="214" t="s">
        <v>1142</v>
      </c>
      <c r="T212" s="214" t="s">
        <v>1152</v>
      </c>
      <c r="U212" s="214" t="s">
        <v>1102</v>
      </c>
    </row>
    <row r="213" spans="1:21">
      <c r="A213" s="2422" t="s">
        <v>1190</v>
      </c>
      <c r="B213" s="2423">
        <v>90.477391830497695</v>
      </c>
      <c r="C213" s="2424">
        <v>87.162748697567977</v>
      </c>
      <c r="D213" s="2425">
        <v>91.423169733136049</v>
      </c>
      <c r="E213" s="2426">
        <v>2022</v>
      </c>
      <c r="H213" s="777" t="s">
        <v>1190</v>
      </c>
      <c r="I213" s="960">
        <v>91.423169733136049</v>
      </c>
      <c r="J213" s="2488" t="s">
        <v>1190</v>
      </c>
      <c r="K213" s="2489">
        <v>91.423169733136049</v>
      </c>
      <c r="L213" s="2490">
        <v>88.444787159605312</v>
      </c>
      <c r="M213" s="2491">
        <v>2022</v>
      </c>
      <c r="P213" t="str">
        <f>A213</f>
        <v xml:space="preserve">  ARG</v>
      </c>
      <c r="Q213" s="277">
        <f>K213</f>
        <v>91.423169733136049</v>
      </c>
      <c r="R213" s="115">
        <f>B213</f>
        <v>90.477391830497695</v>
      </c>
      <c r="S213" s="115">
        <f>C213</f>
        <v>87.162748697567977</v>
      </c>
      <c r="T213" s="115" t="str">
        <f>J213</f>
        <v xml:space="preserve">  ARG</v>
      </c>
      <c r="U213" s="115">
        <f>D213</f>
        <v>91.423169733136049</v>
      </c>
    </row>
    <row r="214" spans="1:21">
      <c r="A214" s="2427" t="s">
        <v>1191</v>
      </c>
      <c r="B214" s="2428">
        <v>77.292556523344004</v>
      </c>
      <c r="C214" s="2429">
        <v>74.501536787999839</v>
      </c>
      <c r="D214" s="2430">
        <v>80.645109758170676</v>
      </c>
      <c r="E214" s="2431">
        <v>2019</v>
      </c>
      <c r="H214" s="778" t="s">
        <v>1191</v>
      </c>
      <c r="I214" s="961">
        <v>80.645109758170676</v>
      </c>
      <c r="J214" s="2492" t="s">
        <v>1191</v>
      </c>
      <c r="K214" s="2493">
        <v>80.645109758170676</v>
      </c>
      <c r="L214" s="2494">
        <v>75.495984025709149</v>
      </c>
      <c r="M214" s="2495">
        <v>2019</v>
      </c>
      <c r="P214" t="str">
        <f t="shared" ref="P214:P223" si="104">A214</f>
        <v xml:space="preserve">  BOL</v>
      </c>
      <c r="Q214" s="277">
        <f t="shared" ref="Q214:Q223" si="105">K214</f>
        <v>80.645109758170676</v>
      </c>
      <c r="R214" s="115">
        <f t="shared" ref="R214:R223" si="106">B214</f>
        <v>77.292556523344004</v>
      </c>
      <c r="S214" s="115">
        <f t="shared" ref="S214:S223" si="107">C214</f>
        <v>74.501536787999839</v>
      </c>
      <c r="T214" s="115" t="str">
        <f t="shared" ref="T214:T223" si="108">J214</f>
        <v xml:space="preserve">  BOL</v>
      </c>
      <c r="U214" s="115">
        <f t="shared" ref="U214:U223" si="109">D214</f>
        <v>80.645109758170676</v>
      </c>
    </row>
    <row r="215" spans="1:21">
      <c r="A215" s="2432" t="s">
        <v>1193</v>
      </c>
      <c r="B215" s="2433">
        <v>88.839725159592604</v>
      </c>
      <c r="C215" s="2434">
        <v>92.413035663702004</v>
      </c>
      <c r="D215" s="2435">
        <v>95.218497354382563</v>
      </c>
      <c r="E215" s="2436">
        <v>2013</v>
      </c>
      <c r="H215" s="779" t="s">
        <v>1193</v>
      </c>
      <c r="I215" s="962">
        <v>95.218497354382563</v>
      </c>
      <c r="J215" s="2496" t="s">
        <v>1193</v>
      </c>
      <c r="K215" s="2497">
        <v>95.218497354382563</v>
      </c>
      <c r="L215" s="2498">
        <v>91.506496043279768</v>
      </c>
      <c r="M215" s="2499">
        <v>2013</v>
      </c>
      <c r="P215" t="str">
        <f t="shared" si="104"/>
        <v xml:space="preserve">  CHL</v>
      </c>
      <c r="Q215" s="277">
        <f t="shared" si="105"/>
        <v>95.218497354382563</v>
      </c>
      <c r="R215" s="115">
        <f t="shared" si="106"/>
        <v>88.839725159592604</v>
      </c>
      <c r="S215" s="115">
        <f t="shared" si="107"/>
        <v>92.413035663702004</v>
      </c>
      <c r="T215" s="115" t="str">
        <f t="shared" si="108"/>
        <v xml:space="preserve">  CHL</v>
      </c>
      <c r="U215" s="115">
        <f t="shared" si="109"/>
        <v>95.218497354382563</v>
      </c>
    </row>
    <row r="216" spans="1:21">
      <c r="A216" s="2437" t="s">
        <v>1194</v>
      </c>
      <c r="B216" s="2438">
        <v>70.220726983070222</v>
      </c>
      <c r="C216" s="2439">
        <v>81.198032933355009</v>
      </c>
      <c r="D216" s="2440">
        <v>89.946095922841124</v>
      </c>
      <c r="E216" s="2441">
        <v>2022</v>
      </c>
      <c r="H216" s="780" t="s">
        <v>1194</v>
      </c>
      <c r="I216" s="963">
        <v>89.946095922841124</v>
      </c>
      <c r="J216" s="2500" t="s">
        <v>1194</v>
      </c>
      <c r="K216" s="2501">
        <v>89.946095922841124</v>
      </c>
      <c r="L216" s="2502">
        <v>75.922588023855127</v>
      </c>
      <c r="M216" s="2503">
        <v>2022</v>
      </c>
      <c r="P216" t="str">
        <f t="shared" si="104"/>
        <v xml:space="preserve">  COL</v>
      </c>
      <c r="Q216" s="277">
        <f t="shared" si="105"/>
        <v>89.946095922841124</v>
      </c>
      <c r="R216" s="115">
        <f t="shared" si="106"/>
        <v>70.220726983070222</v>
      </c>
      <c r="S216" s="115">
        <f t="shared" si="107"/>
        <v>81.198032933355009</v>
      </c>
      <c r="T216" s="115" t="str">
        <f t="shared" si="108"/>
        <v xml:space="preserve">  COL</v>
      </c>
      <c r="U216" s="115">
        <f t="shared" si="109"/>
        <v>89.946095922841124</v>
      </c>
    </row>
    <row r="217" spans="1:21">
      <c r="A217" s="2442" t="s">
        <v>1197</v>
      </c>
      <c r="B217" s="2443">
        <v>93.287652075208825</v>
      </c>
      <c r="C217" s="2444">
        <v>93.722307551098041</v>
      </c>
      <c r="D217" s="2445">
        <v>95.150180097539248</v>
      </c>
      <c r="E217" s="2446">
        <v>2023</v>
      </c>
      <c r="H217" s="781" t="s">
        <v>1197</v>
      </c>
      <c r="I217" s="964">
        <v>95.150180097539248</v>
      </c>
      <c r="J217" s="2504" t="s">
        <v>1197</v>
      </c>
      <c r="K217" s="2505">
        <v>95.150180097539248</v>
      </c>
      <c r="L217" s="2506">
        <v>93.570418855110859</v>
      </c>
      <c r="M217" s="2507">
        <v>2023</v>
      </c>
      <c r="P217" t="str">
        <f t="shared" si="104"/>
        <v xml:space="preserve">  ECU</v>
      </c>
      <c r="Q217" s="277">
        <f t="shared" si="105"/>
        <v>95.150180097539248</v>
      </c>
      <c r="R217" s="115">
        <f t="shared" si="106"/>
        <v>93.287652075208825</v>
      </c>
      <c r="S217" s="115">
        <f t="shared" si="107"/>
        <v>93.722307551098041</v>
      </c>
      <c r="T217" s="115" t="str">
        <f t="shared" si="108"/>
        <v xml:space="preserve">  ECU</v>
      </c>
      <c r="U217" s="115">
        <f t="shared" si="109"/>
        <v>95.150180097539248</v>
      </c>
    </row>
    <row r="218" spans="1:21">
      <c r="A218" s="2447" t="s">
        <v>1204</v>
      </c>
      <c r="B218" s="2448">
        <v>52.014733238735289</v>
      </c>
      <c r="C218" s="2449">
        <v>50.503792468729223</v>
      </c>
      <c r="D218" s="2450">
        <v>61.771101191690313</v>
      </c>
      <c r="E218" s="2451">
        <v>2006</v>
      </c>
      <c r="H218" s="782" t="s">
        <v>1204</v>
      </c>
      <c r="I218" s="965">
        <v>61.771101191690313</v>
      </c>
      <c r="J218" s="2508" t="s">
        <v>1204</v>
      </c>
      <c r="K218" s="2509">
        <v>61.771101191690313</v>
      </c>
      <c r="L218" s="2510">
        <v>51.325246092464937</v>
      </c>
      <c r="M218" s="2511">
        <v>2006</v>
      </c>
      <c r="P218" t="str">
        <f t="shared" si="104"/>
        <v xml:space="preserve">  GTM</v>
      </c>
      <c r="Q218" s="277">
        <f t="shared" si="105"/>
        <v>61.771101191690313</v>
      </c>
      <c r="R218" s="115">
        <f t="shared" si="106"/>
        <v>52.014733238735289</v>
      </c>
      <c r="S218" s="115">
        <f t="shared" si="107"/>
        <v>50.503792468729223</v>
      </c>
      <c r="T218" s="115" t="str">
        <f t="shared" si="108"/>
        <v xml:space="preserve">  GTM</v>
      </c>
      <c r="U218" s="115">
        <f t="shared" si="109"/>
        <v>61.771101191690313</v>
      </c>
    </row>
    <row r="219" spans="1:21">
      <c r="A219" s="2452" t="s">
        <v>1199</v>
      </c>
      <c r="B219" s="2453">
        <v>75.691775398612947</v>
      </c>
      <c r="C219" s="2454">
        <v>72.666211818162139</v>
      </c>
      <c r="D219" s="2455">
        <v>75.730988832725259</v>
      </c>
      <c r="E219" s="2456">
        <v>2023</v>
      </c>
      <c r="H219" s="783" t="s">
        <v>1199</v>
      </c>
      <c r="I219" s="966">
        <v>75.730988832725259</v>
      </c>
      <c r="J219" s="2512" t="s">
        <v>1199</v>
      </c>
      <c r="K219" s="2513">
        <v>75.730988832725259</v>
      </c>
      <c r="L219" s="2514">
        <v>74.380562219717788</v>
      </c>
      <c r="M219" s="2515">
        <v>2023</v>
      </c>
      <c r="P219" t="str">
        <f t="shared" si="104"/>
        <v xml:space="preserve">  HND</v>
      </c>
      <c r="Q219" s="277">
        <f t="shared" si="105"/>
        <v>75.730988832725259</v>
      </c>
      <c r="R219" s="115">
        <f t="shared" si="106"/>
        <v>75.691775398612947</v>
      </c>
      <c r="S219" s="115">
        <f t="shared" si="107"/>
        <v>72.666211818162139</v>
      </c>
      <c r="T219" s="115" t="str">
        <f t="shared" si="108"/>
        <v xml:space="preserve">  HND</v>
      </c>
      <c r="U219" s="115">
        <f t="shared" si="109"/>
        <v>75.730988832725259</v>
      </c>
    </row>
    <row r="220" spans="1:21">
      <c r="A220" s="2457" t="s">
        <v>1205</v>
      </c>
      <c r="B220" s="2458">
        <v>86.895053241042461</v>
      </c>
      <c r="C220" s="2459">
        <v>90.678796408066447</v>
      </c>
      <c r="D220" s="2460">
        <v>95.670507688277283</v>
      </c>
      <c r="E220" s="2461">
        <v>2022</v>
      </c>
      <c r="H220" s="784" t="s">
        <v>1205</v>
      </c>
      <c r="I220" s="967">
        <v>95.670507688277283</v>
      </c>
      <c r="J220" s="2516" t="s">
        <v>1205</v>
      </c>
      <c r="K220" s="2517">
        <v>95.670507688277283</v>
      </c>
      <c r="L220" s="2518">
        <v>89.466687282999132</v>
      </c>
      <c r="M220" s="2519">
        <v>2022</v>
      </c>
      <c r="P220" t="str">
        <f t="shared" si="104"/>
        <v xml:space="preserve">  MEX</v>
      </c>
      <c r="Q220" s="277">
        <f t="shared" si="105"/>
        <v>95.670507688277283</v>
      </c>
      <c r="R220" s="115">
        <f t="shared" si="106"/>
        <v>86.895053241042461</v>
      </c>
      <c r="S220" s="115">
        <f t="shared" si="107"/>
        <v>90.678796408066447</v>
      </c>
      <c r="T220" s="115" t="str">
        <f t="shared" si="108"/>
        <v xml:space="preserve">  MEX</v>
      </c>
      <c r="U220" s="115">
        <f t="shared" si="109"/>
        <v>95.670507688277283</v>
      </c>
    </row>
    <row r="221" spans="1:21">
      <c r="A221" s="2462" t="s">
        <v>1202</v>
      </c>
      <c r="B221" s="2463">
        <v>83.480845707858549</v>
      </c>
      <c r="C221" s="2464">
        <v>87.568467790964704</v>
      </c>
      <c r="D221" s="2465">
        <v>91.546253673143312</v>
      </c>
      <c r="E221" s="2466">
        <v>2022</v>
      </c>
      <c r="H221" s="785" t="s">
        <v>1202</v>
      </c>
      <c r="I221" s="968">
        <v>91.546253673143312</v>
      </c>
      <c r="J221" s="2520" t="s">
        <v>1202</v>
      </c>
      <c r="K221" s="2521">
        <v>91.546253673143312</v>
      </c>
      <c r="L221" s="2522">
        <v>85.964875418045565</v>
      </c>
      <c r="M221" s="2523">
        <v>2022</v>
      </c>
      <c r="P221" t="str">
        <f t="shared" si="104"/>
        <v xml:space="preserve">  PRY</v>
      </c>
      <c r="Q221" s="277">
        <f t="shared" si="105"/>
        <v>91.546253673143312</v>
      </c>
      <c r="R221" s="115">
        <f t="shared" si="106"/>
        <v>83.480845707858549</v>
      </c>
      <c r="S221" s="115">
        <f t="shared" si="107"/>
        <v>87.568467790964704</v>
      </c>
      <c r="T221" s="115" t="str">
        <f t="shared" si="108"/>
        <v xml:space="preserve">  PRY</v>
      </c>
      <c r="U221" s="115">
        <f t="shared" si="109"/>
        <v>91.546253673143312</v>
      </c>
    </row>
    <row r="222" spans="1:21">
      <c r="A222" s="2467" t="s">
        <v>1206</v>
      </c>
      <c r="B222" s="2468">
        <v>42.053850796800312</v>
      </c>
      <c r="C222" s="2469">
        <v>33.388802870910325</v>
      </c>
      <c r="D222" s="2470">
        <v>44.503954750561903</v>
      </c>
      <c r="E222" s="2471">
        <v>2007</v>
      </c>
      <c r="H222" s="786" t="s">
        <v>1206</v>
      </c>
      <c r="I222" s="969">
        <v>44.503954750561903</v>
      </c>
      <c r="J222" s="2524" t="s">
        <v>1206</v>
      </c>
      <c r="K222" s="2525">
        <v>44.503954750561903</v>
      </c>
      <c r="L222" s="2526">
        <v>36.9424685597223</v>
      </c>
      <c r="M222" s="2527">
        <v>2007</v>
      </c>
      <c r="P222" t="str">
        <f t="shared" si="104"/>
        <v xml:space="preserve">  SLV</v>
      </c>
      <c r="Q222" s="277">
        <f t="shared" si="105"/>
        <v>44.503954750561903</v>
      </c>
      <c r="R222" s="115">
        <f t="shared" si="106"/>
        <v>42.053850796800312</v>
      </c>
      <c r="S222" s="115">
        <f t="shared" si="107"/>
        <v>33.388802870910325</v>
      </c>
      <c r="T222" s="115" t="str">
        <f t="shared" si="108"/>
        <v xml:space="preserve">  SLV</v>
      </c>
      <c r="U222" s="115">
        <f t="shared" si="109"/>
        <v>44.503954750561903</v>
      </c>
    </row>
    <row r="223" spans="1:21">
      <c r="A223" s="2472" t="s">
        <v>1207</v>
      </c>
      <c r="B223" s="2473">
        <v>89.085478687140863</v>
      </c>
      <c r="C223" s="2474">
        <v>95.533386481653054</v>
      </c>
      <c r="D223" s="2475">
        <v>99.010937125621908</v>
      </c>
      <c r="E223" s="2476">
        <v>2022</v>
      </c>
      <c r="H223" s="787" t="s">
        <v>1207</v>
      </c>
      <c r="I223" s="970">
        <v>99.010937125621908</v>
      </c>
      <c r="J223" s="2528" t="s">
        <v>1207</v>
      </c>
      <c r="K223" s="2529">
        <v>99.010937125621908</v>
      </c>
      <c r="L223" s="2530">
        <v>93.926794742163793</v>
      </c>
      <c r="M223" s="2531">
        <v>2022</v>
      </c>
      <c r="P223" t="str">
        <f t="shared" si="104"/>
        <v xml:space="preserve">  URY</v>
      </c>
      <c r="Q223" s="277">
        <f t="shared" si="105"/>
        <v>99.010937125621908</v>
      </c>
      <c r="R223" s="115">
        <f t="shared" si="106"/>
        <v>89.085478687140863</v>
      </c>
      <c r="S223" s="115">
        <f t="shared" si="107"/>
        <v>95.533386481653054</v>
      </c>
      <c r="T223" s="115" t="str">
        <f t="shared" si="108"/>
        <v xml:space="preserve">  URY</v>
      </c>
      <c r="U223" s="115">
        <f t="shared" si="109"/>
        <v>99.010937125621908</v>
      </c>
    </row>
    <row r="224" spans="1:21">
      <c r="B224" s="565"/>
      <c r="C224" s="565"/>
      <c r="D224" s="565"/>
      <c r="I224" s="115"/>
      <c r="J224" s="115"/>
      <c r="P224" s="76" t="s">
        <v>1226</v>
      </c>
      <c r="Q224" s="277"/>
      <c r="R224" s="115">
        <f>AVERAGE(R210:R223)</f>
        <v>77.212708149263975</v>
      </c>
      <c r="S224" s="115">
        <f t="shared" ref="S224" si="110">AVERAGE(S210:S223)</f>
        <v>78.12155631565534</v>
      </c>
      <c r="T224" s="115" t="e">
        <f t="shared" ref="T224" si="111">AVERAGE(T210:T223)</f>
        <v>#DIV/0!</v>
      </c>
      <c r="U224" s="115">
        <f t="shared" ref="U224" si="112">AVERAGE(U210:U223)</f>
        <v>83.692436011644517</v>
      </c>
    </row>
    <row r="225" spans="2:21">
      <c r="B225" s="565"/>
      <c r="C225" s="565"/>
      <c r="D225" s="565"/>
      <c r="I225" s="115"/>
      <c r="J225" s="115"/>
      <c r="Q225" s="277"/>
      <c r="R225" s="115"/>
      <c r="S225" s="115"/>
      <c r="T225" s="115"/>
      <c r="U225" s="115"/>
    </row>
    <row r="226" spans="2:21">
      <c r="B226" s="565"/>
      <c r="C226" s="565"/>
      <c r="D226" s="565"/>
      <c r="I226" s="115"/>
      <c r="J226" s="115"/>
      <c r="Q226" s="277"/>
      <c r="R226" s="115"/>
      <c r="S226" s="115"/>
      <c r="T226" s="115"/>
      <c r="U226" s="115"/>
    </row>
    <row r="227" spans="2:21">
      <c r="B227" s="565"/>
      <c r="C227" s="565"/>
      <c r="D227" s="565"/>
      <c r="I227" s="115"/>
      <c r="J227" s="115"/>
      <c r="Q227" s="277"/>
      <c r="R227" s="115"/>
      <c r="S227" s="115"/>
      <c r="T227" s="115"/>
      <c r="U227" s="115"/>
    </row>
    <row r="228" spans="2:21">
      <c r="B228" s="565"/>
      <c r="C228" s="565"/>
      <c r="D228" s="565"/>
      <c r="I228" s="115"/>
      <c r="J228" s="115"/>
    </row>
    <row r="229" spans="2:21">
      <c r="B229" s="565"/>
      <c r="C229" s="565"/>
      <c r="D229" s="565"/>
      <c r="I229" s="115"/>
      <c r="J229" s="115"/>
    </row>
    <row r="230" spans="2:21">
      <c r="B230" s="565"/>
      <c r="C230" s="565"/>
      <c r="D230" s="565"/>
      <c r="I230" s="115"/>
      <c r="J230" s="115"/>
    </row>
    <row r="231" spans="2:21">
      <c r="B231" s="565"/>
      <c r="C231" s="565"/>
      <c r="D231" s="565"/>
      <c r="I231" s="115"/>
      <c r="J231" s="115"/>
    </row>
    <row r="232" spans="2:21">
      <c r="B232" s="565"/>
      <c r="C232" s="565"/>
      <c r="D232" s="565"/>
      <c r="I232" s="115"/>
      <c r="J232" s="115"/>
    </row>
    <row r="233" spans="2:21">
      <c r="B233" s="565"/>
      <c r="C233" s="565"/>
      <c r="D233" s="565"/>
    </row>
    <row r="234" spans="2:21">
      <c r="B234" s="565"/>
      <c r="C234" s="565"/>
      <c r="D234" s="565"/>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1051E-6437-4583-A198-8ED4F1EE0FB8}">
  <dimension ref="A3:W90"/>
  <sheetViews>
    <sheetView topLeftCell="A38" zoomScale="38" zoomScaleNormal="38" workbookViewId="0">
      <selection activeCell="L61" sqref="L61"/>
    </sheetView>
  </sheetViews>
  <sheetFormatPr defaultRowHeight="14.5"/>
  <cols>
    <col min="1" max="1" width="25" bestFit="1" customWidth="1"/>
    <col min="2" max="2" width="15.26953125" bestFit="1" customWidth="1"/>
    <col min="3" max="23" width="11.81640625" bestFit="1" customWidth="1"/>
  </cols>
  <sheetData>
    <row r="3" spans="1:23">
      <c r="A3" s="1" t="s">
        <v>1108</v>
      </c>
      <c r="B3" s="1" t="s">
        <v>1109</v>
      </c>
    </row>
    <row r="4" spans="1:23">
      <c r="A4" s="1" t="s">
        <v>2</v>
      </c>
      <c r="B4" s="8">
        <v>2003</v>
      </c>
      <c r="C4" s="8">
        <v>2004</v>
      </c>
      <c r="D4" s="8">
        <v>2005</v>
      </c>
      <c r="E4" s="8">
        <v>2006</v>
      </c>
      <c r="F4" s="8">
        <v>2007</v>
      </c>
      <c r="G4" s="8">
        <v>2008</v>
      </c>
      <c r="H4" s="8">
        <v>2009</v>
      </c>
      <c r="I4" s="8">
        <v>2010</v>
      </c>
      <c r="J4" s="8">
        <v>2011</v>
      </c>
      <c r="K4" s="8">
        <v>2012</v>
      </c>
      <c r="L4" s="8">
        <v>2013</v>
      </c>
      <c r="M4" s="8">
        <v>2014</v>
      </c>
      <c r="N4" s="8">
        <v>2015</v>
      </c>
      <c r="O4" s="8">
        <v>2016</v>
      </c>
      <c r="P4" s="8">
        <v>2017</v>
      </c>
      <c r="Q4" s="8">
        <v>2018</v>
      </c>
      <c r="R4" s="8">
        <v>2019</v>
      </c>
      <c r="S4" s="8">
        <v>2020</v>
      </c>
      <c r="T4" s="8">
        <v>2021</v>
      </c>
      <c r="U4" s="8">
        <v>2022</v>
      </c>
      <c r="V4" s="8">
        <v>2023</v>
      </c>
      <c r="W4" s="8" t="s">
        <v>53</v>
      </c>
    </row>
    <row r="5" spans="1:23">
      <c r="A5" s="26" t="s">
        <v>10</v>
      </c>
      <c r="B5">
        <v>13780226</v>
      </c>
      <c r="C5">
        <v>12428756</v>
      </c>
      <c r="D5">
        <v>11174326</v>
      </c>
      <c r="E5">
        <v>10140762</v>
      </c>
      <c r="F5">
        <v>7779162</v>
      </c>
      <c r="G5">
        <v>6602626</v>
      </c>
      <c r="H5">
        <v>5577408</v>
      </c>
      <c r="I5">
        <v>4464957</v>
      </c>
      <c r="J5">
        <v>2985230</v>
      </c>
      <c r="K5">
        <v>2270364</v>
      </c>
      <c r="L5">
        <v>1669581</v>
      </c>
      <c r="M5">
        <v>2089889</v>
      </c>
      <c r="N5">
        <v>2460261</v>
      </c>
      <c r="O5">
        <v>2137274</v>
      </c>
      <c r="P5">
        <v>1928907</v>
      </c>
      <c r="Q5">
        <v>2177781</v>
      </c>
      <c r="R5">
        <v>2701816</v>
      </c>
      <c r="S5">
        <v>3155644</v>
      </c>
      <c r="T5">
        <v>2755018</v>
      </c>
      <c r="U5">
        <v>2623844</v>
      </c>
      <c r="W5">
        <v>100903832</v>
      </c>
    </row>
    <row r="6" spans="1:23">
      <c r="A6" s="26" t="s">
        <v>12</v>
      </c>
      <c r="B6">
        <v>6760.0908641815204</v>
      </c>
      <c r="C6">
        <v>6894.9947776794397</v>
      </c>
      <c r="D6">
        <v>9734.7896575927698</v>
      </c>
      <c r="E6">
        <v>3572.74582290649</v>
      </c>
      <c r="F6">
        <v>5020.7607135772696</v>
      </c>
      <c r="G6">
        <v>5654.62331581116</v>
      </c>
      <c r="H6">
        <v>5523.9615631103497</v>
      </c>
      <c r="J6">
        <v>7503.6467475891104</v>
      </c>
      <c r="L6">
        <v>9869.2495861053503</v>
      </c>
      <c r="M6">
        <v>10233.3811988831</v>
      </c>
      <c r="W6">
        <v>70768.244247436567</v>
      </c>
    </row>
    <row r="7" spans="1:23">
      <c r="A7" s="26" t="s">
        <v>14</v>
      </c>
      <c r="B7">
        <v>6813.10009002686</v>
      </c>
      <c r="C7">
        <v>19459.803655624401</v>
      </c>
      <c r="D7">
        <v>22967.122225761399</v>
      </c>
      <c r="F7">
        <v>19278.8408069611</v>
      </c>
      <c r="W7">
        <v>68518.866778373762</v>
      </c>
    </row>
    <row r="8" spans="1:23">
      <c r="A8" s="26" t="s">
        <v>15</v>
      </c>
      <c r="B8">
        <v>4183772</v>
      </c>
      <c r="D8">
        <v>4885879</v>
      </c>
      <c r="E8">
        <v>4534283</v>
      </c>
      <c r="F8">
        <v>4531406</v>
      </c>
      <c r="G8">
        <v>3892632</v>
      </c>
      <c r="H8">
        <v>3618664</v>
      </c>
      <c r="J8">
        <v>3009320</v>
      </c>
      <c r="K8">
        <v>3074672</v>
      </c>
      <c r="L8">
        <v>2811352</v>
      </c>
      <c r="M8">
        <v>2877601</v>
      </c>
      <c r="N8">
        <v>3024007</v>
      </c>
      <c r="O8">
        <v>2976468</v>
      </c>
      <c r="P8">
        <v>3047309</v>
      </c>
      <c r="Q8">
        <v>2926191.74744415</v>
      </c>
      <c r="R8">
        <v>2490722.8890647902</v>
      </c>
      <c r="S8">
        <v>3051805.1861591302</v>
      </c>
      <c r="T8">
        <v>2836167.8120183898</v>
      </c>
      <c r="W8">
        <v>57772252.634686463</v>
      </c>
    </row>
    <row r="9" spans="1:23">
      <c r="A9" s="26" t="s">
        <v>17</v>
      </c>
      <c r="B9">
        <v>73299285</v>
      </c>
      <c r="C9">
        <v>71638010</v>
      </c>
      <c r="D9">
        <v>67777685</v>
      </c>
      <c r="E9">
        <v>65132602</v>
      </c>
      <c r="F9">
        <v>62435373</v>
      </c>
      <c r="G9">
        <v>56711603</v>
      </c>
      <c r="H9">
        <v>51847336</v>
      </c>
      <c r="J9">
        <v>47347950</v>
      </c>
      <c r="K9">
        <v>42625797</v>
      </c>
      <c r="L9">
        <v>40784711</v>
      </c>
      <c r="M9">
        <v>38113335</v>
      </c>
      <c r="N9">
        <v>42779507</v>
      </c>
      <c r="O9">
        <v>44253711.033547401</v>
      </c>
      <c r="P9">
        <v>43961530.839027397</v>
      </c>
      <c r="Q9">
        <v>45678720.347853698</v>
      </c>
      <c r="R9">
        <v>44976587.962322198</v>
      </c>
      <c r="S9">
        <v>41237446.808945701</v>
      </c>
      <c r="T9">
        <v>51663856.841247998</v>
      </c>
      <c r="U9">
        <v>83459239.580886394</v>
      </c>
      <c r="W9">
        <v>1015724287.4138308</v>
      </c>
    </row>
    <row r="10" spans="1:23">
      <c r="A10" s="26" t="s">
        <v>19</v>
      </c>
      <c r="C10">
        <v>5511.4481410980197</v>
      </c>
      <c r="D10">
        <v>4687.5809631347702</v>
      </c>
      <c r="E10">
        <v>4989.4509620666504</v>
      </c>
      <c r="F10">
        <v>3595.9749736785898</v>
      </c>
      <c r="G10">
        <v>3881.6329650878902</v>
      </c>
      <c r="H10">
        <v>4429.6105575561496</v>
      </c>
      <c r="I10">
        <v>4083.12111473083</v>
      </c>
      <c r="J10">
        <v>7357.5611858367902</v>
      </c>
      <c r="K10">
        <v>9151.3491878509503</v>
      </c>
      <c r="L10">
        <v>9329.7894878387506</v>
      </c>
      <c r="M10">
        <v>10996.6046657562</v>
      </c>
      <c r="N10">
        <v>8356.37155914307</v>
      </c>
      <c r="O10">
        <v>10475.260974884</v>
      </c>
      <c r="W10">
        <v>86845.756738662662</v>
      </c>
    </row>
    <row r="11" spans="1:23">
      <c r="A11" s="26" t="s">
        <v>21</v>
      </c>
      <c r="J11">
        <v>2093867</v>
      </c>
      <c r="L11">
        <v>1444014</v>
      </c>
      <c r="N11">
        <v>1489152</v>
      </c>
      <c r="P11">
        <v>1308061</v>
      </c>
      <c r="S11">
        <v>2270663</v>
      </c>
      <c r="U11">
        <v>1035143</v>
      </c>
      <c r="W11">
        <v>9640900</v>
      </c>
    </row>
    <row r="12" spans="1:23">
      <c r="A12" s="26" t="s">
        <v>23</v>
      </c>
      <c r="B12">
        <v>21694905.449218798</v>
      </c>
      <c r="C12">
        <v>22428136.3429127</v>
      </c>
      <c r="D12">
        <v>20691804.709881801</v>
      </c>
      <c r="E12">
        <v>20559756.5</v>
      </c>
      <c r="F12">
        <v>21708511</v>
      </c>
      <c r="G12">
        <v>18471664</v>
      </c>
      <c r="H12">
        <v>18663374</v>
      </c>
      <c r="I12">
        <v>17556442</v>
      </c>
      <c r="J12">
        <v>16245647</v>
      </c>
      <c r="K12">
        <v>16383981.139873501</v>
      </c>
      <c r="L12">
        <v>15113568.9677143</v>
      </c>
      <c r="M12">
        <v>14588734.272875801</v>
      </c>
      <c r="N12">
        <v>14641199.2152529</v>
      </c>
      <c r="O12">
        <v>14702860.2127805</v>
      </c>
      <c r="P12">
        <v>14257894.3104153</v>
      </c>
      <c r="Q12">
        <v>14942649.402304601</v>
      </c>
      <c r="R12">
        <v>15315506.515295999</v>
      </c>
      <c r="S12">
        <v>17127974.551667199</v>
      </c>
      <c r="T12">
        <v>16548881.1896744</v>
      </c>
      <c r="U12">
        <v>12273417.537033601</v>
      </c>
      <c r="W12">
        <v>343916908.31690145</v>
      </c>
    </row>
    <row r="13" spans="1:23">
      <c r="A13" s="26" t="s">
        <v>25</v>
      </c>
      <c r="B13">
        <v>933061</v>
      </c>
      <c r="C13">
        <v>1011740</v>
      </c>
      <c r="D13">
        <v>965433</v>
      </c>
      <c r="E13">
        <v>962374</v>
      </c>
      <c r="F13">
        <v>815360</v>
      </c>
      <c r="G13">
        <v>749456</v>
      </c>
      <c r="H13">
        <v>785134</v>
      </c>
      <c r="I13">
        <v>836975</v>
      </c>
      <c r="J13">
        <v>896346</v>
      </c>
      <c r="K13">
        <v>818051</v>
      </c>
      <c r="L13">
        <v>811727</v>
      </c>
      <c r="M13">
        <v>790392</v>
      </c>
      <c r="N13">
        <v>751886</v>
      </c>
      <c r="O13">
        <v>734696</v>
      </c>
      <c r="P13">
        <v>717091</v>
      </c>
      <c r="Q13">
        <v>757975</v>
      </c>
      <c r="R13">
        <v>772132</v>
      </c>
      <c r="S13">
        <v>1174519</v>
      </c>
      <c r="T13">
        <v>889631</v>
      </c>
      <c r="U13">
        <v>833625</v>
      </c>
      <c r="W13">
        <v>17007604</v>
      </c>
    </row>
    <row r="14" spans="1:23">
      <c r="A14" s="26" t="s">
        <v>27</v>
      </c>
      <c r="B14">
        <v>3722885</v>
      </c>
      <c r="C14">
        <v>4536428</v>
      </c>
      <c r="D14">
        <v>3836903</v>
      </c>
      <c r="E14">
        <v>3681031</v>
      </c>
      <c r="F14">
        <v>3556483</v>
      </c>
      <c r="G14">
        <v>3715358</v>
      </c>
      <c r="H14">
        <v>3640665</v>
      </c>
      <c r="I14">
        <v>3680465</v>
      </c>
      <c r="J14">
        <v>3604188</v>
      </c>
      <c r="K14">
        <v>3716407</v>
      </c>
      <c r="L14">
        <v>3697358</v>
      </c>
      <c r="M14">
        <v>3254350</v>
      </c>
      <c r="N14">
        <v>2945611</v>
      </c>
      <c r="O14">
        <v>2797241</v>
      </c>
      <c r="P14">
        <v>2057685.1317596401</v>
      </c>
      <c r="Q14">
        <v>1869784.1999359101</v>
      </c>
      <c r="R14">
        <v>1661838.0644683801</v>
      </c>
      <c r="S14">
        <v>2480390.0308532701</v>
      </c>
      <c r="T14">
        <v>2101039.7316894499</v>
      </c>
      <c r="W14">
        <v>60556110.158706665</v>
      </c>
    </row>
    <row r="15" spans="1:23">
      <c r="A15" s="26" t="s">
        <v>29</v>
      </c>
      <c r="B15">
        <v>7040987.6957664499</v>
      </c>
      <c r="C15">
        <v>6468610.9418067904</v>
      </c>
      <c r="D15">
        <v>6235244.8165359497</v>
      </c>
      <c r="E15">
        <v>5780739.8606843902</v>
      </c>
      <c r="F15">
        <v>5770940.1722669601</v>
      </c>
      <c r="G15">
        <v>5529933.1020564996</v>
      </c>
      <c r="H15">
        <v>5819882.0073504401</v>
      </c>
      <c r="I15">
        <v>5402226.6577196103</v>
      </c>
      <c r="J15">
        <v>4917120.5082836198</v>
      </c>
      <c r="K15">
        <v>4662588.89313793</v>
      </c>
      <c r="L15">
        <v>4847993.38087916</v>
      </c>
      <c r="M15">
        <v>4438169.6232376099</v>
      </c>
      <c r="N15">
        <v>4546130.2290401496</v>
      </c>
      <c r="O15">
        <v>4704012.5061483402</v>
      </c>
      <c r="P15">
        <v>4549601.0821123105</v>
      </c>
      <c r="Q15">
        <v>4789276.0231585503</v>
      </c>
      <c r="R15">
        <v>5244057.3109121304</v>
      </c>
      <c r="S15">
        <v>6598048.7980594598</v>
      </c>
      <c r="T15">
        <v>5709734.9522991199</v>
      </c>
      <c r="U15">
        <v>5545315.3647117596</v>
      </c>
      <c r="V15">
        <v>5729222.8489437103</v>
      </c>
      <c r="W15">
        <v>114329836.77511095</v>
      </c>
    </row>
    <row r="16" spans="1:23">
      <c r="A16" s="26" t="s">
        <v>31</v>
      </c>
      <c r="B16">
        <v>3257380</v>
      </c>
      <c r="C16">
        <v>5725061.3506507901</v>
      </c>
      <c r="E16">
        <v>6347526.1838378897</v>
      </c>
      <c r="I16">
        <v>9318118</v>
      </c>
      <c r="J16">
        <v>8310692.16017914</v>
      </c>
      <c r="K16">
        <v>8839148</v>
      </c>
      <c r="L16">
        <v>8781807</v>
      </c>
      <c r="M16">
        <v>8691370</v>
      </c>
      <c r="N16">
        <v>8758419</v>
      </c>
      <c r="O16">
        <v>9055933</v>
      </c>
      <c r="P16">
        <v>9238783</v>
      </c>
      <c r="Q16">
        <v>9857601</v>
      </c>
      <c r="R16">
        <v>9824753</v>
      </c>
      <c r="T16">
        <v>9908606</v>
      </c>
      <c r="U16">
        <v>8880781</v>
      </c>
      <c r="W16">
        <v>124795978.69466782</v>
      </c>
    </row>
    <row r="17" spans="1:23">
      <c r="A17" s="26" t="s">
        <v>33</v>
      </c>
      <c r="P17">
        <v>320109.24397659302</v>
      </c>
      <c r="Q17">
        <v>311012.760066032</v>
      </c>
      <c r="R17">
        <v>298403.12474250799</v>
      </c>
      <c r="T17">
        <v>290083.43354797398</v>
      </c>
      <c r="W17">
        <v>1219608.562333107</v>
      </c>
    </row>
    <row r="18" spans="1:23">
      <c r="A18" s="26" t="s">
        <v>34</v>
      </c>
      <c r="B18">
        <v>4109324.4911298798</v>
      </c>
      <c r="C18">
        <v>4299155.95203018</v>
      </c>
      <c r="D18">
        <v>4297479.3421630897</v>
      </c>
      <c r="E18">
        <v>4180601.3269310002</v>
      </c>
      <c r="F18">
        <v>3976358.6054344201</v>
      </c>
      <c r="G18">
        <v>3924240.98747253</v>
      </c>
      <c r="H18">
        <v>3938624.2520294199</v>
      </c>
      <c r="I18">
        <v>4259438.56944275</v>
      </c>
      <c r="J18">
        <v>4535999.0139923096</v>
      </c>
      <c r="K18">
        <v>5006858.3063964797</v>
      </c>
      <c r="L18">
        <v>4965628.1519927997</v>
      </c>
      <c r="M18">
        <v>4492592.4423828097</v>
      </c>
      <c r="N18">
        <v>4600634.6219787598</v>
      </c>
      <c r="O18">
        <v>4511240.4866638202</v>
      </c>
      <c r="P18">
        <v>4858633.3180999802</v>
      </c>
      <c r="Q18">
        <v>4845740.48033142</v>
      </c>
      <c r="R18">
        <v>4888058.3378830003</v>
      </c>
      <c r="V18">
        <v>5121932.5870971698</v>
      </c>
      <c r="W18">
        <v>80812541.273451805</v>
      </c>
    </row>
    <row r="19" spans="1:23">
      <c r="A19" s="26" t="s">
        <v>37</v>
      </c>
      <c r="B19">
        <v>217.40674209594701</v>
      </c>
      <c r="C19">
        <v>511352.513202667</v>
      </c>
      <c r="D19">
        <v>707952.73265075695</v>
      </c>
      <c r="E19">
        <v>679688.99389457703</v>
      </c>
      <c r="F19">
        <v>474850.96315383899</v>
      </c>
      <c r="G19">
        <v>959309.47357177699</v>
      </c>
      <c r="H19">
        <v>579117.35544967698</v>
      </c>
      <c r="I19">
        <v>865087.20952987694</v>
      </c>
      <c r="K19">
        <v>885299.231533051</v>
      </c>
      <c r="L19">
        <v>843963.83728408802</v>
      </c>
      <c r="M19">
        <v>884470.76300048805</v>
      </c>
      <c r="O19">
        <v>794692.55361175502</v>
      </c>
      <c r="W19">
        <v>8186003.033624649</v>
      </c>
    </row>
    <row r="20" spans="1:23">
      <c r="A20" s="26" t="s">
        <v>38</v>
      </c>
      <c r="C20">
        <v>42044950</v>
      </c>
      <c r="D20">
        <v>41169277</v>
      </c>
      <c r="E20">
        <v>36620195</v>
      </c>
      <c r="G20">
        <v>41993190</v>
      </c>
      <c r="I20">
        <v>45942906</v>
      </c>
      <c r="K20">
        <v>44780685</v>
      </c>
      <c r="M20">
        <v>45171959</v>
      </c>
      <c r="O20">
        <v>35474894</v>
      </c>
      <c r="Q20">
        <v>33560610</v>
      </c>
      <c r="S20">
        <v>38624141</v>
      </c>
      <c r="U20">
        <v>29365758</v>
      </c>
      <c r="W20">
        <v>434748565</v>
      </c>
    </row>
    <row r="21" spans="1:23">
      <c r="A21" s="26" t="s">
        <v>40</v>
      </c>
      <c r="D21">
        <v>3324853.9301567101</v>
      </c>
      <c r="H21">
        <v>3414775.5104675302</v>
      </c>
      <c r="I21">
        <v>3442683.7545051598</v>
      </c>
      <c r="J21">
        <v>3312001.0982666002</v>
      </c>
      <c r="K21">
        <v>3156825.4103240999</v>
      </c>
      <c r="M21">
        <v>3011196.6148645901</v>
      </c>
      <c r="W21">
        <v>19662336.318584692</v>
      </c>
    </row>
    <row r="22" spans="1:23">
      <c r="A22" s="26" t="s">
        <v>42</v>
      </c>
      <c r="B22">
        <v>1073511</v>
      </c>
      <c r="C22">
        <v>1073206</v>
      </c>
      <c r="D22">
        <v>1107621</v>
      </c>
      <c r="E22">
        <v>1101730</v>
      </c>
      <c r="F22">
        <v>1013520</v>
      </c>
      <c r="G22">
        <v>961572</v>
      </c>
      <c r="H22">
        <v>945959</v>
      </c>
      <c r="I22">
        <v>882619</v>
      </c>
      <c r="J22">
        <v>870257</v>
      </c>
      <c r="K22">
        <v>774334</v>
      </c>
      <c r="L22">
        <v>811051</v>
      </c>
      <c r="M22">
        <v>745082</v>
      </c>
      <c r="N22">
        <v>772710</v>
      </c>
      <c r="O22">
        <v>693027</v>
      </c>
      <c r="P22">
        <v>678701</v>
      </c>
      <c r="Q22">
        <v>667785</v>
      </c>
      <c r="R22">
        <v>678722</v>
      </c>
      <c r="U22">
        <v>795168</v>
      </c>
      <c r="W22">
        <v>15646575</v>
      </c>
    </row>
    <row r="23" spans="1:23">
      <c r="A23" s="26" t="s">
        <v>44</v>
      </c>
      <c r="B23">
        <v>13290740.339862799</v>
      </c>
      <c r="C23">
        <v>13512424.7303505</v>
      </c>
      <c r="D23">
        <v>14449487.175036401</v>
      </c>
      <c r="E23">
        <v>13729957.368471101</v>
      </c>
      <c r="F23">
        <v>11481748.3929605</v>
      </c>
      <c r="G23">
        <v>10605448.983822299</v>
      </c>
      <c r="H23">
        <v>8374847.2537932396</v>
      </c>
      <c r="I23">
        <v>7503092.1242322903</v>
      </c>
      <c r="J23">
        <v>8759923.4568118993</v>
      </c>
      <c r="K23">
        <v>8192881.3940391503</v>
      </c>
      <c r="L23">
        <v>8078038.7897567702</v>
      </c>
      <c r="M23">
        <v>7854476.6031870795</v>
      </c>
      <c r="N23">
        <v>7608317.3551659603</v>
      </c>
      <c r="O23">
        <v>7686126.8149542799</v>
      </c>
      <c r="P23">
        <v>7754991.2205307502</v>
      </c>
      <c r="Q23">
        <v>7158402.9437916297</v>
      </c>
      <c r="R23">
        <v>6804954.9861946097</v>
      </c>
      <c r="S23">
        <v>11876014.725273499</v>
      </c>
      <c r="T23">
        <v>8492417.3756920099</v>
      </c>
      <c r="U23">
        <v>7822195.1859513503</v>
      </c>
      <c r="W23">
        <v>191036487.21987814</v>
      </c>
    </row>
    <row r="24" spans="1:23">
      <c r="A24" s="26" t="s">
        <v>45</v>
      </c>
      <c r="B24">
        <v>2527599.5171604198</v>
      </c>
      <c r="C24">
        <v>2456676</v>
      </c>
      <c r="D24">
        <v>2155116</v>
      </c>
      <c r="E24">
        <v>2423769</v>
      </c>
      <c r="F24">
        <v>2251821</v>
      </c>
      <c r="G24">
        <v>2197778</v>
      </c>
      <c r="H24">
        <v>2023064</v>
      </c>
      <c r="I24">
        <v>2011355</v>
      </c>
      <c r="J24">
        <v>1969388</v>
      </c>
      <c r="K24">
        <v>1907347</v>
      </c>
      <c r="L24">
        <v>1611145</v>
      </c>
      <c r="M24">
        <v>1532227</v>
      </c>
      <c r="N24">
        <v>1577268</v>
      </c>
      <c r="O24">
        <v>1805898</v>
      </c>
      <c r="P24">
        <v>1732961</v>
      </c>
      <c r="Q24">
        <v>1502714</v>
      </c>
      <c r="S24">
        <v>1551825</v>
      </c>
      <c r="T24">
        <v>1607066</v>
      </c>
      <c r="U24">
        <v>1661925</v>
      </c>
      <c r="W24">
        <v>36506942.517160416</v>
      </c>
    </row>
    <row r="25" spans="1:23">
      <c r="A25" s="26" t="s">
        <v>46</v>
      </c>
      <c r="B25">
        <v>2835677</v>
      </c>
      <c r="C25">
        <v>3059600</v>
      </c>
      <c r="D25">
        <v>3277475</v>
      </c>
      <c r="E25">
        <v>3174312</v>
      </c>
      <c r="F25">
        <v>2456575</v>
      </c>
      <c r="G25">
        <v>2821553</v>
      </c>
      <c r="H25">
        <v>2796586</v>
      </c>
      <c r="I25">
        <v>2783486</v>
      </c>
      <c r="J25">
        <v>2803136</v>
      </c>
      <c r="K25">
        <v>2650739</v>
      </c>
      <c r="L25">
        <v>2459078</v>
      </c>
      <c r="M25">
        <v>2472854</v>
      </c>
      <c r="N25">
        <v>2396162</v>
      </c>
      <c r="O25">
        <v>2351137</v>
      </c>
      <c r="P25">
        <v>2251982</v>
      </c>
      <c r="Q25">
        <v>2054240</v>
      </c>
      <c r="R25">
        <v>1949201.07426643</v>
      </c>
      <c r="S25">
        <v>1845627.23610115</v>
      </c>
      <c r="T25">
        <v>1808471.7022619201</v>
      </c>
      <c r="U25">
        <v>1703458.33520889</v>
      </c>
      <c r="W25">
        <v>49951350.347838394</v>
      </c>
    </row>
    <row r="26" spans="1:23">
      <c r="A26" s="26" t="s">
        <v>47</v>
      </c>
      <c r="B26">
        <v>150288.87599563599</v>
      </c>
      <c r="C26">
        <v>119876.16891861</v>
      </c>
      <c r="D26">
        <v>123037.595844269</v>
      </c>
      <c r="E26">
        <v>113165.26171875</v>
      </c>
      <c r="F26">
        <v>92317.475292205796</v>
      </c>
      <c r="G26">
        <v>86469.356552123994</v>
      </c>
      <c r="H26">
        <v>41676.441650390603</v>
      </c>
      <c r="I26">
        <v>107571.023162842</v>
      </c>
      <c r="J26">
        <v>90604.162605285601</v>
      </c>
      <c r="K26">
        <v>108081.164726257</v>
      </c>
      <c r="L26">
        <v>89811.690662384004</v>
      </c>
      <c r="M26">
        <v>101431.45223999</v>
      </c>
      <c r="N26">
        <v>101310.69329071</v>
      </c>
      <c r="W26">
        <v>1325641.3626594541</v>
      </c>
    </row>
    <row r="27" spans="1:23">
      <c r="A27" s="26" t="s">
        <v>50</v>
      </c>
      <c r="B27">
        <v>556408</v>
      </c>
      <c r="C27">
        <v>574825</v>
      </c>
      <c r="D27">
        <v>504550</v>
      </c>
      <c r="E27">
        <v>1060448</v>
      </c>
      <c r="F27">
        <v>548292</v>
      </c>
      <c r="G27">
        <v>390756</v>
      </c>
      <c r="H27">
        <v>397981</v>
      </c>
      <c r="I27">
        <v>395493</v>
      </c>
      <c r="J27">
        <v>326741</v>
      </c>
      <c r="K27">
        <v>294499</v>
      </c>
      <c r="L27">
        <v>294384</v>
      </c>
      <c r="M27">
        <v>264227</v>
      </c>
      <c r="N27">
        <v>282065</v>
      </c>
      <c r="O27">
        <v>263764</v>
      </c>
      <c r="P27">
        <v>232779</v>
      </c>
      <c r="Q27">
        <v>239319</v>
      </c>
      <c r="R27">
        <v>254339</v>
      </c>
      <c r="S27">
        <v>346426.73877048498</v>
      </c>
      <c r="T27">
        <v>324045</v>
      </c>
      <c r="U27">
        <v>307307</v>
      </c>
      <c r="W27">
        <v>7858648.7387704849</v>
      </c>
    </row>
    <row r="28" spans="1:23">
      <c r="A28" s="26" t="s">
        <v>51</v>
      </c>
      <c r="B28">
        <v>13389919</v>
      </c>
      <c r="C28">
        <v>5522556</v>
      </c>
      <c r="D28">
        <v>10603344</v>
      </c>
      <c r="E28">
        <v>7523648</v>
      </c>
      <c r="F28">
        <v>6063827</v>
      </c>
      <c r="G28">
        <v>5527091</v>
      </c>
      <c r="H28">
        <v>5421147</v>
      </c>
      <c r="I28">
        <v>5571868</v>
      </c>
      <c r="J28">
        <v>5689519</v>
      </c>
      <c r="K28">
        <v>5258600</v>
      </c>
      <c r="L28">
        <v>4523741</v>
      </c>
      <c r="M28">
        <v>4778219</v>
      </c>
      <c r="N28">
        <v>6326802</v>
      </c>
      <c r="O28">
        <v>11023707</v>
      </c>
      <c r="P28">
        <v>17273565</v>
      </c>
      <c r="Q28">
        <v>23786312</v>
      </c>
      <c r="S28">
        <v>27735957</v>
      </c>
      <c r="T28">
        <v>23940740.674949601</v>
      </c>
      <c r="W28">
        <v>189960562.67494959</v>
      </c>
    </row>
    <row r="29" spans="1:23">
      <c r="A29" s="26" t="s">
        <v>53</v>
      </c>
      <c r="B29">
        <v>165859760.96683028</v>
      </c>
      <c r="C29">
        <v>197443231.24644664</v>
      </c>
      <c r="D29">
        <v>197324858.79511544</v>
      </c>
      <c r="E29">
        <v>187755151.69232267</v>
      </c>
      <c r="F29">
        <v>134984441.18560213</v>
      </c>
      <c r="G29">
        <v>165150217.15975612</v>
      </c>
      <c r="H29">
        <v>117896194.39286137</v>
      </c>
      <c r="I29">
        <v>115028866.45970726</v>
      </c>
      <c r="J29">
        <v>117782790.60807228</v>
      </c>
      <c r="K29">
        <v>155416309.88921833</v>
      </c>
      <c r="L29">
        <v>103658152.85736345</v>
      </c>
      <c r="M29">
        <v>146173806.757653</v>
      </c>
      <c r="N29">
        <v>105069798.48628762</v>
      </c>
      <c r="O29">
        <v>145977157.86868098</v>
      </c>
      <c r="P29">
        <v>116170584.14592196</v>
      </c>
      <c r="Q29">
        <v>157126114.90488601</v>
      </c>
      <c r="R29">
        <v>97861092.26515004</v>
      </c>
      <c r="S29">
        <v>159076483.07582992</v>
      </c>
      <c r="T29">
        <v>128875759.71338086</v>
      </c>
      <c r="U29">
        <v>156307177.00379199</v>
      </c>
      <c r="V29">
        <v>10851155.43604088</v>
      </c>
      <c r="W29">
        <v>2881789104.9109197</v>
      </c>
    </row>
    <row r="35" spans="1:23">
      <c r="A35" t="s">
        <v>1108</v>
      </c>
      <c r="B35" t="s">
        <v>1109</v>
      </c>
    </row>
    <row r="36" spans="1:23">
      <c r="A36" t="s">
        <v>2</v>
      </c>
      <c r="B36">
        <v>2003</v>
      </c>
      <c r="C36">
        <v>2004</v>
      </c>
      <c r="D36">
        <v>2005</v>
      </c>
      <c r="E36">
        <v>2006</v>
      </c>
      <c r="F36">
        <v>2007</v>
      </c>
      <c r="G36">
        <v>2008</v>
      </c>
      <c r="H36">
        <v>2009</v>
      </c>
      <c r="I36">
        <v>2010</v>
      </c>
      <c r="J36">
        <v>2011</v>
      </c>
      <c r="K36">
        <v>2012</v>
      </c>
      <c r="L36">
        <v>2013</v>
      </c>
      <c r="M36">
        <v>2014</v>
      </c>
      <c r="N36">
        <v>2015</v>
      </c>
      <c r="O36">
        <v>2016</v>
      </c>
      <c r="P36">
        <v>2017</v>
      </c>
      <c r="Q36">
        <v>2018</v>
      </c>
      <c r="R36">
        <v>2019</v>
      </c>
      <c r="S36">
        <v>2020</v>
      </c>
      <c r="T36">
        <v>2021</v>
      </c>
      <c r="U36">
        <v>2022</v>
      </c>
      <c r="V36">
        <v>2023</v>
      </c>
      <c r="W36" t="s">
        <v>53</v>
      </c>
    </row>
    <row r="37" spans="1:23">
      <c r="A37" t="s">
        <v>10</v>
      </c>
      <c r="B37">
        <v>13780226</v>
      </c>
      <c r="C37">
        <v>12428756</v>
      </c>
      <c r="D37">
        <v>11174326</v>
      </c>
      <c r="E37">
        <v>10140762</v>
      </c>
      <c r="F37">
        <v>7779162</v>
      </c>
      <c r="G37">
        <v>6602626</v>
      </c>
      <c r="H37">
        <v>5577408</v>
      </c>
      <c r="I37">
        <v>4464957</v>
      </c>
      <c r="J37">
        <v>2985230</v>
      </c>
      <c r="K37">
        <v>2270364</v>
      </c>
      <c r="L37">
        <v>1669581</v>
      </c>
      <c r="M37">
        <v>2089889</v>
      </c>
      <c r="N37">
        <v>2460261</v>
      </c>
      <c r="O37">
        <v>2137274</v>
      </c>
      <c r="P37">
        <v>1928907</v>
      </c>
      <c r="Q37">
        <v>2177781</v>
      </c>
      <c r="R37">
        <v>2701816</v>
      </c>
      <c r="S37">
        <v>3155644</v>
      </c>
      <c r="T37">
        <v>2755018</v>
      </c>
      <c r="U37">
        <v>2623844</v>
      </c>
      <c r="W37">
        <v>100903832</v>
      </c>
    </row>
    <row r="38" spans="1:23">
      <c r="A38" t="s">
        <v>12</v>
      </c>
      <c r="B38">
        <v>6760.0908641815204</v>
      </c>
      <c r="C38">
        <v>6894.9947776794397</v>
      </c>
      <c r="D38">
        <v>9734.7896575927698</v>
      </c>
      <c r="E38">
        <v>3572.74582290649</v>
      </c>
      <c r="F38">
        <v>5020.7607135772696</v>
      </c>
      <c r="G38">
        <v>5654.62331581116</v>
      </c>
      <c r="H38">
        <v>5523.9615631103497</v>
      </c>
      <c r="J38">
        <v>7503.6467475891104</v>
      </c>
      <c r="L38">
        <v>9869.2495861053503</v>
      </c>
      <c r="M38">
        <v>10233.3811988831</v>
      </c>
      <c r="W38">
        <v>70768.244247436567</v>
      </c>
    </row>
    <row r="39" spans="1:23">
      <c r="A39" t="s">
        <v>14</v>
      </c>
      <c r="B39">
        <v>6813.10009002686</v>
      </c>
      <c r="C39">
        <v>19459.803655624401</v>
      </c>
      <c r="D39">
        <v>22967.122225761399</v>
      </c>
      <c r="F39">
        <v>19278.8408069611</v>
      </c>
      <c r="W39">
        <v>68518.866778373762</v>
      </c>
    </row>
    <row r="40" spans="1:23">
      <c r="A40" t="s">
        <v>15</v>
      </c>
      <c r="B40">
        <v>4183772</v>
      </c>
      <c r="D40">
        <v>4885879</v>
      </c>
      <c r="E40">
        <v>4534283</v>
      </c>
      <c r="F40">
        <v>4531406</v>
      </c>
      <c r="G40">
        <v>3892632</v>
      </c>
      <c r="H40">
        <v>3618664</v>
      </c>
      <c r="J40">
        <v>3009320</v>
      </c>
      <c r="K40">
        <v>3074672</v>
      </c>
      <c r="L40">
        <v>2811352</v>
      </c>
      <c r="M40">
        <v>2877601</v>
      </c>
      <c r="N40">
        <v>3024007</v>
      </c>
      <c r="O40">
        <v>2976468</v>
      </c>
      <c r="P40">
        <v>3047309</v>
      </c>
      <c r="Q40">
        <v>2926191.74744415</v>
      </c>
      <c r="R40">
        <v>2490722.8890647902</v>
      </c>
      <c r="S40">
        <v>3051805.1861591302</v>
      </c>
      <c r="T40">
        <v>2836167.8120183898</v>
      </c>
      <c r="W40">
        <v>57772252.634686463</v>
      </c>
    </row>
    <row r="41" spans="1:23">
      <c r="A41" t="s">
        <v>17</v>
      </c>
      <c r="B41">
        <v>73299285</v>
      </c>
      <c r="C41">
        <v>71638010</v>
      </c>
      <c r="D41">
        <v>67777685</v>
      </c>
      <c r="E41">
        <v>65132602</v>
      </c>
      <c r="F41">
        <v>62435373</v>
      </c>
      <c r="G41">
        <v>56711603</v>
      </c>
      <c r="H41">
        <v>51847336</v>
      </c>
      <c r="J41">
        <v>47347950</v>
      </c>
      <c r="K41">
        <v>42625797</v>
      </c>
      <c r="L41">
        <v>40784711</v>
      </c>
      <c r="M41">
        <v>38113335</v>
      </c>
      <c r="N41">
        <v>42779507</v>
      </c>
      <c r="O41">
        <v>44253711.033547401</v>
      </c>
      <c r="P41">
        <v>43961530.839027397</v>
      </c>
      <c r="Q41">
        <v>45678720.347853698</v>
      </c>
      <c r="R41">
        <v>44976587.962322198</v>
      </c>
      <c r="S41">
        <v>41237446.808945701</v>
      </c>
      <c r="T41">
        <v>51663856.841247998</v>
      </c>
      <c r="U41">
        <v>83459239.580886394</v>
      </c>
      <c r="W41">
        <v>1015724287.4138308</v>
      </c>
    </row>
    <row r="42" spans="1:23">
      <c r="A42" t="s">
        <v>19</v>
      </c>
      <c r="C42">
        <v>5511.4481410980197</v>
      </c>
      <c r="D42">
        <v>4687.5809631347702</v>
      </c>
      <c r="E42">
        <v>4989.4509620666504</v>
      </c>
      <c r="F42">
        <v>3595.9749736785898</v>
      </c>
      <c r="G42">
        <v>3881.6329650878902</v>
      </c>
      <c r="H42">
        <v>4429.6105575561496</v>
      </c>
      <c r="I42">
        <v>4083.12111473083</v>
      </c>
      <c r="J42">
        <v>7357.5611858367902</v>
      </c>
      <c r="K42">
        <v>9151.3491878509503</v>
      </c>
      <c r="L42">
        <v>9329.7894878387506</v>
      </c>
      <c r="M42">
        <v>10996.6046657562</v>
      </c>
      <c r="N42">
        <v>8356.37155914307</v>
      </c>
      <c r="O42">
        <v>10475.260974884</v>
      </c>
      <c r="W42">
        <v>86845.756738662662</v>
      </c>
    </row>
    <row r="43" spans="1:23">
      <c r="A43" t="s">
        <v>21</v>
      </c>
      <c r="J43">
        <v>2093867</v>
      </c>
      <c r="L43">
        <v>1444014</v>
      </c>
      <c r="N43">
        <v>1489152</v>
      </c>
      <c r="P43">
        <v>1308061</v>
      </c>
      <c r="S43">
        <v>2270663</v>
      </c>
      <c r="U43">
        <v>1035143</v>
      </c>
      <c r="W43">
        <v>9640900</v>
      </c>
    </row>
    <row r="44" spans="1:23">
      <c r="A44" t="s">
        <v>23</v>
      </c>
      <c r="B44">
        <v>21694905.449218798</v>
      </c>
      <c r="C44">
        <v>22428136.3429127</v>
      </c>
      <c r="D44">
        <v>20691804.709881801</v>
      </c>
      <c r="E44">
        <v>20559756.5</v>
      </c>
      <c r="F44">
        <v>21708511</v>
      </c>
      <c r="G44">
        <v>18471664</v>
      </c>
      <c r="H44">
        <v>18663374</v>
      </c>
      <c r="I44">
        <v>17556442</v>
      </c>
      <c r="J44">
        <v>16245647</v>
      </c>
      <c r="K44">
        <v>16383981.139873501</v>
      </c>
      <c r="L44">
        <v>15113568.9677143</v>
      </c>
      <c r="M44">
        <v>14588734.272875801</v>
      </c>
      <c r="N44">
        <v>14641199.2152529</v>
      </c>
      <c r="O44">
        <v>14702860.2127805</v>
      </c>
      <c r="P44">
        <v>14257894.3104153</v>
      </c>
      <c r="Q44">
        <v>14942649.402304601</v>
      </c>
      <c r="R44">
        <v>15315506.515295999</v>
      </c>
      <c r="S44">
        <v>17127974.551667199</v>
      </c>
      <c r="T44">
        <v>16548881.1896744</v>
      </c>
      <c r="U44">
        <v>12273417.537033601</v>
      </c>
      <c r="W44">
        <v>343916908.31690145</v>
      </c>
    </row>
    <row r="45" spans="1:23">
      <c r="A45" t="s">
        <v>25</v>
      </c>
      <c r="B45">
        <v>933061</v>
      </c>
      <c r="C45">
        <v>1011740</v>
      </c>
      <c r="D45">
        <v>965433</v>
      </c>
      <c r="E45">
        <v>962374</v>
      </c>
      <c r="F45">
        <v>815360</v>
      </c>
      <c r="G45">
        <v>749456</v>
      </c>
      <c r="H45">
        <v>785134</v>
      </c>
      <c r="I45">
        <v>836975</v>
      </c>
      <c r="J45">
        <v>896346</v>
      </c>
      <c r="K45">
        <v>818051</v>
      </c>
      <c r="L45">
        <v>811727</v>
      </c>
      <c r="M45">
        <v>790392</v>
      </c>
      <c r="N45">
        <v>751886</v>
      </c>
      <c r="O45">
        <v>734696</v>
      </c>
      <c r="P45">
        <v>717091</v>
      </c>
      <c r="Q45">
        <v>757975</v>
      </c>
      <c r="R45">
        <v>772132</v>
      </c>
      <c r="S45">
        <v>1174519</v>
      </c>
      <c r="T45">
        <v>889631</v>
      </c>
      <c r="U45">
        <v>833625</v>
      </c>
      <c r="W45">
        <v>17007604</v>
      </c>
    </row>
    <row r="46" spans="1:23">
      <c r="A46" t="s">
        <v>27</v>
      </c>
      <c r="B46">
        <v>3722885</v>
      </c>
      <c r="C46">
        <v>4536428</v>
      </c>
      <c r="D46">
        <v>3836903</v>
      </c>
      <c r="E46">
        <v>3681031</v>
      </c>
      <c r="F46">
        <v>3556483</v>
      </c>
      <c r="G46">
        <v>3715358</v>
      </c>
      <c r="H46">
        <v>3640665</v>
      </c>
      <c r="I46">
        <v>3680465</v>
      </c>
      <c r="J46">
        <v>3604188</v>
      </c>
      <c r="K46">
        <v>3716407</v>
      </c>
      <c r="L46">
        <v>3697358</v>
      </c>
      <c r="M46">
        <v>3254350</v>
      </c>
      <c r="N46">
        <v>2945611</v>
      </c>
      <c r="O46">
        <v>2797241</v>
      </c>
      <c r="P46">
        <v>2057685.1317596401</v>
      </c>
      <c r="Q46">
        <v>1869784.1999359101</v>
      </c>
      <c r="R46">
        <v>1661838.0644683801</v>
      </c>
      <c r="S46">
        <v>2480390.0308532701</v>
      </c>
      <c r="T46">
        <v>2101039.7316894499</v>
      </c>
      <c r="W46">
        <v>60556110.158706665</v>
      </c>
    </row>
    <row r="47" spans="1:23">
      <c r="A47" t="s">
        <v>29</v>
      </c>
      <c r="B47">
        <v>7040987.6957664499</v>
      </c>
      <c r="C47">
        <v>6468610.9418067904</v>
      </c>
      <c r="D47">
        <v>6235244.8165359497</v>
      </c>
      <c r="E47">
        <v>5780739.8606843902</v>
      </c>
      <c r="F47">
        <v>5770940.1722669601</v>
      </c>
      <c r="G47">
        <v>5529933.1020564996</v>
      </c>
      <c r="H47">
        <v>5819882.0073504401</v>
      </c>
      <c r="I47">
        <v>5402226.6577196103</v>
      </c>
      <c r="J47">
        <v>4917120.5082836198</v>
      </c>
      <c r="K47">
        <v>4662588.89313793</v>
      </c>
      <c r="L47">
        <v>4847993.38087916</v>
      </c>
      <c r="M47">
        <v>4438169.6232376099</v>
      </c>
      <c r="N47">
        <v>4546130.2290401496</v>
      </c>
      <c r="O47">
        <v>4704012.5061483402</v>
      </c>
      <c r="P47">
        <v>4549601.0821123105</v>
      </c>
      <c r="Q47">
        <v>4789276.0231585503</v>
      </c>
      <c r="R47">
        <v>5244057.3109121304</v>
      </c>
      <c r="S47">
        <v>6598048.7980594598</v>
      </c>
      <c r="T47">
        <v>5709734.9522991199</v>
      </c>
      <c r="U47">
        <v>5545315.3647117596</v>
      </c>
      <c r="V47">
        <v>5729222.8489437103</v>
      </c>
      <c r="W47">
        <v>114329836.77511095</v>
      </c>
    </row>
    <row r="48" spans="1:23">
      <c r="A48" t="s">
        <v>31</v>
      </c>
      <c r="B48">
        <v>3257380</v>
      </c>
      <c r="C48">
        <v>5725061.3506507901</v>
      </c>
      <c r="E48">
        <v>6347526.1838378897</v>
      </c>
      <c r="I48">
        <v>9318118</v>
      </c>
      <c r="J48">
        <v>8310692.16017914</v>
      </c>
      <c r="K48">
        <v>8839148</v>
      </c>
      <c r="L48">
        <v>8781807</v>
      </c>
      <c r="M48">
        <v>8691370</v>
      </c>
      <c r="N48">
        <v>8758419</v>
      </c>
      <c r="O48">
        <v>9055933</v>
      </c>
      <c r="P48">
        <v>9238783</v>
      </c>
      <c r="Q48">
        <v>9857601</v>
      </c>
      <c r="R48">
        <v>9824753</v>
      </c>
      <c r="T48">
        <v>9908606</v>
      </c>
      <c r="U48">
        <v>8880781</v>
      </c>
      <c r="W48">
        <v>124795978.69466782</v>
      </c>
    </row>
    <row r="49" spans="1:23">
      <c r="A49" t="s">
        <v>33</v>
      </c>
      <c r="P49">
        <v>320109.24397659302</v>
      </c>
      <c r="Q49">
        <v>311012.760066032</v>
      </c>
      <c r="R49">
        <v>298403.12474250799</v>
      </c>
      <c r="T49">
        <v>290083.43354797398</v>
      </c>
      <c r="W49">
        <v>1219608.562333107</v>
      </c>
    </row>
    <row r="50" spans="1:23">
      <c r="A50" t="s">
        <v>34</v>
      </c>
      <c r="B50">
        <v>4109324.4911298798</v>
      </c>
      <c r="C50">
        <v>4299155.95203018</v>
      </c>
      <c r="D50">
        <v>4297479.3421630897</v>
      </c>
      <c r="E50">
        <v>4180601.3269310002</v>
      </c>
      <c r="F50">
        <v>3976358.6054344201</v>
      </c>
      <c r="G50">
        <v>3924240.98747253</v>
      </c>
      <c r="H50">
        <v>3938624.2520294199</v>
      </c>
      <c r="I50">
        <v>4259438.56944275</v>
      </c>
      <c r="J50">
        <v>4535999.0139923096</v>
      </c>
      <c r="K50">
        <v>5006858.3063964797</v>
      </c>
      <c r="L50">
        <v>4965628.1519927997</v>
      </c>
      <c r="M50">
        <v>4492592.4423828097</v>
      </c>
      <c r="N50">
        <v>4600634.6219787598</v>
      </c>
      <c r="O50">
        <v>4511240.4866638202</v>
      </c>
      <c r="P50">
        <v>4858633.3180999802</v>
      </c>
      <c r="Q50">
        <v>4845740.48033142</v>
      </c>
      <c r="R50">
        <v>4888058.3378830003</v>
      </c>
      <c r="V50">
        <v>5121932.5870971698</v>
      </c>
      <c r="W50">
        <v>80812541.273451805</v>
      </c>
    </row>
    <row r="51" spans="1:23">
      <c r="A51" t="s">
        <v>37</v>
      </c>
      <c r="B51">
        <v>217.40674209594701</v>
      </c>
      <c r="C51">
        <v>511352.513202667</v>
      </c>
      <c r="D51">
        <v>707952.73265075695</v>
      </c>
      <c r="E51">
        <v>679688.99389457703</v>
      </c>
      <c r="F51">
        <v>474850.96315383899</v>
      </c>
      <c r="G51">
        <v>959309.47357177699</v>
      </c>
      <c r="H51">
        <v>579117.35544967698</v>
      </c>
      <c r="I51">
        <v>865087.20952987694</v>
      </c>
      <c r="K51">
        <v>885299.231533051</v>
      </c>
      <c r="L51">
        <v>843963.83728408802</v>
      </c>
      <c r="M51">
        <v>884470.76300048805</v>
      </c>
      <c r="O51">
        <v>794692.55361175502</v>
      </c>
      <c r="W51">
        <v>8186003.033624649</v>
      </c>
    </row>
    <row r="52" spans="1:23">
      <c r="A52" t="s">
        <v>38</v>
      </c>
      <c r="C52">
        <v>42044950</v>
      </c>
      <c r="D52">
        <v>41169277</v>
      </c>
      <c r="E52">
        <v>36620195</v>
      </c>
      <c r="G52">
        <v>41993190</v>
      </c>
      <c r="I52">
        <v>45942906</v>
      </c>
      <c r="K52">
        <v>44780685</v>
      </c>
      <c r="M52">
        <v>45171959</v>
      </c>
      <c r="O52">
        <v>35474894</v>
      </c>
      <c r="Q52">
        <v>33560610</v>
      </c>
      <c r="S52">
        <v>38624141</v>
      </c>
      <c r="U52">
        <v>29365758</v>
      </c>
      <c r="W52">
        <v>434748565</v>
      </c>
    </row>
    <row r="53" spans="1:23">
      <c r="A53" t="s">
        <v>40</v>
      </c>
      <c r="D53">
        <v>3324853.9301567101</v>
      </c>
      <c r="H53">
        <v>3414775.5104675302</v>
      </c>
      <c r="I53">
        <v>3442683.7545051598</v>
      </c>
      <c r="J53">
        <v>3312001.0982666002</v>
      </c>
      <c r="K53">
        <v>3156825.4103240999</v>
      </c>
      <c r="M53">
        <v>3011196.6148645901</v>
      </c>
      <c r="W53">
        <v>19662336.318584692</v>
      </c>
    </row>
    <row r="54" spans="1:23">
      <c r="A54" t="s">
        <v>42</v>
      </c>
      <c r="B54">
        <v>1073511</v>
      </c>
      <c r="C54">
        <v>1073206</v>
      </c>
      <c r="D54">
        <v>1107621</v>
      </c>
      <c r="E54">
        <v>1101730</v>
      </c>
      <c r="F54">
        <v>1013520</v>
      </c>
      <c r="G54">
        <v>961572</v>
      </c>
      <c r="H54">
        <v>945959</v>
      </c>
      <c r="I54">
        <v>882619</v>
      </c>
      <c r="J54">
        <v>870257</v>
      </c>
      <c r="K54">
        <v>774334</v>
      </c>
      <c r="L54">
        <v>811051</v>
      </c>
      <c r="M54">
        <v>745082</v>
      </c>
      <c r="N54">
        <v>772710</v>
      </c>
      <c r="O54">
        <v>693027</v>
      </c>
      <c r="P54">
        <v>678701</v>
      </c>
      <c r="Q54">
        <v>667785</v>
      </c>
      <c r="R54">
        <v>678722</v>
      </c>
      <c r="U54">
        <v>795168</v>
      </c>
      <c r="W54">
        <v>15646575</v>
      </c>
    </row>
    <row r="55" spans="1:23">
      <c r="A55" t="s">
        <v>44</v>
      </c>
      <c r="B55">
        <v>13290740.339862799</v>
      </c>
      <c r="C55">
        <v>13512424.7303505</v>
      </c>
      <c r="D55">
        <v>14449487.175036401</v>
      </c>
      <c r="E55">
        <v>13729957.368471101</v>
      </c>
      <c r="F55">
        <v>11481748.3929605</v>
      </c>
      <c r="G55">
        <v>10605448.983822299</v>
      </c>
      <c r="H55">
        <v>8374847.2537932396</v>
      </c>
      <c r="I55">
        <v>7503092.1242322903</v>
      </c>
      <c r="J55">
        <v>8759923.4568118993</v>
      </c>
      <c r="K55">
        <v>8192881.3940391503</v>
      </c>
      <c r="L55">
        <v>8078038.7897567702</v>
      </c>
      <c r="M55">
        <v>7854476.6031870795</v>
      </c>
      <c r="N55">
        <v>7608317.3551659603</v>
      </c>
      <c r="O55">
        <v>7686126.8149542799</v>
      </c>
      <c r="P55">
        <v>7754991.2205307502</v>
      </c>
      <c r="Q55">
        <v>7158402.9437916297</v>
      </c>
      <c r="R55">
        <v>6804954.9861946097</v>
      </c>
      <c r="S55">
        <v>11876014.725273499</v>
      </c>
      <c r="T55">
        <v>8492417.3756920099</v>
      </c>
      <c r="U55">
        <v>7822195.1859513503</v>
      </c>
      <c r="W55">
        <v>191036487.21987814</v>
      </c>
    </row>
    <row r="56" spans="1:23">
      <c r="A56" t="s">
        <v>45</v>
      </c>
      <c r="B56">
        <v>2527599.5171604198</v>
      </c>
      <c r="C56">
        <v>2456676</v>
      </c>
      <c r="D56">
        <v>2155116</v>
      </c>
      <c r="E56">
        <v>2423769</v>
      </c>
      <c r="F56">
        <v>2251821</v>
      </c>
      <c r="G56">
        <v>2197778</v>
      </c>
      <c r="H56">
        <v>2023064</v>
      </c>
      <c r="I56">
        <v>2011355</v>
      </c>
      <c r="J56">
        <v>1969388</v>
      </c>
      <c r="K56">
        <v>1907347</v>
      </c>
      <c r="L56">
        <v>1611145</v>
      </c>
      <c r="M56">
        <v>1532227</v>
      </c>
      <c r="N56">
        <v>1577268</v>
      </c>
      <c r="O56">
        <v>1805898</v>
      </c>
      <c r="P56">
        <v>1732961</v>
      </c>
      <c r="Q56">
        <v>1502714</v>
      </c>
      <c r="S56">
        <v>1551825</v>
      </c>
      <c r="T56">
        <v>1607066</v>
      </c>
      <c r="U56">
        <v>1661925</v>
      </c>
      <c r="W56">
        <v>36506942.517160416</v>
      </c>
    </row>
    <row r="57" spans="1:23">
      <c r="A57" t="s">
        <v>46</v>
      </c>
      <c r="B57">
        <v>2835677</v>
      </c>
      <c r="C57">
        <v>3059600</v>
      </c>
      <c r="D57">
        <v>3277475</v>
      </c>
      <c r="E57">
        <v>3174312</v>
      </c>
      <c r="F57">
        <v>2456575</v>
      </c>
      <c r="G57">
        <v>2821553</v>
      </c>
      <c r="H57">
        <v>2796586</v>
      </c>
      <c r="I57">
        <v>2783486</v>
      </c>
      <c r="J57">
        <v>2803136</v>
      </c>
      <c r="K57">
        <v>2650739</v>
      </c>
      <c r="L57">
        <v>2459078</v>
      </c>
      <c r="M57">
        <v>2472854</v>
      </c>
      <c r="N57">
        <v>2396162</v>
      </c>
      <c r="O57">
        <v>2351137</v>
      </c>
      <c r="P57">
        <v>2251982</v>
      </c>
      <c r="Q57">
        <v>2054240</v>
      </c>
      <c r="R57">
        <v>1949201.07426643</v>
      </c>
      <c r="S57">
        <v>1845627.23610115</v>
      </c>
      <c r="T57">
        <v>1808471.7022619201</v>
      </c>
      <c r="U57">
        <v>1703458.33520889</v>
      </c>
      <c r="W57">
        <v>49951350.347838394</v>
      </c>
    </row>
    <row r="58" spans="1:23">
      <c r="A58" t="s">
        <v>47</v>
      </c>
      <c r="B58">
        <v>150288.87599563599</v>
      </c>
      <c r="C58">
        <v>119876.16891861</v>
      </c>
      <c r="D58">
        <v>123037.595844269</v>
      </c>
      <c r="E58">
        <v>113165.26171875</v>
      </c>
      <c r="F58">
        <v>92317.475292205796</v>
      </c>
      <c r="G58">
        <v>86469.356552123994</v>
      </c>
      <c r="H58">
        <v>41676.441650390603</v>
      </c>
      <c r="I58">
        <v>107571.023162842</v>
      </c>
      <c r="J58">
        <v>90604.162605285601</v>
      </c>
      <c r="K58">
        <v>108081.164726257</v>
      </c>
      <c r="L58">
        <v>89811.690662384004</v>
      </c>
      <c r="M58">
        <v>101431.45223999</v>
      </c>
      <c r="N58">
        <v>101310.69329071</v>
      </c>
      <c r="W58">
        <v>1325641.3626594541</v>
      </c>
    </row>
    <row r="59" spans="1:23">
      <c r="A59" t="s">
        <v>50</v>
      </c>
      <c r="B59">
        <v>556408</v>
      </c>
      <c r="C59">
        <v>574825</v>
      </c>
      <c r="D59">
        <v>504550</v>
      </c>
      <c r="E59">
        <v>1060448</v>
      </c>
      <c r="F59">
        <v>548292</v>
      </c>
      <c r="G59">
        <v>390756</v>
      </c>
      <c r="H59">
        <v>397981</v>
      </c>
      <c r="I59">
        <v>395493</v>
      </c>
      <c r="J59">
        <v>326741</v>
      </c>
      <c r="K59">
        <v>294499</v>
      </c>
      <c r="L59">
        <v>294384</v>
      </c>
      <c r="M59">
        <v>264227</v>
      </c>
      <c r="N59">
        <v>282065</v>
      </c>
      <c r="O59">
        <v>263764</v>
      </c>
      <c r="P59">
        <v>232779</v>
      </c>
      <c r="Q59">
        <v>239319</v>
      </c>
      <c r="R59">
        <v>254339</v>
      </c>
      <c r="S59">
        <v>346426.73877048498</v>
      </c>
      <c r="T59">
        <v>324045</v>
      </c>
      <c r="U59">
        <v>307307</v>
      </c>
      <c r="W59">
        <v>7858648.7387704849</v>
      </c>
    </row>
    <row r="60" spans="1:23">
      <c r="A60" t="s">
        <v>51</v>
      </c>
      <c r="B60">
        <v>13389919</v>
      </c>
      <c r="C60">
        <v>5522556</v>
      </c>
      <c r="D60">
        <v>10603344</v>
      </c>
      <c r="E60">
        <v>7523648</v>
      </c>
      <c r="F60">
        <v>6063827</v>
      </c>
      <c r="G60">
        <v>5527091</v>
      </c>
      <c r="H60">
        <v>5421147</v>
      </c>
      <c r="I60">
        <v>5571868</v>
      </c>
      <c r="J60">
        <v>5689519</v>
      </c>
      <c r="K60">
        <v>5258600</v>
      </c>
      <c r="L60">
        <v>4523741</v>
      </c>
      <c r="M60">
        <v>4778219</v>
      </c>
      <c r="N60">
        <v>6326802</v>
      </c>
      <c r="O60">
        <v>11023707</v>
      </c>
      <c r="P60">
        <v>17273565</v>
      </c>
      <c r="Q60">
        <v>23786312</v>
      </c>
      <c r="S60">
        <v>27735957</v>
      </c>
      <c r="T60">
        <v>23940740.674949601</v>
      </c>
      <c r="W60">
        <v>189960562.67494959</v>
      </c>
    </row>
    <row r="61" spans="1:23">
      <c r="A61" t="s">
        <v>53</v>
      </c>
      <c r="B61">
        <v>165859760.96683028</v>
      </c>
      <c r="C61">
        <v>197443231.24644664</v>
      </c>
      <c r="D61">
        <v>197324858.79511544</v>
      </c>
      <c r="E61">
        <v>187755151.69232267</v>
      </c>
      <c r="F61">
        <v>134984441.18560213</v>
      </c>
      <c r="G61">
        <v>165150217.15975612</v>
      </c>
      <c r="H61">
        <v>117896194.39286137</v>
      </c>
      <c r="I61">
        <v>115028866.45970726</v>
      </c>
      <c r="J61">
        <v>117782790.60807228</v>
      </c>
      <c r="K61">
        <v>155416309.88921833</v>
      </c>
      <c r="L61">
        <v>103658152.85736345</v>
      </c>
      <c r="M61">
        <v>146173806.757653</v>
      </c>
      <c r="N61">
        <v>105069798.48628762</v>
      </c>
      <c r="O61">
        <v>145977157.86868098</v>
      </c>
      <c r="P61">
        <v>116170584.14592196</v>
      </c>
      <c r="Q61">
        <v>157126114.90488601</v>
      </c>
      <c r="R61">
        <v>97861092.26515004</v>
      </c>
      <c r="S61">
        <v>159076483.07582992</v>
      </c>
      <c r="T61">
        <v>128875759.71338086</v>
      </c>
      <c r="U61">
        <v>156307177.00379199</v>
      </c>
      <c r="V61">
        <v>10851155.43604088</v>
      </c>
      <c r="W61">
        <v>2881789104.9109197</v>
      </c>
    </row>
    <row r="64" spans="1:23">
      <c r="B64">
        <v>2003</v>
      </c>
      <c r="C64">
        <v>2004</v>
      </c>
      <c r="D64">
        <v>2005</v>
      </c>
      <c r="E64">
        <v>2006</v>
      </c>
      <c r="F64">
        <v>2007</v>
      </c>
      <c r="G64">
        <v>2008</v>
      </c>
      <c r="H64">
        <v>2009</v>
      </c>
      <c r="I64">
        <v>2010</v>
      </c>
      <c r="J64">
        <v>2011</v>
      </c>
      <c r="K64">
        <v>2012</v>
      </c>
      <c r="L64">
        <v>2013</v>
      </c>
      <c r="M64">
        <v>2014</v>
      </c>
      <c r="N64">
        <v>2015</v>
      </c>
      <c r="O64">
        <v>2016</v>
      </c>
      <c r="P64">
        <v>2017</v>
      </c>
      <c r="Q64">
        <v>2018</v>
      </c>
      <c r="R64">
        <v>2019</v>
      </c>
      <c r="S64">
        <v>2020</v>
      </c>
      <c r="T64">
        <v>2021</v>
      </c>
      <c r="U64">
        <v>2022</v>
      </c>
      <c r="V64">
        <v>2023</v>
      </c>
    </row>
    <row r="65" spans="1:23">
      <c r="A65" t="s">
        <v>10</v>
      </c>
      <c r="B65" s="35">
        <f>IF(B37&gt;0,B37/B$61,"")</f>
        <v>8.3083599781359027E-2</v>
      </c>
      <c r="C65" s="35">
        <f t="shared" ref="C65:V65" si="0">IF(C37&gt;0,C37/C$61,"")</f>
        <v>6.2948503838485867E-2</v>
      </c>
      <c r="D65" s="35">
        <f t="shared" si="0"/>
        <v>5.6629083979745427E-2</v>
      </c>
      <c r="E65" s="35">
        <f t="shared" si="0"/>
        <v>5.4010565934392185E-2</v>
      </c>
      <c r="F65" s="35">
        <f t="shared" si="0"/>
        <v>5.7630064114602197E-2</v>
      </c>
      <c r="G65" s="35">
        <f t="shared" si="0"/>
        <v>3.9979517517757954E-2</v>
      </c>
      <c r="H65" s="35">
        <f t="shared" si="0"/>
        <v>4.7307786555133395E-2</v>
      </c>
      <c r="I65" s="35">
        <f t="shared" si="0"/>
        <v>3.8815969742377679E-2</v>
      </c>
      <c r="J65" s="35">
        <f t="shared" si="0"/>
        <v>2.5345213715758288E-2</v>
      </c>
      <c r="K65" s="35">
        <f t="shared" si="0"/>
        <v>1.4608273749507558E-2</v>
      </c>
      <c r="L65" s="35">
        <f t="shared" si="0"/>
        <v>1.6106605741830947E-2</v>
      </c>
      <c r="M65" s="35">
        <f t="shared" si="0"/>
        <v>1.4297287909214165E-2</v>
      </c>
      <c r="N65" s="35">
        <f t="shared" si="0"/>
        <v>2.3415491753523084E-2</v>
      </c>
      <c r="O65" s="35">
        <f t="shared" si="0"/>
        <v>1.4641153665443067E-2</v>
      </c>
      <c r="P65" s="35">
        <f t="shared" si="0"/>
        <v>1.6604091424530485E-2</v>
      </c>
      <c r="Q65" s="35">
        <f t="shared" si="0"/>
        <v>1.3860083037872398E-2</v>
      </c>
      <c r="R65" s="35">
        <f t="shared" si="0"/>
        <v>2.7608684283632931E-2</v>
      </c>
      <c r="S65" s="35">
        <f t="shared" si="0"/>
        <v>1.9837275372097212E-2</v>
      </c>
      <c r="T65" s="35">
        <f t="shared" si="0"/>
        <v>2.1377317240473679E-2</v>
      </c>
      <c r="U65" s="35">
        <f t="shared" si="0"/>
        <v>1.6786458883691222E-2</v>
      </c>
      <c r="V65" s="35" t="str">
        <f t="shared" si="0"/>
        <v/>
      </c>
      <c r="W65" s="35"/>
    </row>
    <row r="66" spans="1:23">
      <c r="A66" t="s">
        <v>15</v>
      </c>
      <c r="B66" s="35">
        <f t="shared" ref="B66:B67" si="1">IF(B40&gt;0,B40/B$61,"")</f>
        <v>2.5224755996342586E-2</v>
      </c>
      <c r="C66" s="35" t="str">
        <f t="shared" ref="C66:V66" si="2">IF(C40&gt;0,C40/C$61,"")</f>
        <v/>
      </c>
      <c r="D66" s="35">
        <f t="shared" si="2"/>
        <v>2.4760585310100548E-2</v>
      </c>
      <c r="E66" s="35">
        <f t="shared" si="2"/>
        <v>2.4149979157058771E-2</v>
      </c>
      <c r="F66" s="35">
        <f t="shared" si="2"/>
        <v>3.3569839310364419E-2</v>
      </c>
      <c r="G66" s="35">
        <f t="shared" si="2"/>
        <v>2.3570250569119797E-2</v>
      </c>
      <c r="H66" s="35">
        <f t="shared" si="2"/>
        <v>3.0693645529741635E-2</v>
      </c>
      <c r="I66" s="35" t="str">
        <f t="shared" si="2"/>
        <v/>
      </c>
      <c r="J66" s="35">
        <f t="shared" si="2"/>
        <v>2.5549742746490463E-2</v>
      </c>
      <c r="K66" s="35">
        <f t="shared" si="2"/>
        <v>1.9783457747720588E-2</v>
      </c>
      <c r="L66" s="35">
        <f t="shared" si="2"/>
        <v>2.7121378516830219E-2</v>
      </c>
      <c r="M66" s="35">
        <f t="shared" si="2"/>
        <v>1.968616035820208E-2</v>
      </c>
      <c r="N66" s="35">
        <f t="shared" si="2"/>
        <v>2.878093461266755E-2</v>
      </c>
      <c r="O66" s="35">
        <f t="shared" si="2"/>
        <v>2.0389957192327234E-2</v>
      </c>
      <c r="P66" s="35">
        <f t="shared" si="2"/>
        <v>2.6231330610959766E-2</v>
      </c>
      <c r="Q66" s="35">
        <f t="shared" si="2"/>
        <v>1.8623204355402521E-2</v>
      </c>
      <c r="R66" s="35">
        <f t="shared" si="2"/>
        <v>2.5451615462417827E-2</v>
      </c>
      <c r="S66" s="35">
        <f t="shared" si="2"/>
        <v>1.9184515065651594E-2</v>
      </c>
      <c r="T66" s="35">
        <f t="shared" si="2"/>
        <v>2.200699199233444E-2</v>
      </c>
      <c r="U66" s="35" t="str">
        <f t="shared" si="2"/>
        <v/>
      </c>
      <c r="V66" s="35" t="str">
        <f t="shared" si="2"/>
        <v/>
      </c>
      <c r="W66" s="35"/>
    </row>
    <row r="67" spans="1:23" s="64" customFormat="1">
      <c r="A67" s="64" t="s">
        <v>17</v>
      </c>
      <c r="B67" s="65">
        <f t="shared" si="1"/>
        <v>0.44193531072710801</v>
      </c>
      <c r="C67" s="65">
        <f t="shared" ref="C67:V67" si="3">IF(C41&gt;0,C41/C$61,"")</f>
        <v>0.36282839147107637</v>
      </c>
      <c r="D67" s="65">
        <f t="shared" si="3"/>
        <v>0.34348274927881395</v>
      </c>
      <c r="E67" s="65">
        <f t="shared" si="3"/>
        <v>0.34690181021894845</v>
      </c>
      <c r="F67" s="65">
        <f t="shared" si="3"/>
        <v>0.46253755211796627</v>
      </c>
      <c r="G67" s="65">
        <f t="shared" si="3"/>
        <v>0.34339405648580346</v>
      </c>
      <c r="H67" s="65">
        <f t="shared" si="3"/>
        <v>0.43977107375689273</v>
      </c>
      <c r="I67" s="65" t="str">
        <f t="shared" si="3"/>
        <v/>
      </c>
      <c r="J67" s="65">
        <f t="shared" si="3"/>
        <v>0.40199378666067193</v>
      </c>
      <c r="K67" s="65">
        <f t="shared" si="3"/>
        <v>0.27426849235053852</v>
      </c>
      <c r="L67" s="65">
        <f t="shared" si="3"/>
        <v>0.39345396262386534</v>
      </c>
      <c r="M67" s="65">
        <f t="shared" si="3"/>
        <v>0.26073984009453566</v>
      </c>
      <c r="N67" s="65">
        <f t="shared" si="3"/>
        <v>0.40715322210866367</v>
      </c>
      <c r="O67" s="65">
        <f t="shared" si="3"/>
        <v>0.30315503932031218</v>
      </c>
      <c r="P67" s="65">
        <f t="shared" si="3"/>
        <v>0.37842222419926275</v>
      </c>
      <c r="Q67" s="65">
        <f t="shared" si="3"/>
        <v>0.29071373893196967</v>
      </c>
      <c r="R67" s="65">
        <f t="shared" si="3"/>
        <v>0.45959621869394468</v>
      </c>
      <c r="S67" s="65">
        <f t="shared" si="3"/>
        <v>0.25923031495037696</v>
      </c>
      <c r="T67" s="65">
        <f t="shared" si="3"/>
        <v>0.40088110406602606</v>
      </c>
      <c r="U67" s="65">
        <f t="shared" si="3"/>
        <v>0.53394374577478099</v>
      </c>
      <c r="V67" s="65" t="str">
        <f t="shared" si="3"/>
        <v/>
      </c>
      <c r="W67" s="65"/>
    </row>
    <row r="68" spans="1:23" s="64" customFormat="1">
      <c r="A68" s="64" t="s">
        <v>23</v>
      </c>
      <c r="B68" s="65">
        <f t="shared" ref="B68:V68" si="4">IF(B44&gt;0,B44/B$61,"")</f>
        <v>0.13080270538649508</v>
      </c>
      <c r="C68" s="65">
        <f t="shared" si="4"/>
        <v>0.11359283476736727</v>
      </c>
      <c r="D68" s="65">
        <f t="shared" si="4"/>
        <v>0.10486162177552261</v>
      </c>
      <c r="E68" s="65">
        <f t="shared" si="4"/>
        <v>0.10950302196603158</v>
      </c>
      <c r="F68" s="65">
        <f t="shared" si="4"/>
        <v>0.16082232003428482</v>
      </c>
      <c r="G68" s="65">
        <f t="shared" si="4"/>
        <v>0.11184765189943198</v>
      </c>
      <c r="H68" s="65">
        <f t="shared" si="4"/>
        <v>0.15830344733442958</v>
      </c>
      <c r="I68" s="65">
        <f t="shared" si="4"/>
        <v>0.15262640187930337</v>
      </c>
      <c r="J68" s="65">
        <f t="shared" si="4"/>
        <v>0.13792886818294317</v>
      </c>
      <c r="K68" s="65">
        <f t="shared" si="4"/>
        <v>0.10541995979413035</v>
      </c>
      <c r="L68" s="65">
        <f t="shared" si="4"/>
        <v>0.14580202860175406</v>
      </c>
      <c r="M68" s="65">
        <f t="shared" si="4"/>
        <v>9.9804025060816856E-2</v>
      </c>
      <c r="N68" s="65">
        <f t="shared" si="4"/>
        <v>0.13934736171749376</v>
      </c>
      <c r="O68" s="65">
        <f t="shared" si="4"/>
        <v>0.10072027999070229</v>
      </c>
      <c r="P68" s="65">
        <f t="shared" si="4"/>
        <v>0.12273239749320661</v>
      </c>
      <c r="Q68" s="65">
        <f t="shared" si="4"/>
        <v>9.5099719173670869E-2</v>
      </c>
      <c r="R68" s="65">
        <f t="shared" si="4"/>
        <v>0.15650250943244484</v>
      </c>
      <c r="S68" s="65">
        <f t="shared" si="4"/>
        <v>0.10767131772395604</v>
      </c>
      <c r="T68" s="65">
        <f t="shared" si="4"/>
        <v>0.12840957233911979</v>
      </c>
      <c r="U68" s="65">
        <f t="shared" si="4"/>
        <v>7.852113877493834E-2</v>
      </c>
      <c r="V68" s="65" t="str">
        <f t="shared" si="4"/>
        <v/>
      </c>
      <c r="W68" s="65"/>
    </row>
    <row r="69" spans="1:23">
      <c r="A69" t="s">
        <v>25</v>
      </c>
      <c r="B69" s="35">
        <f t="shared" ref="B69:V69" si="5">IF(B45&gt;0,B45/B$61,"")</f>
        <v>5.6256019818248723E-3</v>
      </c>
      <c r="C69" s="35">
        <f t="shared" si="5"/>
        <v>5.124207062520955E-3</v>
      </c>
      <c r="D69" s="35">
        <f t="shared" si="5"/>
        <v>4.8926070739136809E-3</v>
      </c>
      <c r="E69" s="35">
        <f t="shared" si="5"/>
        <v>5.1256862532169422E-3</v>
      </c>
      <c r="F69" s="35">
        <f t="shared" si="5"/>
        <v>6.0403998626692755E-3</v>
      </c>
      <c r="G69" s="35">
        <f t="shared" si="5"/>
        <v>4.5380261248764969E-3</v>
      </c>
      <c r="H69" s="35">
        <f t="shared" si="5"/>
        <v>6.6595364171274729E-3</v>
      </c>
      <c r="I69" s="35">
        <f t="shared" si="5"/>
        <v>7.2762170554221597E-3</v>
      </c>
      <c r="J69" s="35">
        <f t="shared" si="5"/>
        <v>7.6101610037635553E-3</v>
      </c>
      <c r="K69" s="35">
        <f t="shared" si="5"/>
        <v>5.2636110108592307E-3</v>
      </c>
      <c r="L69" s="35">
        <f t="shared" si="5"/>
        <v>7.8308071060938095E-3</v>
      </c>
      <c r="M69" s="35">
        <f t="shared" si="5"/>
        <v>5.4072067871258241E-3</v>
      </c>
      <c r="N69" s="35">
        <f t="shared" si="5"/>
        <v>7.1560620733285849E-3</v>
      </c>
      <c r="O69" s="35">
        <f t="shared" si="5"/>
        <v>5.0329518037398853E-3</v>
      </c>
      <c r="P69" s="35">
        <f t="shared" si="5"/>
        <v>6.1727416219174852E-3</v>
      </c>
      <c r="Q69" s="35">
        <f t="shared" si="5"/>
        <v>4.8239912280579776E-3</v>
      </c>
      <c r="R69" s="35">
        <f t="shared" si="5"/>
        <v>7.8900815648771279E-3</v>
      </c>
      <c r="S69" s="35">
        <f t="shared" si="5"/>
        <v>7.3833603640842396E-3</v>
      </c>
      <c r="T69" s="35">
        <f t="shared" si="5"/>
        <v>6.9030126532602836E-3</v>
      </c>
      <c r="U69" s="35">
        <f t="shared" si="5"/>
        <v>5.3332483893543566E-3</v>
      </c>
      <c r="V69" s="35" t="str">
        <f t="shared" si="5"/>
        <v/>
      </c>
      <c r="W69" s="35"/>
    </row>
    <row r="70" spans="1:23">
      <c r="A70" t="s">
        <v>27</v>
      </c>
      <c r="B70" s="35">
        <f t="shared" ref="B70:V70" si="6">IF(B46&gt;0,B46/B$61,"")</f>
        <v>2.2445980738779233E-2</v>
      </c>
      <c r="C70" s="35">
        <f t="shared" si="6"/>
        <v>2.2975859802140682E-2</v>
      </c>
      <c r="D70" s="35">
        <f t="shared" si="6"/>
        <v>1.9444600256797336E-2</v>
      </c>
      <c r="E70" s="35">
        <f t="shared" si="6"/>
        <v>1.9605486011015898E-2</v>
      </c>
      <c r="F70" s="35">
        <f t="shared" si="6"/>
        <v>2.6347355063757866E-2</v>
      </c>
      <c r="G70" s="35">
        <f t="shared" si="6"/>
        <v>2.2496839930921751E-2</v>
      </c>
      <c r="H70" s="35">
        <f t="shared" si="6"/>
        <v>3.0880258847612495E-2</v>
      </c>
      <c r="I70" s="35">
        <f t="shared" si="6"/>
        <v>3.199601207310173E-2</v>
      </c>
      <c r="J70" s="35">
        <f t="shared" si="6"/>
        <v>3.0600293823849899E-2</v>
      </c>
      <c r="K70" s="35">
        <f t="shared" si="6"/>
        <v>2.3912593232004266E-2</v>
      </c>
      <c r="L70" s="35">
        <f t="shared" si="6"/>
        <v>3.5668762157933388E-2</v>
      </c>
      <c r="M70" s="35">
        <f t="shared" si="6"/>
        <v>2.2263564671306045E-2</v>
      </c>
      <c r="N70" s="35">
        <f t="shared" si="6"/>
        <v>2.8034802030998698E-2</v>
      </c>
      <c r="O70" s="35">
        <f t="shared" si="6"/>
        <v>1.9162182911633057E-2</v>
      </c>
      <c r="P70" s="35">
        <f t="shared" si="6"/>
        <v>1.771261758635026E-2</v>
      </c>
      <c r="Q70" s="35">
        <f t="shared" si="6"/>
        <v>1.1899894559652013E-2</v>
      </c>
      <c r="R70" s="35">
        <f t="shared" si="6"/>
        <v>1.6981601431197067E-2</v>
      </c>
      <c r="S70" s="35">
        <f t="shared" si="6"/>
        <v>1.5592436939097383E-2</v>
      </c>
      <c r="T70" s="35">
        <f t="shared" si="6"/>
        <v>1.6302831008423564E-2</v>
      </c>
      <c r="U70" s="35" t="str">
        <f t="shared" si="6"/>
        <v/>
      </c>
      <c r="V70" s="35" t="str">
        <f t="shared" si="6"/>
        <v/>
      </c>
      <c r="W70" s="35"/>
    </row>
    <row r="71" spans="1:23">
      <c r="A71" t="s">
        <v>29</v>
      </c>
      <c r="B71" s="35">
        <f t="shared" ref="B71:V71" si="7">IF(B47&gt;0,B47/B$61,"")</f>
        <v>4.2451452086528403E-2</v>
      </c>
      <c r="C71" s="35">
        <f t="shared" si="7"/>
        <v>3.2761877431659009E-2</v>
      </c>
      <c r="D71" s="35">
        <f t="shared" si="7"/>
        <v>3.1598881431406836E-2</v>
      </c>
      <c r="E71" s="35">
        <f t="shared" si="7"/>
        <v>3.0788715029014917E-2</v>
      </c>
      <c r="F71" s="35">
        <f t="shared" si="7"/>
        <v>4.275263224101495E-2</v>
      </c>
      <c r="G71" s="35">
        <f t="shared" si="7"/>
        <v>3.3484261765803089E-2</v>
      </c>
      <c r="H71" s="35">
        <f t="shared" si="7"/>
        <v>4.936446029765007E-2</v>
      </c>
      <c r="I71" s="35">
        <f t="shared" si="7"/>
        <v>4.6964095396105833E-2</v>
      </c>
      <c r="J71" s="35">
        <f t="shared" si="7"/>
        <v>4.1747359549711871E-2</v>
      </c>
      <c r="K71" s="35">
        <f t="shared" si="7"/>
        <v>3.0000640836611362E-2</v>
      </c>
      <c r="L71" s="35">
        <f t="shared" si="7"/>
        <v>4.6769050453273425E-2</v>
      </c>
      <c r="M71" s="35">
        <f t="shared" si="7"/>
        <v>3.0362277084264602E-2</v>
      </c>
      <c r="N71" s="35">
        <f t="shared" si="7"/>
        <v>4.3267716266091945E-2</v>
      </c>
      <c r="O71" s="35">
        <f t="shared" si="7"/>
        <v>3.2224305328509027E-2</v>
      </c>
      <c r="P71" s="35">
        <f t="shared" si="7"/>
        <v>3.9163107559118004E-2</v>
      </c>
      <c r="Q71" s="35">
        <f t="shared" si="7"/>
        <v>3.0480458490669538E-2</v>
      </c>
      <c r="R71" s="35">
        <f t="shared" si="7"/>
        <v>5.3586744124044752E-2</v>
      </c>
      <c r="S71" s="35">
        <f t="shared" si="7"/>
        <v>4.1477210650390395E-2</v>
      </c>
      <c r="T71" s="35">
        <f t="shared" si="7"/>
        <v>4.4304180747392265E-2</v>
      </c>
      <c r="U71" s="35">
        <f t="shared" si="7"/>
        <v>3.5477036122130406E-2</v>
      </c>
      <c r="V71" s="35">
        <f t="shared" si="7"/>
        <v>0.52798274641931198</v>
      </c>
      <c r="W71" s="35"/>
    </row>
    <row r="72" spans="1:23">
      <c r="A72" t="s">
        <v>34</v>
      </c>
      <c r="B72" s="35">
        <f t="shared" ref="B72:L72" si="8">IF(B50&gt;0,B50/B$61,"")</f>
        <v>2.4775897825824608E-2</v>
      </c>
      <c r="C72" s="35">
        <f t="shared" si="8"/>
        <v>2.177413692477519E-2</v>
      </c>
      <c r="D72" s="35">
        <f t="shared" si="8"/>
        <v>2.1778702229429743E-2</v>
      </c>
      <c r="E72" s="35">
        <f t="shared" si="8"/>
        <v>2.2266240309516606E-2</v>
      </c>
      <c r="F72" s="35">
        <f t="shared" si="8"/>
        <v>2.9457903225801933E-2</v>
      </c>
      <c r="G72" s="35">
        <f t="shared" si="8"/>
        <v>2.3761645942472251E-2</v>
      </c>
      <c r="H72" s="35">
        <f t="shared" si="8"/>
        <v>3.340756054351407E-2</v>
      </c>
      <c r="I72" s="35">
        <f t="shared" si="8"/>
        <v>3.7029301431347771E-2</v>
      </c>
      <c r="J72" s="35">
        <f t="shared" si="8"/>
        <v>3.8511560055373942E-2</v>
      </c>
      <c r="K72" s="35">
        <f t="shared" si="8"/>
        <v>3.2215784237609284E-2</v>
      </c>
      <c r="L72" s="35">
        <f t="shared" si="8"/>
        <v>4.7903884210879627E-2</v>
      </c>
      <c r="M72" s="35">
        <f t="shared" ref="C72:V74" si="9">IF(M50&gt;0,M50/M$61,"")</f>
        <v>3.0734592893453518E-2</v>
      </c>
      <c r="N72" s="35">
        <f t="shared" si="9"/>
        <v>4.3786460888465266E-2</v>
      </c>
      <c r="O72" s="35">
        <f t="shared" si="9"/>
        <v>3.0903742424702289E-2</v>
      </c>
      <c r="P72" s="35">
        <f t="shared" si="9"/>
        <v>4.1823266654121727E-2</v>
      </c>
      <c r="Q72" s="35">
        <f t="shared" si="9"/>
        <v>3.0839816050086379E-2</v>
      </c>
      <c r="R72" s="35">
        <f t="shared" si="9"/>
        <v>4.9948945231870448E-2</v>
      </c>
      <c r="S72" s="35" t="str">
        <f t="shared" si="9"/>
        <v/>
      </c>
      <c r="T72" s="35" t="str">
        <f t="shared" si="9"/>
        <v/>
      </c>
      <c r="U72" s="35" t="str">
        <f t="shared" si="9"/>
        <v/>
      </c>
      <c r="V72" s="35">
        <f t="shared" si="9"/>
        <v>0.47201725358068808</v>
      </c>
      <c r="W72" s="35"/>
    </row>
    <row r="73" spans="1:23">
      <c r="A73" t="s">
        <v>37</v>
      </c>
      <c r="B73" s="35">
        <f>IF(B51&gt;0,B51/B$61,"")</f>
        <v>1.3107865393549278E-6</v>
      </c>
      <c r="C73" s="35">
        <f t="shared" si="9"/>
        <v>2.5898710731916759E-3</v>
      </c>
      <c r="D73" s="35">
        <f t="shared" si="9"/>
        <v>3.5877523844364285E-3</v>
      </c>
      <c r="E73" s="35">
        <f t="shared" si="9"/>
        <v>3.6200817275490482E-3</v>
      </c>
      <c r="F73" s="35">
        <f t="shared" si="9"/>
        <v>3.5178199723101726E-3</v>
      </c>
      <c r="G73" s="35">
        <f t="shared" si="9"/>
        <v>5.8087085204604986E-3</v>
      </c>
      <c r="H73" s="35">
        <f t="shared" si="9"/>
        <v>4.9120954109842128E-3</v>
      </c>
      <c r="I73" s="35">
        <f t="shared" si="9"/>
        <v>7.5206097056768175E-3</v>
      </c>
      <c r="J73" s="35" t="str">
        <f t="shared" si="9"/>
        <v/>
      </c>
      <c r="K73" s="35">
        <f t="shared" si="9"/>
        <v>5.6963084000906826E-3</v>
      </c>
      <c r="L73" s="35">
        <f t="shared" si="9"/>
        <v>8.1417989229019567E-3</v>
      </c>
      <c r="M73" s="35">
        <f t="shared" si="9"/>
        <v>6.0508156872926292E-3</v>
      </c>
      <c r="N73" s="35" t="str">
        <f t="shared" si="9"/>
        <v/>
      </c>
      <c r="O73" s="35">
        <f t="shared" si="9"/>
        <v>5.4439514045522752E-3</v>
      </c>
      <c r="P73" s="35" t="str">
        <f t="shared" si="9"/>
        <v/>
      </c>
      <c r="Q73" s="35" t="str">
        <f t="shared" si="9"/>
        <v/>
      </c>
      <c r="R73" s="35" t="str">
        <f t="shared" si="9"/>
        <v/>
      </c>
      <c r="S73" s="35" t="str">
        <f t="shared" si="9"/>
        <v/>
      </c>
      <c r="T73" s="35" t="str">
        <f t="shared" si="9"/>
        <v/>
      </c>
      <c r="U73" s="35" t="str">
        <f t="shared" si="9"/>
        <v/>
      </c>
      <c r="V73" s="35" t="str">
        <f t="shared" si="9"/>
        <v/>
      </c>
      <c r="W73" s="35"/>
    </row>
    <row r="74" spans="1:23" s="64" customFormat="1">
      <c r="A74" s="64" t="s">
        <v>38</v>
      </c>
      <c r="B74" s="65" t="str">
        <f>IF(B52&gt;0,B52/B$61,"")</f>
        <v/>
      </c>
      <c r="C74" s="65">
        <f t="shared" si="9"/>
        <v>0.21294703158256117</v>
      </c>
      <c r="D74" s="65">
        <f t="shared" si="9"/>
        <v>0.20863705288519432</v>
      </c>
      <c r="E74" s="65">
        <f t="shared" si="9"/>
        <v>0.19504229135619186</v>
      </c>
      <c r="F74" s="65" t="str">
        <f t="shared" si="9"/>
        <v/>
      </c>
      <c r="G74" s="65">
        <f t="shared" si="9"/>
        <v>0.25427269017380932</v>
      </c>
      <c r="H74" s="65" t="str">
        <f t="shared" si="9"/>
        <v/>
      </c>
      <c r="I74" s="65">
        <f t="shared" si="9"/>
        <v>0.39940327514305335</v>
      </c>
      <c r="J74" s="65" t="str">
        <f t="shared" si="9"/>
        <v/>
      </c>
      <c r="K74" s="65">
        <f t="shared" si="9"/>
        <v>0.28813375527909485</v>
      </c>
      <c r="L74" s="65" t="str">
        <f t="shared" si="9"/>
        <v/>
      </c>
      <c r="M74" s="65">
        <f t="shared" si="9"/>
        <v>0.30902909352899505</v>
      </c>
      <c r="N74" s="65" t="str">
        <f t="shared" si="9"/>
        <v/>
      </c>
      <c r="O74" s="65">
        <f t="shared" si="9"/>
        <v>0.24301674671535062</v>
      </c>
      <c r="P74" s="65" t="str">
        <f t="shared" si="9"/>
        <v/>
      </c>
      <c r="Q74" s="65">
        <f t="shared" si="9"/>
        <v>0.2135902744131071</v>
      </c>
      <c r="R74" s="65" t="str">
        <f t="shared" si="9"/>
        <v/>
      </c>
      <c r="S74" s="65">
        <f t="shared" si="9"/>
        <v>0.24280233164061288</v>
      </c>
      <c r="T74" s="65" t="str">
        <f t="shared" si="9"/>
        <v/>
      </c>
      <c r="U74" s="65">
        <f t="shared" si="9"/>
        <v>0.18787210263088297</v>
      </c>
      <c r="V74" s="65" t="str">
        <f t="shared" si="9"/>
        <v/>
      </c>
      <c r="W74" s="65"/>
    </row>
    <row r="75" spans="1:23">
      <c r="A75" t="s">
        <v>42</v>
      </c>
      <c r="B75" s="35">
        <f t="shared" ref="B75:V75" si="10">IF(B54&gt;0,B54/B$61,"")</f>
        <v>6.4724017069739282E-3</v>
      </c>
      <c r="C75" s="35">
        <f t="shared" si="10"/>
        <v>5.4355167975367828E-3</v>
      </c>
      <c r="D75" s="35">
        <f t="shared" si="10"/>
        <v>5.6131853166562001E-3</v>
      </c>
      <c r="E75" s="35">
        <f t="shared" si="10"/>
        <v>5.8679082308506899E-3</v>
      </c>
      <c r="F75" s="35">
        <f t="shared" si="10"/>
        <v>7.5084209046464923E-3</v>
      </c>
      <c r="G75" s="35">
        <f t="shared" si="10"/>
        <v>5.8224083294412783E-3</v>
      </c>
      <c r="H75" s="35">
        <f t="shared" si="10"/>
        <v>8.023660177255712E-3</v>
      </c>
      <c r="I75" s="35">
        <f t="shared" si="10"/>
        <v>7.6730218002206176E-3</v>
      </c>
      <c r="J75" s="35">
        <f t="shared" si="10"/>
        <v>7.3886600538768067E-3</v>
      </c>
      <c r="K75" s="35">
        <f t="shared" si="10"/>
        <v>4.98232135708247E-3</v>
      </c>
      <c r="L75" s="35">
        <f t="shared" si="10"/>
        <v>7.8242856701877476E-3</v>
      </c>
      <c r="M75" s="35">
        <f t="shared" si="10"/>
        <v>5.0972333315181372E-3</v>
      </c>
      <c r="N75" s="35">
        <f t="shared" si="10"/>
        <v>7.3542541351770494E-3</v>
      </c>
      <c r="O75" s="35">
        <f t="shared" si="10"/>
        <v>4.7475030348476674E-3</v>
      </c>
      <c r="P75" s="35">
        <f t="shared" si="10"/>
        <v>5.8422793083960324E-3</v>
      </c>
      <c r="Q75" s="35">
        <f t="shared" si="10"/>
        <v>4.249993709856785E-3</v>
      </c>
      <c r="R75" s="35">
        <f t="shared" si="10"/>
        <v>6.9355653435896111E-3</v>
      </c>
      <c r="S75" s="35" t="str">
        <f t="shared" si="10"/>
        <v/>
      </c>
      <c r="T75" s="35" t="str">
        <f t="shared" si="10"/>
        <v/>
      </c>
      <c r="U75" s="35">
        <f t="shared" si="10"/>
        <v>5.0872136215518076E-3</v>
      </c>
      <c r="V75" s="35" t="str">
        <f t="shared" si="10"/>
        <v/>
      </c>
      <c r="W75" s="35"/>
    </row>
    <row r="76" spans="1:23" s="64" customFormat="1">
      <c r="A76" s="64" t="s">
        <v>44</v>
      </c>
      <c r="B76" s="65">
        <f t="shared" ref="B76:V76" si="11">IF(B55&gt;0,B55/B$61,"")</f>
        <v>8.0132397770190739E-2</v>
      </c>
      <c r="C76" s="65">
        <f t="shared" si="11"/>
        <v>6.8437011717481608E-2</v>
      </c>
      <c r="D76" s="65">
        <f t="shared" si="11"/>
        <v>7.3226897326907306E-2</v>
      </c>
      <c r="E76" s="65">
        <f t="shared" si="11"/>
        <v>7.3126927515526172E-2</v>
      </c>
      <c r="F76" s="65">
        <f t="shared" si="11"/>
        <v>8.5059791277523764E-2</v>
      </c>
      <c r="G76" s="65">
        <f t="shared" si="11"/>
        <v>6.4216984792476797E-2</v>
      </c>
      <c r="H76" s="65">
        <f t="shared" si="11"/>
        <v>7.1035772587247636E-2</v>
      </c>
      <c r="I76" s="65">
        <f t="shared" si="11"/>
        <v>6.5227906308722092E-2</v>
      </c>
      <c r="J76" s="65">
        <f t="shared" si="11"/>
        <v>7.4373543126185146E-2</v>
      </c>
      <c r="K76" s="65">
        <f t="shared" si="11"/>
        <v>5.2715711754313846E-2</v>
      </c>
      <c r="L76" s="65">
        <f t="shared" si="11"/>
        <v>7.7929603866975908E-2</v>
      </c>
      <c r="M76" s="65">
        <f t="shared" si="11"/>
        <v>5.3733817141461665E-2</v>
      </c>
      <c r="N76" s="65">
        <f t="shared" si="11"/>
        <v>7.2412029572502715E-2</v>
      </c>
      <c r="O76" s="65">
        <f t="shared" si="11"/>
        <v>5.2652941920328468E-2</v>
      </c>
      <c r="P76" s="65">
        <f t="shared" si="11"/>
        <v>6.6755205524228922E-2</v>
      </c>
      <c r="Q76" s="65">
        <f t="shared" si="11"/>
        <v>4.5558327131838425E-2</v>
      </c>
      <c r="R76" s="65">
        <f t="shared" si="11"/>
        <v>6.9536879557372033E-2</v>
      </c>
      <c r="S76" s="65">
        <f t="shared" si="11"/>
        <v>7.4656005058977445E-2</v>
      </c>
      <c r="T76" s="65">
        <f t="shared" si="11"/>
        <v>6.5896157621721185E-2</v>
      </c>
      <c r="U76" s="65">
        <f t="shared" si="11"/>
        <v>5.0043736544238049E-2</v>
      </c>
      <c r="V76" s="65" t="str">
        <f t="shared" si="11"/>
        <v/>
      </c>
      <c r="W76" s="65"/>
    </row>
    <row r="77" spans="1:23">
      <c r="A77" t="s">
        <v>45</v>
      </c>
      <c r="B77" s="35">
        <f t="shared" ref="B77:V77" si="12">IF(B56&gt;0,B56/B$61,"")</f>
        <v>1.5239377546588323E-2</v>
      </c>
      <c r="C77" s="35">
        <f t="shared" si="12"/>
        <v>1.2442442237655652E-2</v>
      </c>
      <c r="D77" s="35">
        <f t="shared" si="12"/>
        <v>1.0921664980070659E-2</v>
      </c>
      <c r="E77" s="35">
        <f t="shared" si="12"/>
        <v>1.290920104270624E-2</v>
      </c>
      <c r="F77" s="35">
        <f t="shared" si="12"/>
        <v>1.6682078173022703E-2</v>
      </c>
      <c r="G77" s="35">
        <f t="shared" si="12"/>
        <v>1.3307751196439574E-2</v>
      </c>
      <c r="H77" s="35">
        <f t="shared" si="12"/>
        <v>1.7159705709063132E-2</v>
      </c>
      <c r="I77" s="35">
        <f t="shared" si="12"/>
        <v>1.7485654357069971E-2</v>
      </c>
      <c r="J77" s="35">
        <f t="shared" si="12"/>
        <v>1.6720507213598211E-2</v>
      </c>
      <c r="K77" s="35">
        <f t="shared" si="12"/>
        <v>1.2272502167626861E-2</v>
      </c>
      <c r="L77" s="35">
        <f t="shared" si="12"/>
        <v>1.5542868125548996E-2</v>
      </c>
      <c r="M77" s="35">
        <f t="shared" si="12"/>
        <v>1.0482226836579116E-2</v>
      </c>
      <c r="N77" s="35">
        <f t="shared" si="12"/>
        <v>1.5011621062601019E-2</v>
      </c>
      <c r="O77" s="35">
        <f t="shared" si="12"/>
        <v>1.2371099878684861E-2</v>
      </c>
      <c r="P77" s="35">
        <f t="shared" si="12"/>
        <v>1.4917382164690043E-2</v>
      </c>
      <c r="Q77" s="35">
        <f t="shared" si="12"/>
        <v>9.5637443903557728E-3</v>
      </c>
      <c r="R77" s="35" t="str">
        <f t="shared" si="12"/>
        <v/>
      </c>
      <c r="S77" s="35">
        <f t="shared" si="12"/>
        <v>9.7552131527842683E-3</v>
      </c>
      <c r="T77" s="35">
        <f t="shared" si="12"/>
        <v>1.2469885753334126E-2</v>
      </c>
      <c r="U77" s="35">
        <f t="shared" si="12"/>
        <v>1.0632429245137489E-2</v>
      </c>
      <c r="V77" s="35" t="str">
        <f t="shared" si="12"/>
        <v/>
      </c>
      <c r="W77" s="35"/>
    </row>
    <row r="78" spans="1:23">
      <c r="A78" t="s">
        <v>46</v>
      </c>
      <c r="B78" s="35">
        <f t="shared" ref="B78:V78" si="13">IF(B57&gt;0,B57/B$61,"")</f>
        <v>1.7096835202645065E-2</v>
      </c>
      <c r="C78" s="35">
        <f t="shared" si="13"/>
        <v>1.5496099717802117E-2</v>
      </c>
      <c r="D78" s="35">
        <f t="shared" si="13"/>
        <v>1.6609539315079597E-2</v>
      </c>
      <c r="E78" s="35">
        <f t="shared" si="13"/>
        <v>1.690665726819467E-2</v>
      </c>
      <c r="F78" s="35">
        <f t="shared" si="13"/>
        <v>1.8198949289438746E-2</v>
      </c>
      <c r="G78" s="35">
        <f t="shared" si="13"/>
        <v>1.708476712004928E-2</v>
      </c>
      <c r="H78" s="35">
        <f t="shared" si="13"/>
        <v>2.3720748701022819E-2</v>
      </c>
      <c r="I78" s="35">
        <f t="shared" si="13"/>
        <v>2.4198152043643843E-2</v>
      </c>
      <c r="J78" s="35">
        <f t="shared" si="13"/>
        <v>2.379919838482657E-2</v>
      </c>
      <c r="K78" s="35">
        <f t="shared" si="13"/>
        <v>1.7055732451050101E-2</v>
      </c>
      <c r="L78" s="35">
        <f t="shared" si="13"/>
        <v>2.372295793639851E-2</v>
      </c>
      <c r="M78" s="35">
        <f t="shared" si="13"/>
        <v>1.6917216940924559E-2</v>
      </c>
      <c r="N78" s="35">
        <f t="shared" si="13"/>
        <v>2.2805430623460431E-2</v>
      </c>
      <c r="O78" s="35">
        <f t="shared" si="13"/>
        <v>1.610619794444176E-2</v>
      </c>
      <c r="P78" s="35">
        <f t="shared" si="13"/>
        <v>1.9385131068733231E-2</v>
      </c>
      <c r="Q78" s="35">
        <f t="shared" si="13"/>
        <v>1.3073829269205212E-2</v>
      </c>
      <c r="R78" s="35">
        <f t="shared" si="13"/>
        <v>1.9918039224262499E-2</v>
      </c>
      <c r="S78" s="35">
        <f t="shared" si="13"/>
        <v>1.1602137540477059E-2</v>
      </c>
      <c r="T78" s="35">
        <f t="shared" si="13"/>
        <v>1.4032675394379466E-2</v>
      </c>
      <c r="U78" s="35">
        <f t="shared" si="13"/>
        <v>1.0898145356227401E-2</v>
      </c>
      <c r="V78" s="35" t="str">
        <f t="shared" si="13"/>
        <v/>
      </c>
      <c r="W78" s="35"/>
    </row>
    <row r="79" spans="1:23">
      <c r="A79" t="s">
        <v>50</v>
      </c>
      <c r="B79" s="35">
        <f t="shared" ref="B79:V79" si="14">IF(B59&gt;0,B59/B$61,"")</f>
        <v>3.3546895085136055E-3</v>
      </c>
      <c r="C79" s="35">
        <f t="shared" si="14"/>
        <v>2.9113431560614466E-3</v>
      </c>
      <c r="D79" s="35">
        <f t="shared" si="14"/>
        <v>2.5569510252323544E-3</v>
      </c>
      <c r="E79" s="35">
        <f t="shared" si="14"/>
        <v>5.6480367672561808E-3</v>
      </c>
      <c r="F79" s="35">
        <f t="shared" si="14"/>
        <v>4.061890357023477E-3</v>
      </c>
      <c r="G79" s="35">
        <f t="shared" si="14"/>
        <v>2.3660641004304996E-3</v>
      </c>
      <c r="H79" s="35">
        <f t="shared" si="14"/>
        <v>3.375689962254607E-3</v>
      </c>
      <c r="I79" s="35">
        <f t="shared" si="14"/>
        <v>3.4382065317364032E-3</v>
      </c>
      <c r="J79" s="35">
        <f t="shared" si="14"/>
        <v>2.7740979672254999E-3</v>
      </c>
      <c r="K79" s="35">
        <f t="shared" si="14"/>
        <v>1.8949040818812429E-3</v>
      </c>
      <c r="L79" s="35">
        <f t="shared" si="14"/>
        <v>2.839950277766195E-3</v>
      </c>
      <c r="M79" s="35">
        <f t="shared" si="14"/>
        <v>1.807622075807821E-3</v>
      </c>
      <c r="N79" s="35">
        <f t="shared" si="14"/>
        <v>2.6845487862700293E-3</v>
      </c>
      <c r="O79" s="35">
        <f t="shared" si="14"/>
        <v>1.8068854322898821E-3</v>
      </c>
      <c r="P79" s="35">
        <f t="shared" si="14"/>
        <v>2.0037688689557255E-3</v>
      </c>
      <c r="Q79" s="35">
        <f t="shared" si="14"/>
        <v>1.5231013644349844E-3</v>
      </c>
      <c r="R79" s="35">
        <f t="shared" si="14"/>
        <v>2.5989797795315877E-3</v>
      </c>
      <c r="S79" s="35">
        <f t="shared" si="14"/>
        <v>2.1777369732605125E-3</v>
      </c>
      <c r="T79" s="35">
        <f t="shared" si="14"/>
        <v>2.5143983687908006E-3</v>
      </c>
      <c r="U79" s="35">
        <f t="shared" si="14"/>
        <v>1.9660453594689689E-3</v>
      </c>
      <c r="V79" s="35" t="str">
        <f t="shared" si="14"/>
        <v/>
      </c>
      <c r="W79" s="35"/>
    </row>
    <row r="80" spans="1:23" s="64" customFormat="1">
      <c r="A80" s="64" t="s">
        <v>51</v>
      </c>
      <c r="B80" s="65">
        <f t="shared" ref="B80:V80" si="15">IF(B60&gt;0,B60/B$61,"")</f>
        <v>8.073036474879404E-2</v>
      </c>
      <c r="C80" s="65">
        <f t="shared" si="15"/>
        <v>2.7970348566200284E-2</v>
      </c>
      <c r="D80" s="65">
        <f t="shared" si="15"/>
        <v>5.3735469847767982E-2</v>
      </c>
      <c r="E80" s="65">
        <f t="shared" si="15"/>
        <v>4.0071592881398645E-2</v>
      </c>
      <c r="F80" s="65">
        <f t="shared" si="15"/>
        <v>4.4922414366721751E-2</v>
      </c>
      <c r="G80" s="65">
        <f t="shared" si="15"/>
        <v>3.3467052572225403E-2</v>
      </c>
      <c r="H80" s="65">
        <f t="shared" si="15"/>
        <v>4.598237481640248E-2</v>
      </c>
      <c r="I80" s="65">
        <f t="shared" si="15"/>
        <v>4.8438867316420393E-2</v>
      </c>
      <c r="J80" s="65">
        <f t="shared" si="15"/>
        <v>4.8305180838617921E-2</v>
      </c>
      <c r="K80" s="65">
        <f t="shared" si="15"/>
        <v>3.3835573652137033E-2</v>
      </c>
      <c r="L80" s="65">
        <f t="shared" si="15"/>
        <v>4.3640957081540858E-2</v>
      </c>
      <c r="M80" s="65">
        <f t="shared" si="15"/>
        <v>3.2688613001110298E-2</v>
      </c>
      <c r="N80" s="65">
        <f t="shared" si="15"/>
        <v>6.0215229220466182E-2</v>
      </c>
      <c r="O80" s="65">
        <f t="shared" si="15"/>
        <v>7.5516657269877621E-2</v>
      </c>
      <c r="P80" s="65">
        <f t="shared" si="15"/>
        <v>0.1486913845444959</v>
      </c>
      <c r="Q80" s="65">
        <f t="shared" si="15"/>
        <v>0.15138356863465183</v>
      </c>
      <c r="R80" s="65" t="str">
        <f t="shared" si="15"/>
        <v/>
      </c>
      <c r="S80" s="65">
        <f t="shared" si="15"/>
        <v>0.17435611137303425</v>
      </c>
      <c r="T80" s="65">
        <f t="shared" si="15"/>
        <v>0.18576604885351369</v>
      </c>
      <c r="U80" s="65" t="str">
        <f t="shared" si="15"/>
        <v/>
      </c>
      <c r="V80" s="65" t="str">
        <f t="shared" si="15"/>
        <v/>
      </c>
      <c r="W80" s="65"/>
    </row>
    <row r="81" spans="1:23">
      <c r="A81" t="s">
        <v>53</v>
      </c>
      <c r="B81" s="35">
        <f t="shared" ref="B81:V81" si="16">IF(B61&gt;0,B61/B$61,"")</f>
        <v>1</v>
      </c>
      <c r="C81" s="35">
        <f t="shared" si="16"/>
        <v>1</v>
      </c>
      <c r="D81" s="35">
        <f t="shared" si="16"/>
        <v>1</v>
      </c>
      <c r="E81" s="35">
        <f t="shared" si="16"/>
        <v>1</v>
      </c>
      <c r="F81" s="35">
        <f t="shared" si="16"/>
        <v>1</v>
      </c>
      <c r="G81" s="35">
        <f t="shared" si="16"/>
        <v>1</v>
      </c>
      <c r="H81" s="35">
        <f t="shared" si="16"/>
        <v>1</v>
      </c>
      <c r="I81" s="35">
        <f t="shared" si="16"/>
        <v>1</v>
      </c>
      <c r="J81" s="35">
        <f t="shared" si="16"/>
        <v>1</v>
      </c>
      <c r="K81" s="35">
        <f t="shared" si="16"/>
        <v>1</v>
      </c>
      <c r="L81" s="35">
        <f t="shared" si="16"/>
        <v>1</v>
      </c>
      <c r="M81" s="35">
        <f t="shared" si="16"/>
        <v>1</v>
      </c>
      <c r="N81" s="35">
        <f t="shared" si="16"/>
        <v>1</v>
      </c>
      <c r="O81" s="35">
        <f t="shared" si="16"/>
        <v>1</v>
      </c>
      <c r="P81" s="35">
        <f t="shared" si="16"/>
        <v>1</v>
      </c>
      <c r="Q81" s="35">
        <f t="shared" si="16"/>
        <v>1</v>
      </c>
      <c r="R81" s="35">
        <f t="shared" si="16"/>
        <v>1</v>
      </c>
      <c r="S81" s="35">
        <f t="shared" si="16"/>
        <v>1</v>
      </c>
      <c r="T81" s="35">
        <f t="shared" si="16"/>
        <v>1</v>
      </c>
      <c r="U81" s="35">
        <f t="shared" si="16"/>
        <v>1</v>
      </c>
      <c r="V81" s="35">
        <f t="shared" si="16"/>
        <v>1</v>
      </c>
      <c r="W81" s="35"/>
    </row>
    <row r="82" spans="1:23">
      <c r="B82" s="35"/>
    </row>
    <row r="83" spans="1:23">
      <c r="A83" t="s">
        <v>12</v>
      </c>
      <c r="B83" s="35">
        <f t="shared" ref="B83:V83" si="17">IF(B38&gt;0,B38/B$61,"")</f>
        <v>4.0757871739206519E-5</v>
      </c>
      <c r="C83" s="35">
        <f t="shared" si="17"/>
        <v>3.4921403656898102E-5</v>
      </c>
      <c r="D83" s="35">
        <f t="shared" si="17"/>
        <v>4.9333823001492724E-5</v>
      </c>
      <c r="E83" s="35">
        <f t="shared" si="17"/>
        <v>1.9028749894230359E-5</v>
      </c>
      <c r="F83" s="35">
        <f t="shared" si="17"/>
        <v>3.7195106854380194E-5</v>
      </c>
      <c r="G83" s="35">
        <f t="shared" si="17"/>
        <v>3.4239272663754519E-5</v>
      </c>
      <c r="H83" s="35">
        <f t="shared" si="17"/>
        <v>4.6854451846876805E-5</v>
      </c>
      <c r="I83" s="35" t="str">
        <f t="shared" si="17"/>
        <v/>
      </c>
      <c r="J83" s="35">
        <f t="shared" si="17"/>
        <v>6.3707496730637368E-5</v>
      </c>
      <c r="K83" s="35" t="str">
        <f t="shared" si="17"/>
        <v/>
      </c>
      <c r="L83" s="35">
        <f t="shared" si="17"/>
        <v>9.5209583752526612E-5</v>
      </c>
      <c r="M83" s="35">
        <f t="shared" si="17"/>
        <v>7.0008310147175708E-5</v>
      </c>
      <c r="N83" s="35" t="str">
        <f t="shared" si="17"/>
        <v/>
      </c>
      <c r="O83" s="35" t="str">
        <f t="shared" si="17"/>
        <v/>
      </c>
      <c r="P83" s="35" t="str">
        <f t="shared" si="17"/>
        <v/>
      </c>
      <c r="Q83" s="35" t="str">
        <f t="shared" si="17"/>
        <v/>
      </c>
      <c r="R83" s="35" t="str">
        <f t="shared" si="17"/>
        <v/>
      </c>
      <c r="S83" s="35" t="str">
        <f t="shared" si="17"/>
        <v/>
      </c>
      <c r="T83" s="35" t="str">
        <f t="shared" si="17"/>
        <v/>
      </c>
      <c r="U83" s="35" t="str">
        <f t="shared" si="17"/>
        <v/>
      </c>
      <c r="V83" s="35" t="str">
        <f t="shared" si="17"/>
        <v/>
      </c>
      <c r="W83" s="35"/>
    </row>
    <row r="84" spans="1:23">
      <c r="A84" t="s">
        <v>14</v>
      </c>
      <c r="B84" s="35">
        <f t="shared" ref="B84:V84" si="18">IF(B39&gt;0,B39/B$61,"")</f>
        <v>4.1077474429674284E-5</v>
      </c>
      <c r="C84" s="35">
        <f t="shared" si="18"/>
        <v>9.855898089175248E-5</v>
      </c>
      <c r="D84" s="35">
        <f t="shared" si="18"/>
        <v>1.1639244221939829E-4</v>
      </c>
      <c r="E84" s="35" t="str">
        <f t="shared" si="18"/>
        <v/>
      </c>
      <c r="F84" s="35">
        <f t="shared" si="18"/>
        <v>1.4282268858270046E-4</v>
      </c>
      <c r="G84" s="35" t="str">
        <f t="shared" si="18"/>
        <v/>
      </c>
      <c r="H84" s="35" t="str">
        <f t="shared" si="18"/>
        <v/>
      </c>
      <c r="I84" s="35" t="str">
        <f t="shared" si="18"/>
        <v/>
      </c>
      <c r="J84" s="35" t="str">
        <f t="shared" si="18"/>
        <v/>
      </c>
      <c r="K84" s="35" t="str">
        <f t="shared" si="18"/>
        <v/>
      </c>
      <c r="L84" s="35" t="str">
        <f t="shared" si="18"/>
        <v/>
      </c>
      <c r="M84" s="35" t="str">
        <f t="shared" si="18"/>
        <v/>
      </c>
      <c r="N84" s="35" t="str">
        <f t="shared" si="18"/>
        <v/>
      </c>
      <c r="O84" s="35" t="str">
        <f t="shared" si="18"/>
        <v/>
      </c>
      <c r="P84" s="35" t="str">
        <f t="shared" si="18"/>
        <v/>
      </c>
      <c r="Q84" s="35" t="str">
        <f t="shared" si="18"/>
        <v/>
      </c>
      <c r="R84" s="35" t="str">
        <f t="shared" si="18"/>
        <v/>
      </c>
      <c r="S84" s="35" t="str">
        <f t="shared" si="18"/>
        <v/>
      </c>
      <c r="T84" s="35" t="str">
        <f t="shared" si="18"/>
        <v/>
      </c>
      <c r="U84" s="35" t="str">
        <f t="shared" si="18"/>
        <v/>
      </c>
      <c r="V84" s="35" t="str">
        <f t="shared" si="18"/>
        <v/>
      </c>
      <c r="W84" s="35"/>
    </row>
    <row r="85" spans="1:23">
      <c r="A85" t="s">
        <v>19</v>
      </c>
      <c r="B85" s="35" t="str">
        <f t="shared" ref="B85:V85" si="19">IF(B42&gt;0,B42/B$61,"")</f>
        <v/>
      </c>
      <c r="C85" s="35">
        <f t="shared" si="19"/>
        <v>2.7914090071888493E-5</v>
      </c>
      <c r="D85" s="35">
        <f t="shared" si="19"/>
        <v>2.3755653452674893E-5</v>
      </c>
      <c r="E85" s="35">
        <f t="shared" si="19"/>
        <v>2.657424266175632E-5</v>
      </c>
      <c r="F85" s="35">
        <f t="shared" si="19"/>
        <v>2.6639921920587601E-5</v>
      </c>
      <c r="G85" s="35">
        <f t="shared" si="19"/>
        <v>2.3503650384746624E-5</v>
      </c>
      <c r="H85" s="35">
        <f t="shared" si="19"/>
        <v>3.7572125040741459E-5</v>
      </c>
      <c r="I85" s="35">
        <f t="shared" si="19"/>
        <v>3.5496490927875751E-5</v>
      </c>
      <c r="J85" s="35">
        <f t="shared" si="19"/>
        <v>6.2467200410622109E-5</v>
      </c>
      <c r="K85" s="35">
        <f t="shared" si="19"/>
        <v>5.8882810912021312E-5</v>
      </c>
      <c r="L85" s="35">
        <f t="shared" si="19"/>
        <v>9.0005361186368089E-5</v>
      </c>
      <c r="M85" s="35">
        <f t="shared" si="19"/>
        <v>7.522965235480171E-5</v>
      </c>
      <c r="N85" s="35">
        <f t="shared" si="19"/>
        <v>7.9531622593086415E-5</v>
      </c>
      <c r="O85" s="35">
        <f t="shared" si="19"/>
        <v>7.1759589841496977E-5</v>
      </c>
      <c r="P85" s="35" t="str">
        <f t="shared" si="19"/>
        <v/>
      </c>
      <c r="Q85" s="35" t="str">
        <f t="shared" si="19"/>
        <v/>
      </c>
      <c r="R85" s="35" t="str">
        <f t="shared" si="19"/>
        <v/>
      </c>
      <c r="S85" s="35" t="str">
        <f t="shared" si="19"/>
        <v/>
      </c>
      <c r="T85" s="35" t="str">
        <f t="shared" si="19"/>
        <v/>
      </c>
      <c r="U85" s="35" t="str">
        <f t="shared" si="19"/>
        <v/>
      </c>
      <c r="V85" s="35" t="str">
        <f t="shared" si="19"/>
        <v/>
      </c>
      <c r="W85" s="35"/>
    </row>
    <row r="86" spans="1:23">
      <c r="A86" t="s">
        <v>21</v>
      </c>
      <c r="B86" s="35" t="str">
        <f t="shared" ref="B86:V86" si="20">IF(B43&gt;0,B43/B$61,"")</f>
        <v/>
      </c>
      <c r="C86" s="35" t="str">
        <f t="shared" si="20"/>
        <v/>
      </c>
      <c r="D86" s="35" t="str">
        <f t="shared" si="20"/>
        <v/>
      </c>
      <c r="E86" s="35" t="str">
        <f t="shared" si="20"/>
        <v/>
      </c>
      <c r="F86" s="35" t="str">
        <f t="shared" si="20"/>
        <v/>
      </c>
      <c r="G86" s="35" t="str">
        <f t="shared" si="20"/>
        <v/>
      </c>
      <c r="H86" s="35" t="str">
        <f t="shared" si="20"/>
        <v/>
      </c>
      <c r="I86" s="35" t="str">
        <f t="shared" si="20"/>
        <v/>
      </c>
      <c r="J86" s="35">
        <f t="shared" si="20"/>
        <v>1.7777359401913308E-2</v>
      </c>
      <c r="K86" s="35" t="str">
        <f t="shared" si="20"/>
        <v/>
      </c>
      <c r="L86" s="35">
        <f t="shared" si="20"/>
        <v>1.3930539568720698E-2</v>
      </c>
      <c r="M86" s="35" t="str">
        <f t="shared" si="20"/>
        <v/>
      </c>
      <c r="N86" s="35">
        <f t="shared" si="20"/>
        <v>1.417297854810624E-2</v>
      </c>
      <c r="O86" s="35" t="str">
        <f t="shared" si="20"/>
        <v/>
      </c>
      <c r="P86" s="35">
        <f t="shared" si="20"/>
        <v>1.1259829754810767E-2</v>
      </c>
      <c r="Q86" s="35" t="str">
        <f t="shared" si="20"/>
        <v/>
      </c>
      <c r="R86" s="35" t="str">
        <f t="shared" si="20"/>
        <v/>
      </c>
      <c r="S86" s="35">
        <f t="shared" si="20"/>
        <v>1.4274033195199577E-2</v>
      </c>
      <c r="T86" s="35" t="str">
        <f t="shared" si="20"/>
        <v/>
      </c>
      <c r="U86" s="35">
        <f t="shared" si="20"/>
        <v>6.6224918128672209E-3</v>
      </c>
      <c r="V86" s="35" t="str">
        <f t="shared" si="20"/>
        <v/>
      </c>
      <c r="W86" s="35"/>
    </row>
    <row r="87" spans="1:23">
      <c r="A87" t="s">
        <v>31</v>
      </c>
      <c r="B87" s="35">
        <f t="shared" ref="B87:V87" si="21">IF(B48&gt;0,B48/B$61,"")</f>
        <v>1.963936268213622E-2</v>
      </c>
      <c r="C87" s="35">
        <f t="shared" si="21"/>
        <v>2.8995986919930553E-2</v>
      </c>
      <c r="D87" s="35" t="str">
        <f t="shared" si="21"/>
        <v/>
      </c>
      <c r="E87" s="35">
        <f t="shared" si="21"/>
        <v>3.3807467473593915E-2</v>
      </c>
      <c r="F87" s="35" t="str">
        <f t="shared" si="21"/>
        <v/>
      </c>
      <c r="G87" s="35" t="str">
        <f t="shared" si="21"/>
        <v/>
      </c>
      <c r="H87" s="35" t="str">
        <f t="shared" si="21"/>
        <v/>
      </c>
      <c r="I87" s="35">
        <f t="shared" si="21"/>
        <v>8.1006779313642849E-2</v>
      </c>
      <c r="J87" s="35">
        <f t="shared" si="21"/>
        <v>7.0559477469279486E-2</v>
      </c>
      <c r="K87" s="35">
        <f t="shared" si="21"/>
        <v>5.6874005091876116E-2</v>
      </c>
      <c r="L87" s="35">
        <f t="shared" si="21"/>
        <v>8.4718922322337881E-2</v>
      </c>
      <c r="M87" s="35">
        <f t="shared" si="21"/>
        <v>5.9459147933458051E-2</v>
      </c>
      <c r="N87" s="35">
        <f t="shared" si="21"/>
        <v>8.3358102196636821E-2</v>
      </c>
      <c r="O87" s="35">
        <f t="shared" si="21"/>
        <v>6.2036644172416285E-2</v>
      </c>
      <c r="P87" s="35">
        <f t="shared" si="21"/>
        <v>7.9527731292072676E-2</v>
      </c>
      <c r="Q87" s="35">
        <f t="shared" si="21"/>
        <v>6.2736872263195423E-2</v>
      </c>
      <c r="R87" s="35">
        <f t="shared" si="21"/>
        <v>0.10039488393794228</v>
      </c>
      <c r="S87" s="35" t="str">
        <f t="shared" si="21"/>
        <v/>
      </c>
      <c r="T87" s="35">
        <f t="shared" si="21"/>
        <v>7.6884947348024937E-2</v>
      </c>
      <c r="U87" s="35">
        <f t="shared" si="21"/>
        <v>5.6816207484730874E-2</v>
      </c>
      <c r="V87" s="35" t="str">
        <f t="shared" si="21"/>
        <v/>
      </c>
      <c r="W87" s="35"/>
    </row>
    <row r="88" spans="1:23">
      <c r="A88" t="s">
        <v>33</v>
      </c>
      <c r="B88" s="35" t="str">
        <f t="shared" ref="B88:V88" si="22">IF(B49&gt;0,B49/B$61,"")</f>
        <v/>
      </c>
      <c r="C88" s="35" t="str">
        <f t="shared" si="22"/>
        <v/>
      </c>
      <c r="D88" s="35" t="str">
        <f t="shared" si="22"/>
        <v/>
      </c>
      <c r="E88" s="35" t="str">
        <f t="shared" si="22"/>
        <v/>
      </c>
      <c r="F88" s="35" t="str">
        <f t="shared" si="22"/>
        <v/>
      </c>
      <c r="G88" s="35" t="str">
        <f t="shared" si="22"/>
        <v/>
      </c>
      <c r="H88" s="35" t="str">
        <f t="shared" si="22"/>
        <v/>
      </c>
      <c r="I88" s="35" t="str">
        <f t="shared" si="22"/>
        <v/>
      </c>
      <c r="J88" s="35" t="str">
        <f t="shared" si="22"/>
        <v/>
      </c>
      <c r="K88" s="35" t="str">
        <f t="shared" si="22"/>
        <v/>
      </c>
      <c r="L88" s="35" t="str">
        <f t="shared" si="22"/>
        <v/>
      </c>
      <c r="M88" s="35" t="str">
        <f t="shared" si="22"/>
        <v/>
      </c>
      <c r="N88" s="35" t="str">
        <f t="shared" si="22"/>
        <v/>
      </c>
      <c r="O88" s="35" t="str">
        <f t="shared" si="22"/>
        <v/>
      </c>
      <c r="P88" s="35">
        <f t="shared" si="22"/>
        <v>2.755510324149731E-3</v>
      </c>
      <c r="Q88" s="35">
        <f t="shared" si="22"/>
        <v>1.9793829959730055E-3</v>
      </c>
      <c r="R88" s="35">
        <f t="shared" si="22"/>
        <v>3.0492519328723486E-3</v>
      </c>
      <c r="S88" s="35" t="str">
        <f t="shared" si="22"/>
        <v/>
      </c>
      <c r="T88" s="35">
        <f t="shared" si="22"/>
        <v>2.2508766132057598E-3</v>
      </c>
      <c r="U88" s="35" t="str">
        <f t="shared" si="22"/>
        <v/>
      </c>
      <c r="V88" s="35" t="str">
        <f t="shared" si="22"/>
        <v/>
      </c>
      <c r="W88" s="35"/>
    </row>
    <row r="89" spans="1:23">
      <c r="A89" t="s">
        <v>40</v>
      </c>
      <c r="B89" s="35" t="str">
        <f t="shared" ref="B89:V89" si="23">IF(B53&gt;0,B53/B$61,"")</f>
        <v/>
      </c>
      <c r="C89" s="35" t="str">
        <f t="shared" si="23"/>
        <v/>
      </c>
      <c r="D89" s="35">
        <f t="shared" si="23"/>
        <v>1.6849645556361158E-2</v>
      </c>
      <c r="E89" s="35" t="str">
        <f t="shared" si="23"/>
        <v/>
      </c>
      <c r="F89" s="35" t="str">
        <f t="shared" si="23"/>
        <v/>
      </c>
      <c r="G89" s="35" t="str">
        <f t="shared" si="23"/>
        <v/>
      </c>
      <c r="H89" s="35">
        <f t="shared" si="23"/>
        <v>2.8964255615313531E-2</v>
      </c>
      <c r="I89" s="35">
        <f t="shared" si="23"/>
        <v>2.99288679482126E-2</v>
      </c>
      <c r="J89" s="35">
        <f t="shared" si="23"/>
        <v>2.8119567223427726E-2</v>
      </c>
      <c r="K89" s="35">
        <f t="shared" si="23"/>
        <v>2.0312059992765908E-2</v>
      </c>
      <c r="L89" s="35" t="str">
        <f t="shared" si="23"/>
        <v/>
      </c>
      <c r="M89" s="35">
        <f t="shared" si="23"/>
        <v>2.0600110797257713E-2</v>
      </c>
      <c r="N89" s="35" t="str">
        <f t="shared" si="23"/>
        <v/>
      </c>
      <c r="O89" s="35" t="str">
        <f t="shared" si="23"/>
        <v/>
      </c>
      <c r="P89" s="35" t="str">
        <f t="shared" si="23"/>
        <v/>
      </c>
      <c r="Q89" s="35" t="str">
        <f t="shared" si="23"/>
        <v/>
      </c>
      <c r="R89" s="35" t="str">
        <f t="shared" si="23"/>
        <v/>
      </c>
      <c r="S89" s="35" t="str">
        <f t="shared" si="23"/>
        <v/>
      </c>
      <c r="T89" s="35" t="str">
        <f t="shared" si="23"/>
        <v/>
      </c>
      <c r="U89" s="35" t="str">
        <f t="shared" si="23"/>
        <v/>
      </c>
      <c r="V89" s="35" t="str">
        <f t="shared" si="23"/>
        <v/>
      </c>
      <c r="W89" s="35"/>
    </row>
    <row r="90" spans="1:23">
      <c r="A90" t="s">
        <v>47</v>
      </c>
      <c r="B90" s="35">
        <f t="shared" ref="B90:V90" si="24">IF(B58&gt;0,B58/B$61,"")</f>
        <v>9.0612017718807482E-4</v>
      </c>
      <c r="C90" s="35">
        <f t="shared" si="24"/>
        <v>6.0714245893282498E-4</v>
      </c>
      <c r="D90" s="35">
        <f t="shared" si="24"/>
        <v>6.2352810789045225E-4</v>
      </c>
      <c r="E90" s="35">
        <f t="shared" si="24"/>
        <v>6.0272786498128002E-4</v>
      </c>
      <c r="F90" s="35">
        <f t="shared" si="24"/>
        <v>6.839119714935907E-4</v>
      </c>
      <c r="G90" s="35">
        <f t="shared" si="24"/>
        <v>5.2358003543209926E-4</v>
      </c>
      <c r="H90" s="35">
        <f t="shared" si="24"/>
        <v>3.5350116146678709E-4</v>
      </c>
      <c r="I90" s="35">
        <f t="shared" si="24"/>
        <v>9.3516546301464578E-4</v>
      </c>
      <c r="J90" s="35">
        <f t="shared" si="24"/>
        <v>7.6924788534494116E-4</v>
      </c>
      <c r="K90" s="35">
        <f t="shared" si="24"/>
        <v>6.9543000218765904E-4</v>
      </c>
      <c r="L90" s="35">
        <f t="shared" si="24"/>
        <v>8.6642187022151001E-4</v>
      </c>
      <c r="M90" s="35">
        <f t="shared" si="24"/>
        <v>6.9390990417426144E-4</v>
      </c>
      <c r="N90" s="35">
        <f t="shared" si="24"/>
        <v>9.6422278095386075E-4</v>
      </c>
      <c r="O90" s="35" t="str">
        <f t="shared" si="24"/>
        <v/>
      </c>
      <c r="P90" s="35" t="str">
        <f t="shared" si="24"/>
        <v/>
      </c>
      <c r="Q90" s="35" t="str">
        <f t="shared" si="24"/>
        <v/>
      </c>
      <c r="R90" s="35" t="str">
        <f t="shared" si="24"/>
        <v/>
      </c>
      <c r="S90" s="35" t="str">
        <f t="shared" si="24"/>
        <v/>
      </c>
      <c r="T90" s="35" t="str">
        <f t="shared" si="24"/>
        <v/>
      </c>
      <c r="U90" s="35" t="str">
        <f t="shared" si="24"/>
        <v/>
      </c>
      <c r="V90" s="35" t="str">
        <f t="shared" si="24"/>
        <v/>
      </c>
      <c r="W90" s="35"/>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D37ED-40A9-4DD5-A2B4-29431A2E1615}">
  <dimension ref="A3:X30"/>
  <sheetViews>
    <sheetView zoomScale="57" zoomScaleNormal="57" workbookViewId="0">
      <selection activeCell="B1" sqref="B1"/>
    </sheetView>
  </sheetViews>
  <sheetFormatPr defaultRowHeight="14.5"/>
  <cols>
    <col min="1" max="1" width="20.54296875" bestFit="1" customWidth="1"/>
    <col min="2" max="2" width="15.26953125" bestFit="1" customWidth="1"/>
    <col min="3" max="22" width="11.81640625" bestFit="1" customWidth="1"/>
    <col min="23" max="23" width="6.7265625" bestFit="1" customWidth="1"/>
    <col min="24" max="24" width="11.81640625" bestFit="1" customWidth="1"/>
  </cols>
  <sheetData>
    <row r="3" spans="1:24">
      <c r="A3" s="1" t="s">
        <v>1110</v>
      </c>
      <c r="B3" s="1" t="s">
        <v>1109</v>
      </c>
    </row>
    <row r="4" spans="1:24">
      <c r="A4" s="1" t="s">
        <v>2</v>
      </c>
      <c r="B4">
        <v>2003</v>
      </c>
      <c r="C4">
        <v>2004</v>
      </c>
      <c r="D4">
        <v>2005</v>
      </c>
      <c r="E4">
        <v>2006</v>
      </c>
      <c r="F4">
        <v>2007</v>
      </c>
      <c r="G4">
        <v>2008</v>
      </c>
      <c r="H4">
        <v>2009</v>
      </c>
      <c r="I4">
        <v>2010</v>
      </c>
      <c r="J4">
        <v>2011</v>
      </c>
      <c r="K4">
        <v>2012</v>
      </c>
      <c r="L4">
        <v>2013</v>
      </c>
      <c r="M4">
        <v>2014</v>
      </c>
      <c r="N4">
        <v>2015</v>
      </c>
      <c r="O4">
        <v>2016</v>
      </c>
      <c r="P4">
        <v>2017</v>
      </c>
      <c r="Q4">
        <v>2018</v>
      </c>
      <c r="R4">
        <v>2019</v>
      </c>
      <c r="S4">
        <v>2020</v>
      </c>
      <c r="T4">
        <v>2021</v>
      </c>
      <c r="U4">
        <v>2022</v>
      </c>
      <c r="V4">
        <v>2023</v>
      </c>
      <c r="W4" t="s">
        <v>1111</v>
      </c>
      <c r="X4" t="s">
        <v>53</v>
      </c>
    </row>
    <row r="5" spans="1:24">
      <c r="A5" s="26" t="s">
        <v>10</v>
      </c>
      <c r="B5">
        <v>43.503746032714837</v>
      </c>
      <c r="C5">
        <v>35.645278930664063</v>
      </c>
      <c r="D5">
        <v>29.37149620056152</v>
      </c>
      <c r="E5">
        <v>23.232328414916989</v>
      </c>
      <c r="F5">
        <v>16.700082778930661</v>
      </c>
      <c r="G5">
        <v>13.379194259643549</v>
      </c>
      <c r="H5">
        <v>11.47798442840576</v>
      </c>
      <c r="I5">
        <v>7.6527528762817383</v>
      </c>
      <c r="J5">
        <v>4.2303776741027832</v>
      </c>
      <c r="K5">
        <v>3.4424736499786381</v>
      </c>
      <c r="L5">
        <v>2.526459693908691</v>
      </c>
      <c r="M5">
        <v>2.662331342697144</v>
      </c>
      <c r="N5">
        <v>2.948365449905396</v>
      </c>
      <c r="O5">
        <v>4.5267486572265634</v>
      </c>
      <c r="P5">
        <v>4.2431745529174796</v>
      </c>
      <c r="Q5">
        <v>4.5074429512023926</v>
      </c>
      <c r="R5">
        <v>5.6630678176879883</v>
      </c>
      <c r="S5">
        <v>6.3377118110656738</v>
      </c>
      <c r="T5">
        <v>5.7765898704528809</v>
      </c>
      <c r="U5">
        <v>5.0950345993041992</v>
      </c>
      <c r="X5">
        <v>232.92264199256897</v>
      </c>
    </row>
    <row r="6" spans="1:24">
      <c r="A6" s="26" t="s">
        <v>12</v>
      </c>
      <c r="B6">
        <v>1.5577710866928101</v>
      </c>
      <c r="C6">
        <v>1.157953023910522</v>
      </c>
      <c r="D6">
        <v>1.4279829263687129</v>
      </c>
      <c r="E6">
        <v>0.78499734401702881</v>
      </c>
      <c r="F6">
        <v>0.95234501361846924</v>
      </c>
      <c r="G6">
        <v>1.1501230001449581</v>
      </c>
      <c r="H6">
        <v>1.8478395938873291</v>
      </c>
      <c r="J6">
        <v>2.6079261302947998</v>
      </c>
      <c r="L6">
        <v>3.507896900177002</v>
      </c>
      <c r="M6">
        <v>2.8519854545593262</v>
      </c>
      <c r="X6">
        <v>17.846820473670959</v>
      </c>
    </row>
    <row r="7" spans="1:24">
      <c r="A7" s="26" t="s">
        <v>14</v>
      </c>
      <c r="B7">
        <v>4.2082076072692871</v>
      </c>
      <c r="C7">
        <v>5.5798177719116211</v>
      </c>
      <c r="D7">
        <v>6.859896183013916</v>
      </c>
      <c r="F7">
        <v>4.7977628707885742</v>
      </c>
      <c r="X7">
        <v>21.445684432983398</v>
      </c>
    </row>
    <row r="8" spans="1:24">
      <c r="A8" s="26" t="s">
        <v>15</v>
      </c>
      <c r="B8">
        <v>28.440328598022461</v>
      </c>
      <c r="D8">
        <v>34.526645660400391</v>
      </c>
      <c r="E8">
        <v>32.696773529052727</v>
      </c>
      <c r="F8">
        <v>31.143205642700199</v>
      </c>
      <c r="G8">
        <v>23.658063888549801</v>
      </c>
      <c r="H8">
        <v>21.13117790222168</v>
      </c>
      <c r="J8">
        <v>16.912851333618161</v>
      </c>
      <c r="K8">
        <v>18.19255447387695</v>
      </c>
      <c r="L8">
        <v>15.807085037231451</v>
      </c>
      <c r="M8">
        <v>15.583621025085449</v>
      </c>
      <c r="N8">
        <v>14.94226741790771</v>
      </c>
      <c r="O8">
        <v>16.2106819152832</v>
      </c>
      <c r="P8">
        <v>15.84268379211426</v>
      </c>
      <c r="Q8">
        <v>14.29046058654785</v>
      </c>
      <c r="R8">
        <v>10.55163669586182</v>
      </c>
      <c r="S8">
        <v>13.775515556335449</v>
      </c>
      <c r="T8">
        <v>10.729448318481451</v>
      </c>
      <c r="X8">
        <v>334.43500137329102</v>
      </c>
    </row>
    <row r="9" spans="1:24">
      <c r="A9" s="26" t="s">
        <v>17</v>
      </c>
      <c r="B9">
        <v>26.882663726806641</v>
      </c>
      <c r="C9">
        <v>24.336030960083011</v>
      </c>
      <c r="D9">
        <v>22.255535125732418</v>
      </c>
      <c r="E9">
        <v>20.59036827087402</v>
      </c>
      <c r="F9">
        <v>17.899656295776371</v>
      </c>
      <c r="G9">
        <v>15.4569845199585</v>
      </c>
      <c r="H9">
        <v>14.771352767944339</v>
      </c>
      <c r="J9">
        <v>12.61227607727051</v>
      </c>
      <c r="K9">
        <v>10.36298084259033</v>
      </c>
      <c r="L9">
        <v>10.08380603790283</v>
      </c>
      <c r="M9">
        <v>8.9850425720214844</v>
      </c>
      <c r="N9">
        <v>10.47846031188965</v>
      </c>
      <c r="O9">
        <v>10.29215240478516</v>
      </c>
      <c r="P9">
        <v>10.56212043762207</v>
      </c>
      <c r="Q9">
        <v>11.011074066162109</v>
      </c>
      <c r="R9">
        <v>10.81781005859375</v>
      </c>
      <c r="S9">
        <v>8.7505693435668945</v>
      </c>
      <c r="T9">
        <v>12.504270553588871</v>
      </c>
      <c r="U9">
        <v>27.230558395385739</v>
      </c>
      <c r="X9">
        <v>285.88371276855469</v>
      </c>
    </row>
    <row r="10" spans="1:24">
      <c r="A10" s="26" t="s">
        <v>19</v>
      </c>
      <c r="C10">
        <v>1.097913980484009</v>
      </c>
      <c r="D10">
        <v>0.60790646076202393</v>
      </c>
      <c r="E10">
        <v>0.91326802968978882</v>
      </c>
      <c r="F10">
        <v>0.42966911196708679</v>
      </c>
      <c r="G10">
        <v>0.417115718126297</v>
      </c>
      <c r="H10">
        <v>0.42837858200073242</v>
      </c>
      <c r="I10">
        <v>0.44993036985397339</v>
      </c>
      <c r="J10">
        <v>1.4251377582550051</v>
      </c>
      <c r="K10">
        <v>1.1928062438964839</v>
      </c>
      <c r="L10">
        <v>1.10283374786377</v>
      </c>
      <c r="M10">
        <v>1.544919371604919</v>
      </c>
      <c r="N10">
        <v>1.2044996023178101</v>
      </c>
      <c r="O10">
        <v>1.318590402603149</v>
      </c>
      <c r="X10">
        <v>12.132969379425049</v>
      </c>
    </row>
    <row r="11" spans="1:24">
      <c r="A11" s="26" t="s">
        <v>21</v>
      </c>
      <c r="J11">
        <v>4.2792253494262704</v>
      </c>
      <c r="L11">
        <v>2.951407670974731</v>
      </c>
      <c r="N11">
        <v>2.8435864448547359</v>
      </c>
      <c r="P11">
        <v>2.6124217510223389</v>
      </c>
      <c r="S11">
        <v>5.9314579963684082</v>
      </c>
      <c r="X11">
        <v>18.618099212646484</v>
      </c>
    </row>
    <row r="12" spans="1:24">
      <c r="A12" s="26" t="s">
        <v>23</v>
      </c>
      <c r="B12">
        <v>33.785720825195313</v>
      </c>
      <c r="C12">
        <v>36.559562683105469</v>
      </c>
      <c r="D12">
        <v>30.690914154052731</v>
      </c>
      <c r="E12">
        <v>37.132072448730469</v>
      </c>
      <c r="F12">
        <v>34.816349029541023</v>
      </c>
      <c r="G12">
        <v>27.393928527832031</v>
      </c>
      <c r="H12">
        <v>26.627218246459961</v>
      </c>
      <c r="I12">
        <v>23.670475006103519</v>
      </c>
      <c r="J12">
        <v>20.811540603637699</v>
      </c>
      <c r="K12">
        <v>21.383562088012699</v>
      </c>
      <c r="L12">
        <v>18.494846343994141</v>
      </c>
      <c r="M12">
        <v>17.931743621826168</v>
      </c>
      <c r="N12">
        <v>17.137582778930661</v>
      </c>
      <c r="O12">
        <v>16.112834930419918</v>
      </c>
      <c r="P12">
        <v>15.19743824005127</v>
      </c>
      <c r="Q12">
        <v>16.431619644165039</v>
      </c>
      <c r="R12">
        <v>17.20904541015625</v>
      </c>
      <c r="S12">
        <v>18.877180099487301</v>
      </c>
      <c r="T12">
        <v>18.317903518676761</v>
      </c>
      <c r="X12">
        <v>448.58153820037842</v>
      </c>
    </row>
    <row r="13" spans="1:24">
      <c r="A13" s="26" t="s">
        <v>25</v>
      </c>
      <c r="B13">
        <v>13.507688522338871</v>
      </c>
      <c r="C13">
        <v>13.04631519317627</v>
      </c>
      <c r="D13">
        <v>11.1018009185791</v>
      </c>
      <c r="E13">
        <v>11.243692398071291</v>
      </c>
      <c r="F13">
        <v>7.9773797988891602</v>
      </c>
      <c r="G13">
        <v>7.2203068733215332</v>
      </c>
      <c r="H13">
        <v>7.2418012619018546</v>
      </c>
      <c r="I13">
        <v>7.4444270133972168</v>
      </c>
      <c r="J13">
        <v>9.9805707931518555</v>
      </c>
      <c r="K13">
        <v>7.7240409851074219</v>
      </c>
      <c r="L13">
        <v>7.7379322052001953</v>
      </c>
      <c r="M13">
        <v>7.0614500045776367</v>
      </c>
      <c r="N13">
        <v>6.9559202194213867</v>
      </c>
      <c r="O13">
        <v>6.6667861938476563</v>
      </c>
      <c r="P13">
        <v>5.9417562484741211</v>
      </c>
      <c r="Q13">
        <v>6.5881414413452148</v>
      </c>
      <c r="R13">
        <v>6.4698486328125</v>
      </c>
      <c r="S13">
        <v>11.554224967956539</v>
      </c>
      <c r="T13">
        <v>7.1364259719848633</v>
      </c>
      <c r="U13">
        <v>6.5097131729125977</v>
      </c>
      <c r="X13">
        <v>169.11022281646729</v>
      </c>
    </row>
    <row r="14" spans="1:24">
      <c r="A14" s="26" t="s">
        <v>27</v>
      </c>
      <c r="B14">
        <v>24.77912521362305</v>
      </c>
      <c r="C14">
        <v>30.830488204956051</v>
      </c>
      <c r="D14">
        <v>25.072673797607418</v>
      </c>
      <c r="E14">
        <v>22.604122161865231</v>
      </c>
      <c r="F14">
        <v>20.97090911865234</v>
      </c>
      <c r="G14">
        <v>20.305610656738281</v>
      </c>
      <c r="H14">
        <v>19.61470794677734</v>
      </c>
      <c r="I14">
        <v>20.06291389465332</v>
      </c>
      <c r="J14">
        <v>18.16949462890625</v>
      </c>
      <c r="K14">
        <v>18.642196655273441</v>
      </c>
      <c r="L14">
        <v>17.458456039428711</v>
      </c>
      <c r="M14">
        <v>15.16470336914063</v>
      </c>
      <c r="N14">
        <v>12.28875827789307</v>
      </c>
      <c r="O14">
        <v>11.59282875061035</v>
      </c>
      <c r="P14">
        <v>7.9110331535339364</v>
      </c>
      <c r="Q14">
        <v>7.110903263092041</v>
      </c>
      <c r="R14">
        <v>5.6388921737670898</v>
      </c>
      <c r="S14">
        <v>9.804844856262207</v>
      </c>
      <c r="T14">
        <v>8.2898464202880859</v>
      </c>
      <c r="X14">
        <v>316.31250858306885</v>
      </c>
    </row>
    <row r="15" spans="1:24">
      <c r="A15" s="26" t="s">
        <v>29</v>
      </c>
      <c r="B15">
        <v>35.612312316894531</v>
      </c>
      <c r="C15">
        <v>30.96855354309082</v>
      </c>
      <c r="D15">
        <v>28.68865966796875</v>
      </c>
      <c r="E15">
        <v>24.27210807800293</v>
      </c>
      <c r="F15">
        <v>23.503471374511719</v>
      </c>
      <c r="G15">
        <v>22.633157730102539</v>
      </c>
      <c r="H15">
        <v>22.626482009887699</v>
      </c>
      <c r="I15">
        <v>19.453071594238281</v>
      </c>
      <c r="J15">
        <v>16.569992065429691</v>
      </c>
      <c r="K15">
        <v>16.20944976806641</v>
      </c>
      <c r="L15">
        <v>14.07280445098877</v>
      </c>
      <c r="M15">
        <v>12.1289005279541</v>
      </c>
      <c r="N15">
        <v>13.18162727355957</v>
      </c>
      <c r="O15">
        <v>13.3827657699585</v>
      </c>
      <c r="P15">
        <v>12.6421365737915</v>
      </c>
      <c r="Q15">
        <v>13.2944450378418</v>
      </c>
      <c r="R15">
        <v>14.58908653259277</v>
      </c>
      <c r="S15">
        <v>20.180145263671879</v>
      </c>
      <c r="T15">
        <v>14.99002838134766</v>
      </c>
      <c r="U15">
        <v>14.07956504821777</v>
      </c>
      <c r="X15">
        <v>383.07876300811768</v>
      </c>
    </row>
    <row r="16" spans="1:24">
      <c r="A16" s="26" t="s">
        <v>31</v>
      </c>
      <c r="B16">
        <v>31.92470741271973</v>
      </c>
      <c r="C16">
        <v>42.750816345214837</v>
      </c>
      <c r="E16">
        <v>32.477008819580078</v>
      </c>
      <c r="I16">
        <v>52.325172424316413</v>
      </c>
      <c r="J16">
        <v>50.882720947265632</v>
      </c>
      <c r="K16">
        <v>41.568264007568359</v>
      </c>
      <c r="L16">
        <v>37.114704132080078</v>
      </c>
      <c r="M16">
        <v>36.166351318359382</v>
      </c>
      <c r="N16">
        <v>33.821208953857422</v>
      </c>
      <c r="O16">
        <v>36.47344970703125</v>
      </c>
      <c r="P16">
        <v>36.468379974365227</v>
      </c>
      <c r="Q16">
        <v>37.705657958984382</v>
      </c>
      <c r="R16">
        <v>35.945957183837891</v>
      </c>
      <c r="T16">
        <v>37.083316802978523</v>
      </c>
      <c r="U16">
        <v>35.165290832519531</v>
      </c>
      <c r="X16">
        <v>577.87300682067871</v>
      </c>
    </row>
    <row r="17" spans="1:24">
      <c r="A17" s="26" t="s">
        <v>33</v>
      </c>
      <c r="P17">
        <v>27.490753173828129</v>
      </c>
      <c r="Q17">
        <v>29.046255111694339</v>
      </c>
      <c r="R17">
        <v>30.615865707397461</v>
      </c>
      <c r="T17">
        <v>30.095169067382809</v>
      </c>
      <c r="X17">
        <v>117.24804306030273</v>
      </c>
    </row>
    <row r="18" spans="1:24">
      <c r="A18" s="26" t="s">
        <v>34</v>
      </c>
      <c r="B18">
        <v>43.357471466064453</v>
      </c>
      <c r="C18">
        <v>47.253574371337891</v>
      </c>
      <c r="D18">
        <v>45.237472534179688</v>
      </c>
      <c r="E18">
        <v>41.996662139892578</v>
      </c>
      <c r="F18">
        <v>37.364398956298828</v>
      </c>
      <c r="G18">
        <v>33.635871887207031</v>
      </c>
      <c r="H18">
        <v>33.5762939453125</v>
      </c>
      <c r="I18">
        <v>36.291343688964837</v>
      </c>
      <c r="J18">
        <v>38.587127685546882</v>
      </c>
      <c r="K18">
        <v>43.847217559814453</v>
      </c>
      <c r="L18">
        <v>40.749618530273438</v>
      </c>
      <c r="M18">
        <v>35.960578918457031</v>
      </c>
      <c r="N18">
        <v>36.526371002197273</v>
      </c>
      <c r="O18">
        <v>35.803943634033203</v>
      </c>
      <c r="P18">
        <v>37.913703918457031</v>
      </c>
      <c r="Q18">
        <v>37.924839019775391</v>
      </c>
      <c r="R18">
        <v>40.106243133544922</v>
      </c>
      <c r="V18">
        <v>36.770912170410163</v>
      </c>
      <c r="X18">
        <v>702.90364456176758</v>
      </c>
    </row>
    <row r="19" spans="1:24">
      <c r="A19" s="26" t="s">
        <v>37</v>
      </c>
      <c r="C19">
        <v>41.435615539550781</v>
      </c>
      <c r="D19">
        <v>26.734224319458011</v>
      </c>
      <c r="E19">
        <v>23.122091293334961</v>
      </c>
      <c r="F19">
        <v>50.281196594238281</v>
      </c>
      <c r="G19">
        <v>46.646015167236328</v>
      </c>
      <c r="H19">
        <v>73.65960693359375</v>
      </c>
      <c r="I19">
        <v>49.645416259765632</v>
      </c>
      <c r="K19">
        <v>54.248546600341797</v>
      </c>
      <c r="L19">
        <v>55.362216949462891</v>
      </c>
      <c r="M19">
        <v>57.384223937988281</v>
      </c>
      <c r="O19">
        <v>53.023029327392578</v>
      </c>
      <c r="X19">
        <v>531.54218292236328</v>
      </c>
    </row>
    <row r="20" spans="1:24">
      <c r="A20" s="26" t="s">
        <v>38</v>
      </c>
      <c r="C20">
        <v>20.42608642578125</v>
      </c>
      <c r="D20">
        <v>21.205144882202148</v>
      </c>
      <c r="E20">
        <v>16.94674110412598</v>
      </c>
      <c r="G20">
        <v>19.722103118896481</v>
      </c>
      <c r="I20">
        <v>20.41583251953125</v>
      </c>
      <c r="K20">
        <v>19.528644561767582</v>
      </c>
      <c r="M20">
        <v>17.427690505981449</v>
      </c>
      <c r="O20">
        <v>12.440018653869631</v>
      </c>
      <c r="Q20">
        <v>11.17940616607666</v>
      </c>
      <c r="S20">
        <v>13.492470741271971</v>
      </c>
      <c r="X20">
        <v>172.78413867950439</v>
      </c>
    </row>
    <row r="21" spans="1:24">
      <c r="A21" s="26" t="s">
        <v>40</v>
      </c>
      <c r="D21">
        <v>45.163490295410163</v>
      </c>
      <c r="H21">
        <v>41.487712860107422</v>
      </c>
      <c r="I21">
        <v>35.061046600341797</v>
      </c>
      <c r="J21">
        <v>31.86544227600098</v>
      </c>
      <c r="K21">
        <v>29.367706298828129</v>
      </c>
      <c r="M21">
        <v>30.053598403930661</v>
      </c>
      <c r="X21">
        <v>212.99899673461914</v>
      </c>
    </row>
    <row r="22" spans="1:24">
      <c r="A22" s="26" t="s">
        <v>42</v>
      </c>
      <c r="B22">
        <v>21.998605728149411</v>
      </c>
      <c r="C22">
        <v>21.795700073242191</v>
      </c>
      <c r="D22">
        <v>21.950811386108398</v>
      </c>
      <c r="E22">
        <v>21.410114288330082</v>
      </c>
      <c r="F22">
        <v>18.662240982055661</v>
      </c>
      <c r="G22">
        <v>18.254377365112301</v>
      </c>
      <c r="H22">
        <v>16.73192024230957</v>
      </c>
      <c r="I22">
        <v>16.285737991333011</v>
      </c>
      <c r="J22">
        <v>14.4019889831543</v>
      </c>
      <c r="K22">
        <v>11.336173057556151</v>
      </c>
      <c r="L22">
        <v>12.387502670288089</v>
      </c>
      <c r="M22">
        <v>11.177858352661129</v>
      </c>
      <c r="N22">
        <v>11.54407787322998</v>
      </c>
      <c r="O22">
        <v>9.7546300888061523</v>
      </c>
      <c r="P22">
        <v>9.3945789337158203</v>
      </c>
      <c r="Q22">
        <v>9.5784540176391602</v>
      </c>
      <c r="R22">
        <v>9.7022390365600586</v>
      </c>
      <c r="U22">
        <v>10.51132297515869</v>
      </c>
      <c r="X22">
        <v>266.87833404541016</v>
      </c>
    </row>
    <row r="23" spans="1:24">
      <c r="A23" s="26" t="s">
        <v>44</v>
      </c>
      <c r="B23">
        <v>29.823457717895511</v>
      </c>
      <c r="C23">
        <v>30.34487152099609</v>
      </c>
      <c r="D23">
        <v>32.994579315185547</v>
      </c>
      <c r="E23">
        <v>30.25068283081055</v>
      </c>
      <c r="F23">
        <v>24.16429328918457</v>
      </c>
      <c r="G23">
        <v>20.763992309570309</v>
      </c>
      <c r="H23">
        <v>14.57886219024658</v>
      </c>
      <c r="I23">
        <v>12.65718460083008</v>
      </c>
      <c r="J23">
        <v>14.54866981506348</v>
      </c>
      <c r="K23">
        <v>13.49451351165771</v>
      </c>
      <c r="L23">
        <v>12.471981048583981</v>
      </c>
      <c r="M23">
        <v>11.774998664855961</v>
      </c>
      <c r="N23">
        <v>11.31841373443604</v>
      </c>
      <c r="O23">
        <v>11.061295509338381</v>
      </c>
      <c r="P23">
        <v>11.115810394287109</v>
      </c>
      <c r="Q23">
        <v>9.4185323715209961</v>
      </c>
      <c r="R23">
        <v>8.5306901931762695</v>
      </c>
      <c r="S23">
        <v>18.40530967712402</v>
      </c>
      <c r="T23">
        <v>10.50717735290527</v>
      </c>
      <c r="X23">
        <v>328.22531604766846</v>
      </c>
    </row>
    <row r="24" spans="1:24">
      <c r="A24" s="26" t="s">
        <v>45</v>
      </c>
      <c r="B24">
        <v>27.564638137817379</v>
      </c>
      <c r="C24">
        <v>24.30778884887695</v>
      </c>
      <c r="D24">
        <v>20.53481483459473</v>
      </c>
      <c r="E24">
        <v>25.568475723266602</v>
      </c>
      <c r="F24">
        <v>20.48846435546875</v>
      </c>
      <c r="G24">
        <v>20.300596237182621</v>
      </c>
      <c r="H24">
        <v>18.974185943603519</v>
      </c>
      <c r="I24">
        <v>17.984113693237301</v>
      </c>
      <c r="J24">
        <v>17.15206146240234</v>
      </c>
      <c r="K24">
        <v>17.595949172973629</v>
      </c>
      <c r="L24">
        <v>12.60821056365967</v>
      </c>
      <c r="M24">
        <v>12.166818618774411</v>
      </c>
      <c r="N24">
        <v>12.6596212387085</v>
      </c>
      <c r="O24">
        <v>14.633926391601561</v>
      </c>
      <c r="P24">
        <v>13.43122005462646</v>
      </c>
      <c r="Q24">
        <v>11.535055160522459</v>
      </c>
      <c r="S24">
        <v>8.4913644790649414</v>
      </c>
      <c r="T24">
        <v>10.429679870605471</v>
      </c>
      <c r="U24">
        <v>10.791000366210939</v>
      </c>
      <c r="X24">
        <v>317.21798515319824</v>
      </c>
    </row>
    <row r="25" spans="1:24">
      <c r="A25" s="26" t="s">
        <v>46</v>
      </c>
      <c r="B25">
        <v>26.588907241821289</v>
      </c>
      <c r="C25">
        <v>26.34280967712402</v>
      </c>
      <c r="D25">
        <v>30.0060920715332</v>
      </c>
      <c r="E25">
        <v>26.056558609008789</v>
      </c>
      <c r="F25">
        <v>22.305818557739261</v>
      </c>
      <c r="G25">
        <v>25.263080596923832</v>
      </c>
      <c r="H25">
        <v>25.466213226318359</v>
      </c>
      <c r="I25">
        <v>25.543012619018551</v>
      </c>
      <c r="J25">
        <v>24.149957656860352</v>
      </c>
      <c r="K25">
        <v>22.710748672485352</v>
      </c>
      <c r="L25">
        <v>19.80598258972168</v>
      </c>
      <c r="M25">
        <v>19.53895378112793</v>
      </c>
      <c r="N25">
        <v>17.193393707275391</v>
      </c>
      <c r="O25">
        <v>17.92717361450195</v>
      </c>
      <c r="P25">
        <v>15.693478584289551</v>
      </c>
      <c r="Q25">
        <v>13.943062782287599</v>
      </c>
      <c r="R25">
        <v>12.03313159942627</v>
      </c>
      <c r="S25">
        <v>16.161752700805661</v>
      </c>
      <c r="T25">
        <v>15.231667518615721</v>
      </c>
      <c r="U25">
        <v>14.33075523376465</v>
      </c>
      <c r="X25">
        <v>416.29255104064941</v>
      </c>
    </row>
    <row r="26" spans="1:24">
      <c r="A26" s="26" t="s">
        <v>47</v>
      </c>
      <c r="B26">
        <v>4.9652872085571289</v>
      </c>
      <c r="C26">
        <v>4.8261566162109384</v>
      </c>
      <c r="D26">
        <v>4.7926030158996582</v>
      </c>
      <c r="E26">
        <v>3.8298957347869869</v>
      </c>
      <c r="F26">
        <v>3.398322582244873</v>
      </c>
      <c r="G26">
        <v>3.044145822525024</v>
      </c>
      <c r="H26">
        <v>1.1948690414428711</v>
      </c>
      <c r="I26">
        <v>4.5850396156311044</v>
      </c>
      <c r="J26">
        <v>2.967337846755981</v>
      </c>
      <c r="K26">
        <v>4.0208382606506348</v>
      </c>
      <c r="L26">
        <v>3.3040471076965332</v>
      </c>
      <c r="M26">
        <v>4.291785717010498</v>
      </c>
      <c r="N26">
        <v>3.910485982894897</v>
      </c>
      <c r="X26">
        <v>49.130814552307129</v>
      </c>
    </row>
    <row r="27" spans="1:24">
      <c r="A27" s="26" t="s">
        <v>50</v>
      </c>
      <c r="B27">
        <v>8.708867073059082</v>
      </c>
      <c r="C27">
        <v>10.4431209564209</v>
      </c>
      <c r="D27">
        <v>10.04344272613525</v>
      </c>
      <c r="E27">
        <v>21.66141510009766</v>
      </c>
      <c r="F27">
        <v>7.419367790222168</v>
      </c>
      <c r="G27">
        <v>3.8168859481811519</v>
      </c>
      <c r="H27">
        <v>4.6674151420593262</v>
      </c>
      <c r="I27">
        <v>3.734623908996582</v>
      </c>
      <c r="J27">
        <v>3.374965906143188</v>
      </c>
      <c r="K27">
        <v>3.6356945037841801</v>
      </c>
      <c r="L27">
        <v>3.1676244735717769</v>
      </c>
      <c r="M27">
        <v>2.9678220748901372</v>
      </c>
      <c r="N27">
        <v>3.229756355285645</v>
      </c>
      <c r="O27">
        <v>3.0332193374633789</v>
      </c>
      <c r="P27">
        <v>2.6357100009918208</v>
      </c>
      <c r="Q27">
        <v>2.4117670059204102</v>
      </c>
      <c r="R27">
        <v>2.5264053344726558</v>
      </c>
      <c r="S27">
        <v>3.837445735931396</v>
      </c>
      <c r="T27">
        <v>3.6391007900238042</v>
      </c>
      <c r="U27">
        <v>3.2235615253448491</v>
      </c>
      <c r="X27">
        <v>108.17821168899536</v>
      </c>
    </row>
    <row r="28" spans="1:24">
      <c r="A28" s="26" t="s">
        <v>51</v>
      </c>
      <c r="B28">
        <v>34.508411407470703</v>
      </c>
      <c r="C28">
        <v>24.668582916259769</v>
      </c>
      <c r="D28">
        <v>22.87045860290527</v>
      </c>
      <c r="E28">
        <v>13.49704074859619</v>
      </c>
      <c r="F28">
        <v>10.08500862121582</v>
      </c>
      <c r="G28">
        <v>9.0231599807739258</v>
      </c>
      <c r="H28">
        <v>8.0190935134887695</v>
      </c>
      <c r="I28">
        <v>7.9902091026306152</v>
      </c>
      <c r="J28">
        <v>8.338841438293457</v>
      </c>
      <c r="K28">
        <v>8.4395532608032227</v>
      </c>
      <c r="L28">
        <v>7.9188055992126456</v>
      </c>
      <c r="M28">
        <v>6.1240224838256836</v>
      </c>
      <c r="N28">
        <v>8.6381149291992188</v>
      </c>
      <c r="O28">
        <v>19.373945236206051</v>
      </c>
      <c r="P28">
        <v>45.502246856689453</v>
      </c>
      <c r="Q28">
        <v>78.4765625</v>
      </c>
      <c r="S28">
        <v>98.908035278320313</v>
      </c>
      <c r="T28">
        <v>76.042854309082031</v>
      </c>
      <c r="X28">
        <v>488.42494678497314</v>
      </c>
    </row>
    <row r="29" spans="1:24">
      <c r="A29" s="26" t="s">
        <v>1111</v>
      </c>
    </row>
    <row r="30" spans="1:24">
      <c r="A30" s="26" t="s">
        <v>53</v>
      </c>
      <c r="B30">
        <v>441.71791732311249</v>
      </c>
      <c r="C30">
        <v>473.81703758239746</v>
      </c>
      <c r="D30">
        <v>472.13664507865906</v>
      </c>
      <c r="E30">
        <v>430.28641706705093</v>
      </c>
      <c r="F30">
        <v>353.35994276404381</v>
      </c>
      <c r="G30">
        <v>332.0847136080265</v>
      </c>
      <c r="H30">
        <v>364.12311577796936</v>
      </c>
      <c r="I30">
        <v>361.25230377912521</v>
      </c>
      <c r="J30">
        <v>313.86850643157959</v>
      </c>
      <c r="K30">
        <v>366.94391417503357</v>
      </c>
      <c r="L30">
        <v>298.63422179222107</v>
      </c>
      <c r="M30">
        <v>328.94940006732941</v>
      </c>
      <c r="N30">
        <v>220.82251155376434</v>
      </c>
      <c r="O30">
        <v>293.62802052497864</v>
      </c>
      <c r="P30">
        <v>274.59864664077759</v>
      </c>
      <c r="Q30">
        <v>314.45367908477783</v>
      </c>
      <c r="R30">
        <v>210.3999195098877</v>
      </c>
      <c r="S30">
        <v>254.50802850723267</v>
      </c>
      <c r="T30">
        <v>260.77347874641418</v>
      </c>
      <c r="U30">
        <v>126.93680214881897</v>
      </c>
      <c r="V30">
        <v>36.770912170410163</v>
      </c>
      <c r="X30">
        <v>6530.0661343336105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D3AB8-AE41-4B27-8981-D24C2448371B}">
  <dimension ref="A1:F30"/>
  <sheetViews>
    <sheetView workbookViewId="0">
      <selection activeCell="E1" sqref="E1"/>
    </sheetView>
  </sheetViews>
  <sheetFormatPr defaultRowHeight="14.5"/>
  <cols>
    <col min="4" max="6" width="8.7265625" style="2"/>
  </cols>
  <sheetData>
    <row r="1" spans="1:6">
      <c r="A1" t="s">
        <v>1112</v>
      </c>
    </row>
    <row r="2" spans="1:6">
      <c r="A2" t="s">
        <v>1113</v>
      </c>
    </row>
    <row r="4" spans="1:6">
      <c r="A4" t="s">
        <v>995</v>
      </c>
      <c r="B4" t="s">
        <v>996</v>
      </c>
      <c r="D4" s="2" t="s">
        <v>1114</v>
      </c>
      <c r="E4" s="2" t="s">
        <v>1115</v>
      </c>
      <c r="F4" s="2" t="s">
        <v>1116</v>
      </c>
    </row>
    <row r="5" spans="1:6">
      <c r="A5" t="s">
        <v>10</v>
      </c>
      <c r="B5">
        <v>2022</v>
      </c>
      <c r="D5" s="2">
        <v>1.5628411903145789E-4</v>
      </c>
      <c r="E5" s="2">
        <v>-4.0434003715802413E-3</v>
      </c>
      <c r="F5" s="2">
        <v>6.0925000264999696E-5</v>
      </c>
    </row>
    <row r="6" spans="1:6">
      <c r="A6" t="s">
        <v>12</v>
      </c>
      <c r="B6">
        <v>2014</v>
      </c>
    </row>
    <row r="7" spans="1:6">
      <c r="A7" t="s">
        <v>14</v>
      </c>
      <c r="B7">
        <v>2007</v>
      </c>
    </row>
    <row r="8" spans="1:6">
      <c r="A8" t="s">
        <v>15</v>
      </c>
      <c r="B8">
        <v>2021</v>
      </c>
      <c r="D8" s="2">
        <v>-1.2544670502931954E-3</v>
      </c>
      <c r="E8" s="2">
        <v>-4.6392249748195002E-4</v>
      </c>
      <c r="F8" s="2">
        <v>3.5902990167269166E-4</v>
      </c>
    </row>
    <row r="9" spans="1:6">
      <c r="A9" t="s">
        <v>17</v>
      </c>
      <c r="B9">
        <v>2022</v>
      </c>
      <c r="D9" s="2">
        <v>-3.0115413598408303E-3</v>
      </c>
      <c r="E9" s="2">
        <v>1.1986047030996261E-3</v>
      </c>
      <c r="F9" s="2">
        <v>8.8861691985275826E-4</v>
      </c>
    </row>
    <row r="10" spans="1:6">
      <c r="A10" t="s">
        <v>19</v>
      </c>
      <c r="B10">
        <v>2016</v>
      </c>
    </row>
    <row r="11" spans="1:6">
      <c r="A11" t="s">
        <v>21</v>
      </c>
      <c r="B11">
        <v>2022</v>
      </c>
      <c r="D11" s="2">
        <v>-1.1050513922096106E-2</v>
      </c>
      <c r="E11" s="2">
        <v>-7.2981774280234113E-3</v>
      </c>
      <c r="F11" s="2">
        <v>-3.9955537041994615E-3</v>
      </c>
    </row>
    <row r="12" spans="1:6">
      <c r="A12" t="s">
        <v>23</v>
      </c>
      <c r="B12">
        <v>2022</v>
      </c>
      <c r="D12" s="2">
        <v>6.5324793724414354E-2</v>
      </c>
      <c r="E12" s="2">
        <v>6.1855546880531076E-2</v>
      </c>
      <c r="F12" s="2">
        <v>1.8334407358969296E-2</v>
      </c>
    </row>
    <row r="13" spans="1:6">
      <c r="A13" t="s">
        <v>25</v>
      </c>
      <c r="B13">
        <v>2023</v>
      </c>
      <c r="D13" s="2">
        <v>-4.7130029671450524E-3</v>
      </c>
      <c r="E13" s="2">
        <v>1.2951497936752876E-3</v>
      </c>
      <c r="F13" s="2">
        <v>-2.6866116953563335E-3</v>
      </c>
    </row>
    <row r="14" spans="1:6">
      <c r="A14" t="s">
        <v>27</v>
      </c>
      <c r="B14">
        <v>2021</v>
      </c>
      <c r="D14" s="2">
        <v>2.3738437233955523E-4</v>
      </c>
      <c r="E14" s="2">
        <v>-1.6747453283700864E-3</v>
      </c>
      <c r="F14" s="2">
        <v>3.9906742173605458E-3</v>
      </c>
    </row>
    <row r="15" spans="1:6">
      <c r="A15" t="s">
        <v>29</v>
      </c>
      <c r="B15">
        <v>2023</v>
      </c>
      <c r="D15" s="2">
        <v>-2.5778647133303245E-3</v>
      </c>
      <c r="E15" s="2">
        <v>3.0340382287978862E-3</v>
      </c>
      <c r="F15" s="2">
        <v>3.8401233723155404E-3</v>
      </c>
    </row>
    <row r="16" spans="1:6">
      <c r="A16" t="s">
        <v>31</v>
      </c>
      <c r="B16">
        <v>2021</v>
      </c>
      <c r="D16" s="2">
        <v>1.3910033127690902E-3</v>
      </c>
      <c r="E16" s="2">
        <v>5.8376600944587409E-4</v>
      </c>
      <c r="F16" s="2">
        <v>1.4304548337946699E-3</v>
      </c>
    </row>
    <row r="17" spans="1:6">
      <c r="A17" t="s">
        <v>33</v>
      </c>
      <c r="B17">
        <v>2021</v>
      </c>
      <c r="D17" s="2">
        <v>-1.1487950707378403E-5</v>
      </c>
      <c r="E17" s="2">
        <v>6.0131716906641763E-4</v>
      </c>
      <c r="F17" s="2">
        <v>-5.0612764732078652E-3</v>
      </c>
    </row>
    <row r="18" spans="1:6">
      <c r="A18" t="s">
        <v>34</v>
      </c>
      <c r="B18">
        <v>2023</v>
      </c>
      <c r="D18" s="2">
        <v>-4.2750779579816545E-3</v>
      </c>
      <c r="E18" s="2">
        <v>1.0268328057018827E-2</v>
      </c>
      <c r="F18" s="2">
        <v>2.1347171055818848E-3</v>
      </c>
    </row>
    <row r="19" spans="1:6">
      <c r="A19" t="s">
        <v>36</v>
      </c>
      <c r="B19">
        <v>2012</v>
      </c>
    </row>
    <row r="20" spans="1:6">
      <c r="A20" t="s">
        <v>37</v>
      </c>
      <c r="B20">
        <v>2016</v>
      </c>
    </row>
    <row r="21" spans="1:6">
      <c r="A21" t="s">
        <v>38</v>
      </c>
      <c r="B21">
        <v>2022</v>
      </c>
      <c r="D21" s="2">
        <v>-2.8020933376929902E-3</v>
      </c>
      <c r="E21" s="2">
        <v>-2.9923304268267836E-3</v>
      </c>
      <c r="F21" s="2">
        <v>-8.0551586302191058E-4</v>
      </c>
    </row>
    <row r="22" spans="1:6">
      <c r="A22" t="s">
        <v>40</v>
      </c>
      <c r="B22">
        <v>2014</v>
      </c>
    </row>
    <row r="23" spans="1:6">
      <c r="A23" t="s">
        <v>42</v>
      </c>
      <c r="B23">
        <v>2022</v>
      </c>
      <c r="D23" s="2">
        <v>-1.3236162809466379E-2</v>
      </c>
      <c r="E23" s="2">
        <v>1.0059794191099369E-2</v>
      </c>
      <c r="F23" s="2">
        <v>-1.056002448907134E-3</v>
      </c>
    </row>
    <row r="24" spans="1:6">
      <c r="A24" t="s">
        <v>44</v>
      </c>
      <c r="B24">
        <v>2022</v>
      </c>
      <c r="D24" s="2">
        <v>-7.5761747656282186E-3</v>
      </c>
      <c r="E24" s="2">
        <v>1.1716898807063281E-2</v>
      </c>
      <c r="F24" s="2">
        <v>-2.0795453200661562E-4</v>
      </c>
    </row>
    <row r="25" spans="1:6">
      <c r="A25" t="s">
        <v>45</v>
      </c>
      <c r="B25">
        <v>2022</v>
      </c>
      <c r="D25" s="2">
        <v>-4.3314764796279492E-3</v>
      </c>
      <c r="E25" s="2">
        <v>-2.1638279115611114E-3</v>
      </c>
      <c r="F25" s="2">
        <v>1.7982058038601423E-4</v>
      </c>
    </row>
    <row r="26" spans="1:6">
      <c r="A26" t="s">
        <v>46</v>
      </c>
      <c r="B26">
        <v>2022</v>
      </c>
      <c r="D26" s="2">
        <v>-4.9663851958788863E-3</v>
      </c>
      <c r="E26" s="2">
        <v>4.613301234350331E-3</v>
      </c>
      <c r="F26" s="2">
        <v>9.4883875307205656E-4</v>
      </c>
    </row>
    <row r="27" spans="1:6">
      <c r="A27" t="s">
        <v>49</v>
      </c>
      <c r="B27">
        <v>2017</v>
      </c>
    </row>
    <row r="28" spans="1:6">
      <c r="A28" t="s">
        <v>47</v>
      </c>
      <c r="B28">
        <v>2015</v>
      </c>
    </row>
    <row r="29" spans="1:6">
      <c r="A29" t="s">
        <v>50</v>
      </c>
      <c r="B29">
        <v>2021</v>
      </c>
      <c r="D29" s="2">
        <v>-1.3145227297679529E-3</v>
      </c>
      <c r="E29" s="2">
        <v>-1.982926882149072E-3</v>
      </c>
      <c r="F29" s="2">
        <v>3.8371019067253709E-3</v>
      </c>
    </row>
    <row r="30" spans="1:6">
      <c r="A30" t="s">
        <v>51</v>
      </c>
      <c r="B30">
        <v>2021</v>
      </c>
      <c r="D30" s="2">
        <v>-5.1188141041613733E-4</v>
      </c>
      <c r="E30" s="2">
        <v>6.8184481100415084E-3</v>
      </c>
      <c r="F30" s="2">
        <v>-5.6634974696436746E-3</v>
      </c>
    </row>
  </sheetData>
  <conditionalFormatting sqref="D5:F30">
    <cfRule type="colorScale" priority="2">
      <colorScale>
        <cfvo type="min"/>
        <cfvo type="percentile" val="50"/>
        <cfvo type="max"/>
        <color rgb="FFF8696B"/>
        <color rgb="FFFFEB84"/>
        <color rgb="FF63BE7B"/>
      </colorScale>
    </cfRule>
  </conditionalFormatting>
  <conditionalFormatting sqref="D5:F31">
    <cfRule type="colorScale" priority="1">
      <colorScale>
        <cfvo type="min"/>
        <cfvo type="max"/>
        <color rgb="FFFCFCFF"/>
        <color rgb="FFF8696B"/>
      </colorScale>
    </cfRule>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F6591-48EC-4C44-BF02-F5CABCD1F36F}">
  <dimension ref="B2:N67"/>
  <sheetViews>
    <sheetView zoomScale="81" zoomScaleNormal="81" workbookViewId="0">
      <selection activeCell="A13" sqref="A13"/>
    </sheetView>
  </sheetViews>
  <sheetFormatPr defaultRowHeight="14.5"/>
  <sheetData>
    <row r="2" spans="2:14">
      <c r="B2" s="6" t="s">
        <v>1117</v>
      </c>
    </row>
    <row r="3" spans="2:14">
      <c r="N3" t="s">
        <v>1118</v>
      </c>
    </row>
    <row r="24" spans="3:3">
      <c r="C24" t="s">
        <v>1119</v>
      </c>
    </row>
    <row r="45" spans="3:3">
      <c r="C45" t="s">
        <v>1120</v>
      </c>
    </row>
    <row r="67" spans="4:4">
      <c r="D67" t="s">
        <v>1121</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17E5B-7960-470B-8B9A-661B32ABBE90}">
  <sheetPr>
    <tabColor rgb="FFE4D3F1"/>
  </sheetPr>
  <dimension ref="A1:J21"/>
  <sheetViews>
    <sheetView zoomScale="97" workbookViewId="0">
      <pane ySplit="3" topLeftCell="A8" activePane="bottomLeft" state="frozen"/>
      <selection pane="bottomLeft" activeCell="K8" sqref="K8"/>
    </sheetView>
  </sheetViews>
  <sheetFormatPr defaultRowHeight="14.5"/>
  <cols>
    <col min="2" max="2" width="10.36328125" bestFit="1" customWidth="1"/>
    <col min="3" max="4" width="10.36328125" customWidth="1"/>
    <col min="5" max="5" width="11.36328125" bestFit="1" customWidth="1"/>
    <col min="6" max="7" width="11.36328125" customWidth="1"/>
    <col min="8" max="8" width="13.453125" bestFit="1" customWidth="1"/>
    <col min="9" max="10" width="10.36328125" bestFit="1" customWidth="1"/>
  </cols>
  <sheetData>
    <row r="1" spans="1:10" ht="36">
      <c r="A1" s="195" t="s">
        <v>1130</v>
      </c>
    </row>
    <row r="2" spans="1:10" ht="36">
      <c r="A2" s="195"/>
      <c r="B2" s="9372" t="s">
        <v>1137</v>
      </c>
      <c r="C2" s="9372"/>
      <c r="D2" s="9372"/>
      <c r="E2" s="9372" t="s">
        <v>1138</v>
      </c>
      <c r="F2" s="9372"/>
      <c r="G2" s="9372"/>
      <c r="H2" s="9372" t="s">
        <v>1139</v>
      </c>
      <c r="I2" s="9372"/>
      <c r="J2" s="9372"/>
    </row>
    <row r="3" spans="1:10">
      <c r="A3" t="s">
        <v>995</v>
      </c>
      <c r="B3" s="200" t="s">
        <v>1141</v>
      </c>
      <c r="C3" s="200" t="s">
        <v>1142</v>
      </c>
      <c r="D3" s="200" t="s">
        <v>1102</v>
      </c>
      <c r="E3" s="200" t="s">
        <v>1141</v>
      </c>
      <c r="F3" s="200" t="s">
        <v>1142</v>
      </c>
      <c r="G3" s="200" t="s">
        <v>1102</v>
      </c>
      <c r="H3" s="200" t="s">
        <v>1141</v>
      </c>
      <c r="I3" s="200" t="s">
        <v>1142</v>
      </c>
      <c r="J3" s="200" t="s">
        <v>1102</v>
      </c>
    </row>
    <row r="4" spans="1:10">
      <c r="A4" t="s">
        <v>10</v>
      </c>
      <c r="B4" s="198">
        <v>0.1955114</v>
      </c>
      <c r="C4" s="198">
        <v>0.25368760000000001</v>
      </c>
      <c r="D4" s="198">
        <v>0.50229710000000005</v>
      </c>
      <c r="E4" s="198">
        <v>33.583880000000001</v>
      </c>
      <c r="F4" s="198">
        <v>34.109369999999998</v>
      </c>
      <c r="G4" s="198">
        <v>37.8309</v>
      </c>
      <c r="H4" s="198">
        <v>92.699520000000007</v>
      </c>
      <c r="I4" s="198">
        <v>201.09110000000001</v>
      </c>
      <c r="J4" s="198">
        <v>569.25400000000002</v>
      </c>
    </row>
    <row r="5" spans="1:10">
      <c r="A5" t="s">
        <v>15</v>
      </c>
      <c r="B5" s="198">
        <v>1.29929E-2</v>
      </c>
      <c r="C5" s="198">
        <v>4.3472900000000002E-2</v>
      </c>
      <c r="D5" s="198">
        <v>0.23193130000000001</v>
      </c>
      <c r="E5" s="198">
        <v>34.61786</v>
      </c>
      <c r="F5" s="198">
        <v>39.832659999999997</v>
      </c>
      <c r="G5" s="198">
        <v>44.200310000000002</v>
      </c>
      <c r="H5" s="198">
        <v>3.125934</v>
      </c>
      <c r="I5" s="198">
        <v>7.6019050000000004</v>
      </c>
      <c r="J5" s="198">
        <v>21.077000000000002</v>
      </c>
    </row>
    <row r="6" spans="1:10">
      <c r="A6" t="s">
        <v>17</v>
      </c>
      <c r="B6" s="198">
        <v>0.18323519999999999</v>
      </c>
      <c r="C6" s="198">
        <v>0.44709169999999998</v>
      </c>
      <c r="D6" s="198">
        <v>0.69157060000000004</v>
      </c>
      <c r="E6" s="198">
        <v>30.989049999999999</v>
      </c>
      <c r="F6" s="198">
        <v>36.585299999999997</v>
      </c>
      <c r="G6" s="198">
        <v>39.30988</v>
      </c>
      <c r="H6" s="198">
        <v>4.8869160000000003</v>
      </c>
      <c r="I6" s="198">
        <v>7.189025</v>
      </c>
      <c r="J6" s="198">
        <v>19.391459999999999</v>
      </c>
    </row>
    <row r="7" spans="1:10">
      <c r="A7" t="s">
        <v>21</v>
      </c>
      <c r="B7" s="198">
        <v>0.21352869999999999</v>
      </c>
      <c r="C7" s="198">
        <v>0.39082529999999999</v>
      </c>
      <c r="D7" s="198">
        <v>0.71603819999999996</v>
      </c>
      <c r="E7" s="198">
        <v>30.385069999999999</v>
      </c>
      <c r="F7" s="198">
        <v>35.8429</v>
      </c>
      <c r="G7" s="198">
        <v>41.520400000000002</v>
      </c>
      <c r="H7" s="198">
        <v>1731.248</v>
      </c>
      <c r="I7" s="198">
        <v>2180.7730000000001</v>
      </c>
      <c r="J7" s="198">
        <v>5202.0389999999998</v>
      </c>
    </row>
    <row r="8" spans="1:10">
      <c r="A8" t="s">
        <v>23</v>
      </c>
      <c r="B8" s="198">
        <v>1.9190800000000001E-2</v>
      </c>
      <c r="C8" s="198">
        <v>0.1378655</v>
      </c>
      <c r="D8" s="198">
        <v>0.53575930000000005</v>
      </c>
      <c r="E8" s="198">
        <v>38.062080000000002</v>
      </c>
      <c r="F8" s="198">
        <v>42.772509999999997</v>
      </c>
      <c r="G8" s="198">
        <v>46.47063</v>
      </c>
      <c r="H8" s="198">
        <v>1845.711</v>
      </c>
      <c r="I8" s="198">
        <v>3383.1840000000002</v>
      </c>
      <c r="J8" s="198">
        <v>10111.120000000001</v>
      </c>
    </row>
    <row r="9" spans="1:10">
      <c r="A9" t="s">
        <v>25</v>
      </c>
      <c r="B9" s="198">
        <v>0.26650020000000002</v>
      </c>
      <c r="C9" s="198">
        <v>0.46371689999999999</v>
      </c>
      <c r="D9" s="198">
        <v>0.78652140000000004</v>
      </c>
      <c r="E9" s="198">
        <v>28.65692</v>
      </c>
      <c r="F9" s="198">
        <v>36.733899999999998</v>
      </c>
      <c r="G9" s="198">
        <v>44.313450000000003</v>
      </c>
      <c r="H9" s="198">
        <v>895.11059999999998</v>
      </c>
      <c r="I9" s="198">
        <v>1315.059</v>
      </c>
      <c r="J9" s="198">
        <v>3153.7139999999999</v>
      </c>
    </row>
    <row r="10" spans="1:10">
      <c r="A10" t="s">
        <v>27</v>
      </c>
      <c r="B10" s="198">
        <v>0.134382</v>
      </c>
      <c r="C10" s="198">
        <v>0.28262369999999998</v>
      </c>
      <c r="D10" s="198">
        <v>0.4456656</v>
      </c>
      <c r="E10" s="198">
        <v>39.498759999999997</v>
      </c>
      <c r="F10" s="198">
        <v>42.395440000000001</v>
      </c>
      <c r="G10" s="198">
        <v>44.24926</v>
      </c>
      <c r="H10" s="198">
        <v>48.488810000000001</v>
      </c>
      <c r="I10" s="198">
        <v>68.010570000000001</v>
      </c>
      <c r="J10" s="198">
        <v>127.48909999999999</v>
      </c>
    </row>
    <row r="11" spans="1:10">
      <c r="A11" t="s">
        <v>29</v>
      </c>
      <c r="B11" s="198">
        <v>4.6788799999999998E-2</v>
      </c>
      <c r="C11" s="198">
        <v>0.1248214</v>
      </c>
      <c r="D11" s="198">
        <v>0.3739884</v>
      </c>
      <c r="E11" s="198">
        <v>28.455010000000001</v>
      </c>
      <c r="F11" s="198">
        <v>31.08183</v>
      </c>
      <c r="G11" s="198">
        <v>38.084090000000003</v>
      </c>
      <c r="H11" s="198">
        <v>1.072344</v>
      </c>
      <c r="I11" s="198">
        <v>1.6966060000000001</v>
      </c>
      <c r="J11" s="198">
        <v>3.1166969999999998</v>
      </c>
    </row>
    <row r="12" spans="1:10">
      <c r="A12" t="s">
        <v>31</v>
      </c>
      <c r="B12" s="198">
        <v>2.2562200000000001E-2</v>
      </c>
      <c r="C12" s="198">
        <v>0.1094566</v>
      </c>
      <c r="D12" s="198">
        <v>0.24658720000000001</v>
      </c>
      <c r="E12" s="198">
        <v>34.511809999999997</v>
      </c>
      <c r="F12" s="198">
        <v>38.677410000000002</v>
      </c>
      <c r="G12" s="198">
        <v>38.906700000000001</v>
      </c>
      <c r="H12" s="198">
        <v>10.16436</v>
      </c>
      <c r="I12" s="198">
        <v>17.434989999999999</v>
      </c>
      <c r="J12" s="198">
        <v>39.189149999999998</v>
      </c>
    </row>
    <row r="13" spans="1:10">
      <c r="A13" t="s">
        <v>38</v>
      </c>
      <c r="B13" s="198">
        <v>2.3364300000000001E-2</v>
      </c>
      <c r="C13" s="198">
        <v>0.12963240000000001</v>
      </c>
      <c r="D13" s="198">
        <v>0.3805135</v>
      </c>
      <c r="E13" s="198">
        <v>39.288539999999998</v>
      </c>
      <c r="F13" s="198">
        <v>43.961500000000001</v>
      </c>
      <c r="G13" s="198">
        <v>46.18291</v>
      </c>
      <c r="H13" s="198">
        <v>11.79921</v>
      </c>
      <c r="I13" s="198">
        <v>23.668109999999999</v>
      </c>
      <c r="J13" s="198">
        <v>58.30162</v>
      </c>
    </row>
    <row r="14" spans="1:10">
      <c r="A14" t="s">
        <v>40</v>
      </c>
      <c r="B14" s="198">
        <v>3.3214300000000002E-2</v>
      </c>
      <c r="C14" s="198">
        <v>0.12454270000000001</v>
      </c>
      <c r="D14" s="198">
        <v>0.2678796</v>
      </c>
      <c r="E14" s="198">
        <v>30.498719999999999</v>
      </c>
      <c r="F14" s="198">
        <v>35.913310000000003</v>
      </c>
      <c r="G14" s="198">
        <v>40.211689999999997</v>
      </c>
      <c r="H14" s="198">
        <v>10.01539</v>
      </c>
      <c r="I14" s="198">
        <v>16.087710000000001</v>
      </c>
      <c r="J14" s="198">
        <v>32.894129999999997</v>
      </c>
    </row>
    <row r="15" spans="1:10">
      <c r="A15" t="s">
        <v>42</v>
      </c>
      <c r="B15" s="198">
        <v>2.5514700000000001E-2</v>
      </c>
      <c r="C15" s="198">
        <v>7.6370900000000005E-2</v>
      </c>
      <c r="D15" s="198">
        <v>0.49678030000000001</v>
      </c>
      <c r="E15" s="198">
        <v>20.578589999999998</v>
      </c>
      <c r="F15" s="198">
        <v>25.412669999999999</v>
      </c>
      <c r="G15" s="198">
        <v>38.432319999999997</v>
      </c>
      <c r="H15" s="198">
        <v>0.66170090000000004</v>
      </c>
      <c r="I15" s="198">
        <v>1.5882860000000001</v>
      </c>
      <c r="J15" s="198">
        <v>5.2983370000000001</v>
      </c>
    </row>
    <row r="16" spans="1:10">
      <c r="A16" t="s">
        <v>44</v>
      </c>
      <c r="B16" s="198">
        <v>1.0865700000000001E-2</v>
      </c>
      <c r="C16" s="198">
        <v>5.7815999999999999E-2</v>
      </c>
      <c r="D16" s="198">
        <v>0.2459102</v>
      </c>
      <c r="E16" s="198">
        <v>35.392910000000001</v>
      </c>
      <c r="F16" s="198">
        <v>39.492759999999997</v>
      </c>
      <c r="G16" s="198">
        <v>44.593240000000002</v>
      </c>
      <c r="H16" s="198">
        <v>2.4078249999999999</v>
      </c>
      <c r="I16" s="198">
        <v>4.2624459999999997</v>
      </c>
      <c r="J16" s="198">
        <v>9.3347850000000001</v>
      </c>
    </row>
    <row r="17" spans="1:10">
      <c r="A17" t="s">
        <v>45</v>
      </c>
      <c r="B17" s="198">
        <v>1.06377E-2</v>
      </c>
      <c r="C17" s="198">
        <v>6.7382399999999995E-2</v>
      </c>
      <c r="D17" s="198">
        <v>0.28709610000000002</v>
      </c>
      <c r="E17" s="198">
        <v>32.367640000000002</v>
      </c>
      <c r="F17" s="198">
        <v>38.19209</v>
      </c>
      <c r="G17" s="198">
        <v>42.66133</v>
      </c>
      <c r="H17" s="198">
        <v>4753.0349999999999</v>
      </c>
      <c r="I17" s="198">
        <v>8357.02</v>
      </c>
      <c r="J17" s="198">
        <v>19338.38</v>
      </c>
    </row>
    <row r="18" spans="1:10">
      <c r="A18" t="s">
        <v>46</v>
      </c>
      <c r="B18" s="198">
        <v>2.0667999999999999E-2</v>
      </c>
      <c r="C18" s="198">
        <v>0.15470900000000001</v>
      </c>
      <c r="D18" s="198">
        <v>0.38822050000000002</v>
      </c>
      <c r="E18" s="198">
        <v>37.0261</v>
      </c>
      <c r="F18" s="198">
        <v>42.474490000000003</v>
      </c>
      <c r="G18" s="198">
        <v>45.118899999999996</v>
      </c>
      <c r="H18" s="198">
        <v>0.77616390000000002</v>
      </c>
      <c r="I18" s="198">
        <v>1.3096840000000001</v>
      </c>
      <c r="J18" s="198">
        <v>2.4341759999999999</v>
      </c>
    </row>
    <row r="19" spans="1:10">
      <c r="A19" t="s">
        <v>50</v>
      </c>
      <c r="B19" s="198">
        <v>0.2218416</v>
      </c>
      <c r="C19" s="198">
        <v>0.4287745</v>
      </c>
      <c r="D19" s="198">
        <v>0.81394440000000001</v>
      </c>
      <c r="E19" s="198">
        <v>27.399750000000001</v>
      </c>
      <c r="F19" s="198">
        <v>34.202669999999998</v>
      </c>
      <c r="G19" s="198">
        <v>39.933570000000003</v>
      </c>
      <c r="H19" s="198">
        <v>94.802220000000005</v>
      </c>
      <c r="I19" s="198">
        <v>117.6597</v>
      </c>
      <c r="J19" s="198">
        <v>267.8331</v>
      </c>
    </row>
    <row r="20" spans="1:10">
      <c r="A20" t="s">
        <v>51</v>
      </c>
      <c r="B20" s="198">
        <v>4.3197600000000003E-2</v>
      </c>
      <c r="C20" s="198">
        <v>4.56166E-2</v>
      </c>
      <c r="D20" s="198">
        <v>4.4739800000000003E-2</v>
      </c>
      <c r="E20" s="198">
        <v>44.504860000000001</v>
      </c>
      <c r="F20" s="198">
        <v>37.351410000000001</v>
      </c>
      <c r="G20" s="198">
        <v>41.138809999999999</v>
      </c>
      <c r="H20" s="198">
        <v>91.808359999999993</v>
      </c>
      <c r="I20" s="198">
        <v>289.33510000000001</v>
      </c>
      <c r="J20" s="198">
        <v>1384.59</v>
      </c>
    </row>
    <row r="21" spans="1:10">
      <c r="A21" s="201" t="s">
        <v>0</v>
      </c>
      <c r="B21" s="202">
        <f t="shared" ref="B21:G21" si="0">AVERAGE(B4:B20)</f>
        <v>8.7293888235294131E-2</v>
      </c>
      <c r="C21" s="202">
        <f t="shared" si="0"/>
        <v>0.19637682941176471</v>
      </c>
      <c r="D21" s="202">
        <f t="shared" si="0"/>
        <v>0.4385555000000001</v>
      </c>
      <c r="E21" s="203">
        <f t="shared" si="0"/>
        <v>33.28338529411765</v>
      </c>
      <c r="F21" s="203">
        <f t="shared" si="0"/>
        <v>37.354836470588232</v>
      </c>
      <c r="G21" s="203">
        <f t="shared" si="0"/>
        <v>41.950493529411766</v>
      </c>
      <c r="H21" s="202">
        <v>0.24827668938861472</v>
      </c>
      <c r="I21" s="202">
        <v>0.41459170775699333</v>
      </c>
      <c r="J21" s="202">
        <v>1</v>
      </c>
    </row>
  </sheetData>
  <autoFilter ref="A3:J3" xr:uid="{00000000-0009-0000-0000-000021000000}"/>
  <mergeCells count="3">
    <mergeCell ref="B2:D2"/>
    <mergeCell ref="E2:G2"/>
    <mergeCell ref="H2:J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D0C47-E6DF-41F1-854A-0E9306F8A275}">
  <sheetPr>
    <tabColor rgb="FFE4D3F1"/>
  </sheetPr>
  <dimension ref="A1:D21"/>
  <sheetViews>
    <sheetView topLeftCell="A11" workbookViewId="0">
      <selection sqref="A1:D21"/>
    </sheetView>
  </sheetViews>
  <sheetFormatPr defaultRowHeight="14.5"/>
  <sheetData>
    <row r="1" spans="1:4" ht="36">
      <c r="A1" s="195" t="s">
        <v>1131</v>
      </c>
    </row>
    <row r="2" spans="1:4" ht="36">
      <c r="A2" s="195"/>
      <c r="B2" s="9372" t="s">
        <v>1140</v>
      </c>
      <c r="C2" s="9372"/>
      <c r="D2" s="9372"/>
    </row>
    <row r="3" spans="1:4">
      <c r="A3" t="s">
        <v>995</v>
      </c>
      <c r="B3" s="200" t="s">
        <v>1141</v>
      </c>
      <c r="C3" s="200" t="s">
        <v>1142</v>
      </c>
      <c r="D3" s="200" t="s">
        <v>1102</v>
      </c>
    </row>
    <row r="4" spans="1:4">
      <c r="A4" t="s">
        <v>10</v>
      </c>
      <c r="B4" s="198">
        <v>9.6912859999999998</v>
      </c>
      <c r="C4" s="198">
        <v>9.2749360000000003</v>
      </c>
      <c r="D4" s="198">
        <v>11.305770000000001</v>
      </c>
    </row>
    <row r="5" spans="1:4">
      <c r="A5" t="s">
        <v>15</v>
      </c>
      <c r="B5" s="198">
        <v>6.1217779999999999</v>
      </c>
      <c r="C5" s="198">
        <v>6.9802419999999996</v>
      </c>
      <c r="D5" s="198">
        <v>10.431889999999999</v>
      </c>
    </row>
    <row r="6" spans="1:4">
      <c r="A6" t="s">
        <v>17</v>
      </c>
      <c r="B6" s="198">
        <v>7.1986109999999996</v>
      </c>
      <c r="C6" s="198">
        <v>8.0146110000000004</v>
      </c>
      <c r="D6" s="198">
        <v>10.27501</v>
      </c>
    </row>
    <row r="7" spans="1:4">
      <c r="A7" t="s">
        <v>21</v>
      </c>
      <c r="B7" s="198">
        <v>9.975479</v>
      </c>
      <c r="C7" s="198">
        <v>8.8697350000000004</v>
      </c>
      <c r="D7" s="198">
        <v>11.302899999999999</v>
      </c>
    </row>
    <row r="8" spans="1:4">
      <c r="A8" t="s">
        <v>23</v>
      </c>
      <c r="B8" s="198">
        <v>5.9743700000000004</v>
      </c>
      <c r="C8" s="198">
        <v>7.1773030000000002</v>
      </c>
      <c r="D8" s="198">
        <v>10.071820000000001</v>
      </c>
    </row>
    <row r="9" spans="1:4">
      <c r="A9" t="s">
        <v>25</v>
      </c>
      <c r="B9" s="198">
        <v>6.0424699999999998</v>
      </c>
      <c r="C9" s="198">
        <v>6.3019949999999998</v>
      </c>
      <c r="D9" s="198">
        <v>9.3641769999999998</v>
      </c>
    </row>
    <row r="10" spans="1:4">
      <c r="A10" t="s">
        <v>27</v>
      </c>
      <c r="B10" s="198">
        <v>6.4823849999999998</v>
      </c>
      <c r="C10" s="198">
        <v>7.609801</v>
      </c>
      <c r="D10" s="198">
        <v>9.1155910000000002</v>
      </c>
    </row>
    <row r="11" spans="1:4">
      <c r="A11" t="s">
        <v>29</v>
      </c>
      <c r="B11" s="198">
        <v>6.6615859999999998</v>
      </c>
      <c r="C11" s="198">
        <v>7.0573880000000004</v>
      </c>
      <c r="D11" s="198">
        <v>9.6067370000000007</v>
      </c>
    </row>
    <row r="12" spans="1:4">
      <c r="A12" t="s">
        <v>31</v>
      </c>
      <c r="B12" s="198">
        <v>3.4379240000000002</v>
      </c>
      <c r="C12" s="198">
        <v>4.9689670000000001</v>
      </c>
      <c r="D12" s="198">
        <v>7.6221759999999996</v>
      </c>
    </row>
    <row r="13" spans="1:4">
      <c r="A13" t="s">
        <v>38</v>
      </c>
      <c r="B13" s="198">
        <v>5.6628340000000001</v>
      </c>
      <c r="C13" s="198">
        <v>7.0965350000000003</v>
      </c>
      <c r="D13" s="198">
        <v>10.126289999999999</v>
      </c>
    </row>
    <row r="14" spans="1:4">
      <c r="A14" t="s">
        <v>40</v>
      </c>
      <c r="B14" s="198">
        <v>3.5261819999999999</v>
      </c>
      <c r="C14" s="198">
        <v>5.0107359999999996</v>
      </c>
      <c r="D14" s="198">
        <v>8.0043369999999996</v>
      </c>
    </row>
    <row r="15" spans="1:4">
      <c r="A15" t="s">
        <v>42</v>
      </c>
      <c r="B15" s="198">
        <v>6.1230229999999999</v>
      </c>
      <c r="C15" s="198">
        <v>7.0668160000000002</v>
      </c>
      <c r="D15" s="198">
        <v>10.71687</v>
      </c>
    </row>
    <row r="16" spans="1:4">
      <c r="A16" t="s">
        <v>44</v>
      </c>
      <c r="B16" s="198">
        <v>6.7242519999999999</v>
      </c>
      <c r="C16" s="198">
        <v>7.5573779999999999</v>
      </c>
      <c r="D16" s="198">
        <v>10.025359999999999</v>
      </c>
    </row>
    <row r="17" spans="1:4">
      <c r="A17" t="s">
        <v>45</v>
      </c>
      <c r="B17" s="198">
        <v>6.5042410000000004</v>
      </c>
      <c r="C17" s="198">
        <v>7.2984590000000003</v>
      </c>
      <c r="D17" s="198">
        <v>10.59549</v>
      </c>
    </row>
    <row r="18" spans="1:4">
      <c r="A18" t="s">
        <v>46</v>
      </c>
      <c r="B18" s="198">
        <v>4.7085429999999997</v>
      </c>
      <c r="C18" s="198">
        <v>5.9686300000000001</v>
      </c>
      <c r="D18" s="198">
        <v>8.413081</v>
      </c>
    </row>
    <row r="19" spans="1:4">
      <c r="A19" t="s">
        <v>50</v>
      </c>
      <c r="B19" s="198">
        <v>7.1734900000000001</v>
      </c>
      <c r="C19" s="198">
        <v>7.7201089999999999</v>
      </c>
      <c r="D19" s="198">
        <v>10.31578</v>
      </c>
    </row>
    <row r="20" spans="1:4">
      <c r="A20" t="s">
        <v>51</v>
      </c>
      <c r="B20" s="198">
        <v>9.4948580000000007</v>
      </c>
      <c r="C20" s="198">
        <v>9.8544630000000009</v>
      </c>
      <c r="D20" s="198">
        <v>10.832319999999999</v>
      </c>
    </row>
    <row r="21" spans="1:4">
      <c r="A21" s="201" t="s">
        <v>0</v>
      </c>
      <c r="B21" s="204">
        <f t="shared" ref="B21:D21" si="0">AVERAGE(B4:B20)</f>
        <v>6.5590183529411776</v>
      </c>
      <c r="C21" s="204">
        <f t="shared" si="0"/>
        <v>7.284006117647059</v>
      </c>
      <c r="D21" s="204">
        <f t="shared" si="0"/>
        <v>9.8897411176470609</v>
      </c>
    </row>
  </sheetData>
  <mergeCells count="1">
    <mergeCell ref="B2:D2"/>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B18C8-FB91-426C-86CC-49D9ACA24251}">
  <dimension ref="A1"/>
  <sheetViews>
    <sheetView workbookViewId="0">
      <selection activeCell="P7" sqref="P7"/>
    </sheetView>
  </sheetViews>
  <sheetFormatPr defaultRowHeight="14.5"/>
  <sheetData>
    <row r="1" spans="1:1" ht="36">
      <c r="A1" s="195" t="s">
        <v>1132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DFB97-5A8B-454D-9C42-8B401EC3BD9E}">
  <dimension ref="A5:AG61"/>
  <sheetViews>
    <sheetView topLeftCell="A8" zoomScale="60" zoomScaleNormal="60" workbookViewId="0">
      <selection activeCell="N14" sqref="N14"/>
    </sheetView>
  </sheetViews>
  <sheetFormatPr defaultRowHeight="14.5"/>
  <cols>
    <col min="11" max="11" width="11.453125" bestFit="1" customWidth="1"/>
    <col min="12" max="15" width="12.26953125" bestFit="1" customWidth="1"/>
    <col min="16" max="16" width="13.54296875" customWidth="1"/>
    <col min="17" max="17" width="10.1796875" bestFit="1" customWidth="1"/>
    <col min="18" max="18" width="10.54296875" bestFit="1" customWidth="1"/>
  </cols>
  <sheetData>
    <row r="5" spans="1:18">
      <c r="M5" s="35">
        <v>0.38918890782982163</v>
      </c>
      <c r="N5" s="35">
        <v>0.21729263179636468</v>
      </c>
      <c r="O5" s="35">
        <v>0.19084022381551577</v>
      </c>
      <c r="P5" s="35">
        <v>0.11919848487044964</v>
      </c>
      <c r="Q5" s="35">
        <v>5.8751429940954107E-2</v>
      </c>
      <c r="R5" s="123">
        <v>2.4728331276044659E-2</v>
      </c>
    </row>
    <row r="6" spans="1:18">
      <c r="M6">
        <v>1</v>
      </c>
      <c r="N6">
        <v>2</v>
      </c>
      <c r="O6">
        <v>3</v>
      </c>
      <c r="P6">
        <v>4</v>
      </c>
      <c r="Q6">
        <v>5</v>
      </c>
      <c r="R6">
        <v>6</v>
      </c>
    </row>
    <row r="7" spans="1:18" ht="15" thickBot="1">
      <c r="A7" s="184" t="s">
        <v>1122</v>
      </c>
      <c r="B7" s="185">
        <v>1</v>
      </c>
      <c r="C7" s="185">
        <v>2</v>
      </c>
      <c r="D7" s="185">
        <v>3</v>
      </c>
      <c r="E7" s="186" t="s">
        <v>901</v>
      </c>
      <c r="H7" s="126" t="s">
        <v>900</v>
      </c>
      <c r="I7" s="126" t="s">
        <v>1014</v>
      </c>
      <c r="J7" s="126" t="s">
        <v>1123</v>
      </c>
    </row>
    <row r="8" spans="1:18" ht="15" thickTop="1">
      <c r="A8" s="187">
        <v>1</v>
      </c>
      <c r="B8" s="188">
        <v>31437212.88410056</v>
      </c>
      <c r="C8" s="188">
        <v>35298295.25043714</v>
      </c>
      <c r="D8" s="188">
        <v>69891730.351583838</v>
      </c>
      <c r="E8" s="189">
        <v>136627238.48612151</v>
      </c>
      <c r="G8" s="120">
        <v>1</v>
      </c>
      <c r="H8" s="35">
        <f>B8/$B$14</f>
        <v>0.37342642950231325</v>
      </c>
      <c r="I8" s="35">
        <f t="shared" ref="I8:I14" si="0">C8/$C$14</f>
        <v>0.32844001972927767</v>
      </c>
      <c r="J8" s="35">
        <f t="shared" ref="J8:J14" si="1">D8/$D$14</f>
        <v>0.19164107878261763</v>
      </c>
    </row>
    <row r="9" spans="1:18">
      <c r="A9" s="187">
        <v>2</v>
      </c>
      <c r="B9" s="188">
        <v>18477323.525931839</v>
      </c>
      <c r="C9" s="188">
        <v>25036289.90694249</v>
      </c>
      <c r="D9" s="188">
        <v>85835088.070258856</v>
      </c>
      <c r="E9" s="189">
        <v>129348701.50313319</v>
      </c>
      <c r="G9" s="120">
        <v>2</v>
      </c>
      <c r="H9" s="35">
        <f t="shared" ref="H9:H14" si="2">B9/$B$14</f>
        <v>0.21948259142710039</v>
      </c>
      <c r="I9" s="35">
        <f t="shared" si="0"/>
        <v>0.23295514677531837</v>
      </c>
      <c r="J9" s="35">
        <f t="shared" si="1"/>
        <v>0.23535729895994245</v>
      </c>
    </row>
    <row r="10" spans="1:18">
      <c r="A10" s="187">
        <v>3</v>
      </c>
      <c r="B10" s="188">
        <v>15929532.11032236</v>
      </c>
      <c r="C10" s="188">
        <v>21988328.8469739</v>
      </c>
      <c r="D10" s="188">
        <v>80301778.912592411</v>
      </c>
      <c r="E10" s="189">
        <v>118219639.86988869</v>
      </c>
      <c r="G10" s="120">
        <v>3</v>
      </c>
      <c r="H10" s="35">
        <f t="shared" si="2"/>
        <v>0.18921869192191013</v>
      </c>
      <c r="I10" s="35">
        <f t="shared" si="0"/>
        <v>0.20459478592594402</v>
      </c>
      <c r="J10" s="35">
        <f t="shared" si="1"/>
        <v>0.22018512721832659</v>
      </c>
    </row>
    <row r="11" spans="1:18">
      <c r="A11" s="187">
        <v>4</v>
      </c>
      <c r="B11" s="188">
        <v>10309337.024907591</v>
      </c>
      <c r="C11" s="188">
        <v>14361468.780714391</v>
      </c>
      <c r="D11" s="188">
        <v>69448514.986573696</v>
      </c>
      <c r="E11" s="189">
        <v>94119320.792195678</v>
      </c>
      <c r="G11" s="120">
        <v>4</v>
      </c>
      <c r="H11" s="35">
        <f t="shared" si="2"/>
        <v>0.12245929465631085</v>
      </c>
      <c r="I11" s="35">
        <f t="shared" si="0"/>
        <v>0.1336291471362438</v>
      </c>
      <c r="J11" s="35">
        <f t="shared" si="1"/>
        <v>0.19042579522537414</v>
      </c>
    </row>
    <row r="12" spans="1:18">
      <c r="A12" s="187">
        <v>5</v>
      </c>
      <c r="B12" s="188">
        <v>5647779.9533890486</v>
      </c>
      <c r="C12" s="188">
        <v>7874487.1674304008</v>
      </c>
      <c r="D12" s="188">
        <v>43480210.706473351</v>
      </c>
      <c r="E12" s="189">
        <v>57002477.8272928</v>
      </c>
      <c r="G12" s="120">
        <v>5</v>
      </c>
      <c r="H12" s="35">
        <f t="shared" si="2"/>
        <v>6.7087063677819234E-2</v>
      </c>
      <c r="I12" s="35">
        <f t="shared" si="0"/>
        <v>7.3269734480923845E-2</v>
      </c>
      <c r="J12" s="35">
        <f t="shared" si="1"/>
        <v>0.11922146502265338</v>
      </c>
    </row>
    <row r="13" spans="1:18" ht="15" thickBot="1">
      <c r="A13" s="187">
        <v>6</v>
      </c>
      <c r="B13" s="188">
        <v>2384641.7498342991</v>
      </c>
      <c r="C13" s="188">
        <v>2913706.865431428</v>
      </c>
      <c r="D13" s="188">
        <v>15743871.494927291</v>
      </c>
      <c r="E13" s="189">
        <v>21042220.11019301</v>
      </c>
      <c r="G13" s="120">
        <v>6</v>
      </c>
      <c r="H13" s="35">
        <f t="shared" si="2"/>
        <v>2.8325928814546316E-2</v>
      </c>
      <c r="I13" s="35">
        <f t="shared" si="0"/>
        <v>2.71111659522928E-2</v>
      </c>
      <c r="J13" s="35">
        <f t="shared" si="1"/>
        <v>4.3169234791085635E-2</v>
      </c>
    </row>
    <row r="14" spans="1:18" ht="15" thickTop="1">
      <c r="A14" s="190" t="s">
        <v>901</v>
      </c>
      <c r="B14" s="191">
        <v>84185827.248485684</v>
      </c>
      <c r="C14" s="191">
        <v>107472576.8179297</v>
      </c>
      <c r="D14" s="191">
        <v>364701194.5224095</v>
      </c>
      <c r="E14" s="192">
        <v>556359598.58882487</v>
      </c>
      <c r="H14" s="35">
        <f t="shared" si="2"/>
        <v>1</v>
      </c>
      <c r="I14" s="35">
        <f t="shared" si="0"/>
        <v>1</v>
      </c>
      <c r="J14" s="35">
        <f t="shared" si="1"/>
        <v>1</v>
      </c>
    </row>
    <row r="17" spans="1:33">
      <c r="D17" s="9373" t="s">
        <v>81</v>
      </c>
      <c r="E17" s="9373"/>
      <c r="K17" t="s">
        <v>1124</v>
      </c>
      <c r="Z17">
        <v>0.38918890782982163</v>
      </c>
      <c r="AA17">
        <v>0.21729263179636468</v>
      </c>
      <c r="AB17">
        <v>0.19084022381551577</v>
      </c>
      <c r="AC17">
        <v>0.11919848487044964</v>
      </c>
      <c r="AD17">
        <v>5.8751429940954107E-2</v>
      </c>
      <c r="AE17">
        <v>2.4728331276044659E-2</v>
      </c>
    </row>
    <row r="18" spans="1:33" ht="15" thickBot="1">
      <c r="A18" s="184" t="s">
        <v>1125</v>
      </c>
      <c r="B18" s="185">
        <v>1</v>
      </c>
      <c r="C18" s="185">
        <v>2</v>
      </c>
      <c r="D18" s="185">
        <v>3</v>
      </c>
      <c r="E18" s="185">
        <v>4</v>
      </c>
      <c r="F18" s="185">
        <v>5</v>
      </c>
      <c r="G18" s="185">
        <v>6</v>
      </c>
      <c r="H18" s="186" t="s">
        <v>901</v>
      </c>
      <c r="J18" s="125" t="s">
        <v>1126</v>
      </c>
      <c r="K18" s="125">
        <v>1</v>
      </c>
      <c r="L18" s="125">
        <v>2</v>
      </c>
      <c r="M18" s="125">
        <v>3</v>
      </c>
      <c r="N18" s="125">
        <v>4</v>
      </c>
      <c r="O18" s="125">
        <v>5</v>
      </c>
      <c r="P18" s="125">
        <v>6</v>
      </c>
      <c r="Q18" s="125" t="s">
        <v>901</v>
      </c>
      <c r="R18" t="s">
        <v>1127</v>
      </c>
      <c r="S18">
        <v>1</v>
      </c>
      <c r="T18">
        <v>2</v>
      </c>
      <c r="U18">
        <v>3</v>
      </c>
      <c r="V18">
        <v>4</v>
      </c>
      <c r="W18">
        <v>5</v>
      </c>
      <c r="X18">
        <v>6</v>
      </c>
      <c r="Y18" t="s">
        <v>1128</v>
      </c>
      <c r="Z18">
        <v>1</v>
      </c>
      <c r="AA18">
        <v>2</v>
      </c>
      <c r="AB18">
        <v>3</v>
      </c>
      <c r="AC18">
        <v>4</v>
      </c>
      <c r="AD18">
        <v>5</v>
      </c>
      <c r="AE18">
        <v>6</v>
      </c>
    </row>
    <row r="19" spans="1:33" ht="15" thickTop="1">
      <c r="A19" s="187" t="s">
        <v>10</v>
      </c>
      <c r="B19" s="188">
        <v>1582</v>
      </c>
      <c r="C19" s="188">
        <v>1371</v>
      </c>
      <c r="D19" s="188">
        <v>867</v>
      </c>
      <c r="E19" s="188">
        <v>633</v>
      </c>
      <c r="F19" s="188">
        <v>146</v>
      </c>
      <c r="G19" s="188">
        <v>27</v>
      </c>
      <c r="H19" s="189">
        <v>4626</v>
      </c>
      <c r="J19" s="125"/>
      <c r="K19" s="125"/>
      <c r="L19" s="125"/>
      <c r="M19" s="125"/>
      <c r="N19" s="125"/>
      <c r="O19" s="125"/>
      <c r="P19" s="125"/>
      <c r="Q19" s="125"/>
    </row>
    <row r="20" spans="1:33">
      <c r="A20" s="187" t="s">
        <v>15</v>
      </c>
      <c r="B20" s="188">
        <v>1428</v>
      </c>
      <c r="C20" s="188">
        <v>622</v>
      </c>
      <c r="D20" s="188">
        <v>570</v>
      </c>
      <c r="E20" s="188">
        <v>433</v>
      </c>
      <c r="F20" s="188">
        <v>114</v>
      </c>
      <c r="G20" s="188">
        <v>37</v>
      </c>
      <c r="H20" s="189">
        <v>3204</v>
      </c>
      <c r="J20" s="125" t="s">
        <v>10</v>
      </c>
      <c r="K20" s="179">
        <v>741856</v>
      </c>
      <c r="L20" s="179">
        <v>499862</v>
      </c>
      <c r="M20" s="179">
        <v>390143</v>
      </c>
      <c r="N20" s="179">
        <v>255522</v>
      </c>
      <c r="O20" s="179">
        <v>66751</v>
      </c>
      <c r="P20" s="179">
        <v>12897</v>
      </c>
      <c r="Q20" s="179">
        <v>1967031</v>
      </c>
      <c r="R20">
        <f>VLOOKUP(J20,Fact1_data!$A$1:$L$19,11,0)</f>
        <v>45773884</v>
      </c>
      <c r="S20" s="193">
        <f>K20/$Q20</f>
        <v>0.377145047536109</v>
      </c>
      <c r="T20" s="193">
        <f>L20/$Q20</f>
        <v>0.25412004182953901</v>
      </c>
      <c r="U20" s="193">
        <f t="shared" ref="T20:X35" si="3">M20/$Q20</f>
        <v>0.19834105308965644</v>
      </c>
      <c r="V20" s="193">
        <f t="shared" si="3"/>
        <v>0.12990237571243157</v>
      </c>
      <c r="W20" s="193">
        <f t="shared" si="3"/>
        <v>3.3934899856687566E-2</v>
      </c>
      <c r="X20" s="193">
        <f t="shared" si="3"/>
        <v>6.5565819755763893E-3</v>
      </c>
      <c r="Y20">
        <f t="shared" ref="Y20:Y37" si="4">R20/$R$39</f>
        <v>7.3438036948519733E-2</v>
      </c>
      <c r="Z20">
        <f>$Y20*S20</f>
        <v>2.7696791935908006E-2</v>
      </c>
      <c r="AA20">
        <f t="shared" ref="AA20:AE35" si="5">$Y20*T20</f>
        <v>1.8662077021237067E-2</v>
      </c>
      <c r="AB20">
        <f t="shared" si="5"/>
        <v>1.4565777585206503E-2</v>
      </c>
      <c r="AC20">
        <f t="shared" si="5"/>
        <v>9.5397754672700424E-3</v>
      </c>
      <c r="AD20">
        <f t="shared" si="5"/>
        <v>2.4921124295197382E-3</v>
      </c>
      <c r="AE20">
        <f>$Y20*X20</f>
        <v>4.8150250937837739E-4</v>
      </c>
    </row>
    <row r="21" spans="1:33">
      <c r="A21" s="187" t="s">
        <v>17</v>
      </c>
      <c r="B21" s="188">
        <v>18263</v>
      </c>
      <c r="C21" s="188">
        <v>11048</v>
      </c>
      <c r="D21" s="188">
        <v>9779</v>
      </c>
      <c r="E21" s="188">
        <v>5883</v>
      </c>
      <c r="F21" s="188">
        <v>1121</v>
      </c>
      <c r="G21" s="188">
        <v>175</v>
      </c>
      <c r="H21" s="189">
        <v>46269</v>
      </c>
      <c r="J21" s="125" t="s">
        <v>15</v>
      </c>
      <c r="K21" s="179">
        <v>465784.8</v>
      </c>
      <c r="L21" s="179">
        <v>199285.8</v>
      </c>
      <c r="M21" s="179">
        <v>179418.4</v>
      </c>
      <c r="N21" s="179">
        <v>140831.20000000001</v>
      </c>
      <c r="O21" s="179">
        <v>39350.120000000003</v>
      </c>
      <c r="P21" s="179">
        <v>12133.9</v>
      </c>
      <c r="Q21" s="179">
        <v>1036804.1</v>
      </c>
      <c r="R21">
        <f>VLOOKUP(J21,Fact1_data!$A$1:$L$19,11,0)</f>
        <v>12388571</v>
      </c>
      <c r="S21" s="194">
        <f t="shared" ref="S21:S36" si="6">K21/$Q21</f>
        <v>0.44925053826465383</v>
      </c>
      <c r="T21" s="194">
        <f>L21/$Q21</f>
        <v>0.19221162416313747</v>
      </c>
      <c r="U21" s="194">
        <f t="shared" si="3"/>
        <v>0.17304947000113136</v>
      </c>
      <c r="V21" s="194">
        <f t="shared" si="3"/>
        <v>0.13583202458400773</v>
      </c>
      <c r="W21" s="194">
        <f t="shared" si="3"/>
        <v>3.7953283556652603E-2</v>
      </c>
      <c r="X21" s="194">
        <f t="shared" si="3"/>
        <v>1.1703175170700039E-2</v>
      </c>
      <c r="Y21">
        <f t="shared" si="4"/>
        <v>1.987579500217548E-2</v>
      </c>
      <c r="Z21">
        <f t="shared" ref="Z21:Z36" si="7">$Y21*S21</f>
        <v>8.9292116031652515E-3</v>
      </c>
      <c r="AA21">
        <f t="shared" si="5"/>
        <v>3.8203588389017196E-3</v>
      </c>
      <c r="AB21">
        <f t="shared" si="5"/>
        <v>3.4394957909776023E-3</v>
      </c>
      <c r="AC21">
        <f t="shared" si="5"/>
        <v>2.6997694753621978E-3</v>
      </c>
      <c r="AD21">
        <f t="shared" si="5"/>
        <v>7.543516836314647E-4</v>
      </c>
      <c r="AE21">
        <f t="shared" si="5"/>
        <v>2.3260991056738399E-4</v>
      </c>
      <c r="AG21" s="35"/>
    </row>
    <row r="22" spans="1:33">
      <c r="A22" s="187" t="s">
        <v>21</v>
      </c>
      <c r="B22" s="188">
        <v>2093</v>
      </c>
      <c r="C22" s="188">
        <v>1593</v>
      </c>
      <c r="D22" s="188">
        <v>1237</v>
      </c>
      <c r="E22" s="188">
        <v>1368</v>
      </c>
      <c r="F22" s="188">
        <v>614</v>
      </c>
      <c r="G22" s="188">
        <v>135</v>
      </c>
      <c r="H22" s="189">
        <v>7040</v>
      </c>
      <c r="J22" s="125" t="s">
        <v>17</v>
      </c>
      <c r="K22" s="179">
        <v>8911790.5999999996</v>
      </c>
      <c r="L22" s="179">
        <v>5173931.0999999996</v>
      </c>
      <c r="M22" s="179">
        <v>4566286.8</v>
      </c>
      <c r="N22" s="179">
        <v>2378366.7000000002</v>
      </c>
      <c r="O22" s="179">
        <v>497634.5</v>
      </c>
      <c r="P22" s="179">
        <v>81867.73</v>
      </c>
      <c r="Q22" s="179">
        <v>21609877</v>
      </c>
      <c r="R22">
        <f>VLOOKUP(J22,Fact1_data!$A$1:$L$19,11,0)</f>
        <v>216422446</v>
      </c>
      <c r="S22" s="194">
        <f t="shared" si="6"/>
        <v>0.41239432320692987</v>
      </c>
      <c r="T22" s="194">
        <f t="shared" si="3"/>
        <v>0.23942436599708547</v>
      </c>
      <c r="U22" s="194">
        <f t="shared" si="3"/>
        <v>0.21130554329392989</v>
      </c>
      <c r="V22" s="194">
        <f t="shared" si="3"/>
        <v>0.11005924281753202</v>
      </c>
      <c r="W22" s="194">
        <f t="shared" si="3"/>
        <v>2.3028104232152732E-2</v>
      </c>
      <c r="X22" s="194">
        <f t="shared" si="3"/>
        <v>3.7884403506785345E-3</v>
      </c>
      <c r="Y22">
        <f t="shared" si="4"/>
        <v>0.34722068998639088</v>
      </c>
      <c r="Z22">
        <f t="shared" si="7"/>
        <v>0.14319184145038089</v>
      </c>
      <c r="AA22">
        <f t="shared" si="5"/>
        <v>8.3133093561062202E-2</v>
      </c>
      <c r="AB22">
        <f t="shared" si="5"/>
        <v>7.3369656540467523E-2</v>
      </c>
      <c r="AC22">
        <f t="shared" si="5"/>
        <v>3.8214846230483199E-2</v>
      </c>
      <c r="AD22">
        <f t="shared" si="5"/>
        <v>7.9958342405665999E-3</v>
      </c>
      <c r="AE22">
        <f t="shared" si="5"/>
        <v>1.3154248725348854E-3</v>
      </c>
      <c r="AG22" s="35"/>
    </row>
    <row r="23" spans="1:33">
      <c r="A23" s="187" t="s">
        <v>23</v>
      </c>
      <c r="B23" s="188">
        <v>13647</v>
      </c>
      <c r="C23" s="188">
        <v>8711</v>
      </c>
      <c r="D23" s="188">
        <v>6375</v>
      </c>
      <c r="E23" s="188">
        <v>4582</v>
      </c>
      <c r="F23" s="188">
        <v>3340</v>
      </c>
      <c r="G23" s="188">
        <v>1602</v>
      </c>
      <c r="H23" s="189">
        <v>38257</v>
      </c>
      <c r="J23" s="125" t="s">
        <v>21</v>
      </c>
      <c r="K23" s="179">
        <v>186343</v>
      </c>
      <c r="L23" s="179">
        <v>127647</v>
      </c>
      <c r="M23" s="179">
        <v>118048</v>
      </c>
      <c r="N23" s="179">
        <v>109420</v>
      </c>
      <c r="O23" s="179">
        <v>44285</v>
      </c>
      <c r="P23" s="179">
        <v>9512</v>
      </c>
      <c r="Q23" s="179">
        <v>595255</v>
      </c>
      <c r="R23">
        <f>VLOOKUP(J23,Fact1_data!$A$1:$L$19,11,0)</f>
        <v>19629590</v>
      </c>
      <c r="S23" s="194">
        <f t="shared" si="6"/>
        <v>0.31304734945527546</v>
      </c>
      <c r="T23" s="194">
        <f t="shared" si="3"/>
        <v>0.21444086987929542</v>
      </c>
      <c r="U23" s="194">
        <f t="shared" si="3"/>
        <v>0.19831500785377695</v>
      </c>
      <c r="V23" s="194">
        <f t="shared" si="3"/>
        <v>0.18382037950122215</v>
      </c>
      <c r="W23" s="194">
        <f t="shared" si="3"/>
        <v>7.4396687134085399E-2</v>
      </c>
      <c r="X23" s="194">
        <f t="shared" si="3"/>
        <v>1.5979706176344591E-2</v>
      </c>
      <c r="Y23">
        <f t="shared" si="4"/>
        <v>3.149303554193246E-2</v>
      </c>
      <c r="Z23">
        <f t="shared" si="7"/>
        <v>9.8588113027027417E-3</v>
      </c>
      <c r="AA23">
        <f t="shared" si="5"/>
        <v>6.7533939367515642E-3</v>
      </c>
      <c r="AB23">
        <f t="shared" si="5"/>
        <v>6.2455415908376126E-3</v>
      </c>
      <c r="AC23">
        <f t="shared" si="5"/>
        <v>5.7890617449635022E-3</v>
      </c>
      <c r="AD23">
        <f t="shared" si="5"/>
        <v>2.3429775121157808E-3</v>
      </c>
      <c r="AE23">
        <f t="shared" si="5"/>
        <v>5.0324945456125788E-4</v>
      </c>
      <c r="AG23" s="35"/>
    </row>
    <row r="24" spans="1:33">
      <c r="A24" s="187" t="s">
        <v>25</v>
      </c>
      <c r="B24" s="188">
        <v>736</v>
      </c>
      <c r="C24" s="188">
        <v>411</v>
      </c>
      <c r="D24" s="188">
        <v>368</v>
      </c>
      <c r="E24" s="188">
        <v>271</v>
      </c>
      <c r="F24" s="188">
        <v>192</v>
      </c>
      <c r="G24" s="188">
        <v>57</v>
      </c>
      <c r="H24" s="189">
        <v>2035</v>
      </c>
      <c r="J24" s="125" t="s">
        <v>23</v>
      </c>
      <c r="K24" s="179">
        <v>3306760.8</v>
      </c>
      <c r="L24" s="179">
        <v>1984707.7</v>
      </c>
      <c r="M24" s="179">
        <v>1572901.9</v>
      </c>
      <c r="N24" s="179">
        <v>1131162</v>
      </c>
      <c r="O24" s="179">
        <v>780027.3</v>
      </c>
      <c r="P24" s="179">
        <v>398515.9</v>
      </c>
      <c r="Q24" s="179">
        <v>9174075.5999999996</v>
      </c>
      <c r="R24">
        <f>VLOOKUP(J24,Fact1_data!$A$1:$L$19,11,0)</f>
        <v>52085168</v>
      </c>
      <c r="S24" s="194">
        <f t="shared" si="6"/>
        <v>0.36044621215024653</v>
      </c>
      <c r="T24" s="194">
        <f t="shared" si="3"/>
        <v>0.21633871209868819</v>
      </c>
      <c r="U24" s="194">
        <f t="shared" si="3"/>
        <v>0.17145072360205971</v>
      </c>
      <c r="V24" s="194">
        <f t="shared" si="3"/>
        <v>0.12329983415440789</v>
      </c>
      <c r="W24" s="194">
        <f t="shared" si="3"/>
        <v>8.50251659142639E-2</v>
      </c>
      <c r="X24" s="194">
        <f t="shared" si="3"/>
        <v>4.3439352080333851E-2</v>
      </c>
      <c r="Y24">
        <f t="shared" si="4"/>
        <v>8.3563642798016841E-2</v>
      </c>
      <c r="Z24">
        <f t="shared" si="7"/>
        <v>3.0120198520021398E-2</v>
      </c>
      <c r="AA24">
        <f t="shared" si="5"/>
        <v>1.8078050861197785E-2</v>
      </c>
      <c r="AB24">
        <f t="shared" si="5"/>
        <v>1.4327047024544032E-2</v>
      </c>
      <c r="AC24">
        <f t="shared" si="5"/>
        <v>1.0303383298333657E-2</v>
      </c>
      <c r="AD24">
        <f t="shared" si="5"/>
        <v>7.1050125933016656E-3</v>
      </c>
      <c r="AE24">
        <f t="shared" si="5"/>
        <v>3.6299505006183075E-3</v>
      </c>
      <c r="AG24" s="35"/>
    </row>
    <row r="25" spans="1:33">
      <c r="A25" s="187" t="s">
        <v>27</v>
      </c>
      <c r="B25" s="188">
        <v>839</v>
      </c>
      <c r="C25" s="188">
        <v>385</v>
      </c>
      <c r="D25" s="188">
        <v>315</v>
      </c>
      <c r="E25" s="188">
        <v>218</v>
      </c>
      <c r="F25" s="188">
        <v>187</v>
      </c>
      <c r="G25" s="188">
        <v>62</v>
      </c>
      <c r="H25" s="189">
        <v>2006</v>
      </c>
      <c r="J25" s="125" t="s">
        <v>25</v>
      </c>
      <c r="K25" s="179">
        <v>115553</v>
      </c>
      <c r="L25" s="179">
        <v>67486</v>
      </c>
      <c r="M25" s="179">
        <v>58276</v>
      </c>
      <c r="N25" s="179">
        <v>43530</v>
      </c>
      <c r="O25" s="179">
        <v>30490</v>
      </c>
      <c r="P25" s="179">
        <v>9233</v>
      </c>
      <c r="Q25" s="179">
        <v>324568</v>
      </c>
      <c r="R25">
        <f>VLOOKUP(J25,Fact1_data!$A$1:$L$19,11,0)</f>
        <v>5212173</v>
      </c>
      <c r="S25" s="194">
        <f t="shared" si="6"/>
        <v>0.35602092627739024</v>
      </c>
      <c r="T25" s="194">
        <f t="shared" si="3"/>
        <v>0.20792561189026645</v>
      </c>
      <c r="U25" s="194">
        <f t="shared" si="3"/>
        <v>0.1795494318601957</v>
      </c>
      <c r="V25" s="194">
        <f t="shared" si="3"/>
        <v>0.1341167336274679</v>
      </c>
      <c r="W25" s="194">
        <f t="shared" si="3"/>
        <v>9.3940252889995315E-2</v>
      </c>
      <c r="X25" s="194">
        <f t="shared" si="3"/>
        <v>2.8447043454684382E-2</v>
      </c>
      <c r="Y25">
        <f t="shared" si="4"/>
        <v>8.3622301606758338E-3</v>
      </c>
      <c r="Z25">
        <f t="shared" si="7"/>
        <v>2.97712892754854E-3</v>
      </c>
      <c r="AA25">
        <f t="shared" si="5"/>
        <v>1.7387218229257639E-3</v>
      </c>
      <c r="AB25">
        <f t="shared" si="5"/>
        <v>1.5014336744335389E-3</v>
      </c>
      <c r="AC25">
        <f t="shared" si="5"/>
        <v>1.1215149949909389E-3</v>
      </c>
      <c r="AD25">
        <f t="shared" si="5"/>
        <v>7.8555001601823403E-4</v>
      </c>
      <c r="AE25">
        <f t="shared" si="5"/>
        <v>2.3788072475881781E-4</v>
      </c>
      <c r="AG25" s="35"/>
    </row>
    <row r="26" spans="1:33">
      <c r="A26" s="187" t="s">
        <v>29</v>
      </c>
      <c r="B26" s="188">
        <v>985</v>
      </c>
      <c r="C26" s="188">
        <v>549</v>
      </c>
      <c r="D26" s="188">
        <v>406</v>
      </c>
      <c r="E26" s="188">
        <v>314</v>
      </c>
      <c r="F26" s="188">
        <v>194</v>
      </c>
      <c r="G26" s="188">
        <v>130</v>
      </c>
      <c r="H26" s="189">
        <v>2578</v>
      </c>
      <c r="J26" s="125" t="s">
        <v>27</v>
      </c>
      <c r="K26" s="179">
        <v>373509.4</v>
      </c>
      <c r="L26" s="179">
        <v>173908.8</v>
      </c>
      <c r="M26" s="179">
        <v>136747.1</v>
      </c>
      <c r="N26" s="179">
        <v>99656.03</v>
      </c>
      <c r="O26" s="179">
        <v>77250.399999999994</v>
      </c>
      <c r="P26" s="179">
        <v>30157.919999999998</v>
      </c>
      <c r="Q26" s="179">
        <v>891229.7</v>
      </c>
      <c r="R26">
        <f>VLOOKUP(J26,Fact1_data!$A$1:$L$19,11,0)</f>
        <v>11332973</v>
      </c>
      <c r="S26" s="194">
        <f t="shared" si="6"/>
        <v>0.41909442649857837</v>
      </c>
      <c r="T26" s="194">
        <f t="shared" si="3"/>
        <v>0.19513353291525182</v>
      </c>
      <c r="U26" s="194">
        <f t="shared" si="3"/>
        <v>0.15343642609755936</v>
      </c>
      <c r="V26" s="194">
        <f t="shared" si="3"/>
        <v>0.11181856933178955</v>
      </c>
      <c r="W26" s="194">
        <f t="shared" si="3"/>
        <v>8.6678439912852998E-2</v>
      </c>
      <c r="X26" s="194">
        <f t="shared" si="3"/>
        <v>3.3838549141708363E-2</v>
      </c>
      <c r="Y26">
        <f t="shared" si="4"/>
        <v>1.8182230066178709E-2</v>
      </c>
      <c r="Z26">
        <f t="shared" si="7"/>
        <v>7.6200712820503743E-3</v>
      </c>
      <c r="AA26">
        <f t="shared" si="5"/>
        <v>3.5479627890913643E-3</v>
      </c>
      <c r="AB26">
        <f t="shared" si="5"/>
        <v>2.7898163998380512E-3</v>
      </c>
      <c r="AC26">
        <f t="shared" si="5"/>
        <v>2.0331109532615525E-3</v>
      </c>
      <c r="AD26">
        <f t="shared" si="5"/>
        <v>1.5760073362729404E-3</v>
      </c>
      <c r="AE26">
        <f t="shared" si="5"/>
        <v>6.1526028560023559E-4</v>
      </c>
      <c r="AG26" s="35"/>
    </row>
    <row r="27" spans="1:33">
      <c r="A27" s="187" t="s">
        <v>31</v>
      </c>
      <c r="B27" s="188">
        <v>2138</v>
      </c>
      <c r="C27" s="188">
        <v>1081</v>
      </c>
      <c r="D27" s="188">
        <v>832</v>
      </c>
      <c r="E27" s="188">
        <v>454</v>
      </c>
      <c r="F27" s="188">
        <v>349</v>
      </c>
      <c r="G27" s="188">
        <v>148</v>
      </c>
      <c r="H27" s="189">
        <v>5002</v>
      </c>
      <c r="J27" s="125" t="s">
        <v>29</v>
      </c>
      <c r="K27" s="179">
        <v>1361468.2</v>
      </c>
      <c r="L27" s="179">
        <v>536782.1</v>
      </c>
      <c r="M27" s="179">
        <v>414304.9</v>
      </c>
      <c r="N27" s="179">
        <v>272676.90000000002</v>
      </c>
      <c r="O27" s="179">
        <v>110858.1</v>
      </c>
      <c r="P27" s="179">
        <v>70869.84</v>
      </c>
      <c r="Q27" s="179">
        <v>2766960</v>
      </c>
      <c r="R27">
        <f>VLOOKUP(J27,Fact1_data!$A$1:$L$19,11,0)</f>
        <v>18190484</v>
      </c>
      <c r="S27" s="194">
        <f t="shared" si="6"/>
        <v>0.49204477115679301</v>
      </c>
      <c r="T27" s="194">
        <f t="shared" si="3"/>
        <v>0.19399705814323301</v>
      </c>
      <c r="U27" s="194">
        <f t="shared" si="3"/>
        <v>0.14973288374244659</v>
      </c>
      <c r="V27" s="194">
        <f t="shared" si="3"/>
        <v>9.8547467256483653E-2</v>
      </c>
      <c r="W27" s="194">
        <f t="shared" si="3"/>
        <v>4.0064944921502303E-2</v>
      </c>
      <c r="X27" s="194">
        <f t="shared" si="3"/>
        <v>2.5612889235840056E-2</v>
      </c>
      <c r="Y27">
        <f t="shared" si="4"/>
        <v>2.918418362976271E-2</v>
      </c>
      <c r="Z27">
        <f t="shared" si="7"/>
        <v>1.4359924955504418E-2</v>
      </c>
      <c r="AA27">
        <f t="shared" si="5"/>
        <v>5.6616457684858651E-3</v>
      </c>
      <c r="AB27">
        <f t="shared" si="5"/>
        <v>4.3698319745534729E-3</v>
      </c>
      <c r="AC27">
        <f t="shared" si="5"/>
        <v>2.8760273806612471E-3</v>
      </c>
      <c r="AD27">
        <f t="shared" si="5"/>
        <v>1.1692627097054521E-3</v>
      </c>
      <c r="AE27">
        <f t="shared" si="5"/>
        <v>7.474912627475289E-4</v>
      </c>
      <c r="AG27" s="35"/>
    </row>
    <row r="28" spans="1:33">
      <c r="A28" s="187" t="s">
        <v>33</v>
      </c>
      <c r="B28" s="188">
        <v>1059</v>
      </c>
      <c r="C28" s="188">
        <v>757</v>
      </c>
      <c r="D28" s="188">
        <v>515</v>
      </c>
      <c r="E28" s="188">
        <v>472</v>
      </c>
      <c r="F28" s="188">
        <v>234</v>
      </c>
      <c r="G28" s="188">
        <v>48</v>
      </c>
      <c r="H28" s="189">
        <v>3085</v>
      </c>
      <c r="J28" s="125" t="s">
        <v>31</v>
      </c>
      <c r="K28" s="179">
        <v>2182634</v>
      </c>
      <c r="L28" s="179">
        <v>1082240</v>
      </c>
      <c r="M28" s="179">
        <v>812103</v>
      </c>
      <c r="N28" s="179">
        <v>444019</v>
      </c>
      <c r="O28" s="179">
        <v>339501</v>
      </c>
      <c r="P28" s="179">
        <v>123992</v>
      </c>
      <c r="Q28" s="179">
        <v>4984489</v>
      </c>
      <c r="R28">
        <f>VLOOKUP(J28,Fact1_data!$A$1:$L$19,11,0)</f>
        <v>18092026</v>
      </c>
      <c r="S28" s="194">
        <f t="shared" si="6"/>
        <v>0.43788520749067755</v>
      </c>
      <c r="T28" s="194">
        <f t="shared" si="3"/>
        <v>0.21712155448632747</v>
      </c>
      <c r="U28" s="194">
        <f t="shared" si="3"/>
        <v>0.16292602912755952</v>
      </c>
      <c r="V28" s="194">
        <f t="shared" si="3"/>
        <v>8.9080144424032226E-2</v>
      </c>
      <c r="W28" s="194">
        <f t="shared" si="3"/>
        <v>6.8111495481282036E-2</v>
      </c>
      <c r="X28" s="194">
        <f t="shared" si="3"/>
        <v>2.4875568990121152E-2</v>
      </c>
      <c r="Y28">
        <f t="shared" si="4"/>
        <v>2.9026221018552407E-2</v>
      </c>
      <c r="Z28">
        <f t="shared" si="7"/>
        <v>1.2710152813379087E-2</v>
      </c>
      <c r="AA28">
        <f t="shared" si="5"/>
        <v>6.3022182284118104E-3</v>
      </c>
      <c r="AB28">
        <f t="shared" si="5"/>
        <v>4.7291269311316502E-3</v>
      </c>
      <c r="AC28">
        <f t="shared" si="5"/>
        <v>2.5856599604165281E-3</v>
      </c>
      <c r="AD28">
        <f t="shared" si="5"/>
        <v>1.977019321743826E-3</v>
      </c>
      <c r="AE28">
        <f t="shared" si="5"/>
        <v>7.2204376346950508E-4</v>
      </c>
      <c r="AG28" s="35"/>
    </row>
    <row r="29" spans="1:33">
      <c r="A29" s="187" t="s">
        <v>34</v>
      </c>
      <c r="B29" s="188">
        <v>2619</v>
      </c>
      <c r="C29" s="188">
        <v>1485</v>
      </c>
      <c r="D29" s="188">
        <v>1187</v>
      </c>
      <c r="E29" s="188">
        <v>802</v>
      </c>
      <c r="F29" s="188">
        <v>570</v>
      </c>
      <c r="G29" s="188">
        <v>266</v>
      </c>
      <c r="H29" s="189">
        <v>6929</v>
      </c>
      <c r="J29" s="125" t="s">
        <v>33</v>
      </c>
      <c r="K29" s="179">
        <v>64734.34</v>
      </c>
      <c r="L29" s="179">
        <v>46637.17</v>
      </c>
      <c r="M29" s="179">
        <v>30723.95</v>
      </c>
      <c r="N29" s="179">
        <v>29199.99</v>
      </c>
      <c r="O29" s="179">
        <v>14517.93</v>
      </c>
      <c r="P29" s="179">
        <v>3070.56</v>
      </c>
      <c r="Q29" s="179">
        <v>188883.9</v>
      </c>
      <c r="R29">
        <f>VLOOKUP(J29,Fact1_data!$A$1:$L$19,11,0)</f>
        <v>813834</v>
      </c>
      <c r="S29" s="194">
        <f t="shared" si="6"/>
        <v>0.3427202636116683</v>
      </c>
      <c r="T29" s="194">
        <f t="shared" si="3"/>
        <v>0.24690918601320705</v>
      </c>
      <c r="U29" s="194">
        <f t="shared" si="3"/>
        <v>0.1626605020332596</v>
      </c>
      <c r="V29" s="194">
        <f t="shared" si="3"/>
        <v>0.15459226540748047</v>
      </c>
      <c r="W29" s="194">
        <f t="shared" si="3"/>
        <v>7.6861659463829377E-2</v>
      </c>
      <c r="X29" s="194">
        <f t="shared" si="3"/>
        <v>1.6256335240854302E-2</v>
      </c>
      <c r="Y29">
        <f t="shared" si="4"/>
        <v>1.3056871329066508E-3</v>
      </c>
      <c r="Z29">
        <f t="shared" si="7"/>
        <v>4.4748543838413072E-4</v>
      </c>
      <c r="AA29">
        <f t="shared" si="5"/>
        <v>3.2238614717389923E-4</v>
      </c>
      <c r="AB29">
        <f t="shared" si="5"/>
        <v>2.1238372453696316E-4</v>
      </c>
      <c r="AC29">
        <f t="shared" si="5"/>
        <v>2.0184913178943718E-4</v>
      </c>
      <c r="AD29">
        <f t="shared" si="5"/>
        <v>1.0035727977577472E-4</v>
      </c>
      <c r="AE29">
        <f t="shared" si="5"/>
        <v>2.1225687752200402E-5</v>
      </c>
      <c r="AG29" s="35"/>
    </row>
    <row r="30" spans="1:33">
      <c r="A30" s="187" t="s">
        <v>38</v>
      </c>
      <c r="B30" s="188">
        <v>11383</v>
      </c>
      <c r="C30" s="188">
        <v>5470</v>
      </c>
      <c r="D30" s="188">
        <v>5574</v>
      </c>
      <c r="E30" s="188">
        <v>3570</v>
      </c>
      <c r="F30" s="188">
        <v>3106</v>
      </c>
      <c r="G30" s="188">
        <v>1754</v>
      </c>
      <c r="H30" s="189">
        <v>30857</v>
      </c>
      <c r="J30" s="125" t="s">
        <v>34</v>
      </c>
      <c r="K30" s="179">
        <v>1174677.3</v>
      </c>
      <c r="L30" s="179">
        <v>680086.2</v>
      </c>
      <c r="M30" s="179">
        <v>520813.97</v>
      </c>
      <c r="N30" s="179">
        <v>357306.7</v>
      </c>
      <c r="O30" s="179">
        <v>266838.90000000002</v>
      </c>
      <c r="P30" s="179">
        <v>115680.4</v>
      </c>
      <c r="Q30" s="179">
        <v>3115403.5</v>
      </c>
      <c r="R30">
        <f>VLOOKUP(J30,Fact1_data!$A$1:$L$19,11,0)</f>
        <v>10593798</v>
      </c>
      <c r="S30" s="194">
        <f t="shared" si="6"/>
        <v>0.3770546255083812</v>
      </c>
      <c r="T30" s="194">
        <f t="shared" si="3"/>
        <v>0.21829795081118705</v>
      </c>
      <c r="U30" s="194">
        <f t="shared" si="3"/>
        <v>0.16717384120548107</v>
      </c>
      <c r="V30" s="194">
        <f t="shared" si="3"/>
        <v>0.11469034428445625</v>
      </c>
      <c r="W30" s="194">
        <f t="shared" si="3"/>
        <v>8.5651473396624239E-2</v>
      </c>
      <c r="X30" s="194">
        <f t="shared" si="3"/>
        <v>3.7131755164298938E-2</v>
      </c>
      <c r="Y30">
        <f t="shared" si="4"/>
        <v>1.6996323251685493E-2</v>
      </c>
      <c r="Z30">
        <f t="shared" si="7"/>
        <v>6.4085422986836652E-3</v>
      </c>
      <c r="AA30">
        <f t="shared" si="5"/>
        <v>3.7102625371674743E-3</v>
      </c>
      <c r="AB30">
        <f t="shared" si="5"/>
        <v>2.841340644354296E-3</v>
      </c>
      <c r="AC30">
        <f t="shared" si="5"/>
        <v>1.9493141653057181E-3</v>
      </c>
      <c r="AD30">
        <f t="shared" si="5"/>
        <v>1.455760128832166E-3</v>
      </c>
      <c r="AE30">
        <f t="shared" si="5"/>
        <v>6.3110331367486694E-4</v>
      </c>
      <c r="AG30" s="35"/>
    </row>
    <row r="31" spans="1:33">
      <c r="A31" s="187" t="s">
        <v>42</v>
      </c>
      <c r="B31" s="188">
        <v>2018</v>
      </c>
      <c r="C31" s="188">
        <v>1068</v>
      </c>
      <c r="D31" s="188">
        <v>609</v>
      </c>
      <c r="E31" s="188">
        <v>541</v>
      </c>
      <c r="F31" s="188">
        <v>285</v>
      </c>
      <c r="G31" s="188">
        <v>65</v>
      </c>
      <c r="H31" s="189">
        <v>4586</v>
      </c>
      <c r="J31" s="125" t="s">
        <v>38</v>
      </c>
      <c r="K31" s="179">
        <v>4597334</v>
      </c>
      <c r="L31" s="179">
        <v>2251880</v>
      </c>
      <c r="M31" s="179">
        <v>2265185</v>
      </c>
      <c r="N31" s="179">
        <v>1435972</v>
      </c>
      <c r="O31" s="179">
        <v>1205998</v>
      </c>
      <c r="P31" s="179">
        <v>675591</v>
      </c>
      <c r="Q31" s="179">
        <v>12431960</v>
      </c>
      <c r="R31">
        <f>VLOOKUP(J31,Fact1_data!$A$1:$L$19,11,0)</f>
        <v>128455567</v>
      </c>
      <c r="S31" s="194">
        <f t="shared" si="6"/>
        <v>0.36979961325486888</v>
      </c>
      <c r="T31" s="194">
        <f t="shared" si="3"/>
        <v>0.18113636144260439</v>
      </c>
      <c r="U31" s="194">
        <f t="shared" si="3"/>
        <v>0.18220658689378022</v>
      </c>
      <c r="V31" s="194">
        <f t="shared" si="3"/>
        <v>0.11550648489860006</v>
      </c>
      <c r="W31" s="194">
        <f t="shared" si="3"/>
        <v>9.7007873255705451E-2</v>
      </c>
      <c r="X31" s="194">
        <f t="shared" si="3"/>
        <v>5.434308025444097E-2</v>
      </c>
      <c r="Y31">
        <f t="shared" si="4"/>
        <v>0.20608967059882996</v>
      </c>
      <c r="Z31">
        <f t="shared" si="7"/>
        <v>7.6211880483270641E-2</v>
      </c>
      <c r="AA31">
        <f t="shared" si="5"/>
        <v>3.7330333063176943E-2</v>
      </c>
      <c r="AB31">
        <f t="shared" si="5"/>
        <v>3.7550895473876252E-2</v>
      </c>
      <c r="AC31">
        <f t="shared" si="5"/>
        <v>2.3804693424781215E-2</v>
      </c>
      <c r="AD31">
        <f t="shared" si="5"/>
        <v>1.9992320644761384E-2</v>
      </c>
      <c r="AE31">
        <f t="shared" si="5"/>
        <v>1.119954750896352E-2</v>
      </c>
      <c r="AG31" s="35"/>
    </row>
    <row r="32" spans="1:33">
      <c r="A32" s="187" t="s">
        <v>44</v>
      </c>
      <c r="B32" s="188">
        <v>6231</v>
      </c>
      <c r="C32" s="188">
        <v>2901</v>
      </c>
      <c r="D32" s="188">
        <v>2826</v>
      </c>
      <c r="E32" s="188">
        <v>2073</v>
      </c>
      <c r="F32" s="188">
        <v>1403</v>
      </c>
      <c r="G32" s="188">
        <v>642</v>
      </c>
      <c r="H32" s="189">
        <v>16076</v>
      </c>
      <c r="J32" s="125" t="s">
        <v>42</v>
      </c>
      <c r="K32" s="179">
        <v>187873</v>
      </c>
      <c r="L32" s="179">
        <v>79189</v>
      </c>
      <c r="M32" s="179">
        <v>43285</v>
      </c>
      <c r="N32" s="179">
        <v>42273</v>
      </c>
      <c r="O32" s="179">
        <v>20689</v>
      </c>
      <c r="P32" s="179">
        <v>4575</v>
      </c>
      <c r="Q32" s="179">
        <v>377884</v>
      </c>
      <c r="R32">
        <f>VLOOKUP(J32,Fact1_data!$A$1:$L$19,11,0)</f>
        <v>4468087</v>
      </c>
      <c r="S32" s="194">
        <f t="shared" si="6"/>
        <v>0.4971710895407056</v>
      </c>
      <c r="T32" s="194">
        <f t="shared" si="3"/>
        <v>0.20955901811137809</v>
      </c>
      <c r="U32" s="194">
        <f t="shared" si="3"/>
        <v>0.1145457336113728</v>
      </c>
      <c r="V32" s="194">
        <f t="shared" si="3"/>
        <v>0.11186766309237756</v>
      </c>
      <c r="W32" s="194">
        <f t="shared" si="3"/>
        <v>5.4749605699103428E-2</v>
      </c>
      <c r="X32" s="194">
        <f t="shared" si="3"/>
        <v>1.2106889945062507E-2</v>
      </c>
      <c r="Y32">
        <f t="shared" si="4"/>
        <v>7.168444307570682E-3</v>
      </c>
      <c r="Z32">
        <f t="shared" si="7"/>
        <v>3.5639432667067851E-3</v>
      </c>
      <c r="AA32">
        <f t="shared" si="5"/>
        <v>1.5022121504806097E-3</v>
      </c>
      <c r="AB32">
        <f t="shared" si="5"/>
        <v>8.2111471206295305E-4</v>
      </c>
      <c r="AC32">
        <f t="shared" si="5"/>
        <v>8.0191711269578876E-4</v>
      </c>
      <c r="AD32">
        <f t="shared" si="5"/>
        <v>3.9246949931547731E-4</v>
      </c>
      <c r="AE32">
        <f t="shared" si="5"/>
        <v>8.6787566309068048E-5</v>
      </c>
      <c r="AG32" s="35"/>
    </row>
    <row r="33" spans="1:33">
      <c r="A33" s="187" t="s">
        <v>45</v>
      </c>
      <c r="B33" s="188">
        <v>984</v>
      </c>
      <c r="C33" s="188">
        <v>533</v>
      </c>
      <c r="D33" s="188">
        <v>434</v>
      </c>
      <c r="E33" s="188">
        <v>371</v>
      </c>
      <c r="F33" s="188">
        <v>173</v>
      </c>
      <c r="G33" s="188">
        <v>57</v>
      </c>
      <c r="H33" s="189">
        <v>2552</v>
      </c>
      <c r="J33" s="125" t="s">
        <v>44</v>
      </c>
      <c r="K33" s="179">
        <v>1536010.2</v>
      </c>
      <c r="L33" s="179">
        <v>743503.3</v>
      </c>
      <c r="M33" s="179">
        <v>752705.2</v>
      </c>
      <c r="N33" s="179">
        <v>532207.30000000005</v>
      </c>
      <c r="O33" s="179">
        <v>365737.7</v>
      </c>
      <c r="P33" s="179">
        <v>168114.3</v>
      </c>
      <c r="Q33" s="179">
        <v>4098278</v>
      </c>
      <c r="R33">
        <f>VLOOKUP(J33,Fact1_data!$A$1:$L$19,11,0)</f>
        <v>34352719</v>
      </c>
      <c r="S33" s="194">
        <f t="shared" si="6"/>
        <v>0.37479404764635293</v>
      </c>
      <c r="T33" s="194">
        <f t="shared" si="3"/>
        <v>0.18141846404758291</v>
      </c>
      <c r="U33" s="194">
        <f t="shared" si="3"/>
        <v>0.18366377293097247</v>
      </c>
      <c r="V33" s="194">
        <f t="shared" si="3"/>
        <v>0.12986120024068645</v>
      </c>
      <c r="W33" s="194">
        <f t="shared" si="3"/>
        <v>8.9241798628594743E-2</v>
      </c>
      <c r="X33" s="194">
        <f t="shared" si="3"/>
        <v>4.1020716505810489E-2</v>
      </c>
      <c r="Y33">
        <f t="shared" si="4"/>
        <v>5.5114314686604181E-2</v>
      </c>
      <c r="Z33">
        <f t="shared" si="7"/>
        <v>2.0656517084647216E-2</v>
      </c>
      <c r="AA33">
        <f t="shared" si="5"/>
        <v>9.9987543174788716E-3</v>
      </c>
      <c r="AB33">
        <f t="shared" si="5"/>
        <v>1.0122502977846632E-2</v>
      </c>
      <c r="AC33">
        <f t="shared" si="5"/>
        <v>7.1572110556453114E-3</v>
      </c>
      <c r="AD33">
        <f t="shared" si="5"/>
        <v>4.9185005728149319E-3</v>
      </c>
      <c r="AE33">
        <f t="shared" si="5"/>
        <v>2.2608286781712174E-3</v>
      </c>
      <c r="AG33" s="35"/>
    </row>
    <row r="34" spans="1:33">
      <c r="A34" s="187" t="s">
        <v>46</v>
      </c>
      <c r="B34" s="188">
        <v>12061</v>
      </c>
      <c r="C34" s="188">
        <v>12635</v>
      </c>
      <c r="D34" s="188">
        <v>9789</v>
      </c>
      <c r="E34" s="188">
        <v>7857</v>
      </c>
      <c r="F34" s="188">
        <v>4403</v>
      </c>
      <c r="G34" s="188">
        <v>1997</v>
      </c>
      <c r="H34" s="189">
        <v>48742</v>
      </c>
      <c r="J34" s="125" t="s">
        <v>45</v>
      </c>
      <c r="K34" s="179">
        <v>363034</v>
      </c>
      <c r="L34" s="179">
        <v>179805</v>
      </c>
      <c r="M34" s="179">
        <v>143747</v>
      </c>
      <c r="N34" s="179">
        <v>111339</v>
      </c>
      <c r="O34" s="179">
        <v>43807</v>
      </c>
      <c r="P34" s="179">
        <v>16712</v>
      </c>
      <c r="Q34" s="179">
        <v>858444</v>
      </c>
      <c r="R34">
        <f>VLOOKUP(J34,Fact1_data!$A$1:$L$19,11,0)</f>
        <v>6861524</v>
      </c>
      <c r="S34" s="194">
        <f t="shared" si="6"/>
        <v>0.42289770794600462</v>
      </c>
      <c r="T34" s="194">
        <f t="shared" si="3"/>
        <v>0.20945454799614185</v>
      </c>
      <c r="U34" s="194">
        <f t="shared" si="3"/>
        <v>0.1674506432568694</v>
      </c>
      <c r="V34" s="194">
        <f t="shared" si="3"/>
        <v>0.12969861749863706</v>
      </c>
      <c r="W34" s="194">
        <f t="shared" si="3"/>
        <v>5.1030702060938161E-2</v>
      </c>
      <c r="X34" s="194">
        <f t="shared" si="3"/>
        <v>1.9467781241408876E-2</v>
      </c>
      <c r="Y34">
        <f t="shared" si="4"/>
        <v>1.1008391882042497E-2</v>
      </c>
      <c r="Z34">
        <f t="shared" si="7"/>
        <v>4.6554236950871759E-3</v>
      </c>
      <c r="AA34">
        <f t="shared" si="5"/>
        <v>2.3057577458176085E-3</v>
      </c>
      <c r="AB34">
        <f t="shared" si="5"/>
        <v>1.8433623018717154E-3</v>
      </c>
      <c r="AC34">
        <f t="shared" si="5"/>
        <v>1.4277732079841312E-3</v>
      </c>
      <c r="AD34">
        <f t="shared" si="5"/>
        <v>5.6176596630256096E-4</v>
      </c>
      <c r="AE34">
        <f t="shared" si="5"/>
        <v>2.1430896497930468E-4</v>
      </c>
      <c r="AG34" s="35"/>
    </row>
    <row r="35" spans="1:33">
      <c r="A35" s="187" t="s">
        <v>50</v>
      </c>
      <c r="B35" s="188">
        <v>833</v>
      </c>
      <c r="C35" s="188">
        <v>422</v>
      </c>
      <c r="D35" s="188">
        <v>286</v>
      </c>
      <c r="E35" s="188">
        <v>163</v>
      </c>
      <c r="F35" s="188">
        <v>56</v>
      </c>
      <c r="G35" s="188">
        <v>4</v>
      </c>
      <c r="H35" s="189">
        <v>1764</v>
      </c>
      <c r="J35" s="125" t="s">
        <v>46</v>
      </c>
      <c r="K35" s="179">
        <v>1350829.5</v>
      </c>
      <c r="L35" s="179">
        <v>1443012.1</v>
      </c>
      <c r="M35" s="179">
        <v>1130638.2</v>
      </c>
      <c r="N35" s="179">
        <v>922495.3</v>
      </c>
      <c r="O35" s="179">
        <v>505891.9</v>
      </c>
      <c r="P35" s="179">
        <v>227359.7</v>
      </c>
      <c r="Q35" s="179">
        <v>5580226.7999999998</v>
      </c>
      <c r="R35">
        <f>VLOOKUP(J35,Fact1_data!$A$1:$L$19,11,0)</f>
        <v>6364943</v>
      </c>
      <c r="S35" s="194">
        <f t="shared" si="6"/>
        <v>0.24207430063595264</v>
      </c>
      <c r="T35" s="194">
        <f t="shared" si="3"/>
        <v>0.2585938084093643</v>
      </c>
      <c r="U35" s="194">
        <f t="shared" si="3"/>
        <v>0.20261509800999486</v>
      </c>
      <c r="V35" s="194">
        <f t="shared" si="3"/>
        <v>0.16531501909563964</v>
      </c>
      <c r="W35" s="194">
        <f t="shared" si="3"/>
        <v>9.065794601753463E-2</v>
      </c>
      <c r="X35" s="194">
        <f t="shared" si="3"/>
        <v>4.0743809911095372E-2</v>
      </c>
      <c r="Y35">
        <f t="shared" si="4"/>
        <v>1.0211694493943798E-2</v>
      </c>
      <c r="Z35">
        <f t="shared" si="7"/>
        <v>2.471988802929453E-3</v>
      </c>
      <c r="AA35">
        <f t="shared" si="5"/>
        <v>2.6406809695018628E-3</v>
      </c>
      <c r="AB35">
        <f t="shared" si="5"/>
        <v>2.0690434807385475E-3</v>
      </c>
      <c r="AC35">
        <f t="shared" si="5"/>
        <v>1.6881464702651571E-3</v>
      </c>
      <c r="AD35">
        <f t="shared" si="5"/>
        <v>9.2577124817951246E-4</v>
      </c>
      <c r="AE35">
        <f t="shared" si="5"/>
        <v>4.1606333933142536E-4</v>
      </c>
      <c r="AG35" s="35"/>
    </row>
    <row r="36" spans="1:33" ht="15" thickBot="1">
      <c r="A36" s="187" t="s">
        <v>51</v>
      </c>
      <c r="B36" s="188">
        <v>5477</v>
      </c>
      <c r="C36" s="188">
        <v>3827</v>
      </c>
      <c r="D36" s="188">
        <v>3615</v>
      </c>
      <c r="E36" s="188">
        <v>3428</v>
      </c>
      <c r="F36" s="188">
        <v>2567</v>
      </c>
      <c r="G36" s="188">
        <v>800</v>
      </c>
      <c r="H36" s="189">
        <v>19714</v>
      </c>
      <c r="J36" s="125" t="s">
        <v>50</v>
      </c>
      <c r="K36" s="179">
        <v>65007</v>
      </c>
      <c r="L36" s="179">
        <v>32651</v>
      </c>
      <c r="M36" s="179">
        <v>22440</v>
      </c>
      <c r="N36" s="179">
        <v>10873</v>
      </c>
      <c r="O36" s="179">
        <v>3444</v>
      </c>
      <c r="P36" s="179">
        <v>416</v>
      </c>
      <c r="Q36" s="179">
        <v>134831</v>
      </c>
      <c r="R36">
        <f>VLOOKUP(J36,Fact1_data!$A$1:$L$19,11,0)</f>
        <v>3423109</v>
      </c>
      <c r="S36" s="194">
        <f t="shared" si="6"/>
        <v>0.48213689730106579</v>
      </c>
      <c r="T36" s="194">
        <f t="shared" ref="T36" si="8">L36/$Q36</f>
        <v>0.24216241072156997</v>
      </c>
      <c r="U36" s="194">
        <f t="shared" ref="U36" si="9">M36/$Q36</f>
        <v>0.16643056863777617</v>
      </c>
      <c r="V36" s="194">
        <f t="shared" ref="V36" si="10">N36/$Q36</f>
        <v>8.0641692192448322E-2</v>
      </c>
      <c r="W36" s="194">
        <f t="shared" ref="W36" si="11">O36/$Q36</f>
        <v>2.5543087272214847E-2</v>
      </c>
      <c r="X36" s="194">
        <f t="shared" ref="X36" si="12">P36/$Q36</f>
        <v>3.0853438749249059E-3</v>
      </c>
      <c r="Y36">
        <f t="shared" si="4"/>
        <v>5.4919177324085165E-3</v>
      </c>
      <c r="Z36">
        <f t="shared" si="7"/>
        <v>2.6478561757361471E-3</v>
      </c>
      <c r="AA36">
        <f t="shared" ref="AA36:AA37" si="13">$Y36*T36</f>
        <v>1.3299360375645844E-3</v>
      </c>
      <c r="AB36">
        <f t="shared" ref="AB36:AB37" si="14">$Y36*U36</f>
        <v>9.1402299111663561E-4</v>
      </c>
      <c r="AC36">
        <f t="shared" ref="AC36:AC37" si="15">$Y36*V36</f>
        <v>4.4287753932313633E-4</v>
      </c>
      <c r="AD36">
        <f t="shared" ref="AD36:AD37" si="16">$Y36*W36</f>
        <v>1.40280533930735E-4</v>
      </c>
      <c r="AE36">
        <f t="shared" ref="AE36:AE37" si="17">$Y36*X36</f>
        <v>1.6944454737278095E-5</v>
      </c>
      <c r="AG36" s="35"/>
    </row>
    <row r="37" spans="1:33" ht="15" thickTop="1">
      <c r="A37" s="190" t="s">
        <v>901</v>
      </c>
      <c r="B37" s="191">
        <v>84376</v>
      </c>
      <c r="C37" s="191">
        <v>54869</v>
      </c>
      <c r="D37" s="191">
        <v>45584</v>
      </c>
      <c r="E37" s="191">
        <v>33433</v>
      </c>
      <c r="F37" s="191">
        <v>19054</v>
      </c>
      <c r="G37" s="191">
        <v>8006</v>
      </c>
      <c r="H37" s="192">
        <v>245322</v>
      </c>
      <c r="J37" s="125" t="s">
        <v>51</v>
      </c>
      <c r="K37" s="179">
        <v>4452013.7</v>
      </c>
      <c r="L37" s="179">
        <v>3174709.3</v>
      </c>
      <c r="M37" s="179">
        <v>2771764.7</v>
      </c>
      <c r="N37" s="179">
        <v>1992486.9</v>
      </c>
      <c r="O37" s="179">
        <v>1234708.2</v>
      </c>
      <c r="P37" s="179">
        <v>423943.5</v>
      </c>
      <c r="Q37" s="179">
        <v>14049626</v>
      </c>
      <c r="R37">
        <f>VLOOKUP(J37,Fact1_data!$A$1:$L$19,11,0)</f>
        <v>28838499</v>
      </c>
      <c r="S37" s="194">
        <f t="shared" ref="S37:X37" si="18">K37/$Q37</f>
        <v>0.31687773752838688</v>
      </c>
      <c r="T37" s="194">
        <f t="shared" si="18"/>
        <v>0.22596397227940443</v>
      </c>
      <c r="U37" s="194">
        <f t="shared" si="18"/>
        <v>0.19728387787689153</v>
      </c>
      <c r="V37" s="194">
        <f t="shared" si="18"/>
        <v>0.14181778931339523</v>
      </c>
      <c r="W37" s="194">
        <f t="shared" si="18"/>
        <v>8.7881926536692148E-2</v>
      </c>
      <c r="X37" s="194">
        <f t="shared" si="18"/>
        <v>3.0174717818111315E-2</v>
      </c>
      <c r="Y37">
        <f t="shared" si="4"/>
        <v>4.6267490761803164E-2</v>
      </c>
      <c r="Z37">
        <f>$Y37*S37</f>
        <v>1.4661137793715728E-2</v>
      </c>
      <c r="AA37">
        <f t="shared" si="13"/>
        <v>1.0454785999937691E-2</v>
      </c>
      <c r="AB37">
        <f t="shared" si="14"/>
        <v>9.1278299971217815E-3</v>
      </c>
      <c r="AC37">
        <f t="shared" si="15"/>
        <v>6.5615532569168614E-3</v>
      </c>
      <c r="AD37">
        <f t="shared" si="16"/>
        <v>4.0660762241658682E-3</v>
      </c>
      <c r="AE37">
        <f t="shared" si="17"/>
        <v>1.3961084778894826E-3</v>
      </c>
      <c r="AG37" s="35"/>
    </row>
    <row r="38" spans="1:33">
      <c r="J38" s="125"/>
      <c r="K38" s="179"/>
      <c r="L38" s="179"/>
      <c r="M38" s="179"/>
      <c r="N38" s="179"/>
      <c r="O38" s="179"/>
      <c r="P38" s="179"/>
      <c r="Q38" s="179"/>
      <c r="Z38" s="35">
        <f t="shared" ref="Z38:AE38" si="19">SUM(Z20:Z37)</f>
        <v>0.38918890782982163</v>
      </c>
      <c r="AA38" s="35">
        <f t="shared" si="19"/>
        <v>0.21729263179636468</v>
      </c>
      <c r="AB38" s="35">
        <f t="shared" si="19"/>
        <v>0.19084022381551577</v>
      </c>
      <c r="AC38" s="35">
        <f t="shared" si="19"/>
        <v>0.11919848487044964</v>
      </c>
      <c r="AD38" s="35">
        <f t="shared" si="19"/>
        <v>5.8751429940954107E-2</v>
      </c>
      <c r="AE38" s="35">
        <f t="shared" si="19"/>
        <v>2.4728331276044659E-2</v>
      </c>
    </row>
    <row r="39" spans="1:33">
      <c r="J39" s="125" t="s">
        <v>901</v>
      </c>
      <c r="K39" s="179">
        <v>31437213</v>
      </c>
      <c r="L39" s="179">
        <v>18477324</v>
      </c>
      <c r="M39" s="179">
        <v>15929532</v>
      </c>
      <c r="N39" s="179">
        <v>10309337</v>
      </c>
      <c r="O39" s="179">
        <v>5647780</v>
      </c>
      <c r="P39" s="179">
        <v>2384641.7000000002</v>
      </c>
      <c r="Q39" s="179">
        <v>84185827</v>
      </c>
      <c r="R39">
        <f>SUM(R20:R38)</f>
        <v>623299395</v>
      </c>
      <c r="Z39" s="35">
        <f>SUMPRODUCT(R20:R37,S20:S37)/SUM(R20:R37)</f>
        <v>0.38918890782982168</v>
      </c>
      <c r="AA39" s="35">
        <f>SUMPRODUCT(R20:R37,T20:T37)/SUM(R20:R37)</f>
        <v>0.21729263179636465</v>
      </c>
    </row>
    <row r="40" spans="1:33">
      <c r="Q40" s="35"/>
      <c r="R40" s="35"/>
      <c r="S40" s="35"/>
      <c r="T40" s="35"/>
      <c r="U40" s="35"/>
      <c r="V40" s="35"/>
      <c r="W40" s="35"/>
      <c r="X40" s="35"/>
      <c r="Y40" s="35"/>
    </row>
    <row r="41" spans="1:33">
      <c r="Q41" s="35" t="s">
        <v>995</v>
      </c>
      <c r="R41" s="35" t="s">
        <v>996</v>
      </c>
      <c r="S41" s="35"/>
      <c r="T41" s="35"/>
      <c r="U41" s="35"/>
      <c r="V41" s="35"/>
      <c r="W41" s="35"/>
      <c r="X41" s="35"/>
      <c r="Y41" s="35"/>
    </row>
    <row r="42" spans="1:33">
      <c r="H42" s="122"/>
      <c r="I42" s="122"/>
      <c r="J42" s="122"/>
      <c r="K42" s="122"/>
      <c r="L42" s="122"/>
      <c r="M42" s="122"/>
      <c r="N42" s="122"/>
      <c r="O42" s="122"/>
      <c r="Q42" s="35" t="s">
        <v>10</v>
      </c>
      <c r="R42" s="35">
        <v>2022</v>
      </c>
      <c r="S42" s="35">
        <v>0.377145047536109</v>
      </c>
      <c r="T42" s="35">
        <v>0.25412004182953901</v>
      </c>
      <c r="U42" s="35">
        <v>0.19834105308965644</v>
      </c>
      <c r="V42" s="35">
        <v>0.12990237571243157</v>
      </c>
      <c r="W42" s="35">
        <v>3.3934899856687566E-2</v>
      </c>
      <c r="X42" s="35">
        <v>6.5565819755763893E-3</v>
      </c>
      <c r="Y42" s="35"/>
    </row>
    <row r="43" spans="1:33">
      <c r="H43" s="122"/>
      <c r="I43" s="122"/>
      <c r="J43" s="122"/>
      <c r="K43" s="122"/>
      <c r="L43" s="122"/>
      <c r="M43" s="122"/>
      <c r="N43" s="122"/>
      <c r="O43" s="122"/>
      <c r="Q43" s="35" t="s">
        <v>15</v>
      </c>
      <c r="R43" s="35">
        <v>2022</v>
      </c>
      <c r="S43" s="35">
        <v>0.44925049577473014</v>
      </c>
      <c r="T43" s="35">
        <v>0.19221162123456284</v>
      </c>
      <c r="U43" s="35">
        <v>0.17304943495659958</v>
      </c>
      <c r="V43" s="35">
        <v>0.13583199359431489</v>
      </c>
      <c r="W43" s="35">
        <v>3.7953283193389385E-2</v>
      </c>
      <c r="X43" s="35">
        <v>1.1703171246403219E-2</v>
      </c>
      <c r="Y43" s="35"/>
    </row>
    <row r="44" spans="1:33">
      <c r="H44" s="122"/>
      <c r="I44" s="122"/>
      <c r="J44" s="122"/>
      <c r="K44" s="122"/>
      <c r="L44" s="122"/>
      <c r="M44" s="122"/>
      <c r="N44" s="122"/>
      <c r="O44" s="122"/>
      <c r="Q44" s="35" t="s">
        <v>17</v>
      </c>
      <c r="R44" s="35">
        <v>2022</v>
      </c>
      <c r="S44" s="35">
        <v>0.41239431561549889</v>
      </c>
      <c r="T44" s="35">
        <v>0.23942436363497821</v>
      </c>
      <c r="U44" s="35">
        <v>0.21130553943796149</v>
      </c>
      <c r="V44" s="35">
        <v>0.11005923864284586</v>
      </c>
      <c r="W44" s="35">
        <v>2.3028102520217524E-2</v>
      </c>
      <c r="X44" s="35">
        <v>3.7884401484980343E-3</v>
      </c>
      <c r="Y44" s="35"/>
    </row>
    <row r="45" spans="1:33">
      <c r="H45" s="122"/>
      <c r="I45" s="122"/>
      <c r="J45" s="122"/>
      <c r="K45" s="122"/>
      <c r="L45" s="122"/>
      <c r="M45" s="122"/>
      <c r="N45" s="122"/>
      <c r="O45" s="122"/>
      <c r="Q45" s="35" t="s">
        <v>21</v>
      </c>
      <c r="R45" s="35">
        <v>2022</v>
      </c>
      <c r="S45" s="35">
        <v>0.31304734945527546</v>
      </c>
      <c r="T45" s="35">
        <v>0.21444086987929542</v>
      </c>
      <c r="U45" s="35">
        <v>0.19831500785377695</v>
      </c>
      <c r="V45" s="35">
        <v>0.18382037950122215</v>
      </c>
      <c r="W45" s="35">
        <v>7.4396687134085399E-2</v>
      </c>
      <c r="X45" s="35">
        <v>1.5979706176344591E-2</v>
      </c>
      <c r="Y45" s="35"/>
    </row>
    <row r="46" spans="1:33">
      <c r="H46" s="122"/>
      <c r="I46" s="122"/>
      <c r="J46" s="122"/>
      <c r="K46" s="122"/>
      <c r="L46" s="122"/>
      <c r="M46" s="122"/>
      <c r="N46" s="122"/>
      <c r="O46" s="122"/>
      <c r="Q46" s="35" t="s">
        <v>23</v>
      </c>
      <c r="R46" s="35">
        <v>2022</v>
      </c>
      <c r="S46" s="35">
        <v>0.36044621651362463</v>
      </c>
      <c r="T46" s="35">
        <v>0.21633870974728975</v>
      </c>
      <c r="U46" s="35">
        <v>0.17145072383896409</v>
      </c>
      <c r="V46" s="35">
        <v>0.12329983745106744</v>
      </c>
      <c r="W46" s="35">
        <v>8.5025163312277718E-2</v>
      </c>
      <c r="X46" s="35">
        <v>4.3439349136776363E-2</v>
      </c>
      <c r="Y46" s="35"/>
    </row>
    <row r="47" spans="1:33">
      <c r="H47" s="122"/>
      <c r="I47" s="122"/>
      <c r="J47" s="122"/>
      <c r="K47" s="122"/>
      <c r="L47" s="122"/>
      <c r="M47" s="122"/>
      <c r="N47" s="122"/>
      <c r="O47" s="122"/>
      <c r="Q47" s="35" t="s">
        <v>25</v>
      </c>
      <c r="R47" s="35">
        <v>2023</v>
      </c>
      <c r="S47" s="35">
        <v>0.35602092627739024</v>
      </c>
      <c r="T47" s="35">
        <v>0.20792561189026645</v>
      </c>
      <c r="U47" s="35">
        <v>0.1795494318601957</v>
      </c>
      <c r="V47" s="35">
        <v>0.1341167336274679</v>
      </c>
      <c r="W47" s="35">
        <v>9.3940252889995315E-2</v>
      </c>
      <c r="X47" s="35">
        <v>2.8447043454684382E-2</v>
      </c>
      <c r="Y47" s="35"/>
    </row>
    <row r="48" spans="1:33">
      <c r="H48" s="122"/>
      <c r="I48" s="122"/>
      <c r="J48" s="122"/>
      <c r="K48" s="122"/>
      <c r="L48" s="122"/>
      <c r="M48" s="122"/>
      <c r="N48" s="122"/>
      <c r="O48" s="122"/>
      <c r="Q48" s="35" t="s">
        <v>27</v>
      </c>
      <c r="R48" s="35">
        <v>2022</v>
      </c>
      <c r="S48" s="35">
        <v>0.41909442222952464</v>
      </c>
      <c r="T48" s="35">
        <v>0.19513357229080922</v>
      </c>
      <c r="U48" s="35">
        <v>0.15343643198257551</v>
      </c>
      <c r="V48" s="35">
        <v>0.11181858018947509</v>
      </c>
      <c r="W48" s="35">
        <v>8.6678438603504632E-2</v>
      </c>
      <c r="X48" s="35">
        <v>3.3838554704110901E-2</v>
      </c>
      <c r="Y48" s="35"/>
    </row>
    <row r="49" spans="8:25">
      <c r="H49" s="122"/>
      <c r="I49" s="122"/>
      <c r="J49" s="122"/>
      <c r="K49" s="122"/>
      <c r="L49" s="122"/>
      <c r="M49" s="122"/>
      <c r="N49" s="122"/>
      <c r="O49" s="122"/>
      <c r="Q49" s="35" t="s">
        <v>29</v>
      </c>
      <c r="R49" s="35">
        <v>2023</v>
      </c>
      <c r="S49" s="35">
        <v>0.49204476434428496</v>
      </c>
      <c r="T49" s="35">
        <v>0.19399703864024639</v>
      </c>
      <c r="U49" s="35">
        <v>0.14973289997129116</v>
      </c>
      <c r="V49" s="35">
        <v>9.8547462872599953E-2</v>
      </c>
      <c r="W49" s="35">
        <v>4.0064943516380888E-2</v>
      </c>
      <c r="X49" s="35">
        <v>2.5612890655196618E-2</v>
      </c>
      <c r="Y49" s="35"/>
    </row>
    <row r="50" spans="8:25">
      <c r="H50" s="122"/>
      <c r="I50" s="122"/>
      <c r="J50" s="122"/>
      <c r="K50" s="122"/>
      <c r="L50" s="122"/>
      <c r="M50" s="122"/>
      <c r="N50" s="122"/>
      <c r="O50" s="122"/>
      <c r="Q50" s="35" t="s">
        <v>31</v>
      </c>
      <c r="R50" s="35">
        <v>2022</v>
      </c>
      <c r="S50" s="35">
        <v>0.43788520749067755</v>
      </c>
      <c r="T50" s="35">
        <v>0.21712155448632747</v>
      </c>
      <c r="U50" s="35">
        <v>0.16292602912755952</v>
      </c>
      <c r="V50" s="35">
        <v>8.9080144424032226E-2</v>
      </c>
      <c r="W50" s="35">
        <v>6.8111495481282036E-2</v>
      </c>
      <c r="X50" s="35">
        <v>2.4875568990121152E-2</v>
      </c>
      <c r="Y50" s="35"/>
    </row>
    <row r="51" spans="8:25">
      <c r="H51" s="122"/>
      <c r="I51" s="122"/>
      <c r="J51" s="122"/>
      <c r="K51" s="122"/>
      <c r="L51" s="122"/>
      <c r="M51" s="122"/>
      <c r="N51" s="122"/>
      <c r="O51" s="122"/>
      <c r="Q51" s="35" t="s">
        <v>33</v>
      </c>
      <c r="R51" s="35">
        <v>2021</v>
      </c>
      <c r="S51" s="35">
        <v>0.34272018823518952</v>
      </c>
      <c r="T51" s="35">
        <v>0.24690914747746154</v>
      </c>
      <c r="U51" s="35">
        <v>0.16266047297660963</v>
      </c>
      <c r="V51" s="35">
        <v>0.15459222168359166</v>
      </c>
      <c r="W51" s="35">
        <v>7.6861638184373263E-2</v>
      </c>
      <c r="X51" s="35">
        <v>1.6256331442774385E-2</v>
      </c>
      <c r="Y51" s="35"/>
    </row>
    <row r="52" spans="8:25">
      <c r="H52" s="122"/>
      <c r="I52" s="122"/>
      <c r="J52" s="122"/>
      <c r="K52" s="122"/>
      <c r="L52" s="122"/>
      <c r="M52" s="122"/>
      <c r="N52" s="122"/>
      <c r="O52" s="122"/>
      <c r="Q52" s="35" t="s">
        <v>34</v>
      </c>
      <c r="R52" s="35">
        <v>2023</v>
      </c>
      <c r="S52" s="35">
        <v>0.37705463413894236</v>
      </c>
      <c r="T52" s="35">
        <v>0.2182979481393629</v>
      </c>
      <c r="U52" s="35">
        <v>0.16717384249746711</v>
      </c>
      <c r="V52" s="35">
        <v>0.11469035101989632</v>
      </c>
      <c r="W52" s="35">
        <v>8.565147872062101E-2</v>
      </c>
      <c r="X52" s="35">
        <v>3.7131745483710343E-2</v>
      </c>
      <c r="Y52" s="35"/>
    </row>
    <row r="53" spans="8:25">
      <c r="H53" s="122"/>
      <c r="I53" s="122"/>
      <c r="J53" s="122"/>
      <c r="K53" s="122"/>
      <c r="L53" s="122"/>
      <c r="M53" s="122"/>
      <c r="N53" s="122"/>
      <c r="O53" s="122"/>
      <c r="Q53" s="35" t="s">
        <v>38</v>
      </c>
      <c r="R53" s="35">
        <v>2022</v>
      </c>
      <c r="S53" s="35">
        <v>0.36979961325486888</v>
      </c>
      <c r="T53" s="35">
        <v>0.18113636144260439</v>
      </c>
      <c r="U53" s="35">
        <v>0.18220658689378022</v>
      </c>
      <c r="V53" s="35">
        <v>0.11550648489860006</v>
      </c>
      <c r="W53" s="35">
        <v>9.7007873255705451E-2</v>
      </c>
      <c r="X53" s="35">
        <v>5.434308025444097E-2</v>
      </c>
      <c r="Y53" s="35"/>
    </row>
    <row r="54" spans="8:25">
      <c r="H54" s="122"/>
      <c r="I54" s="122"/>
      <c r="J54" s="122"/>
      <c r="K54" s="122"/>
      <c r="L54" s="122"/>
      <c r="M54" s="122"/>
      <c r="N54" s="122"/>
      <c r="O54" s="122"/>
      <c r="Q54" s="35" t="s">
        <v>42</v>
      </c>
      <c r="R54" s="35">
        <v>2022</v>
      </c>
      <c r="S54" s="35">
        <v>0.4971710895407056</v>
      </c>
      <c r="T54" s="35">
        <v>0.20955901811137809</v>
      </c>
      <c r="U54" s="35">
        <v>0.1145457336113728</v>
      </c>
      <c r="V54" s="35">
        <v>0.11186766309237756</v>
      </c>
      <c r="W54" s="35">
        <v>5.4749605699103428E-2</v>
      </c>
      <c r="X54" s="35">
        <v>1.2106889945062507E-2</v>
      </c>
      <c r="Y54" s="35"/>
    </row>
    <row r="55" spans="8:25">
      <c r="H55" s="122"/>
      <c r="I55" s="122"/>
      <c r="J55" s="122"/>
      <c r="K55" s="122"/>
      <c r="L55" s="122"/>
      <c r="M55" s="122"/>
      <c r="N55" s="122"/>
      <c r="O55" s="122"/>
      <c r="Q55" s="35" t="s">
        <v>44</v>
      </c>
      <c r="R55" s="35">
        <v>2022</v>
      </c>
      <c r="S55" s="35">
        <v>0.37479404296170771</v>
      </c>
      <c r="T55" s="35">
        <v>0.18141846271598597</v>
      </c>
      <c r="U55" s="35">
        <v>0.18366376783837002</v>
      </c>
      <c r="V55" s="35">
        <v>0.12986121027113506</v>
      </c>
      <c r="W55" s="35">
        <v>8.9241798047631937E-2</v>
      </c>
      <c r="X55" s="35">
        <v>4.1020718165169272E-2</v>
      </c>
      <c r="Y55" s="35"/>
    </row>
    <row r="56" spans="8:25">
      <c r="H56" s="122"/>
      <c r="I56" s="122"/>
      <c r="J56" s="122"/>
      <c r="K56" s="122"/>
      <c r="L56" s="122"/>
      <c r="M56" s="122"/>
      <c r="N56" s="122"/>
      <c r="O56" s="122"/>
      <c r="Q56" s="35" t="s">
        <v>45</v>
      </c>
      <c r="R56" s="35">
        <v>2022</v>
      </c>
      <c r="S56" s="35">
        <v>0.42289770794600462</v>
      </c>
      <c r="T56" s="35">
        <v>0.20945454799614185</v>
      </c>
      <c r="U56" s="35">
        <v>0.1674506432568694</v>
      </c>
      <c r="V56" s="35">
        <v>0.12969861749863706</v>
      </c>
      <c r="W56" s="35">
        <v>5.1030702060938161E-2</v>
      </c>
      <c r="X56" s="35">
        <v>1.9467781241408876E-2</v>
      </c>
      <c r="Y56" s="121"/>
    </row>
    <row r="57" spans="8:25">
      <c r="H57" s="122"/>
      <c r="I57" s="122"/>
      <c r="J57" s="122"/>
      <c r="K57" s="122"/>
      <c r="L57" s="122"/>
      <c r="M57" s="122"/>
      <c r="N57" s="122"/>
      <c r="O57" s="122"/>
      <c r="Q57" s="35" t="s">
        <v>46</v>
      </c>
      <c r="R57" s="35">
        <v>2023</v>
      </c>
      <c r="S57" s="35">
        <v>0.24207430634358484</v>
      </c>
      <c r="T57" s="35">
        <v>0.25859381391022912</v>
      </c>
      <c r="U57" s="35">
        <v>0.2026151013032976</v>
      </c>
      <c r="V57" s="35">
        <v>0.16531501940706247</v>
      </c>
      <c r="W57" s="35">
        <v>9.0657945690410427E-2</v>
      </c>
      <c r="X57" s="35">
        <v>4.0743813345415568E-2</v>
      </c>
      <c r="Y57" s="35"/>
    </row>
    <row r="58" spans="8:25">
      <c r="H58" s="122"/>
      <c r="I58" s="122"/>
      <c r="J58" s="122"/>
      <c r="K58" s="122"/>
      <c r="L58" s="122"/>
      <c r="M58" s="122"/>
      <c r="N58" s="122"/>
      <c r="O58" s="122"/>
      <c r="Q58" s="35" t="s">
        <v>50</v>
      </c>
      <c r="R58" s="35">
        <v>2022</v>
      </c>
      <c r="S58" s="35">
        <v>0.48213689730106579</v>
      </c>
      <c r="T58" s="35">
        <v>0.24216241072156997</v>
      </c>
      <c r="U58" s="35">
        <v>0.16643056863777617</v>
      </c>
      <c r="V58" s="35">
        <v>8.0641692192448322E-2</v>
      </c>
      <c r="W58" s="35">
        <v>2.5543087272214847E-2</v>
      </c>
      <c r="X58" s="35">
        <v>3.0853438749249059E-3</v>
      </c>
      <c r="Y58" s="35"/>
    </row>
    <row r="59" spans="8:25">
      <c r="H59" s="122"/>
      <c r="I59" s="122"/>
      <c r="J59" s="122"/>
      <c r="K59" s="122"/>
      <c r="L59" s="122"/>
      <c r="M59" s="122"/>
      <c r="N59" s="122"/>
      <c r="O59" s="122"/>
      <c r="Q59" s="35" t="s">
        <v>51</v>
      </c>
      <c r="R59" s="35">
        <v>2021</v>
      </c>
      <c r="S59" s="35">
        <v>0.3168777347781721</v>
      </c>
      <c r="T59" s="35">
        <v>0.22596396432574406</v>
      </c>
      <c r="U59" s="35">
        <v>0.19728387281945489</v>
      </c>
      <c r="V59" s="35">
        <v>0.14181778672201359</v>
      </c>
      <c r="W59" s="35">
        <v>8.788192181070098E-2</v>
      </c>
      <c r="X59" s="35">
        <v>3.0174719543914385E-2</v>
      </c>
      <c r="Y59" s="35"/>
    </row>
    <row r="60" spans="8:25">
      <c r="Q60" s="35"/>
      <c r="R60" s="35"/>
      <c r="S60" s="35"/>
      <c r="T60" s="35"/>
      <c r="U60" s="35"/>
      <c r="V60" s="35"/>
      <c r="W60" s="35"/>
      <c r="X60" s="35"/>
      <c r="Y60" s="35"/>
    </row>
    <row r="61" spans="8:25">
      <c r="Q61" s="35"/>
      <c r="R61" s="35"/>
      <c r="S61" s="35"/>
      <c r="T61" s="35"/>
      <c r="U61" s="35"/>
      <c r="V61" s="35"/>
      <c r="W61" s="35"/>
      <c r="X61" s="35"/>
      <c r="Y61" s="35"/>
    </row>
  </sheetData>
  <mergeCells count="1">
    <mergeCell ref="D17:E17"/>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K96"/>
  <sheetViews>
    <sheetView workbookViewId="0">
      <selection activeCell="K11" sqref="K11"/>
    </sheetView>
  </sheetViews>
  <sheetFormatPr defaultRowHeight="14.5"/>
  <cols>
    <col min="3" max="5" width="10.81640625" bestFit="1" customWidth="1"/>
    <col min="6" max="6" width="11.81640625" bestFit="1" customWidth="1"/>
    <col min="11" max="11" width="10.81640625" bestFit="1" customWidth="1"/>
  </cols>
  <sheetData>
    <row r="1" spans="1:11">
      <c r="A1" t="s">
        <v>995</v>
      </c>
      <c r="B1" t="s">
        <v>996</v>
      </c>
      <c r="C1" t="s">
        <v>1001</v>
      </c>
      <c r="D1" t="s">
        <v>1002</v>
      </c>
      <c r="E1" t="s">
        <v>1148</v>
      </c>
      <c r="F1" t="s">
        <v>1053</v>
      </c>
      <c r="G1" t="s">
        <v>1005</v>
      </c>
      <c r="H1" t="s">
        <v>1054</v>
      </c>
      <c r="I1" t="s">
        <v>1055</v>
      </c>
    </row>
    <row r="2" spans="1:11">
      <c r="A2" s="7411" t="s">
        <v>15</v>
      </c>
      <c r="B2" s="7412">
        <v>2022</v>
      </c>
      <c r="C2" s="7412">
        <v>110007915.02017975</v>
      </c>
      <c r="D2" s="7412">
        <v>151115294.46334839</v>
      </c>
      <c r="E2" s="7412">
        <v>261123209.48352814</v>
      </c>
      <c r="F2" s="7412">
        <v>937907508.50963593</v>
      </c>
      <c r="G2" s="7412">
        <v>12388571</v>
      </c>
      <c r="H2" s="7412">
        <v>2022</v>
      </c>
      <c r="I2" s="7411" t="s">
        <v>1048</v>
      </c>
      <c r="J2">
        <f>VLOOKUP(A2,Fact1_data!$A$2:$L$19,7,0)</f>
        <v>1100079.1502017975</v>
      </c>
      <c r="K2" s="8">
        <f>SUM(C2:C12)/1000000/100</f>
        <v>61.213928934900878</v>
      </c>
    </row>
    <row r="3" spans="1:11">
      <c r="A3" s="7411" t="s">
        <v>17</v>
      </c>
      <c r="B3" s="7412">
        <v>2022</v>
      </c>
      <c r="C3" s="7412">
        <v>2297147035.2140427</v>
      </c>
      <c r="D3" s="7412">
        <v>3925766210.4464531</v>
      </c>
      <c r="E3" s="7412">
        <v>6222913245.6604958</v>
      </c>
      <c r="F3" s="7412">
        <v>14915048449.042702</v>
      </c>
      <c r="G3" s="7412">
        <v>216422446</v>
      </c>
      <c r="H3" s="7412">
        <v>2022</v>
      </c>
      <c r="I3" s="7411" t="s">
        <v>1048</v>
      </c>
      <c r="J3">
        <f>VLOOKUP(A3,Fact1_data!$A$2:$L$19,7,0)</f>
        <v>22976175.011930466</v>
      </c>
      <c r="K3">
        <f>SUM(Fact1_2!M22)</f>
        <v>623.29939499999989</v>
      </c>
    </row>
    <row r="4" spans="1:11">
      <c r="A4" s="7411" t="s">
        <v>21</v>
      </c>
      <c r="B4" s="7412">
        <v>2022</v>
      </c>
      <c r="C4" s="7412">
        <v>63363500</v>
      </c>
      <c r="D4" s="7412">
        <v>157615600</v>
      </c>
      <c r="E4" s="7412">
        <v>220979100</v>
      </c>
      <c r="F4" s="7412">
        <v>1748676700</v>
      </c>
      <c r="G4" s="7412">
        <v>19629590</v>
      </c>
      <c r="H4" s="7412">
        <v>2022</v>
      </c>
      <c r="I4" s="7411" t="s">
        <v>1048</v>
      </c>
      <c r="J4">
        <f>VLOOKUP(A4,Fact1_data!$A$2:$L$19,7,0)</f>
        <v>633635</v>
      </c>
    </row>
    <row r="5" spans="1:11">
      <c r="A5" s="7411" t="s">
        <v>23</v>
      </c>
      <c r="B5" s="7412">
        <v>2022</v>
      </c>
      <c r="C5" s="7412">
        <v>971079336.13915443</v>
      </c>
      <c r="D5" s="7412">
        <v>1080412769.0700054</v>
      </c>
      <c r="E5" s="7412">
        <v>2051492105.2091599</v>
      </c>
      <c r="F5" s="7412">
        <v>2925161062.1575832</v>
      </c>
      <c r="G5" s="7412">
        <v>52085168</v>
      </c>
      <c r="H5" s="7412">
        <v>2022</v>
      </c>
      <c r="I5" s="7411" t="s">
        <v>1048</v>
      </c>
      <c r="J5">
        <f>VLOOKUP(A5,Fact1_data!$A$2:$L$19,7,0)</f>
        <v>9710793.3613915443</v>
      </c>
    </row>
    <row r="6" spans="1:11">
      <c r="A6" s="7411" t="s">
        <v>29</v>
      </c>
      <c r="B6" s="7412">
        <v>2023</v>
      </c>
      <c r="C6" s="7412">
        <v>256952140.50788879</v>
      </c>
      <c r="D6" s="7412">
        <v>407285897.42259979</v>
      </c>
      <c r="E6" s="7412">
        <v>664238037.93048859</v>
      </c>
      <c r="F6" s="7412">
        <v>1037293046.3774681</v>
      </c>
      <c r="G6" s="7412">
        <v>18190484</v>
      </c>
      <c r="H6" s="7412">
        <v>2023</v>
      </c>
      <c r="I6" s="7411" t="s">
        <v>1048</v>
      </c>
      <c r="J6">
        <f>VLOOKUP(A6,Fact1_data!$A$2:$L$19,7,0)</f>
        <v>2921644.8988609314</v>
      </c>
    </row>
    <row r="7" spans="1:11">
      <c r="A7" s="7411" t="s">
        <v>31</v>
      </c>
      <c r="B7" s="7412">
        <v>2022</v>
      </c>
      <c r="C7" s="7412">
        <v>529583100</v>
      </c>
      <c r="D7" s="7412">
        <v>388452000</v>
      </c>
      <c r="E7" s="7412">
        <v>918035100</v>
      </c>
      <c r="F7" s="7412">
        <v>739401600</v>
      </c>
      <c r="G7" s="7412">
        <v>18092026</v>
      </c>
      <c r="H7" s="7412">
        <v>2022</v>
      </c>
      <c r="I7" s="7411" t="s">
        <v>1048</v>
      </c>
      <c r="J7">
        <f>VLOOKUP(A7,Fact1_data!$A$2:$L$19,7,0)</f>
        <v>5302464</v>
      </c>
    </row>
    <row r="8" spans="1:11">
      <c r="A8" s="7411" t="s">
        <v>34</v>
      </c>
      <c r="B8" s="7412">
        <v>2023</v>
      </c>
      <c r="C8" s="7412">
        <v>331542730.31311035</v>
      </c>
      <c r="D8" s="7412">
        <v>236691993.17779541</v>
      </c>
      <c r="E8" s="7412">
        <v>568234723.49090576</v>
      </c>
      <c r="F8" s="7412">
        <v>376069654.80499268</v>
      </c>
      <c r="G8" s="7412">
        <v>10593798</v>
      </c>
      <c r="H8" s="7412">
        <v>2023</v>
      </c>
      <c r="I8" s="7411" t="s">
        <v>1048</v>
      </c>
      <c r="J8">
        <f>VLOOKUP(A8,Fact1_data!$A$2:$L$19,7,0)</f>
        <v>3315427.3031311035</v>
      </c>
    </row>
    <row r="9" spans="1:11">
      <c r="A9" s="7411" t="s">
        <v>38</v>
      </c>
      <c r="B9" s="7412">
        <v>2022</v>
      </c>
      <c r="C9" s="7412">
        <v>1250659300</v>
      </c>
      <c r="D9" s="7412">
        <v>2668553300</v>
      </c>
      <c r="E9" s="7412">
        <v>3919212600</v>
      </c>
      <c r="F9" s="7412">
        <v>8525221200</v>
      </c>
      <c r="G9" s="7412">
        <v>128455567</v>
      </c>
      <c r="H9" s="7412">
        <v>2022</v>
      </c>
      <c r="I9" s="7411" t="s">
        <v>1048</v>
      </c>
      <c r="J9">
        <f>VLOOKUP(A9,Fact1_data!$A$2:$L$19,7,0)</f>
        <v>13234918</v>
      </c>
    </row>
    <row r="10" spans="1:11">
      <c r="A10" s="7411" t="s">
        <v>42</v>
      </c>
      <c r="B10" s="7412">
        <v>2022</v>
      </c>
      <c r="C10" s="7412">
        <v>39563400</v>
      </c>
      <c r="D10" s="7412">
        <v>46398500</v>
      </c>
      <c r="E10" s="7412">
        <v>85961900</v>
      </c>
      <c r="F10" s="7412">
        <v>356290800</v>
      </c>
      <c r="G10" s="7412">
        <v>4468087</v>
      </c>
      <c r="H10" s="7412">
        <v>2022</v>
      </c>
      <c r="I10" s="7411" t="s">
        <v>1048</v>
      </c>
      <c r="J10">
        <f>VLOOKUP(A10,Fact1_data!$A$2:$L$19,7,0)</f>
        <v>395634</v>
      </c>
    </row>
    <row r="11" spans="1:11">
      <c r="A11" s="7411" t="s">
        <v>44</v>
      </c>
      <c r="B11" s="7412">
        <v>2022</v>
      </c>
      <c r="C11" s="7412">
        <v>257309936.29571199</v>
      </c>
      <c r="D11" s="7412">
        <v>568184061.32489443</v>
      </c>
      <c r="E11" s="7412">
        <v>825493997.62060642</v>
      </c>
      <c r="F11" s="7412">
        <v>1668558061.3714814</v>
      </c>
      <c r="G11" s="7412">
        <v>34352719</v>
      </c>
      <c r="H11" s="7412">
        <v>2022</v>
      </c>
      <c r="I11" s="7411" t="s">
        <v>1048</v>
      </c>
      <c r="J11">
        <f>VLOOKUP(A11,Fact1_data!$A$2:$L$19,7,0)</f>
        <v>4336224.3855496645</v>
      </c>
    </row>
    <row r="12" spans="1:11">
      <c r="A12" s="7411" t="s">
        <v>50</v>
      </c>
      <c r="B12" s="7412">
        <v>2022</v>
      </c>
      <c r="C12" s="7412">
        <v>14184500</v>
      </c>
      <c r="D12" s="7412">
        <v>36596500</v>
      </c>
      <c r="E12" s="7412">
        <v>50781000</v>
      </c>
      <c r="F12" s="7412">
        <v>303991000</v>
      </c>
      <c r="G12" s="7412">
        <v>3423109</v>
      </c>
      <c r="H12" s="7412">
        <v>2022</v>
      </c>
      <c r="I12" s="7411" t="s">
        <v>1048</v>
      </c>
      <c r="J12">
        <f>VLOOKUP(A12,Fact1_data!$A$2:$L$19,7,0)</f>
        <v>141845</v>
      </c>
    </row>
    <row r="13" spans="1:11">
      <c r="A13" t="s">
        <v>10</v>
      </c>
      <c r="B13" s="8">
        <v>2022</v>
      </c>
      <c r="C13" s="8">
        <v>208351000</v>
      </c>
      <c r="D13" s="8">
        <v>329988600</v>
      </c>
      <c r="E13" s="8">
        <v>538339600</v>
      </c>
      <c r="F13" s="8">
        <v>2027337400</v>
      </c>
      <c r="G13" s="8">
        <v>45773884</v>
      </c>
      <c r="H13" s="8">
        <v>2022</v>
      </c>
      <c r="I13" t="s">
        <v>1146</v>
      </c>
    </row>
    <row r="14" spans="1:11">
      <c r="A14" t="s">
        <v>15</v>
      </c>
      <c r="B14" s="8">
        <v>2022</v>
      </c>
      <c r="C14" s="8">
        <v>110007915.02017975</v>
      </c>
      <c r="D14" s="8">
        <v>151228111.19308472</v>
      </c>
      <c r="E14" s="8">
        <v>261236026.21326447</v>
      </c>
      <c r="F14" s="8">
        <v>939876236.9977951</v>
      </c>
      <c r="G14" s="8">
        <v>12388571</v>
      </c>
      <c r="H14" s="8">
        <v>2022</v>
      </c>
      <c r="I14" t="s">
        <v>1146</v>
      </c>
    </row>
    <row r="15" spans="1:11">
      <c r="A15" t="s">
        <v>17</v>
      </c>
      <c r="B15" s="8">
        <v>2022</v>
      </c>
      <c r="C15" s="8">
        <v>2297617501.1930466</v>
      </c>
      <c r="D15" s="8">
        <v>3926966267.6348686</v>
      </c>
      <c r="E15" s="8">
        <v>6224583768.8279152</v>
      </c>
      <c r="F15" s="8">
        <v>14921765938.134193</v>
      </c>
      <c r="G15" s="8">
        <v>216422446</v>
      </c>
      <c r="H15" s="8">
        <v>2022</v>
      </c>
      <c r="I15" t="s">
        <v>1146</v>
      </c>
    </row>
    <row r="16" spans="1:11">
      <c r="A16" t="s">
        <v>21</v>
      </c>
      <c r="B16" s="8">
        <v>2022</v>
      </c>
      <c r="C16" s="8">
        <v>63363500</v>
      </c>
      <c r="D16" s="8">
        <v>157615600</v>
      </c>
      <c r="E16" s="8">
        <v>220979100</v>
      </c>
      <c r="F16" s="8">
        <v>1748676700</v>
      </c>
      <c r="G16" s="8">
        <v>19629590</v>
      </c>
      <c r="H16" s="8">
        <v>2022</v>
      </c>
      <c r="I16" t="s">
        <v>1146</v>
      </c>
    </row>
    <row r="17" spans="1:9">
      <c r="A17" t="s">
        <v>23</v>
      </c>
      <c r="B17" s="8">
        <v>2022</v>
      </c>
      <c r="C17" s="8">
        <v>971079336.13915443</v>
      </c>
      <c r="D17" s="8">
        <v>1080412769.0700054</v>
      </c>
      <c r="E17" s="8">
        <v>2051492105.2091599</v>
      </c>
      <c r="F17" s="8">
        <v>2925161062.1575832</v>
      </c>
      <c r="G17" s="8">
        <v>52085168</v>
      </c>
      <c r="H17" s="8">
        <v>2022</v>
      </c>
      <c r="I17" t="s">
        <v>1146</v>
      </c>
    </row>
    <row r="18" spans="1:9">
      <c r="A18" t="s">
        <v>25</v>
      </c>
      <c r="B18" s="8">
        <v>2023</v>
      </c>
      <c r="C18" s="8">
        <v>34582700</v>
      </c>
      <c r="D18" s="8">
        <v>74969700</v>
      </c>
      <c r="E18" s="8">
        <v>109552400</v>
      </c>
      <c r="F18" s="8">
        <v>415253500</v>
      </c>
      <c r="G18" s="8">
        <v>5212173</v>
      </c>
      <c r="H18" s="8">
        <v>2023</v>
      </c>
      <c r="I18" t="s">
        <v>1146</v>
      </c>
    </row>
    <row r="19" spans="1:9">
      <c r="A19" t="s">
        <v>27</v>
      </c>
      <c r="B19" s="8">
        <v>2022</v>
      </c>
      <c r="C19" s="8">
        <v>95418731.759643555</v>
      </c>
      <c r="D19" s="8">
        <v>213689200.94299316</v>
      </c>
      <c r="E19" s="8">
        <v>309107932.70263672</v>
      </c>
      <c r="F19" s="8">
        <v>745012959.77935791</v>
      </c>
      <c r="G19" s="8">
        <v>11332973</v>
      </c>
      <c r="H19" s="8">
        <v>2022</v>
      </c>
      <c r="I19" t="s">
        <v>1146</v>
      </c>
    </row>
    <row r="20" spans="1:9">
      <c r="A20" t="s">
        <v>29</v>
      </c>
      <c r="B20" s="8">
        <v>2023</v>
      </c>
      <c r="C20" s="8">
        <v>292164489.88609314</v>
      </c>
      <c r="D20" s="8">
        <v>452125923.37169647</v>
      </c>
      <c r="E20" s="8">
        <v>744290413.25778961</v>
      </c>
      <c r="F20" s="8">
        <v>1099389978.2212257</v>
      </c>
      <c r="G20" s="8">
        <v>18190484</v>
      </c>
      <c r="H20" s="8">
        <v>2023</v>
      </c>
      <c r="I20" t="s">
        <v>1146</v>
      </c>
    </row>
    <row r="21" spans="1:9">
      <c r="A21" t="s">
        <v>31</v>
      </c>
      <c r="B21" s="8">
        <v>2022</v>
      </c>
      <c r="C21" s="8">
        <v>530246400</v>
      </c>
      <c r="D21" s="8">
        <v>389743500</v>
      </c>
      <c r="E21" s="8">
        <v>919989900</v>
      </c>
      <c r="F21" s="8">
        <v>741658100</v>
      </c>
      <c r="G21" s="8">
        <v>18092026</v>
      </c>
      <c r="H21" s="8">
        <v>2022</v>
      </c>
      <c r="I21" t="s">
        <v>1146</v>
      </c>
    </row>
    <row r="22" spans="1:9">
      <c r="A22" t="s">
        <v>33</v>
      </c>
      <c r="B22" s="8">
        <v>2021</v>
      </c>
      <c r="C22" s="8">
        <v>19990907.529640198</v>
      </c>
      <c r="D22" s="8">
        <v>16200678.49445343</v>
      </c>
      <c r="E22" s="8">
        <v>36191586.024093628</v>
      </c>
      <c r="F22" s="8">
        <v>26276881.57043457</v>
      </c>
      <c r="G22" s="8">
        <v>813834</v>
      </c>
      <c r="H22" s="8">
        <v>2021</v>
      </c>
      <c r="I22" t="s">
        <v>1146</v>
      </c>
    </row>
    <row r="23" spans="1:9">
      <c r="A23" t="s">
        <v>34</v>
      </c>
      <c r="B23" s="8">
        <v>2023</v>
      </c>
      <c r="C23" s="8">
        <v>331542730.31311035</v>
      </c>
      <c r="D23" s="8">
        <v>236691993.17779541</v>
      </c>
      <c r="E23" s="8">
        <v>568234723.49090576</v>
      </c>
      <c r="F23" s="8">
        <v>376069654.80499268</v>
      </c>
      <c r="G23" s="8">
        <v>10593798</v>
      </c>
      <c r="H23" s="8">
        <v>2023</v>
      </c>
      <c r="I23" t="s">
        <v>1146</v>
      </c>
    </row>
    <row r="24" spans="1:9">
      <c r="A24" t="s">
        <v>38</v>
      </c>
      <c r="B24" s="8">
        <v>2022</v>
      </c>
      <c r="C24" s="8">
        <v>1323491800</v>
      </c>
      <c r="D24" s="8">
        <v>2797549800</v>
      </c>
      <c r="E24" s="8">
        <v>4121041600</v>
      </c>
      <c r="F24" s="8">
        <v>8767200800</v>
      </c>
      <c r="G24" s="8">
        <v>128455567</v>
      </c>
      <c r="H24" s="8">
        <v>2022</v>
      </c>
      <c r="I24" t="s">
        <v>1146</v>
      </c>
    </row>
    <row r="25" spans="1:9">
      <c r="A25" t="s">
        <v>42</v>
      </c>
      <c r="B25" s="8">
        <v>2022</v>
      </c>
      <c r="C25" s="8">
        <v>39563400</v>
      </c>
      <c r="D25" s="8">
        <v>46398500</v>
      </c>
      <c r="E25" s="8">
        <v>85961900</v>
      </c>
      <c r="F25" s="8">
        <v>356290800</v>
      </c>
      <c r="G25" s="8">
        <v>4468087</v>
      </c>
      <c r="H25" s="8">
        <v>2022</v>
      </c>
      <c r="I25" t="s">
        <v>1146</v>
      </c>
    </row>
    <row r="26" spans="1:9">
      <c r="A26" t="s">
        <v>44</v>
      </c>
      <c r="B26" s="8">
        <v>2022</v>
      </c>
      <c r="C26" s="8">
        <v>433622438.55496645</v>
      </c>
      <c r="D26" s="8">
        <v>876996065.95569849</v>
      </c>
      <c r="E26" s="8">
        <v>1310618504.5106649</v>
      </c>
      <c r="F26" s="8">
        <v>2168828087.0079875</v>
      </c>
      <c r="G26" s="8">
        <v>34352719</v>
      </c>
      <c r="H26" s="8">
        <v>2022</v>
      </c>
      <c r="I26" t="s">
        <v>1146</v>
      </c>
    </row>
    <row r="27" spans="1:9">
      <c r="A27" t="s">
        <v>45</v>
      </c>
      <c r="B27" s="8">
        <v>2022</v>
      </c>
      <c r="C27" s="8">
        <v>90857700</v>
      </c>
      <c r="D27" s="8">
        <v>139271000</v>
      </c>
      <c r="E27" s="8">
        <v>230128700</v>
      </c>
      <c r="F27" s="8">
        <v>504547200</v>
      </c>
      <c r="G27" s="8">
        <v>6861524</v>
      </c>
      <c r="H27" s="8">
        <v>2022</v>
      </c>
      <c r="I27" t="s">
        <v>1146</v>
      </c>
    </row>
    <row r="28" spans="1:9">
      <c r="A28" t="s">
        <v>46</v>
      </c>
      <c r="B28" s="8">
        <v>2023</v>
      </c>
      <c r="C28" s="8">
        <v>92903490.951728821</v>
      </c>
      <c r="D28" s="8">
        <v>137809359.14878845</v>
      </c>
      <c r="E28" s="8">
        <v>230712850.10051727</v>
      </c>
      <c r="F28" s="8">
        <v>366094294.38619614</v>
      </c>
      <c r="G28" s="8">
        <v>6364943</v>
      </c>
      <c r="H28" s="8">
        <v>2023</v>
      </c>
      <c r="I28" t="s">
        <v>1146</v>
      </c>
    </row>
    <row r="29" spans="1:9">
      <c r="A29" t="s">
        <v>50</v>
      </c>
      <c r="B29" s="8">
        <v>2022</v>
      </c>
      <c r="C29" s="8">
        <v>14184500</v>
      </c>
      <c r="D29" s="8">
        <v>36596500</v>
      </c>
      <c r="E29" s="8">
        <v>50781000</v>
      </c>
      <c r="F29" s="8">
        <v>304016200</v>
      </c>
      <c r="G29" s="8">
        <v>3423109</v>
      </c>
      <c r="H29" s="8">
        <v>2022</v>
      </c>
      <c r="I29" t="s">
        <v>1146</v>
      </c>
    </row>
    <row r="30" spans="1:9">
      <c r="A30" t="s">
        <v>51</v>
      </c>
      <c r="B30" s="8">
        <v>2021</v>
      </c>
      <c r="C30" s="8">
        <v>1507243573.5191345</v>
      </c>
      <c r="D30" s="8">
        <v>479492438.46130371</v>
      </c>
      <c r="E30" s="8">
        <v>1986736011.9804382</v>
      </c>
      <c r="F30" s="8">
        <v>811307475.17471313</v>
      </c>
      <c r="G30" s="8">
        <v>28838499</v>
      </c>
      <c r="H30" s="8">
        <v>2021</v>
      </c>
      <c r="I30" t="s">
        <v>1146</v>
      </c>
    </row>
    <row r="31" spans="1:9">
      <c r="A31" t="s">
        <v>10</v>
      </c>
      <c r="B31" s="8">
        <v>2022</v>
      </c>
      <c r="C31" s="8">
        <v>208351000</v>
      </c>
      <c r="D31" s="8">
        <v>329988600</v>
      </c>
      <c r="E31" s="8">
        <v>538339600</v>
      </c>
      <c r="F31" s="8">
        <v>2027337400</v>
      </c>
      <c r="G31" s="8">
        <v>45773884</v>
      </c>
      <c r="H31" s="8">
        <v>2022</v>
      </c>
      <c r="I31" t="s">
        <v>1147</v>
      </c>
    </row>
    <row r="32" spans="1:9">
      <c r="A32" t="s">
        <v>15</v>
      </c>
      <c r="B32" s="8">
        <v>2022</v>
      </c>
      <c r="C32" s="8">
        <v>110007915.02017975</v>
      </c>
      <c r="D32" s="8">
        <v>151228111.19308472</v>
      </c>
      <c r="E32" s="8">
        <v>261236026.21326447</v>
      </c>
      <c r="F32" s="8">
        <v>939876236.9977951</v>
      </c>
      <c r="G32" s="8">
        <v>12388571</v>
      </c>
      <c r="H32" s="8">
        <v>2022</v>
      </c>
      <c r="I32" t="s">
        <v>1147</v>
      </c>
    </row>
    <row r="33" spans="1:9">
      <c r="A33" t="s">
        <v>17</v>
      </c>
      <c r="B33" s="8">
        <v>2022</v>
      </c>
      <c r="C33" s="8">
        <v>2297617501.1930466</v>
      </c>
      <c r="D33" s="8">
        <v>3926966267.6348686</v>
      </c>
      <c r="E33" s="8">
        <v>6224583768.8279152</v>
      </c>
      <c r="F33" s="8">
        <v>14921765938.134193</v>
      </c>
      <c r="G33" s="8">
        <v>216422446</v>
      </c>
      <c r="H33" s="8">
        <v>2022</v>
      </c>
      <c r="I33" t="s">
        <v>1147</v>
      </c>
    </row>
    <row r="34" spans="1:9">
      <c r="A34" t="s">
        <v>21</v>
      </c>
      <c r="B34" s="8">
        <v>2022</v>
      </c>
      <c r="C34" s="8">
        <v>63363500</v>
      </c>
      <c r="D34" s="8">
        <v>157615600</v>
      </c>
      <c r="E34" s="8">
        <v>220979100</v>
      </c>
      <c r="F34" s="8">
        <v>1748676700</v>
      </c>
      <c r="G34" s="8">
        <v>19629590</v>
      </c>
      <c r="H34" s="8">
        <v>2022</v>
      </c>
      <c r="I34" t="s">
        <v>1147</v>
      </c>
    </row>
    <row r="35" spans="1:9">
      <c r="A35" t="s">
        <v>23</v>
      </c>
      <c r="B35" s="8">
        <v>2022</v>
      </c>
      <c r="C35" s="8">
        <v>971079336.13915443</v>
      </c>
      <c r="D35" s="8">
        <v>1080412769.0700054</v>
      </c>
      <c r="E35" s="8">
        <v>2051492105.2091599</v>
      </c>
      <c r="F35" s="8">
        <v>2925161062.1575832</v>
      </c>
      <c r="G35" s="8">
        <v>52085168</v>
      </c>
      <c r="H35" s="8">
        <v>2022</v>
      </c>
      <c r="I35" t="s">
        <v>1147</v>
      </c>
    </row>
    <row r="36" spans="1:9">
      <c r="A36" t="s">
        <v>25</v>
      </c>
      <c r="B36" s="8">
        <v>2023</v>
      </c>
      <c r="C36" s="8">
        <v>34582700</v>
      </c>
      <c r="D36" s="8">
        <v>74969700</v>
      </c>
      <c r="E36" s="8">
        <v>109552400</v>
      </c>
      <c r="F36" s="8">
        <v>415253500</v>
      </c>
      <c r="G36" s="8">
        <v>5212173</v>
      </c>
      <c r="H36" s="8">
        <v>2023</v>
      </c>
      <c r="I36" t="s">
        <v>1147</v>
      </c>
    </row>
    <row r="37" spans="1:9">
      <c r="A37" t="s">
        <v>27</v>
      </c>
      <c r="B37" s="8">
        <v>2022</v>
      </c>
      <c r="C37" s="8">
        <v>95418731.759643555</v>
      </c>
      <c r="D37" s="8">
        <v>213689200.94299316</v>
      </c>
      <c r="E37" s="8">
        <v>309107932.70263672</v>
      </c>
      <c r="F37" s="8">
        <v>745012959.77935791</v>
      </c>
      <c r="G37" s="8">
        <v>11332973</v>
      </c>
      <c r="H37" s="8">
        <v>2022</v>
      </c>
      <c r="I37" t="s">
        <v>1147</v>
      </c>
    </row>
    <row r="38" spans="1:9">
      <c r="A38" t="s">
        <v>29</v>
      </c>
      <c r="B38" s="8">
        <v>2023</v>
      </c>
      <c r="C38" s="8">
        <v>292164489.88609314</v>
      </c>
      <c r="D38" s="8">
        <v>452125923.37169647</v>
      </c>
      <c r="E38" s="8">
        <v>744290413.25778961</v>
      </c>
      <c r="F38" s="8">
        <v>1099389978.2212257</v>
      </c>
      <c r="G38" s="8">
        <v>18190484</v>
      </c>
      <c r="H38" s="8">
        <v>2023</v>
      </c>
      <c r="I38" t="s">
        <v>1147</v>
      </c>
    </row>
    <row r="39" spans="1:9">
      <c r="A39" t="s">
        <v>31</v>
      </c>
      <c r="B39" s="8">
        <v>2022</v>
      </c>
      <c r="C39" s="8">
        <v>530246400</v>
      </c>
      <c r="D39" s="8">
        <v>389743500</v>
      </c>
      <c r="E39" s="8">
        <v>919989900</v>
      </c>
      <c r="F39" s="8">
        <v>741658100</v>
      </c>
      <c r="G39" s="8">
        <v>18092026</v>
      </c>
      <c r="H39" s="8">
        <v>2022</v>
      </c>
      <c r="I39" t="s">
        <v>1147</v>
      </c>
    </row>
    <row r="40" spans="1:9">
      <c r="A40" t="s">
        <v>33</v>
      </c>
      <c r="B40" s="8">
        <v>2021</v>
      </c>
      <c r="C40" s="8">
        <v>19990907.529640198</v>
      </c>
      <c r="D40" s="8">
        <v>16200678.49445343</v>
      </c>
      <c r="E40" s="8">
        <v>36191586.024093628</v>
      </c>
      <c r="F40" s="8">
        <v>26276881.57043457</v>
      </c>
      <c r="G40" s="8">
        <v>813834</v>
      </c>
      <c r="H40" s="8">
        <v>2021</v>
      </c>
      <c r="I40" t="s">
        <v>1147</v>
      </c>
    </row>
    <row r="41" spans="1:9">
      <c r="A41" t="s">
        <v>34</v>
      </c>
      <c r="B41" s="8">
        <v>2023</v>
      </c>
      <c r="C41" s="8">
        <v>331542730.31311035</v>
      </c>
      <c r="D41" s="8">
        <v>236691993.17779541</v>
      </c>
      <c r="E41" s="8">
        <v>568234723.49090576</v>
      </c>
      <c r="F41" s="8">
        <v>376069654.80499268</v>
      </c>
      <c r="G41" s="8">
        <v>10593798</v>
      </c>
      <c r="H41" s="8">
        <v>2023</v>
      </c>
      <c r="I41" t="s">
        <v>1147</v>
      </c>
    </row>
    <row r="42" spans="1:9">
      <c r="A42" t="s">
        <v>38</v>
      </c>
      <c r="B42" s="8">
        <v>2022</v>
      </c>
      <c r="C42" s="8">
        <v>1323491800</v>
      </c>
      <c r="D42" s="8">
        <v>2797549800</v>
      </c>
      <c r="E42" s="8">
        <v>4121041600</v>
      </c>
      <c r="F42" s="8">
        <v>8767200800</v>
      </c>
      <c r="G42" s="8">
        <v>128455567</v>
      </c>
      <c r="H42" s="8">
        <v>2022</v>
      </c>
      <c r="I42" t="s">
        <v>1147</v>
      </c>
    </row>
    <row r="43" spans="1:9">
      <c r="A43" t="s">
        <v>42</v>
      </c>
      <c r="B43" s="8">
        <v>2022</v>
      </c>
      <c r="C43" s="8">
        <v>39563400</v>
      </c>
      <c r="D43" s="8">
        <v>46398500</v>
      </c>
      <c r="E43" s="8">
        <v>85961900</v>
      </c>
      <c r="F43" s="8">
        <v>356290800</v>
      </c>
      <c r="G43" s="8">
        <v>4468087</v>
      </c>
      <c r="H43" s="8">
        <v>2022</v>
      </c>
      <c r="I43" t="s">
        <v>1147</v>
      </c>
    </row>
    <row r="44" spans="1:9">
      <c r="A44" t="s">
        <v>44</v>
      </c>
      <c r="B44" s="8">
        <v>2022</v>
      </c>
      <c r="C44" s="8">
        <v>433622438.55496645</v>
      </c>
      <c r="D44" s="8">
        <v>876996065.95569849</v>
      </c>
      <c r="E44" s="8">
        <v>1310618504.5106649</v>
      </c>
      <c r="F44" s="8">
        <v>2168828087.0079875</v>
      </c>
      <c r="G44" s="8">
        <v>34352719</v>
      </c>
      <c r="H44" s="8">
        <v>2022</v>
      </c>
      <c r="I44" t="s">
        <v>1147</v>
      </c>
    </row>
    <row r="45" spans="1:9">
      <c r="A45" t="s">
        <v>45</v>
      </c>
      <c r="B45" s="8">
        <v>2022</v>
      </c>
      <c r="C45" s="8">
        <v>90857700</v>
      </c>
      <c r="D45" s="8">
        <v>139271000</v>
      </c>
      <c r="E45" s="8">
        <v>230128700</v>
      </c>
      <c r="F45" s="8">
        <v>504547200</v>
      </c>
      <c r="G45" s="8">
        <v>6861524</v>
      </c>
      <c r="H45" s="8">
        <v>2022</v>
      </c>
      <c r="I45" t="s">
        <v>1147</v>
      </c>
    </row>
    <row r="46" spans="1:9">
      <c r="A46" t="s">
        <v>46</v>
      </c>
      <c r="B46" s="8">
        <v>2023</v>
      </c>
      <c r="C46" s="8">
        <v>92903490.951728821</v>
      </c>
      <c r="D46" s="8">
        <v>137809359.14878845</v>
      </c>
      <c r="E46" s="8">
        <v>230712850.10051727</v>
      </c>
      <c r="F46" s="8">
        <v>366094294.38619614</v>
      </c>
      <c r="G46" s="8">
        <v>6364943</v>
      </c>
      <c r="H46" s="8">
        <v>2023</v>
      </c>
      <c r="I46" t="s">
        <v>1147</v>
      </c>
    </row>
    <row r="47" spans="1:9">
      <c r="A47" t="s">
        <v>50</v>
      </c>
      <c r="B47" s="8">
        <v>2022</v>
      </c>
      <c r="C47" s="8">
        <v>14184500</v>
      </c>
      <c r="D47" s="8">
        <v>36596500</v>
      </c>
      <c r="E47" s="8">
        <v>50781000</v>
      </c>
      <c r="F47" s="8">
        <v>304016200</v>
      </c>
      <c r="G47" s="8">
        <v>3423109</v>
      </c>
      <c r="H47" s="8">
        <v>2022</v>
      </c>
      <c r="I47" t="s">
        <v>1147</v>
      </c>
    </row>
    <row r="48" spans="1:9">
      <c r="A48" t="s">
        <v>51</v>
      </c>
      <c r="B48" s="8">
        <v>2021</v>
      </c>
      <c r="C48" s="8">
        <v>1507243573.5191345</v>
      </c>
      <c r="D48" s="8">
        <v>479492438.46130371</v>
      </c>
      <c r="E48" s="8">
        <v>1986736011.9804382</v>
      </c>
      <c r="F48" s="8">
        <v>811307475.17471313</v>
      </c>
      <c r="G48" s="8">
        <v>28838499</v>
      </c>
      <c r="H48" s="8">
        <v>2021</v>
      </c>
      <c r="I48" t="s">
        <v>1147</v>
      </c>
    </row>
    <row r="49" spans="1:9">
      <c r="A49" t="s">
        <v>21</v>
      </c>
      <c r="B49" s="8">
        <v>2022</v>
      </c>
      <c r="C49" s="8">
        <v>57754500</v>
      </c>
      <c r="D49" s="8">
        <v>143007000</v>
      </c>
      <c r="E49" s="8">
        <v>200761500</v>
      </c>
      <c r="F49" s="8">
        <v>1649108700</v>
      </c>
      <c r="G49" s="8">
        <v>19629590</v>
      </c>
      <c r="H49" s="8">
        <v>2022</v>
      </c>
      <c r="I49" t="s">
        <v>1050</v>
      </c>
    </row>
    <row r="50" spans="1:9">
      <c r="A50" t="s">
        <v>23</v>
      </c>
      <c r="B50" s="8">
        <v>2022</v>
      </c>
      <c r="C50" s="8">
        <v>971079336.13915443</v>
      </c>
      <c r="D50" s="8">
        <v>1080412769.0700054</v>
      </c>
      <c r="E50" s="8">
        <v>2051492105.2091599</v>
      </c>
      <c r="F50" s="8">
        <v>2925161062.1575832</v>
      </c>
      <c r="G50" s="8">
        <v>52085168</v>
      </c>
      <c r="H50" s="8">
        <v>2022</v>
      </c>
      <c r="I50" t="s">
        <v>1050</v>
      </c>
    </row>
    <row r="51" spans="1:9">
      <c r="A51" t="s">
        <v>25</v>
      </c>
      <c r="B51" s="8">
        <v>2023</v>
      </c>
      <c r="C51" s="8">
        <v>34582700</v>
      </c>
      <c r="D51" s="8">
        <v>74969700</v>
      </c>
      <c r="E51" s="8">
        <v>109552400</v>
      </c>
      <c r="F51" s="8">
        <v>415253500</v>
      </c>
      <c r="G51" s="8">
        <v>5212173</v>
      </c>
      <c r="H51" s="8">
        <v>2023</v>
      </c>
      <c r="I51" t="s">
        <v>1050</v>
      </c>
    </row>
    <row r="52" spans="1:9">
      <c r="A52" t="s">
        <v>38</v>
      </c>
      <c r="B52" s="8">
        <v>2022</v>
      </c>
      <c r="C52" s="8">
        <v>1320487200</v>
      </c>
      <c r="D52" s="8">
        <v>2793424900</v>
      </c>
      <c r="E52" s="8">
        <v>4113912100</v>
      </c>
      <c r="F52" s="8">
        <v>8758569000</v>
      </c>
      <c r="G52" s="8">
        <v>128455567</v>
      </c>
      <c r="H52" s="8">
        <v>2022</v>
      </c>
      <c r="I52" t="s">
        <v>1050</v>
      </c>
    </row>
    <row r="53" spans="1:9">
      <c r="A53" t="s">
        <v>42</v>
      </c>
      <c r="B53" s="8">
        <v>2022</v>
      </c>
      <c r="C53" s="8">
        <v>39563400</v>
      </c>
      <c r="D53" s="8">
        <v>46398500</v>
      </c>
      <c r="E53" s="8">
        <v>85961900</v>
      </c>
      <c r="F53" s="8">
        <v>356290800</v>
      </c>
      <c r="G53" s="8">
        <v>4468087</v>
      </c>
      <c r="H53" s="8">
        <v>2022</v>
      </c>
      <c r="I53" t="s">
        <v>1050</v>
      </c>
    </row>
    <row r="54" spans="1:9">
      <c r="A54" t="s">
        <v>44</v>
      </c>
      <c r="B54" s="8">
        <v>2022</v>
      </c>
      <c r="C54" s="8">
        <v>405664175.16158819</v>
      </c>
      <c r="D54" s="8">
        <v>848851490.19808769</v>
      </c>
      <c r="E54" s="8">
        <v>1254515665.3596759</v>
      </c>
      <c r="F54" s="8">
        <v>2134506553.2994747</v>
      </c>
      <c r="G54" s="8">
        <v>34352719</v>
      </c>
      <c r="H54" s="8">
        <v>2022</v>
      </c>
      <c r="I54" t="s">
        <v>1050</v>
      </c>
    </row>
    <row r="55" spans="1:9">
      <c r="A55" t="s">
        <v>15</v>
      </c>
      <c r="B55" s="8">
        <v>2022</v>
      </c>
      <c r="C55" s="8">
        <v>110007915.02017975</v>
      </c>
      <c r="D55" s="8">
        <v>151115294.46334839</v>
      </c>
      <c r="E55" s="8">
        <v>261123209.48352814</v>
      </c>
      <c r="F55" s="8">
        <v>937907508.50963593</v>
      </c>
      <c r="G55" s="8">
        <v>12388571</v>
      </c>
      <c r="H55" s="8">
        <v>2022</v>
      </c>
      <c r="I55" t="s">
        <v>1049</v>
      </c>
    </row>
    <row r="56" spans="1:9">
      <c r="A56" t="s">
        <v>17</v>
      </c>
      <c r="B56" s="8">
        <v>2022</v>
      </c>
      <c r="C56" s="8">
        <v>2297147035.2140427</v>
      </c>
      <c r="D56" s="8">
        <v>3925766210.4464531</v>
      </c>
      <c r="E56" s="8">
        <v>6222913245.6604958</v>
      </c>
      <c r="F56" s="8">
        <v>14915048449.042702</v>
      </c>
      <c r="G56" s="8">
        <v>216422446</v>
      </c>
      <c r="H56" s="8">
        <v>2022</v>
      </c>
      <c r="I56" t="s">
        <v>1049</v>
      </c>
    </row>
    <row r="57" spans="1:9">
      <c r="A57" t="s">
        <v>21</v>
      </c>
      <c r="B57" s="8">
        <v>2022</v>
      </c>
      <c r="C57" s="8">
        <v>63363500</v>
      </c>
      <c r="D57" s="8">
        <v>157615600</v>
      </c>
      <c r="E57" s="8">
        <v>220979100</v>
      </c>
      <c r="F57" s="8">
        <v>1748676700</v>
      </c>
      <c r="G57" s="8">
        <v>19629590</v>
      </c>
      <c r="H57" s="8">
        <v>2022</v>
      </c>
      <c r="I57" t="s">
        <v>1049</v>
      </c>
    </row>
    <row r="58" spans="1:9">
      <c r="A58" t="s">
        <v>23</v>
      </c>
      <c r="B58" s="8">
        <v>2022</v>
      </c>
      <c r="C58" s="8">
        <v>971079336.13915443</v>
      </c>
      <c r="D58" s="8">
        <v>1080412769.0700054</v>
      </c>
      <c r="E58" s="8">
        <v>2051492105.2091599</v>
      </c>
      <c r="F58" s="8">
        <v>2925161062.1575832</v>
      </c>
      <c r="G58" s="8">
        <v>52085168</v>
      </c>
      <c r="H58" s="8">
        <v>2022</v>
      </c>
      <c r="I58" t="s">
        <v>1049</v>
      </c>
    </row>
    <row r="59" spans="1:9">
      <c r="A59" t="s">
        <v>29</v>
      </c>
      <c r="B59" s="8">
        <v>2023</v>
      </c>
      <c r="C59" s="8">
        <v>256952140.50788879</v>
      </c>
      <c r="D59" s="8">
        <v>407285897.42259979</v>
      </c>
      <c r="E59" s="8">
        <v>664238037.93048859</v>
      </c>
      <c r="F59" s="8">
        <v>1037293046.3774681</v>
      </c>
      <c r="G59" s="8">
        <v>18190484</v>
      </c>
      <c r="H59" s="8">
        <v>2023</v>
      </c>
      <c r="I59" t="s">
        <v>1049</v>
      </c>
    </row>
    <row r="60" spans="1:9">
      <c r="A60" t="s">
        <v>31</v>
      </c>
      <c r="B60" s="8">
        <v>2022</v>
      </c>
      <c r="C60" s="8">
        <v>529583100</v>
      </c>
      <c r="D60" s="8">
        <v>388452000</v>
      </c>
      <c r="E60" s="8">
        <v>918035100</v>
      </c>
      <c r="F60" s="8">
        <v>739401600</v>
      </c>
      <c r="G60" s="8">
        <v>18092026</v>
      </c>
      <c r="H60" s="8">
        <v>2022</v>
      </c>
      <c r="I60" t="s">
        <v>1049</v>
      </c>
    </row>
    <row r="61" spans="1:9">
      <c r="A61" t="s">
        <v>34</v>
      </c>
      <c r="B61" s="8">
        <v>2023</v>
      </c>
      <c r="C61" s="8">
        <v>331542730.31311035</v>
      </c>
      <c r="D61" s="8">
        <v>236691993.17779541</v>
      </c>
      <c r="E61" s="8">
        <v>568234723.49090576</v>
      </c>
      <c r="F61" s="8">
        <v>376069654.80499268</v>
      </c>
      <c r="G61" s="8">
        <v>10593798</v>
      </c>
      <c r="H61" s="8">
        <v>2023</v>
      </c>
      <c r="I61" t="s">
        <v>1049</v>
      </c>
    </row>
    <row r="62" spans="1:9">
      <c r="A62" t="s">
        <v>38</v>
      </c>
      <c r="B62" s="8">
        <v>2022</v>
      </c>
      <c r="C62" s="8">
        <v>1250659300</v>
      </c>
      <c r="D62" s="8">
        <v>2668553300</v>
      </c>
      <c r="E62" s="8">
        <v>3919212600</v>
      </c>
      <c r="F62" s="8">
        <v>8525221200</v>
      </c>
      <c r="G62" s="8">
        <v>128455567</v>
      </c>
      <c r="H62" s="8">
        <v>2022</v>
      </c>
      <c r="I62" t="s">
        <v>1049</v>
      </c>
    </row>
    <row r="63" spans="1:9">
      <c r="A63" t="s">
        <v>42</v>
      </c>
      <c r="B63" s="8">
        <v>2022</v>
      </c>
      <c r="C63" s="8">
        <v>39563400</v>
      </c>
      <c r="D63" s="8">
        <v>46398500</v>
      </c>
      <c r="E63" s="8">
        <v>85961900</v>
      </c>
      <c r="F63" s="8">
        <v>356290800</v>
      </c>
      <c r="G63" s="8">
        <v>4468087</v>
      </c>
      <c r="H63" s="8">
        <v>2022</v>
      </c>
      <c r="I63" t="s">
        <v>1049</v>
      </c>
    </row>
    <row r="64" spans="1:9">
      <c r="A64" t="s">
        <v>44</v>
      </c>
      <c r="B64" s="8">
        <v>2022</v>
      </c>
      <c r="C64" s="8">
        <v>257309936.29571199</v>
      </c>
      <c r="D64" s="8">
        <v>568184061.32489443</v>
      </c>
      <c r="E64" s="8">
        <v>825493997.62060642</v>
      </c>
      <c r="F64" s="8">
        <v>1668558061.3714814</v>
      </c>
      <c r="G64" s="8">
        <v>34352719</v>
      </c>
      <c r="H64" s="8">
        <v>2022</v>
      </c>
      <c r="I64" t="s">
        <v>1049</v>
      </c>
    </row>
    <row r="65" spans="1:9">
      <c r="A65" t="s">
        <v>50</v>
      </c>
      <c r="B65" s="8">
        <v>2022</v>
      </c>
      <c r="C65" s="8">
        <v>14184500</v>
      </c>
      <c r="D65" s="8">
        <v>36596500</v>
      </c>
      <c r="E65" s="8">
        <v>50781000</v>
      </c>
      <c r="F65" s="8">
        <v>303991000</v>
      </c>
      <c r="G65" s="8">
        <v>3423109</v>
      </c>
      <c r="H65" s="8">
        <v>2022</v>
      </c>
      <c r="I65" t="s">
        <v>1049</v>
      </c>
    </row>
    <row r="66" spans="1:9">
      <c r="A66" t="s">
        <v>10</v>
      </c>
      <c r="B66" s="8">
        <v>2022</v>
      </c>
      <c r="C66" s="8">
        <v>208351000</v>
      </c>
      <c r="D66" s="8">
        <v>329674700</v>
      </c>
      <c r="E66" s="8">
        <v>538025700</v>
      </c>
      <c r="F66" s="8">
        <v>2026383600</v>
      </c>
      <c r="G66" s="8">
        <v>45773884</v>
      </c>
      <c r="H66" s="8">
        <v>2022</v>
      </c>
      <c r="I66" t="s">
        <v>1047</v>
      </c>
    </row>
    <row r="67" spans="1:9">
      <c r="A67" t="s">
        <v>15</v>
      </c>
      <c r="B67" s="8">
        <v>2022</v>
      </c>
      <c r="C67" s="8">
        <v>110007915.02017975</v>
      </c>
      <c r="D67" s="8">
        <v>151228111.19308472</v>
      </c>
      <c r="E67" s="8">
        <v>261236026.21326447</v>
      </c>
      <c r="F67" s="8">
        <v>939876236.9977951</v>
      </c>
      <c r="G67" s="8">
        <v>12388571</v>
      </c>
      <c r="H67" s="8">
        <v>2022</v>
      </c>
      <c r="I67" t="s">
        <v>1047</v>
      </c>
    </row>
    <row r="68" spans="1:9">
      <c r="A68" t="s">
        <v>21</v>
      </c>
      <c r="B68" s="8">
        <v>2022</v>
      </c>
      <c r="C68" s="8">
        <v>63363500</v>
      </c>
      <c r="D68" s="8">
        <v>157615600</v>
      </c>
      <c r="E68" s="8">
        <v>220979100</v>
      </c>
      <c r="F68" s="8">
        <v>1748676700</v>
      </c>
      <c r="G68" s="8">
        <v>19629590</v>
      </c>
      <c r="H68" s="8">
        <v>2022</v>
      </c>
      <c r="I68" t="s">
        <v>1047</v>
      </c>
    </row>
    <row r="69" spans="1:9">
      <c r="A69" t="s">
        <v>23</v>
      </c>
      <c r="B69" s="8">
        <v>2022</v>
      </c>
      <c r="C69" s="8">
        <v>971079336.13915443</v>
      </c>
      <c r="D69" s="8">
        <v>1080412769.0700054</v>
      </c>
      <c r="E69" s="8">
        <v>2051492105.2091599</v>
      </c>
      <c r="F69" s="8">
        <v>2925161062.1575832</v>
      </c>
      <c r="G69" s="8">
        <v>52085168</v>
      </c>
      <c r="H69" s="8">
        <v>2022</v>
      </c>
      <c r="I69" t="s">
        <v>1047</v>
      </c>
    </row>
    <row r="70" spans="1:9">
      <c r="A70" t="s">
        <v>25</v>
      </c>
      <c r="B70" s="8">
        <v>2023</v>
      </c>
      <c r="C70" s="8">
        <v>34582700</v>
      </c>
      <c r="D70" s="8">
        <v>74969700</v>
      </c>
      <c r="E70" s="8">
        <v>109552400</v>
      </c>
      <c r="F70" s="8">
        <v>415253500</v>
      </c>
      <c r="G70" s="8">
        <v>5212173</v>
      </c>
      <c r="H70" s="8">
        <v>2023</v>
      </c>
      <c r="I70" t="s">
        <v>1047</v>
      </c>
    </row>
    <row r="71" spans="1:9">
      <c r="A71" t="s">
        <v>27</v>
      </c>
      <c r="B71" s="8">
        <v>2022</v>
      </c>
      <c r="C71" s="8">
        <v>95418731.759643555</v>
      </c>
      <c r="D71" s="8">
        <v>213689200.94299316</v>
      </c>
      <c r="E71" s="8">
        <v>309107932.70263672</v>
      </c>
      <c r="F71" s="8">
        <v>745012959.77935791</v>
      </c>
      <c r="G71" s="8">
        <v>11332973</v>
      </c>
      <c r="H71" s="8">
        <v>2022</v>
      </c>
      <c r="I71" t="s">
        <v>1047</v>
      </c>
    </row>
    <row r="72" spans="1:9">
      <c r="A72" t="s">
        <v>29</v>
      </c>
      <c r="B72" s="8">
        <v>2023</v>
      </c>
      <c r="C72" s="8">
        <v>292164489.88609314</v>
      </c>
      <c r="D72" s="8">
        <v>452125923.37169647</v>
      </c>
      <c r="E72" s="8">
        <v>744290413.25778961</v>
      </c>
      <c r="F72" s="8">
        <v>1099389978.2212257</v>
      </c>
      <c r="G72" s="8">
        <v>18190484</v>
      </c>
      <c r="H72" s="8">
        <v>2023</v>
      </c>
      <c r="I72" t="s">
        <v>1047</v>
      </c>
    </row>
    <row r="73" spans="1:9">
      <c r="A73" t="s">
        <v>33</v>
      </c>
      <c r="B73" s="8">
        <v>2021</v>
      </c>
      <c r="C73" s="8">
        <v>18657318.318557739</v>
      </c>
      <c r="D73" s="8">
        <v>15829166.669464111</v>
      </c>
      <c r="E73" s="8">
        <v>34486484.988021851</v>
      </c>
      <c r="F73" s="8">
        <v>25559273.460388184</v>
      </c>
      <c r="G73" s="8">
        <v>813834</v>
      </c>
      <c r="H73" s="8">
        <v>2021</v>
      </c>
      <c r="I73" t="s">
        <v>1047</v>
      </c>
    </row>
    <row r="74" spans="1:9">
      <c r="A74" t="s">
        <v>42</v>
      </c>
      <c r="B74" s="8">
        <v>2022</v>
      </c>
      <c r="C74" s="8">
        <v>39563400</v>
      </c>
      <c r="D74" s="8">
        <v>46398500</v>
      </c>
      <c r="E74" s="8">
        <v>85961900</v>
      </c>
      <c r="F74" s="8">
        <v>356290800</v>
      </c>
      <c r="G74" s="8">
        <v>4468087</v>
      </c>
      <c r="H74" s="8">
        <v>2022</v>
      </c>
      <c r="I74" t="s">
        <v>1047</v>
      </c>
    </row>
    <row r="75" spans="1:9">
      <c r="A75" t="s">
        <v>44</v>
      </c>
      <c r="B75" s="8">
        <v>2022</v>
      </c>
      <c r="C75" s="8">
        <v>404620267.15382338</v>
      </c>
      <c r="D75" s="8">
        <v>845550484.95004177</v>
      </c>
      <c r="E75" s="8">
        <v>1250170752.1038651</v>
      </c>
      <c r="F75" s="8">
        <v>2120747706.6396832</v>
      </c>
      <c r="G75" s="8">
        <v>34352719</v>
      </c>
      <c r="H75" s="8">
        <v>2022</v>
      </c>
      <c r="I75" t="s">
        <v>1047</v>
      </c>
    </row>
    <row r="76" spans="1:9">
      <c r="A76" t="s">
        <v>45</v>
      </c>
      <c r="B76" s="8">
        <v>2022</v>
      </c>
      <c r="C76" s="8">
        <v>90857700</v>
      </c>
      <c r="D76" s="8">
        <v>139139700</v>
      </c>
      <c r="E76" s="8">
        <v>229997400</v>
      </c>
      <c r="F76" s="8">
        <v>503935900</v>
      </c>
      <c r="G76" s="8">
        <v>6861524</v>
      </c>
      <c r="H76" s="8">
        <v>2022</v>
      </c>
      <c r="I76" t="s">
        <v>1047</v>
      </c>
    </row>
    <row r="77" spans="1:9">
      <c r="A77" t="s">
        <v>50</v>
      </c>
      <c r="B77" s="8">
        <v>2022</v>
      </c>
      <c r="C77" s="8">
        <v>14184500</v>
      </c>
      <c r="D77" s="8">
        <v>36596500</v>
      </c>
      <c r="E77" s="8">
        <v>50781000</v>
      </c>
      <c r="F77" s="8">
        <v>304016200</v>
      </c>
      <c r="G77" s="8">
        <v>3423109</v>
      </c>
      <c r="H77" s="8">
        <v>2022</v>
      </c>
      <c r="I77" t="s">
        <v>1047</v>
      </c>
    </row>
    <row r="78" spans="1:9">
      <c r="A78" t="s">
        <v>51</v>
      </c>
      <c r="B78" s="8">
        <v>2021</v>
      </c>
      <c r="C78" s="8">
        <v>1507243573.5191345</v>
      </c>
      <c r="D78" s="8">
        <v>479492438.46130371</v>
      </c>
      <c r="E78" s="8">
        <v>1986736011.9804382</v>
      </c>
      <c r="F78" s="8">
        <v>811307475.17471313</v>
      </c>
      <c r="G78" s="8">
        <v>28838499</v>
      </c>
      <c r="H78" s="8">
        <v>2021</v>
      </c>
      <c r="I78" t="s">
        <v>1047</v>
      </c>
    </row>
    <row r="79" spans="1:9">
      <c r="A79" t="s">
        <v>10</v>
      </c>
      <c r="B79" s="8">
        <v>2022</v>
      </c>
      <c r="C79" s="8">
        <v>208351000</v>
      </c>
      <c r="D79" s="8">
        <v>329988600</v>
      </c>
      <c r="E79" s="8">
        <v>538339600</v>
      </c>
      <c r="F79" s="8">
        <v>2027337400</v>
      </c>
      <c r="G79" s="8">
        <v>45773884</v>
      </c>
      <c r="H79" s="8">
        <v>2022</v>
      </c>
      <c r="I79" t="s">
        <v>1046</v>
      </c>
    </row>
    <row r="80" spans="1:9">
      <c r="A80" t="s">
        <v>15</v>
      </c>
      <c r="B80" s="8">
        <v>2022</v>
      </c>
      <c r="C80" s="8">
        <v>110007915.02017975</v>
      </c>
      <c r="D80" s="8">
        <v>151228111.19308472</v>
      </c>
      <c r="E80" s="8">
        <v>261236026.21326447</v>
      </c>
      <c r="F80" s="8">
        <v>939876236.9977951</v>
      </c>
      <c r="G80" s="8">
        <v>12388571</v>
      </c>
      <c r="H80" s="8">
        <v>2022</v>
      </c>
      <c r="I80" t="s">
        <v>1046</v>
      </c>
    </row>
    <row r="81" spans="1:9">
      <c r="A81" t="s">
        <v>17</v>
      </c>
      <c r="B81" s="8">
        <v>2022</v>
      </c>
      <c r="C81" s="8">
        <v>2297617501.1930466</v>
      </c>
      <c r="D81" s="8">
        <v>3926966267.6348686</v>
      </c>
      <c r="E81" s="8">
        <v>6224583768.8279152</v>
      </c>
      <c r="F81" s="8">
        <v>14921765938.134193</v>
      </c>
      <c r="G81" s="8">
        <v>216422446</v>
      </c>
      <c r="H81" s="8">
        <v>2022</v>
      </c>
      <c r="I81" t="s">
        <v>1046</v>
      </c>
    </row>
    <row r="82" spans="1:9">
      <c r="A82" t="s">
        <v>21</v>
      </c>
      <c r="B82" s="8">
        <v>2022</v>
      </c>
      <c r="C82" s="8">
        <v>63363500</v>
      </c>
      <c r="D82" s="8">
        <v>157615600</v>
      </c>
      <c r="E82" s="8">
        <v>220979100</v>
      </c>
      <c r="F82" s="8">
        <v>1748676700</v>
      </c>
      <c r="G82" s="8">
        <v>19629590</v>
      </c>
      <c r="H82" s="8">
        <v>2022</v>
      </c>
      <c r="I82" t="s">
        <v>1046</v>
      </c>
    </row>
    <row r="83" spans="1:9">
      <c r="A83" t="s">
        <v>23</v>
      </c>
      <c r="B83" s="8">
        <v>2022</v>
      </c>
      <c r="C83" s="8">
        <v>971079336.13915443</v>
      </c>
      <c r="D83" s="8">
        <v>1080412769.0700054</v>
      </c>
      <c r="E83" s="8">
        <v>2051492105.2091599</v>
      </c>
      <c r="F83" s="8">
        <v>2925161062.1575832</v>
      </c>
      <c r="G83" s="8">
        <v>52085168</v>
      </c>
      <c r="H83" s="8">
        <v>2022</v>
      </c>
      <c r="I83" t="s">
        <v>1046</v>
      </c>
    </row>
    <row r="84" spans="1:9">
      <c r="A84" t="s">
        <v>25</v>
      </c>
      <c r="B84" s="8">
        <v>2023</v>
      </c>
      <c r="C84" s="8">
        <v>34582700</v>
      </c>
      <c r="D84" s="8">
        <v>74969700</v>
      </c>
      <c r="E84" s="8">
        <v>109552400</v>
      </c>
      <c r="F84" s="8">
        <v>415253500</v>
      </c>
      <c r="G84" s="8">
        <v>5212173</v>
      </c>
      <c r="H84" s="8">
        <v>2023</v>
      </c>
      <c r="I84" t="s">
        <v>1046</v>
      </c>
    </row>
    <row r="85" spans="1:9">
      <c r="A85" t="s">
        <v>27</v>
      </c>
      <c r="B85" s="8">
        <v>2022</v>
      </c>
      <c r="C85" s="8">
        <v>95418731.759643555</v>
      </c>
      <c r="D85" s="8">
        <v>213689200.94299316</v>
      </c>
      <c r="E85" s="8">
        <v>309107932.70263672</v>
      </c>
      <c r="F85" s="8">
        <v>745012959.77935791</v>
      </c>
      <c r="G85" s="8">
        <v>11332973</v>
      </c>
      <c r="H85" s="8">
        <v>2022</v>
      </c>
      <c r="I85" t="s">
        <v>1046</v>
      </c>
    </row>
    <row r="86" spans="1:9">
      <c r="A86" t="s">
        <v>29</v>
      </c>
      <c r="B86" s="8">
        <v>2023</v>
      </c>
      <c r="C86" s="8">
        <v>292164489.88609314</v>
      </c>
      <c r="D86" s="8">
        <v>452125923.37169647</v>
      </c>
      <c r="E86" s="8">
        <v>744290413.25778961</v>
      </c>
      <c r="F86" s="8">
        <v>1099389978.2212257</v>
      </c>
      <c r="G86" s="8">
        <v>18190484</v>
      </c>
      <c r="H86" s="8">
        <v>2023</v>
      </c>
      <c r="I86" t="s">
        <v>1046</v>
      </c>
    </row>
    <row r="87" spans="1:9">
      <c r="A87" t="s">
        <v>31</v>
      </c>
      <c r="B87" s="8">
        <v>2022</v>
      </c>
      <c r="C87" s="8">
        <v>530246400</v>
      </c>
      <c r="D87" s="8">
        <v>389743500</v>
      </c>
      <c r="E87" s="8">
        <v>919989900</v>
      </c>
      <c r="F87" s="8">
        <v>741658100</v>
      </c>
      <c r="G87" s="8">
        <v>18092026</v>
      </c>
      <c r="H87" s="8">
        <v>2022</v>
      </c>
      <c r="I87" t="s">
        <v>1046</v>
      </c>
    </row>
    <row r="88" spans="1:9">
      <c r="A88" t="s">
        <v>33</v>
      </c>
      <c r="B88" s="8">
        <v>2021</v>
      </c>
      <c r="C88" s="8">
        <v>19990907.529640198</v>
      </c>
      <c r="D88" s="8">
        <v>16206798.682594299</v>
      </c>
      <c r="E88" s="8">
        <v>36197706.212234497</v>
      </c>
      <c r="F88" s="8">
        <v>26276881.57043457</v>
      </c>
      <c r="G88" s="8">
        <v>813834</v>
      </c>
      <c r="H88" s="8">
        <v>2021</v>
      </c>
      <c r="I88" t="s">
        <v>1046</v>
      </c>
    </row>
    <row r="89" spans="1:9">
      <c r="A89" t="s">
        <v>34</v>
      </c>
      <c r="B89" s="8">
        <v>2023</v>
      </c>
      <c r="C89" s="8">
        <v>331542730.31311035</v>
      </c>
      <c r="D89" s="8">
        <v>236691993.17779541</v>
      </c>
      <c r="E89" s="8">
        <v>568234723.49090576</v>
      </c>
      <c r="F89" s="8">
        <v>376069654.80499268</v>
      </c>
      <c r="G89" s="8">
        <v>10593798</v>
      </c>
      <c r="H89" s="8">
        <v>2023</v>
      </c>
      <c r="I89" t="s">
        <v>1046</v>
      </c>
    </row>
    <row r="90" spans="1:9">
      <c r="A90" t="s">
        <v>38</v>
      </c>
      <c r="B90" s="8">
        <v>2022</v>
      </c>
      <c r="C90" s="8">
        <v>1323491800</v>
      </c>
      <c r="D90" s="8">
        <v>2797549800</v>
      </c>
      <c r="E90" s="8">
        <v>4121041600</v>
      </c>
      <c r="F90" s="8">
        <v>8767200800</v>
      </c>
      <c r="G90" s="8">
        <v>128455567</v>
      </c>
      <c r="H90" s="8">
        <v>2022</v>
      </c>
      <c r="I90" t="s">
        <v>1046</v>
      </c>
    </row>
    <row r="91" spans="1:9">
      <c r="A91" t="s">
        <v>42</v>
      </c>
      <c r="B91" s="8">
        <v>2022</v>
      </c>
      <c r="C91" s="8">
        <v>39563400</v>
      </c>
      <c r="D91" s="8">
        <v>46398500</v>
      </c>
      <c r="E91" s="8">
        <v>85961900</v>
      </c>
      <c r="F91" s="8">
        <v>356290800</v>
      </c>
      <c r="G91" s="8">
        <v>4468087</v>
      </c>
      <c r="H91" s="8">
        <v>2022</v>
      </c>
      <c r="I91" t="s">
        <v>1046</v>
      </c>
    </row>
    <row r="92" spans="1:9">
      <c r="A92" t="s">
        <v>44</v>
      </c>
      <c r="B92" s="8">
        <v>2022</v>
      </c>
      <c r="C92" s="8">
        <v>433622438.55496645</v>
      </c>
      <c r="D92" s="8">
        <v>876996065.95569849</v>
      </c>
      <c r="E92" s="8">
        <v>1310618504.5106649</v>
      </c>
      <c r="F92" s="8">
        <v>2168828087.0079875</v>
      </c>
      <c r="G92" s="8">
        <v>34352719</v>
      </c>
      <c r="H92" s="8">
        <v>2022</v>
      </c>
      <c r="I92" t="s">
        <v>1046</v>
      </c>
    </row>
    <row r="93" spans="1:9">
      <c r="A93" t="s">
        <v>45</v>
      </c>
      <c r="B93" s="8">
        <v>2022</v>
      </c>
      <c r="C93" s="8">
        <v>90857700</v>
      </c>
      <c r="D93" s="8">
        <v>139271000</v>
      </c>
      <c r="E93" s="8">
        <v>230128700</v>
      </c>
      <c r="F93" s="8">
        <v>504547200</v>
      </c>
      <c r="G93" s="8">
        <v>6861524</v>
      </c>
      <c r="H93" s="8">
        <v>2022</v>
      </c>
      <c r="I93" t="s">
        <v>1046</v>
      </c>
    </row>
    <row r="94" spans="1:9">
      <c r="A94" t="s">
        <v>46</v>
      </c>
      <c r="B94" s="8">
        <v>2023</v>
      </c>
      <c r="C94" s="8">
        <v>92903490.951728821</v>
      </c>
      <c r="D94" s="8">
        <v>137809359.14878845</v>
      </c>
      <c r="E94" s="8">
        <v>230712850.10051727</v>
      </c>
      <c r="F94" s="8">
        <v>366094294.38619614</v>
      </c>
      <c r="G94" s="8">
        <v>6364943</v>
      </c>
      <c r="H94" s="8">
        <v>2023</v>
      </c>
      <c r="I94" t="s">
        <v>1046</v>
      </c>
    </row>
    <row r="95" spans="1:9">
      <c r="A95" t="s">
        <v>50</v>
      </c>
      <c r="B95" s="8">
        <v>2022</v>
      </c>
      <c r="C95" s="8">
        <v>14184500</v>
      </c>
      <c r="D95" s="8">
        <v>36596500</v>
      </c>
      <c r="E95" s="8">
        <v>50781000</v>
      </c>
      <c r="F95" s="8">
        <v>304016200</v>
      </c>
      <c r="G95" s="8">
        <v>3423109</v>
      </c>
      <c r="H95" s="8">
        <v>2022</v>
      </c>
      <c r="I95" t="s">
        <v>1046</v>
      </c>
    </row>
    <row r="96" spans="1:9">
      <c r="A96" t="s">
        <v>51</v>
      </c>
      <c r="B96" s="8">
        <v>2021</v>
      </c>
      <c r="C96" s="8">
        <v>1507243573.5191345</v>
      </c>
      <c r="D96" s="8">
        <v>479492438.46130371</v>
      </c>
      <c r="E96" s="8">
        <v>1986736011.9804382</v>
      </c>
      <c r="F96" s="8">
        <v>811307475.17471313</v>
      </c>
      <c r="G96" s="8">
        <v>28838499</v>
      </c>
      <c r="H96" s="8">
        <v>2021</v>
      </c>
      <c r="I96" t="s">
        <v>1046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3CF38A08EAD904D8140A27674133DC0" ma:contentTypeVersion="11" ma:contentTypeDescription="Create a new document." ma:contentTypeScope="" ma:versionID="23d92ca6aa78301b24ef2c01d6f79b6c">
  <xsd:schema xmlns:xsd="http://www.w3.org/2001/XMLSchema" xmlns:xs="http://www.w3.org/2001/XMLSchema" xmlns:p="http://schemas.microsoft.com/office/2006/metadata/properties" xmlns:ns2="9b22d16a-b222-4747-9d67-05e6dc9cd2c7" xmlns:ns3="1a0472dc-8770-4be2-84ee-21b65b750204" targetNamespace="http://schemas.microsoft.com/office/2006/metadata/properties" ma:root="true" ma:fieldsID="35d7e9db112d218c6112019ec00c8fc1" ns2:_="" ns3:_="">
    <xsd:import namespace="9b22d16a-b222-4747-9d67-05e6dc9cd2c7"/>
    <xsd:import namespace="1a0472dc-8770-4be2-84ee-21b65b750204"/>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22d16a-b222-4747-9d67-05e6dc9cd2c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ae61f9b1-e23d-4f49-b3d7-56b991556c4b"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a0472dc-8770-4be2-84ee-21b65b750204"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9b6a298f-6da9-4e43-a1e6-bcc133434944}" ma:internalName="TaxCatchAll" ma:showField="CatchAllData" ma:web="1a0472dc-8770-4be2-84ee-21b65b75020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9b22d16a-b222-4747-9d67-05e6dc9cd2c7">
      <Terms xmlns="http://schemas.microsoft.com/office/infopath/2007/PartnerControls"/>
    </lcf76f155ced4ddcb4097134ff3c332f>
    <TaxCatchAll xmlns="1a0472dc-8770-4be2-84ee-21b65b750204" xsi:nil="true"/>
  </documentManagement>
</p:properties>
</file>

<file path=customXml/itemProps1.xml><?xml version="1.0" encoding="utf-8"?>
<ds:datastoreItem xmlns:ds="http://schemas.openxmlformats.org/officeDocument/2006/customXml" ds:itemID="{2FB10B0A-D3FB-4224-A4B6-A0EBB2DB564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22d16a-b222-4747-9d67-05e6dc9cd2c7"/>
    <ds:schemaRef ds:uri="1a0472dc-8770-4be2-84ee-21b65b75020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14F257E-1A12-4498-AB39-3ACB65EEB599}">
  <ds:schemaRefs>
    <ds:schemaRef ds:uri="http://schemas.microsoft.com/sharepoint/v3/contenttype/forms"/>
  </ds:schemaRefs>
</ds:datastoreItem>
</file>

<file path=customXml/itemProps3.xml><?xml version="1.0" encoding="utf-8"?>
<ds:datastoreItem xmlns:ds="http://schemas.openxmlformats.org/officeDocument/2006/customXml" ds:itemID="{5B51E5FA-46A2-4D23-B83B-12ADD10087FA}">
  <ds:schemaRefs>
    <ds:schemaRef ds:uri="http://schemas.microsoft.com/office/2006/metadata/properties"/>
    <ds:schemaRef ds:uri="http://schemas.microsoft.com/office/infopath/2007/PartnerControls"/>
    <ds:schemaRef ds:uri="9b22d16a-b222-4747-9d67-05e6dc9cd2c7"/>
    <ds:schemaRef ds:uri="1a0472dc-8770-4be2-84ee-21b65b75020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11</vt:i4>
      </vt:variant>
    </vt:vector>
  </HeadingPairs>
  <TitlesOfParts>
    <vt:vector size="49" baseType="lpstr">
      <vt:lpstr>POP</vt:lpstr>
      <vt:lpstr>Groups&amp;Population</vt:lpstr>
      <vt:lpstr>WB_poverty</vt:lpstr>
      <vt:lpstr>HighIncome_oecd</vt:lpstr>
      <vt:lpstr>Fact1_data</vt:lpstr>
      <vt:lpstr>Fact1_2</vt:lpstr>
      <vt:lpstr>1bAnexo</vt:lpstr>
      <vt:lpstr>Fact2</vt:lpstr>
      <vt:lpstr>Fact3_data</vt:lpstr>
      <vt:lpstr>Fact3a</vt:lpstr>
      <vt:lpstr>Fact3a_conteo</vt:lpstr>
      <vt:lpstr>Fact3b_conteo</vt:lpstr>
      <vt:lpstr>Fact3b</vt:lpstr>
      <vt:lpstr>afro</vt:lpstr>
      <vt:lpstr>indi</vt:lpstr>
      <vt:lpstr>Fact4</vt:lpstr>
      <vt:lpstr>Fact5</vt:lpstr>
      <vt:lpstr>fact6a</vt:lpstr>
      <vt:lpstr>Fact6init</vt:lpstr>
      <vt:lpstr>agecom</vt:lpstr>
      <vt:lpstr>Fact5_predicextreme</vt:lpstr>
      <vt:lpstr>Fact5_predicmoderate</vt:lpstr>
      <vt:lpstr>Fact5_predicpoor_under5</vt:lpstr>
      <vt:lpstr>Fact6b</vt:lpstr>
      <vt:lpstr>Fact6bh</vt:lpstr>
      <vt:lpstr>Fact7</vt:lpstr>
      <vt:lpstr>Fact7zona</vt:lpstr>
      <vt:lpstr>Fact7zona_conteo</vt:lpstr>
      <vt:lpstr>Fact7anexo</vt:lpstr>
      <vt:lpstr>Sheet5</vt:lpstr>
      <vt:lpstr>Sheet4</vt:lpstr>
      <vt:lpstr>miembros</vt:lpstr>
      <vt:lpstr>otros</vt:lpstr>
      <vt:lpstr>Fact8</vt:lpstr>
      <vt:lpstr>Fact9</vt:lpstr>
      <vt:lpstr>Fact10 </vt:lpstr>
      <vt:lpstr>Age_comp</vt:lpstr>
      <vt:lpstr>Fact3b1</vt:lpstr>
      <vt:lpstr>afro</vt:lpstr>
      <vt:lpstr>age0_15</vt:lpstr>
      <vt:lpstr>age65_mas</vt:lpstr>
      <vt:lpstr>dis</vt:lpstr>
      <vt:lpstr>Groups_population</vt:lpstr>
      <vt:lpstr>impu_extrema</vt:lpstr>
      <vt:lpstr>impu_moderada</vt:lpstr>
      <vt:lpstr>impu_total</vt:lpstr>
      <vt:lpstr>indi</vt:lpstr>
      <vt:lpstr>migrante</vt:lpstr>
      <vt:lpstr>women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Chang Kcomt Jillie Vanessa</dc:creator>
  <cp:keywords/>
  <dc:description/>
  <cp:lastModifiedBy>Jillie</cp:lastModifiedBy>
  <cp:revision/>
  <dcterms:created xsi:type="dcterms:W3CDTF">2024-05-25T17:55:56Z</dcterms:created>
  <dcterms:modified xsi:type="dcterms:W3CDTF">2025-02-23T01:58:56Z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0x01010013CF38A08EAD904D8140A27674133DC0</vt:lpwstr>
  </property>
  <property fmtid="{D5CDD505-2E9C-101B-9397-08002B2CF9AE}" pid="3" name="MediaServiceImageTags">
    <vt:lpwstr/>
  </property>
</Properties>
</file>